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2408"/>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E101 .F53</t>
        </is>
      </c>
      <c r="C2" t="inlineStr">
        <is>
          <t>0                      E  0101000F  53</t>
        </is>
      </c>
      <c r="D2" t="inlineStr">
        <is>
          <t>First images of America : the impact of the New World on the Old / edited by Fredi Chiappelli, co-editors Michael J. B. Allen &amp; Robert L. Benson.</t>
        </is>
      </c>
      <c r="E2" t="inlineStr">
        <is>
          <t>V.2</t>
        </is>
      </c>
      <c r="F2" t="inlineStr">
        <is>
          <t>Yes</t>
        </is>
      </c>
      <c r="G2" t="inlineStr">
        <is>
          <t>1</t>
        </is>
      </c>
      <c r="H2" t="inlineStr">
        <is>
          <t>No</t>
        </is>
      </c>
      <c r="I2" t="inlineStr">
        <is>
          <t>No</t>
        </is>
      </c>
      <c r="J2" t="inlineStr">
        <is>
          <t>0</t>
        </is>
      </c>
      <c r="L2" t="inlineStr">
        <is>
          <t>Berkeley : University of California Press, 1976.</t>
        </is>
      </c>
      <c r="M2" t="inlineStr">
        <is>
          <t>1976</t>
        </is>
      </c>
      <c r="O2" t="inlineStr">
        <is>
          <t>eng</t>
        </is>
      </c>
      <c r="P2" t="inlineStr">
        <is>
          <t>cau</t>
        </is>
      </c>
      <c r="R2" t="inlineStr">
        <is>
          <t xml:space="preserve">E  </t>
        </is>
      </c>
      <c r="S2" t="n">
        <v>2</v>
      </c>
      <c r="T2" t="n">
        <v>5</v>
      </c>
      <c r="U2" t="inlineStr">
        <is>
          <t>2001-10-28</t>
        </is>
      </c>
      <c r="V2" t="inlineStr">
        <is>
          <t>2001-10-28</t>
        </is>
      </c>
      <c r="W2" t="inlineStr">
        <is>
          <t>1997-03-26</t>
        </is>
      </c>
      <c r="X2" t="inlineStr">
        <is>
          <t>1997-03-26</t>
        </is>
      </c>
      <c r="Y2" t="n">
        <v>791</v>
      </c>
      <c r="Z2" t="n">
        <v>691</v>
      </c>
      <c r="AA2" t="n">
        <v>726</v>
      </c>
      <c r="AB2" t="n">
        <v>3</v>
      </c>
      <c r="AC2" t="n">
        <v>3</v>
      </c>
      <c r="AD2" t="n">
        <v>30</v>
      </c>
      <c r="AE2" t="n">
        <v>31</v>
      </c>
      <c r="AF2" t="n">
        <v>12</v>
      </c>
      <c r="AG2" t="n">
        <v>13</v>
      </c>
      <c r="AH2" t="n">
        <v>9</v>
      </c>
      <c r="AI2" t="n">
        <v>9</v>
      </c>
      <c r="AJ2" t="n">
        <v>16</v>
      </c>
      <c r="AK2" t="n">
        <v>17</v>
      </c>
      <c r="AL2" t="n">
        <v>2</v>
      </c>
      <c r="AM2" t="n">
        <v>2</v>
      </c>
      <c r="AN2" t="n">
        <v>0</v>
      </c>
      <c r="AO2" t="n">
        <v>0</v>
      </c>
      <c r="AP2" t="inlineStr">
        <is>
          <t>No</t>
        </is>
      </c>
      <c r="AQ2" t="inlineStr">
        <is>
          <t>No</t>
        </is>
      </c>
      <c r="AS2">
        <f>HYPERLINK("https://creighton-primo.hosted.exlibrisgroup.com/primo-explore/search?tab=default_tab&amp;search_scope=EVERYTHING&amp;vid=01CRU&amp;lang=en_US&amp;offset=0&amp;query=any,contains,991004039809702656","Catalog Record")</f>
        <v/>
      </c>
      <c r="AT2">
        <f>HYPERLINK("http://www.worldcat.org/oclc/2185029","WorldCat Record")</f>
        <v/>
      </c>
      <c r="AU2" t="inlineStr">
        <is>
          <t>918653525:eng</t>
        </is>
      </c>
      <c r="AV2" t="inlineStr">
        <is>
          <t>2185029</t>
        </is>
      </c>
      <c r="AW2" t="inlineStr">
        <is>
          <t>991004039809702656</t>
        </is>
      </c>
      <c r="AX2" t="inlineStr">
        <is>
          <t>991004039809702656</t>
        </is>
      </c>
      <c r="AY2" t="inlineStr">
        <is>
          <t>2258384810002656</t>
        </is>
      </c>
      <c r="AZ2" t="inlineStr">
        <is>
          <t>BOOK</t>
        </is>
      </c>
      <c r="BB2" t="inlineStr">
        <is>
          <t>9780520030107</t>
        </is>
      </c>
      <c r="BC2" t="inlineStr">
        <is>
          <t>32285002484110</t>
        </is>
      </c>
      <c r="BD2" t="inlineStr">
        <is>
          <t>893337265</t>
        </is>
      </c>
    </row>
    <row r="3">
      <c r="A3" t="inlineStr">
        <is>
          <t>No</t>
        </is>
      </c>
      <c r="B3" t="inlineStr">
        <is>
          <t>E101 .F53</t>
        </is>
      </c>
      <c r="C3" t="inlineStr">
        <is>
          <t>0                      E  0101000F  53</t>
        </is>
      </c>
      <c r="D3" t="inlineStr">
        <is>
          <t>First images of America : the impact of the New World on the Old / edited by Fredi Chiappelli, co-editors Michael J. B. Allen &amp; Robert L. Benson.</t>
        </is>
      </c>
      <c r="E3" t="inlineStr">
        <is>
          <t>V.1</t>
        </is>
      </c>
      <c r="F3" t="inlineStr">
        <is>
          <t>Yes</t>
        </is>
      </c>
      <c r="G3" t="inlineStr">
        <is>
          <t>1</t>
        </is>
      </c>
      <c r="H3" t="inlineStr">
        <is>
          <t>No</t>
        </is>
      </c>
      <c r="I3" t="inlineStr">
        <is>
          <t>No</t>
        </is>
      </c>
      <c r="J3" t="inlineStr">
        <is>
          <t>0</t>
        </is>
      </c>
      <c r="L3" t="inlineStr">
        <is>
          <t>Berkeley : University of California Press, 1976.</t>
        </is>
      </c>
      <c r="M3" t="inlineStr">
        <is>
          <t>1976</t>
        </is>
      </c>
      <c r="O3" t="inlineStr">
        <is>
          <t>eng</t>
        </is>
      </c>
      <c r="P3" t="inlineStr">
        <is>
          <t>cau</t>
        </is>
      </c>
      <c r="R3" t="inlineStr">
        <is>
          <t xml:space="preserve">E  </t>
        </is>
      </c>
      <c r="S3" t="n">
        <v>3</v>
      </c>
      <c r="T3" t="n">
        <v>5</v>
      </c>
      <c r="U3" t="inlineStr">
        <is>
          <t>2001-10-28</t>
        </is>
      </c>
      <c r="V3" t="inlineStr">
        <is>
          <t>2001-10-28</t>
        </is>
      </c>
      <c r="W3" t="inlineStr">
        <is>
          <t>1992-11-05</t>
        </is>
      </c>
      <c r="X3" t="inlineStr">
        <is>
          <t>1997-03-26</t>
        </is>
      </c>
      <c r="Y3" t="n">
        <v>791</v>
      </c>
      <c r="Z3" t="n">
        <v>691</v>
      </c>
      <c r="AA3" t="n">
        <v>726</v>
      </c>
      <c r="AB3" t="n">
        <v>3</v>
      </c>
      <c r="AC3" t="n">
        <v>3</v>
      </c>
      <c r="AD3" t="n">
        <v>30</v>
      </c>
      <c r="AE3" t="n">
        <v>31</v>
      </c>
      <c r="AF3" t="n">
        <v>12</v>
      </c>
      <c r="AG3" t="n">
        <v>13</v>
      </c>
      <c r="AH3" t="n">
        <v>9</v>
      </c>
      <c r="AI3" t="n">
        <v>9</v>
      </c>
      <c r="AJ3" t="n">
        <v>16</v>
      </c>
      <c r="AK3" t="n">
        <v>17</v>
      </c>
      <c r="AL3" t="n">
        <v>2</v>
      </c>
      <c r="AM3" t="n">
        <v>2</v>
      </c>
      <c r="AN3" t="n">
        <v>0</v>
      </c>
      <c r="AO3" t="n">
        <v>0</v>
      </c>
      <c r="AP3" t="inlineStr">
        <is>
          <t>No</t>
        </is>
      </c>
      <c r="AQ3" t="inlineStr">
        <is>
          <t>No</t>
        </is>
      </c>
      <c r="AS3">
        <f>HYPERLINK("https://creighton-primo.hosted.exlibrisgroup.com/primo-explore/search?tab=default_tab&amp;search_scope=EVERYTHING&amp;vid=01CRU&amp;lang=en_US&amp;offset=0&amp;query=any,contains,991004039809702656","Catalog Record")</f>
        <v/>
      </c>
      <c r="AT3">
        <f>HYPERLINK("http://www.worldcat.org/oclc/2185029","WorldCat Record")</f>
        <v/>
      </c>
      <c r="AU3" t="inlineStr">
        <is>
          <t>918653525:eng</t>
        </is>
      </c>
      <c r="AV3" t="inlineStr">
        <is>
          <t>2185029</t>
        </is>
      </c>
      <c r="AW3" t="inlineStr">
        <is>
          <t>991004039809702656</t>
        </is>
      </c>
      <c r="AX3" t="inlineStr">
        <is>
          <t>991004039809702656</t>
        </is>
      </c>
      <c r="AY3" t="inlineStr">
        <is>
          <t>2258384810002656</t>
        </is>
      </c>
      <c r="AZ3" t="inlineStr">
        <is>
          <t>BOOK</t>
        </is>
      </c>
      <c r="BB3" t="inlineStr">
        <is>
          <t>9780520030107</t>
        </is>
      </c>
      <c r="BC3" t="inlineStr">
        <is>
          <t>32285001382794</t>
        </is>
      </c>
      <c r="BD3" t="inlineStr">
        <is>
          <t>893343389</t>
        </is>
      </c>
    </row>
    <row r="4">
      <c r="A4" t="inlineStr">
        <is>
          <t>No</t>
        </is>
      </c>
      <c r="B4" t="inlineStr">
        <is>
          <t>E101 .M12</t>
        </is>
      </c>
      <c r="C4" t="inlineStr">
        <is>
          <t>0                      E  0101000M  12</t>
        </is>
      </c>
      <c r="D4" t="inlineStr">
        <is>
          <t>Columbus and his predecessors; a study in the beginnings of American history, Charles H. McCarthy.</t>
        </is>
      </c>
      <c r="F4" t="inlineStr">
        <is>
          <t>No</t>
        </is>
      </c>
      <c r="G4" t="inlineStr">
        <is>
          <t>1</t>
        </is>
      </c>
      <c r="H4" t="inlineStr">
        <is>
          <t>No</t>
        </is>
      </c>
      <c r="I4" t="inlineStr">
        <is>
          <t>No</t>
        </is>
      </c>
      <c r="J4" t="inlineStr">
        <is>
          <t>0</t>
        </is>
      </c>
      <c r="K4" t="inlineStr">
        <is>
          <t>McCarthy, Charles H. (Charles Hallan), 1860-1941.</t>
        </is>
      </c>
      <c r="L4" t="inlineStr">
        <is>
          <t>Philadelphia, J. J. McVey, 1912.</t>
        </is>
      </c>
      <c r="M4" t="inlineStr">
        <is>
          <t>1912</t>
        </is>
      </c>
      <c r="O4" t="inlineStr">
        <is>
          <t>eng</t>
        </is>
      </c>
      <c r="P4" t="inlineStr">
        <is>
          <t>pau</t>
        </is>
      </c>
      <c r="R4" t="inlineStr">
        <is>
          <t xml:space="preserve">E  </t>
        </is>
      </c>
      <c r="S4" t="n">
        <v>1</v>
      </c>
      <c r="T4" t="n">
        <v>1</v>
      </c>
      <c r="U4" t="inlineStr">
        <is>
          <t>2000-10-30</t>
        </is>
      </c>
      <c r="V4" t="inlineStr">
        <is>
          <t>2000-10-30</t>
        </is>
      </c>
      <c r="W4" t="inlineStr">
        <is>
          <t>1997-04-01</t>
        </is>
      </c>
      <c r="X4" t="inlineStr">
        <is>
          <t>1997-04-01</t>
        </is>
      </c>
      <c r="Y4" t="n">
        <v>39</v>
      </c>
      <c r="Z4" t="n">
        <v>38</v>
      </c>
      <c r="AA4" t="n">
        <v>56</v>
      </c>
      <c r="AB4" t="n">
        <v>1</v>
      </c>
      <c r="AC4" t="n">
        <v>1</v>
      </c>
      <c r="AD4" t="n">
        <v>5</v>
      </c>
      <c r="AE4" t="n">
        <v>5</v>
      </c>
      <c r="AF4" t="n">
        <v>1</v>
      </c>
      <c r="AG4" t="n">
        <v>1</v>
      </c>
      <c r="AH4" t="n">
        <v>3</v>
      </c>
      <c r="AI4" t="n">
        <v>3</v>
      </c>
      <c r="AJ4" t="n">
        <v>4</v>
      </c>
      <c r="AK4" t="n">
        <v>4</v>
      </c>
      <c r="AL4" t="n">
        <v>0</v>
      </c>
      <c r="AM4" t="n">
        <v>0</v>
      </c>
      <c r="AN4" t="n">
        <v>0</v>
      </c>
      <c r="AO4" t="n">
        <v>0</v>
      </c>
      <c r="AP4" t="inlineStr">
        <is>
          <t>Yes</t>
        </is>
      </c>
      <c r="AQ4" t="inlineStr">
        <is>
          <t>No</t>
        </is>
      </c>
      <c r="AR4">
        <f>HYPERLINK("http://catalog.hathitrust.org/Record/009583617","HathiTrust Record")</f>
        <v/>
      </c>
      <c r="AS4">
        <f>HYPERLINK("https://creighton-primo.hosted.exlibrisgroup.com/primo-explore/search?tab=default_tab&amp;search_scope=EVERYTHING&amp;vid=01CRU&amp;lang=en_US&amp;offset=0&amp;query=any,contains,991005149459702656","Catalog Record")</f>
        <v/>
      </c>
      <c r="AT4">
        <f>HYPERLINK("http://www.worldcat.org/oclc/7710584","WorldCat Record")</f>
        <v/>
      </c>
      <c r="AU4" t="inlineStr">
        <is>
          <t>8996814:eng</t>
        </is>
      </c>
      <c r="AV4" t="inlineStr">
        <is>
          <t>7710584</t>
        </is>
      </c>
      <c r="AW4" t="inlineStr">
        <is>
          <t>991005149459702656</t>
        </is>
      </c>
      <c r="AX4" t="inlineStr">
        <is>
          <t>991005149459702656</t>
        </is>
      </c>
      <c r="AY4" t="inlineStr">
        <is>
          <t>2267801970002656</t>
        </is>
      </c>
      <c r="AZ4" t="inlineStr">
        <is>
          <t>BOOK</t>
        </is>
      </c>
      <c r="BC4" t="inlineStr">
        <is>
          <t>32285002488129</t>
        </is>
      </c>
      <c r="BD4" t="inlineStr">
        <is>
          <t>893514129</t>
        </is>
      </c>
    </row>
    <row r="5">
      <c r="A5" t="inlineStr">
        <is>
          <t>No</t>
        </is>
      </c>
      <c r="B5" t="inlineStr">
        <is>
          <t>E101 .N63 1997</t>
        </is>
      </c>
      <c r="C5" t="inlineStr">
        <is>
          <t>0                      E  0101000N  63          1997</t>
        </is>
      </c>
      <c r="D5" t="inlineStr">
        <is>
          <t>American frontiers : cultural encounters and continental conquest / Gregory H. Nobles.</t>
        </is>
      </c>
      <c r="F5" t="inlineStr">
        <is>
          <t>No</t>
        </is>
      </c>
      <c r="G5" t="inlineStr">
        <is>
          <t>1</t>
        </is>
      </c>
      <c r="H5" t="inlineStr">
        <is>
          <t>No</t>
        </is>
      </c>
      <c r="I5" t="inlineStr">
        <is>
          <t>No</t>
        </is>
      </c>
      <c r="J5" t="inlineStr">
        <is>
          <t>0</t>
        </is>
      </c>
      <c r="K5" t="inlineStr">
        <is>
          <t>Nobles, Gregory H.</t>
        </is>
      </c>
      <c r="L5" t="inlineStr">
        <is>
          <t>New York : Hill &amp; Wang, 1997.</t>
        </is>
      </c>
      <c r="M5" t="inlineStr">
        <is>
          <t>1997</t>
        </is>
      </c>
      <c r="N5" t="inlineStr">
        <is>
          <t>1st Hill &amp; Wang ed.</t>
        </is>
      </c>
      <c r="O5" t="inlineStr">
        <is>
          <t>eng</t>
        </is>
      </c>
      <c r="P5" t="inlineStr">
        <is>
          <t>nyu</t>
        </is>
      </c>
      <c r="R5" t="inlineStr">
        <is>
          <t xml:space="preserve">E  </t>
        </is>
      </c>
      <c r="S5" t="n">
        <v>4</v>
      </c>
      <c r="T5" t="n">
        <v>4</v>
      </c>
      <c r="U5" t="inlineStr">
        <is>
          <t>2001-03-18</t>
        </is>
      </c>
      <c r="V5" t="inlineStr">
        <is>
          <t>2001-03-18</t>
        </is>
      </c>
      <c r="W5" t="inlineStr">
        <is>
          <t>1997-03-17</t>
        </is>
      </c>
      <c r="X5" t="inlineStr">
        <is>
          <t>1997-03-17</t>
        </is>
      </c>
      <c r="Y5" t="n">
        <v>816</v>
      </c>
      <c r="Z5" t="n">
        <v>727</v>
      </c>
      <c r="AA5" t="n">
        <v>736</v>
      </c>
      <c r="AB5" t="n">
        <v>9</v>
      </c>
      <c r="AC5" t="n">
        <v>9</v>
      </c>
      <c r="AD5" t="n">
        <v>34</v>
      </c>
      <c r="AE5" t="n">
        <v>34</v>
      </c>
      <c r="AF5" t="n">
        <v>12</v>
      </c>
      <c r="AG5" t="n">
        <v>12</v>
      </c>
      <c r="AH5" t="n">
        <v>7</v>
      </c>
      <c r="AI5" t="n">
        <v>7</v>
      </c>
      <c r="AJ5" t="n">
        <v>17</v>
      </c>
      <c r="AK5" t="n">
        <v>17</v>
      </c>
      <c r="AL5" t="n">
        <v>5</v>
      </c>
      <c r="AM5" t="n">
        <v>5</v>
      </c>
      <c r="AN5" t="n">
        <v>1</v>
      </c>
      <c r="AO5" t="n">
        <v>1</v>
      </c>
      <c r="AP5" t="inlineStr">
        <is>
          <t>No</t>
        </is>
      </c>
      <c r="AQ5" t="inlineStr">
        <is>
          <t>No</t>
        </is>
      </c>
      <c r="AS5">
        <f>HYPERLINK("https://creighton-primo.hosted.exlibrisgroup.com/primo-explore/search?tab=default_tab&amp;search_scope=EVERYTHING&amp;vid=01CRU&amp;lang=en_US&amp;offset=0&amp;query=any,contains,991002680069702656","Catalog Record")</f>
        <v/>
      </c>
      <c r="AT5">
        <f>HYPERLINK("http://www.worldcat.org/oclc/35029500","WorldCat Record")</f>
        <v/>
      </c>
      <c r="AU5" t="inlineStr">
        <is>
          <t>616823:eng</t>
        </is>
      </c>
      <c r="AV5" t="inlineStr">
        <is>
          <t>35029500</t>
        </is>
      </c>
      <c r="AW5" t="inlineStr">
        <is>
          <t>991002680069702656</t>
        </is>
      </c>
      <c r="AX5" t="inlineStr">
        <is>
          <t>991002680069702656</t>
        </is>
      </c>
      <c r="AY5" t="inlineStr">
        <is>
          <t>2268025220002656</t>
        </is>
      </c>
      <c r="AZ5" t="inlineStr">
        <is>
          <t>BOOK</t>
        </is>
      </c>
      <c r="BB5" t="inlineStr">
        <is>
          <t>9780809024711</t>
        </is>
      </c>
      <c r="BC5" t="inlineStr">
        <is>
          <t>32285002443470</t>
        </is>
      </c>
      <c r="BD5" t="inlineStr">
        <is>
          <t>893704361</t>
        </is>
      </c>
    </row>
    <row r="6">
      <c r="A6" t="inlineStr">
        <is>
          <t>No</t>
        </is>
      </c>
      <c r="B6" t="inlineStr">
        <is>
          <t>E101 .N87</t>
        </is>
      </c>
      <c r="C6" t="inlineStr">
        <is>
          <t>0                      E  0101000N  87</t>
        </is>
      </c>
      <c r="D6" t="inlineStr">
        <is>
          <t>The Northmen, Columbus and Cabot, 985-1503 : the voyages of the Northmen / edited by Julius E. Olson ; The voyages of Columbus and of John Cabot, edited by Edward Gaylord Bourne.</t>
        </is>
      </c>
      <c r="F6" t="inlineStr">
        <is>
          <t>No</t>
        </is>
      </c>
      <c r="G6" t="inlineStr">
        <is>
          <t>1</t>
        </is>
      </c>
      <c r="H6" t="inlineStr">
        <is>
          <t>No</t>
        </is>
      </c>
      <c r="I6" t="inlineStr">
        <is>
          <t>No</t>
        </is>
      </c>
      <c r="J6" t="inlineStr">
        <is>
          <t>0</t>
        </is>
      </c>
      <c r="L6" t="inlineStr">
        <is>
          <t>New York : C. Scribner's Sons, 1906.</t>
        </is>
      </c>
      <c r="M6" t="inlineStr">
        <is>
          <t>1906</t>
        </is>
      </c>
      <c r="O6" t="inlineStr">
        <is>
          <t>eng</t>
        </is>
      </c>
      <c r="P6" t="inlineStr">
        <is>
          <t>nyu</t>
        </is>
      </c>
      <c r="Q6" t="inlineStr">
        <is>
          <t>Original narratives of early American history</t>
        </is>
      </c>
      <c r="R6" t="inlineStr">
        <is>
          <t xml:space="preserve">E  </t>
        </is>
      </c>
      <c r="S6" t="n">
        <v>1</v>
      </c>
      <c r="T6" t="n">
        <v>1</v>
      </c>
      <c r="U6" t="inlineStr">
        <is>
          <t>2002-02-21</t>
        </is>
      </c>
      <c r="V6" t="inlineStr">
        <is>
          <t>2002-02-21</t>
        </is>
      </c>
      <c r="W6" t="inlineStr">
        <is>
          <t>1996-08-13</t>
        </is>
      </c>
      <c r="X6" t="inlineStr">
        <is>
          <t>1996-08-13</t>
        </is>
      </c>
      <c r="Y6" t="n">
        <v>654</v>
      </c>
      <c r="Z6" t="n">
        <v>635</v>
      </c>
      <c r="AA6" t="n">
        <v>902</v>
      </c>
      <c r="AB6" t="n">
        <v>8</v>
      </c>
      <c r="AC6" t="n">
        <v>9</v>
      </c>
      <c r="AD6" t="n">
        <v>40</v>
      </c>
      <c r="AE6" t="n">
        <v>47</v>
      </c>
      <c r="AF6" t="n">
        <v>12</v>
      </c>
      <c r="AG6" t="n">
        <v>17</v>
      </c>
      <c r="AH6" t="n">
        <v>7</v>
      </c>
      <c r="AI6" t="n">
        <v>8</v>
      </c>
      <c r="AJ6" t="n">
        <v>22</v>
      </c>
      <c r="AK6" t="n">
        <v>25</v>
      </c>
      <c r="AL6" t="n">
        <v>7</v>
      </c>
      <c r="AM6" t="n">
        <v>8</v>
      </c>
      <c r="AN6" t="n">
        <v>0</v>
      </c>
      <c r="AO6" t="n">
        <v>0</v>
      </c>
      <c r="AP6" t="inlineStr">
        <is>
          <t>Yes</t>
        </is>
      </c>
      <c r="AQ6" t="inlineStr">
        <is>
          <t>No</t>
        </is>
      </c>
      <c r="AR6">
        <f>HYPERLINK("http://catalog.hathitrust.org/Record/000287873","HathiTrust Record")</f>
        <v/>
      </c>
      <c r="AS6">
        <f>HYPERLINK("https://creighton-primo.hosted.exlibrisgroup.com/primo-explore/search?tab=default_tab&amp;search_scope=EVERYTHING&amp;vid=01CRU&amp;lang=en_US&amp;offset=0&amp;query=any,contains,991004114939702656","Catalog Record")</f>
        <v/>
      </c>
      <c r="AT6">
        <f>HYPERLINK("http://www.worldcat.org/oclc/2408829","WorldCat Record")</f>
        <v/>
      </c>
      <c r="AU6" t="inlineStr">
        <is>
          <t>373219219:eng</t>
        </is>
      </c>
      <c r="AV6" t="inlineStr">
        <is>
          <t>2408829</t>
        </is>
      </c>
      <c r="AW6" t="inlineStr">
        <is>
          <t>991004114939702656</t>
        </is>
      </c>
      <c r="AX6" t="inlineStr">
        <is>
          <t>991004114939702656</t>
        </is>
      </c>
      <c r="AY6" t="inlineStr">
        <is>
          <t>2267174000002656</t>
        </is>
      </c>
      <c r="AZ6" t="inlineStr">
        <is>
          <t>BOOK</t>
        </is>
      </c>
      <c r="BC6" t="inlineStr">
        <is>
          <t>32285002280567</t>
        </is>
      </c>
      <c r="BD6" t="inlineStr">
        <is>
          <t>893423399</t>
        </is>
      </c>
    </row>
    <row r="7">
      <c r="A7" t="inlineStr">
        <is>
          <t>No</t>
        </is>
      </c>
      <c r="B7" t="inlineStr">
        <is>
          <t>E101 .O88 1984</t>
        </is>
      </c>
      <c r="C7" t="inlineStr">
        <is>
          <t>0                      E  0101000O  88          1984</t>
        </is>
      </c>
      <c r="D7" t="inlineStr">
        <is>
          <t>The Age of Discovery, 1400-1550 / Dan O'Sullivan.</t>
        </is>
      </c>
      <c r="F7" t="inlineStr">
        <is>
          <t>No</t>
        </is>
      </c>
      <c r="G7" t="inlineStr">
        <is>
          <t>1</t>
        </is>
      </c>
      <c r="H7" t="inlineStr">
        <is>
          <t>No</t>
        </is>
      </c>
      <c r="I7" t="inlineStr">
        <is>
          <t>No</t>
        </is>
      </c>
      <c r="J7" t="inlineStr">
        <is>
          <t>0</t>
        </is>
      </c>
      <c r="K7" t="inlineStr">
        <is>
          <t>O'Sullivan, Dan.</t>
        </is>
      </c>
      <c r="L7" t="inlineStr">
        <is>
          <t>London ; New York : Longman, 1984.</t>
        </is>
      </c>
      <c r="M7" t="inlineStr">
        <is>
          <t>1984</t>
        </is>
      </c>
      <c r="O7" t="inlineStr">
        <is>
          <t>eng</t>
        </is>
      </c>
      <c r="P7" t="inlineStr">
        <is>
          <t>enk</t>
        </is>
      </c>
      <c r="Q7" t="inlineStr">
        <is>
          <t>Seminar studies in history</t>
        </is>
      </c>
      <c r="R7" t="inlineStr">
        <is>
          <t xml:space="preserve">E  </t>
        </is>
      </c>
      <c r="S7" t="n">
        <v>12</v>
      </c>
      <c r="T7" t="n">
        <v>12</v>
      </c>
      <c r="U7" t="inlineStr">
        <is>
          <t>1996-02-01</t>
        </is>
      </c>
      <c r="V7" t="inlineStr">
        <is>
          <t>1996-02-01</t>
        </is>
      </c>
      <c r="W7" t="inlineStr">
        <is>
          <t>1990-12-06</t>
        </is>
      </c>
      <c r="X7" t="inlineStr">
        <is>
          <t>1990-12-06</t>
        </is>
      </c>
      <c r="Y7" t="n">
        <v>163</v>
      </c>
      <c r="Z7" t="n">
        <v>91</v>
      </c>
      <c r="AA7" t="n">
        <v>93</v>
      </c>
      <c r="AB7" t="n">
        <v>1</v>
      </c>
      <c r="AC7" t="n">
        <v>1</v>
      </c>
      <c r="AD7" t="n">
        <v>2</v>
      </c>
      <c r="AE7" t="n">
        <v>2</v>
      </c>
      <c r="AF7" t="n">
        <v>1</v>
      </c>
      <c r="AG7" t="n">
        <v>1</v>
      </c>
      <c r="AH7" t="n">
        <v>1</v>
      </c>
      <c r="AI7" t="n">
        <v>1</v>
      </c>
      <c r="AJ7" t="n">
        <v>1</v>
      </c>
      <c r="AK7" t="n">
        <v>1</v>
      </c>
      <c r="AL7" t="n">
        <v>0</v>
      </c>
      <c r="AM7" t="n">
        <v>0</v>
      </c>
      <c r="AN7" t="n">
        <v>0</v>
      </c>
      <c r="AO7" t="n">
        <v>0</v>
      </c>
      <c r="AP7" t="inlineStr">
        <is>
          <t>No</t>
        </is>
      </c>
      <c r="AQ7" t="inlineStr">
        <is>
          <t>Yes</t>
        </is>
      </c>
      <c r="AR7">
        <f>HYPERLINK("http://catalog.hathitrust.org/Record/000626557","HathiTrust Record")</f>
        <v/>
      </c>
      <c r="AS7">
        <f>HYPERLINK("https://creighton-primo.hosted.exlibrisgroup.com/primo-explore/search?tab=default_tab&amp;search_scope=EVERYTHING&amp;vid=01CRU&amp;lang=en_US&amp;offset=0&amp;query=any,contains,991000213259702656","Catalog Record")</f>
        <v/>
      </c>
      <c r="AT7">
        <f>HYPERLINK("http://www.worldcat.org/oclc/9556404","WorldCat Record")</f>
        <v/>
      </c>
      <c r="AU7" t="inlineStr">
        <is>
          <t>20406979:eng</t>
        </is>
      </c>
      <c r="AV7" t="inlineStr">
        <is>
          <t>9556404</t>
        </is>
      </c>
      <c r="AW7" t="inlineStr">
        <is>
          <t>991000213259702656</t>
        </is>
      </c>
      <c r="AX7" t="inlineStr">
        <is>
          <t>991000213259702656</t>
        </is>
      </c>
      <c r="AY7" t="inlineStr">
        <is>
          <t>2267669300002656</t>
        </is>
      </c>
      <c r="AZ7" t="inlineStr">
        <is>
          <t>BOOK</t>
        </is>
      </c>
      <c r="BB7" t="inlineStr">
        <is>
          <t>9780582353725</t>
        </is>
      </c>
      <c r="BC7" t="inlineStr">
        <is>
          <t>32285000422260</t>
        </is>
      </c>
      <c r="BD7" t="inlineStr">
        <is>
          <t>893527904</t>
        </is>
      </c>
    </row>
    <row r="8">
      <c r="A8" t="inlineStr">
        <is>
          <t>No</t>
        </is>
      </c>
      <c r="B8" t="inlineStr">
        <is>
          <t>E101 .T87 1980</t>
        </is>
      </c>
      <c r="C8" t="inlineStr">
        <is>
          <t>0                      E  0101000T  87          1980</t>
        </is>
      </c>
      <c r="D8" t="inlineStr">
        <is>
          <t>Beyond geography : the western spirit against the wilderness / Frederick Turner.</t>
        </is>
      </c>
      <c r="F8" t="inlineStr">
        <is>
          <t>No</t>
        </is>
      </c>
      <c r="G8" t="inlineStr">
        <is>
          <t>1</t>
        </is>
      </c>
      <c r="H8" t="inlineStr">
        <is>
          <t>No</t>
        </is>
      </c>
      <c r="I8" t="inlineStr">
        <is>
          <t>No</t>
        </is>
      </c>
      <c r="J8" t="inlineStr">
        <is>
          <t>0</t>
        </is>
      </c>
      <c r="K8" t="inlineStr">
        <is>
          <t>Turner, Frederick W., 1937-</t>
        </is>
      </c>
      <c r="L8" t="inlineStr">
        <is>
          <t>New York : Viking Press, 1980.</t>
        </is>
      </c>
      <c r="M8" t="inlineStr">
        <is>
          <t>1980</t>
        </is>
      </c>
      <c r="O8" t="inlineStr">
        <is>
          <t>eng</t>
        </is>
      </c>
      <c r="P8" t="inlineStr">
        <is>
          <t>nyu</t>
        </is>
      </c>
      <c r="R8" t="inlineStr">
        <is>
          <t xml:space="preserve">E  </t>
        </is>
      </c>
      <c r="S8" t="n">
        <v>5</v>
      </c>
      <c r="T8" t="n">
        <v>5</v>
      </c>
      <c r="U8" t="inlineStr">
        <is>
          <t>1994-10-26</t>
        </is>
      </c>
      <c r="V8" t="inlineStr">
        <is>
          <t>1994-10-26</t>
        </is>
      </c>
      <c r="W8" t="inlineStr">
        <is>
          <t>1990-12-06</t>
        </is>
      </c>
      <c r="X8" t="inlineStr">
        <is>
          <t>1990-12-06</t>
        </is>
      </c>
      <c r="Y8" t="n">
        <v>857</v>
      </c>
      <c r="Z8" t="n">
        <v>781</v>
      </c>
      <c r="AA8" t="n">
        <v>1035</v>
      </c>
      <c r="AB8" t="n">
        <v>9</v>
      </c>
      <c r="AC8" t="n">
        <v>10</v>
      </c>
      <c r="AD8" t="n">
        <v>20</v>
      </c>
      <c r="AE8" t="n">
        <v>34</v>
      </c>
      <c r="AF8" t="n">
        <v>2</v>
      </c>
      <c r="AG8" t="n">
        <v>11</v>
      </c>
      <c r="AH8" t="n">
        <v>7</v>
      </c>
      <c r="AI8" t="n">
        <v>8</v>
      </c>
      <c r="AJ8" t="n">
        <v>6</v>
      </c>
      <c r="AK8" t="n">
        <v>13</v>
      </c>
      <c r="AL8" t="n">
        <v>7</v>
      </c>
      <c r="AM8" t="n">
        <v>8</v>
      </c>
      <c r="AN8" t="n">
        <v>0</v>
      </c>
      <c r="AO8" t="n">
        <v>0</v>
      </c>
      <c r="AP8" t="inlineStr">
        <is>
          <t>No</t>
        </is>
      </c>
      <c r="AQ8" t="inlineStr">
        <is>
          <t>Yes</t>
        </is>
      </c>
      <c r="AR8">
        <f>HYPERLINK("http://catalog.hathitrust.org/Record/000703020","HathiTrust Record")</f>
        <v/>
      </c>
      <c r="AS8">
        <f>HYPERLINK("https://creighton-primo.hosted.exlibrisgroup.com/primo-explore/search?tab=default_tab&amp;search_scope=EVERYTHING&amp;vid=01CRU&amp;lang=en_US&amp;offset=0&amp;query=any,contains,991004845729702656","Catalog Record")</f>
        <v/>
      </c>
      <c r="AT8">
        <f>HYPERLINK("http://www.worldcat.org/oclc/5564300","WorldCat Record")</f>
        <v/>
      </c>
      <c r="AU8" t="inlineStr">
        <is>
          <t>515379:eng</t>
        </is>
      </c>
      <c r="AV8" t="inlineStr">
        <is>
          <t>5564300</t>
        </is>
      </c>
      <c r="AW8" t="inlineStr">
        <is>
          <t>991004845729702656</t>
        </is>
      </c>
      <c r="AX8" t="inlineStr">
        <is>
          <t>991004845729702656</t>
        </is>
      </c>
      <c r="AY8" t="inlineStr">
        <is>
          <t>2266434830002656</t>
        </is>
      </c>
      <c r="AZ8" t="inlineStr">
        <is>
          <t>BOOK</t>
        </is>
      </c>
      <c r="BB8" t="inlineStr">
        <is>
          <t>9780670160983</t>
        </is>
      </c>
      <c r="BC8" t="inlineStr">
        <is>
          <t>32285000422278</t>
        </is>
      </c>
      <c r="BD8" t="inlineStr">
        <is>
          <t>893600301</t>
        </is>
      </c>
    </row>
    <row r="9">
      <c r="A9" t="inlineStr">
        <is>
          <t>No</t>
        </is>
      </c>
      <c r="B9" t="inlineStr">
        <is>
          <t>E103 .H93 1992</t>
        </is>
      </c>
      <c r="C9" t="inlineStr">
        <is>
          <t>0                      E  0103000H  93          1992</t>
        </is>
      </c>
      <c r="D9" t="inlineStr">
        <is>
          <t>Columbus was last / by Patrick Huyghe.</t>
        </is>
      </c>
      <c r="F9" t="inlineStr">
        <is>
          <t>No</t>
        </is>
      </c>
      <c r="G9" t="inlineStr">
        <is>
          <t>1</t>
        </is>
      </c>
      <c r="H9" t="inlineStr">
        <is>
          <t>No</t>
        </is>
      </c>
      <c r="I9" t="inlineStr">
        <is>
          <t>No</t>
        </is>
      </c>
      <c r="J9" t="inlineStr">
        <is>
          <t>0</t>
        </is>
      </c>
      <c r="K9" t="inlineStr">
        <is>
          <t>Huyghe, Patrick.</t>
        </is>
      </c>
      <c r="L9" t="inlineStr">
        <is>
          <t>New York : Hyperion, 1992.</t>
        </is>
      </c>
      <c r="M9" t="inlineStr">
        <is>
          <t>1992</t>
        </is>
      </c>
      <c r="O9" t="inlineStr">
        <is>
          <t>eng</t>
        </is>
      </c>
      <c r="P9" t="inlineStr">
        <is>
          <t>nyu</t>
        </is>
      </c>
      <c r="R9" t="inlineStr">
        <is>
          <t xml:space="preserve">E  </t>
        </is>
      </c>
      <c r="S9" t="n">
        <v>4</v>
      </c>
      <c r="T9" t="n">
        <v>4</v>
      </c>
      <c r="U9" t="inlineStr">
        <is>
          <t>2003-08-25</t>
        </is>
      </c>
      <c r="V9" t="inlineStr">
        <is>
          <t>2003-08-25</t>
        </is>
      </c>
      <c r="W9" t="inlineStr">
        <is>
          <t>1992-10-22</t>
        </is>
      </c>
      <c r="X9" t="inlineStr">
        <is>
          <t>1992-10-22</t>
        </is>
      </c>
      <c r="Y9" t="n">
        <v>693</v>
      </c>
      <c r="Z9" t="n">
        <v>668</v>
      </c>
      <c r="AA9" t="n">
        <v>714</v>
      </c>
      <c r="AB9" t="n">
        <v>3</v>
      </c>
      <c r="AC9" t="n">
        <v>3</v>
      </c>
      <c r="AD9" t="n">
        <v>8</v>
      </c>
      <c r="AE9" t="n">
        <v>10</v>
      </c>
      <c r="AF9" t="n">
        <v>2</v>
      </c>
      <c r="AG9" t="n">
        <v>4</v>
      </c>
      <c r="AH9" t="n">
        <v>2</v>
      </c>
      <c r="AI9" t="n">
        <v>2</v>
      </c>
      <c r="AJ9" t="n">
        <v>2</v>
      </c>
      <c r="AK9" t="n">
        <v>2</v>
      </c>
      <c r="AL9" t="n">
        <v>2</v>
      </c>
      <c r="AM9" t="n">
        <v>2</v>
      </c>
      <c r="AN9" t="n">
        <v>0</v>
      </c>
      <c r="AO9" t="n">
        <v>0</v>
      </c>
      <c r="AP9" t="inlineStr">
        <is>
          <t>No</t>
        </is>
      </c>
      <c r="AQ9" t="inlineStr">
        <is>
          <t>Yes</t>
        </is>
      </c>
      <c r="AR9">
        <f>HYPERLINK("http://catalog.hathitrust.org/Record/002607998","HathiTrust Record")</f>
        <v/>
      </c>
      <c r="AS9">
        <f>HYPERLINK("https://creighton-primo.hosted.exlibrisgroup.com/primo-explore/search?tab=default_tab&amp;search_scope=EVERYTHING&amp;vid=01CRU&amp;lang=en_US&amp;offset=0&amp;query=any,contains,991002026169702656","Catalog Record")</f>
        <v/>
      </c>
      <c r="AT9">
        <f>HYPERLINK("http://www.worldcat.org/oclc/25787382","WorldCat Record")</f>
        <v/>
      </c>
      <c r="AU9" t="inlineStr">
        <is>
          <t>5926253:eng</t>
        </is>
      </c>
      <c r="AV9" t="inlineStr">
        <is>
          <t>25787382</t>
        </is>
      </c>
      <c r="AW9" t="inlineStr">
        <is>
          <t>991002026169702656</t>
        </is>
      </c>
      <c r="AX9" t="inlineStr">
        <is>
          <t>991002026169702656</t>
        </is>
      </c>
      <c r="AY9" t="inlineStr">
        <is>
          <t>2256158520002656</t>
        </is>
      </c>
      <c r="AZ9" t="inlineStr">
        <is>
          <t>BOOK</t>
        </is>
      </c>
      <c r="BB9" t="inlineStr">
        <is>
          <t>9781562829407</t>
        </is>
      </c>
      <c r="BC9" t="inlineStr">
        <is>
          <t>32285001318913</t>
        </is>
      </c>
      <c r="BD9" t="inlineStr">
        <is>
          <t>893256782</t>
        </is>
      </c>
    </row>
    <row r="10">
      <c r="A10" t="inlineStr">
        <is>
          <t>No</t>
        </is>
      </c>
      <c r="B10" t="inlineStr">
        <is>
          <t>E109.A35 V35 1998</t>
        </is>
      </c>
      <c r="C10" t="inlineStr">
        <is>
          <t>0                      E  0109000A  35                 V  35          1998</t>
        </is>
      </c>
      <c r="D10" t="inlineStr">
        <is>
          <t>Early America revisited / Ivan Van Sertima.</t>
        </is>
      </c>
      <c r="F10" t="inlineStr">
        <is>
          <t>No</t>
        </is>
      </c>
      <c r="G10" t="inlineStr">
        <is>
          <t>1</t>
        </is>
      </c>
      <c r="H10" t="inlineStr">
        <is>
          <t>No</t>
        </is>
      </c>
      <c r="I10" t="inlineStr">
        <is>
          <t>No</t>
        </is>
      </c>
      <c r="J10" t="inlineStr">
        <is>
          <t>0</t>
        </is>
      </c>
      <c r="K10" t="inlineStr">
        <is>
          <t>Van Sertima, Ivan.</t>
        </is>
      </c>
      <c r="L10" t="inlineStr">
        <is>
          <t>New Brunswick, N.J. : Transaction Publishers : Copies ordered from I. Van Sertima, c1998.</t>
        </is>
      </c>
      <c r="M10" t="inlineStr">
        <is>
          <t>1998</t>
        </is>
      </c>
      <c r="O10" t="inlineStr">
        <is>
          <t>eng</t>
        </is>
      </c>
      <c r="P10" t="inlineStr">
        <is>
          <t>nju</t>
        </is>
      </c>
      <c r="R10" t="inlineStr">
        <is>
          <t xml:space="preserve">E  </t>
        </is>
      </c>
      <c r="S10" t="n">
        <v>2</v>
      </c>
      <c r="T10" t="n">
        <v>2</v>
      </c>
      <c r="U10" t="inlineStr">
        <is>
          <t>2003-08-25</t>
        </is>
      </c>
      <c r="V10" t="inlineStr">
        <is>
          <t>2003-08-25</t>
        </is>
      </c>
      <c r="W10" t="inlineStr">
        <is>
          <t>1998-09-23</t>
        </is>
      </c>
      <c r="X10" t="inlineStr">
        <is>
          <t>1998-09-23</t>
        </is>
      </c>
      <c r="Y10" t="n">
        <v>337</v>
      </c>
      <c r="Z10" t="n">
        <v>304</v>
      </c>
      <c r="AA10" t="n">
        <v>305</v>
      </c>
      <c r="AB10" t="n">
        <v>3</v>
      </c>
      <c r="AC10" t="n">
        <v>3</v>
      </c>
      <c r="AD10" t="n">
        <v>16</v>
      </c>
      <c r="AE10" t="n">
        <v>16</v>
      </c>
      <c r="AF10" t="n">
        <v>5</v>
      </c>
      <c r="AG10" t="n">
        <v>5</v>
      </c>
      <c r="AH10" t="n">
        <v>5</v>
      </c>
      <c r="AI10" t="n">
        <v>5</v>
      </c>
      <c r="AJ10" t="n">
        <v>9</v>
      </c>
      <c r="AK10" t="n">
        <v>9</v>
      </c>
      <c r="AL10" t="n">
        <v>2</v>
      </c>
      <c r="AM10" t="n">
        <v>2</v>
      </c>
      <c r="AN10" t="n">
        <v>0</v>
      </c>
      <c r="AO10" t="n">
        <v>0</v>
      </c>
      <c r="AP10" t="inlineStr">
        <is>
          <t>No</t>
        </is>
      </c>
      <c r="AQ10" t="inlineStr">
        <is>
          <t>No</t>
        </is>
      </c>
      <c r="AS10">
        <f>HYPERLINK("https://creighton-primo.hosted.exlibrisgroup.com/primo-explore/search?tab=default_tab&amp;search_scope=EVERYTHING&amp;vid=01CRU&amp;lang=en_US&amp;offset=0&amp;query=any,contains,991002913369702656","Catalog Record")</f>
        <v/>
      </c>
      <c r="AT10">
        <f>HYPERLINK("http://www.worldcat.org/oclc/38521461","WorldCat Record")</f>
        <v/>
      </c>
      <c r="AU10" t="inlineStr">
        <is>
          <t>19651727:eng</t>
        </is>
      </c>
      <c r="AV10" t="inlineStr">
        <is>
          <t>38521461</t>
        </is>
      </c>
      <c r="AW10" t="inlineStr">
        <is>
          <t>991002913369702656</t>
        </is>
      </c>
      <c r="AX10" t="inlineStr">
        <is>
          <t>991002913369702656</t>
        </is>
      </c>
      <c r="AY10" t="inlineStr">
        <is>
          <t>2264246770002656</t>
        </is>
      </c>
      <c r="AZ10" t="inlineStr">
        <is>
          <t>BOOK</t>
        </is>
      </c>
      <c r="BB10" t="inlineStr">
        <is>
          <t>9780765804631</t>
        </is>
      </c>
      <c r="BC10" t="inlineStr">
        <is>
          <t>32285003470472</t>
        </is>
      </c>
      <c r="BD10" t="inlineStr">
        <is>
          <t>893710836</t>
        </is>
      </c>
    </row>
    <row r="11">
      <c r="A11" t="inlineStr">
        <is>
          <t>No</t>
        </is>
      </c>
      <c r="B11" t="inlineStr">
        <is>
          <t>E109.P8 M7 1965</t>
        </is>
      </c>
      <c r="C11" t="inlineStr">
        <is>
          <t>0                      E  0109000P  8                  M  7           1965</t>
        </is>
      </c>
      <c r="D11" t="inlineStr">
        <is>
          <t>Portuguese voyages to America in the fifteenth century.</t>
        </is>
      </c>
      <c r="F11" t="inlineStr">
        <is>
          <t>No</t>
        </is>
      </c>
      <c r="G11" t="inlineStr">
        <is>
          <t>1</t>
        </is>
      </c>
      <c r="H11" t="inlineStr">
        <is>
          <t>No</t>
        </is>
      </c>
      <c r="I11" t="inlineStr">
        <is>
          <t>No</t>
        </is>
      </c>
      <c r="J11" t="inlineStr">
        <is>
          <t>0</t>
        </is>
      </c>
      <c r="K11" t="inlineStr">
        <is>
          <t>Morison, Samuel Eliot, 1887-1976.</t>
        </is>
      </c>
      <c r="L11" t="inlineStr">
        <is>
          <t>New York, Octagon Books; 1965 [c1940]</t>
        </is>
      </c>
      <c r="M11" t="inlineStr">
        <is>
          <t>1965</t>
        </is>
      </c>
      <c r="O11" t="inlineStr">
        <is>
          <t>eng</t>
        </is>
      </c>
      <c r="P11" t="inlineStr">
        <is>
          <t xml:space="preserve">xx </t>
        </is>
      </c>
      <c r="Q11" t="inlineStr">
        <is>
          <t>Harvard historical monographs ; 14</t>
        </is>
      </c>
      <c r="R11" t="inlineStr">
        <is>
          <t xml:space="preserve">E  </t>
        </is>
      </c>
      <c r="S11" t="n">
        <v>2</v>
      </c>
      <c r="T11" t="n">
        <v>2</v>
      </c>
      <c r="U11" t="inlineStr">
        <is>
          <t>2000-11-09</t>
        </is>
      </c>
      <c r="V11" t="inlineStr">
        <is>
          <t>2000-11-09</t>
        </is>
      </c>
      <c r="W11" t="inlineStr">
        <is>
          <t>1997-04-01</t>
        </is>
      </c>
      <c r="X11" t="inlineStr">
        <is>
          <t>1997-04-01</t>
        </is>
      </c>
      <c r="Y11" t="n">
        <v>363</v>
      </c>
      <c r="Z11" t="n">
        <v>339</v>
      </c>
      <c r="AA11" t="n">
        <v>688</v>
      </c>
      <c r="AB11" t="n">
        <v>5</v>
      </c>
      <c r="AC11" t="n">
        <v>7</v>
      </c>
      <c r="AD11" t="n">
        <v>21</v>
      </c>
      <c r="AE11" t="n">
        <v>41</v>
      </c>
      <c r="AF11" t="n">
        <v>9</v>
      </c>
      <c r="AG11" t="n">
        <v>16</v>
      </c>
      <c r="AH11" t="n">
        <v>5</v>
      </c>
      <c r="AI11" t="n">
        <v>9</v>
      </c>
      <c r="AJ11" t="n">
        <v>5</v>
      </c>
      <c r="AK11" t="n">
        <v>19</v>
      </c>
      <c r="AL11" t="n">
        <v>4</v>
      </c>
      <c r="AM11" t="n">
        <v>6</v>
      </c>
      <c r="AN11" t="n">
        <v>0</v>
      </c>
      <c r="AO11" t="n">
        <v>0</v>
      </c>
      <c r="AP11" t="inlineStr">
        <is>
          <t>No</t>
        </is>
      </c>
      <c r="AQ11" t="inlineStr">
        <is>
          <t>Yes</t>
        </is>
      </c>
      <c r="AR11">
        <f>HYPERLINK("http://catalog.hathitrust.org/Record/009510409","HathiTrust Record")</f>
        <v/>
      </c>
      <c r="AS11">
        <f>HYPERLINK("https://creighton-primo.hosted.exlibrisgroup.com/primo-explore/search?tab=default_tab&amp;search_scope=EVERYTHING&amp;vid=01CRU&amp;lang=en_US&amp;offset=0&amp;query=any,contains,991002737459702656","Catalog Record")</f>
        <v/>
      </c>
      <c r="AT11">
        <f>HYPERLINK("http://www.worldcat.org/oclc/419812","WorldCat Record")</f>
        <v/>
      </c>
      <c r="AU11" t="inlineStr">
        <is>
          <t>1498372:eng</t>
        </is>
      </c>
      <c r="AV11" t="inlineStr">
        <is>
          <t>419812</t>
        </is>
      </c>
      <c r="AW11" t="inlineStr">
        <is>
          <t>991002737459702656</t>
        </is>
      </c>
      <c r="AX11" t="inlineStr">
        <is>
          <t>991002737459702656</t>
        </is>
      </c>
      <c r="AY11" t="inlineStr">
        <is>
          <t>2261751250002656</t>
        </is>
      </c>
      <c r="AZ11" t="inlineStr">
        <is>
          <t>BOOK</t>
        </is>
      </c>
      <c r="BC11" t="inlineStr">
        <is>
          <t>32285002488251</t>
        </is>
      </c>
      <c r="BD11" t="inlineStr">
        <is>
          <t>893440454</t>
        </is>
      </c>
    </row>
    <row r="12">
      <c r="A12" t="inlineStr">
        <is>
          <t>No</t>
        </is>
      </c>
      <c r="B12" t="inlineStr">
        <is>
          <t>E109.W4 W544 1987</t>
        </is>
      </c>
      <c r="C12" t="inlineStr">
        <is>
          <t>0                      E  0109000W  4                  W  544         1987</t>
        </is>
      </c>
      <c r="D12" t="inlineStr">
        <is>
          <t>Madoc : the making of a myth / Gwyn A. Williams.</t>
        </is>
      </c>
      <c r="F12" t="inlineStr">
        <is>
          <t>No</t>
        </is>
      </c>
      <c r="G12" t="inlineStr">
        <is>
          <t>1</t>
        </is>
      </c>
      <c r="H12" t="inlineStr">
        <is>
          <t>No</t>
        </is>
      </c>
      <c r="I12" t="inlineStr">
        <is>
          <t>No</t>
        </is>
      </c>
      <c r="J12" t="inlineStr">
        <is>
          <t>0</t>
        </is>
      </c>
      <c r="K12" t="inlineStr">
        <is>
          <t>Williams, Gwyn A.</t>
        </is>
      </c>
      <c r="L12" t="inlineStr">
        <is>
          <t>Oxford ; New York : Oxford University Press, 1987, c1979.</t>
        </is>
      </c>
      <c r="M12" t="inlineStr">
        <is>
          <t>1987</t>
        </is>
      </c>
      <c r="O12" t="inlineStr">
        <is>
          <t>eng</t>
        </is>
      </c>
      <c r="P12" t="inlineStr">
        <is>
          <t>enk</t>
        </is>
      </c>
      <c r="Q12" t="inlineStr">
        <is>
          <t>Oxford paperbacks</t>
        </is>
      </c>
      <c r="R12" t="inlineStr">
        <is>
          <t xml:space="preserve">E  </t>
        </is>
      </c>
      <c r="S12" t="n">
        <v>0</v>
      </c>
      <c r="T12" t="n">
        <v>0</v>
      </c>
      <c r="U12" t="inlineStr">
        <is>
          <t>2001-07-06</t>
        </is>
      </c>
      <c r="V12" t="inlineStr">
        <is>
          <t>2001-07-06</t>
        </is>
      </c>
      <c r="W12" t="inlineStr">
        <is>
          <t>1990-08-27</t>
        </is>
      </c>
      <c r="X12" t="inlineStr">
        <is>
          <t>1990-08-27</t>
        </is>
      </c>
      <c r="Y12" t="n">
        <v>114</v>
      </c>
      <c r="Z12" t="n">
        <v>96</v>
      </c>
      <c r="AA12" t="n">
        <v>195</v>
      </c>
      <c r="AB12" t="n">
        <v>2</v>
      </c>
      <c r="AC12" t="n">
        <v>3</v>
      </c>
      <c r="AD12" t="n">
        <v>5</v>
      </c>
      <c r="AE12" t="n">
        <v>7</v>
      </c>
      <c r="AF12" t="n">
        <v>2</v>
      </c>
      <c r="AG12" t="n">
        <v>2</v>
      </c>
      <c r="AH12" t="n">
        <v>1</v>
      </c>
      <c r="AI12" t="n">
        <v>1</v>
      </c>
      <c r="AJ12" t="n">
        <v>4</v>
      </c>
      <c r="AK12" t="n">
        <v>5</v>
      </c>
      <c r="AL12" t="n">
        <v>1</v>
      </c>
      <c r="AM12" t="n">
        <v>2</v>
      </c>
      <c r="AN12" t="n">
        <v>0</v>
      </c>
      <c r="AO12" t="n">
        <v>0</v>
      </c>
      <c r="AP12" t="inlineStr">
        <is>
          <t>No</t>
        </is>
      </c>
      <c r="AQ12" t="inlineStr">
        <is>
          <t>Yes</t>
        </is>
      </c>
      <c r="AR12">
        <f>HYPERLINK("http://catalog.hathitrust.org/Record/000886216","HathiTrust Record")</f>
        <v/>
      </c>
      <c r="AS12">
        <f>HYPERLINK("https://creighton-primo.hosted.exlibrisgroup.com/primo-explore/search?tab=default_tab&amp;search_scope=EVERYTHING&amp;vid=01CRU&amp;lang=en_US&amp;offset=0&amp;query=any,contains,991001041799702656","Catalog Record")</f>
        <v/>
      </c>
      <c r="AT12">
        <f>HYPERLINK("http://www.worldcat.org/oclc/15590190","WorldCat Record")</f>
        <v/>
      </c>
      <c r="AU12" t="inlineStr">
        <is>
          <t>10588622:eng</t>
        </is>
      </c>
      <c r="AV12" t="inlineStr">
        <is>
          <t>15590190</t>
        </is>
      </c>
      <c r="AW12" t="inlineStr">
        <is>
          <t>991001041799702656</t>
        </is>
      </c>
      <c r="AX12" t="inlineStr">
        <is>
          <t>991001041799702656</t>
        </is>
      </c>
      <c r="AY12" t="inlineStr">
        <is>
          <t>2263466480002656</t>
        </is>
      </c>
      <c r="AZ12" t="inlineStr">
        <is>
          <t>BOOK</t>
        </is>
      </c>
      <c r="BB12" t="inlineStr">
        <is>
          <t>9780192851789</t>
        </is>
      </c>
      <c r="BC12" t="inlineStr">
        <is>
          <t>32285000275023</t>
        </is>
      </c>
      <c r="BD12" t="inlineStr">
        <is>
          <t>893702684</t>
        </is>
      </c>
    </row>
    <row r="13">
      <c r="A13" t="inlineStr">
        <is>
          <t>No</t>
        </is>
      </c>
      <c r="B13" t="inlineStr">
        <is>
          <t>E111 .C649 1990</t>
        </is>
      </c>
      <c r="C13" t="inlineStr">
        <is>
          <t>0                      E  0111000C  649         1990</t>
        </is>
      </c>
      <c r="D13" t="inlineStr">
        <is>
          <t>Columbus : modern views of Columbus and his time : (essays, poems, reprints) / special editors, Anne Paolucci, Henry Paolucci.</t>
        </is>
      </c>
      <c r="F13" t="inlineStr">
        <is>
          <t>No</t>
        </is>
      </c>
      <c r="G13" t="inlineStr">
        <is>
          <t>1</t>
        </is>
      </c>
      <c r="H13" t="inlineStr">
        <is>
          <t>No</t>
        </is>
      </c>
      <c r="I13" t="inlineStr">
        <is>
          <t>No</t>
        </is>
      </c>
      <c r="J13" t="inlineStr">
        <is>
          <t>0</t>
        </is>
      </c>
      <c r="L13" t="inlineStr">
        <is>
          <t>Whitestone, N.Y. : Published by Griffon House for Council on National Literatures, c1990.</t>
        </is>
      </c>
      <c r="M13" t="inlineStr">
        <is>
          <t>1990</t>
        </is>
      </c>
      <c r="O13" t="inlineStr">
        <is>
          <t>eng</t>
        </is>
      </c>
      <c r="P13" t="inlineStr">
        <is>
          <t>nyu</t>
        </is>
      </c>
      <c r="Q13" t="inlineStr">
        <is>
          <t>World report</t>
        </is>
      </c>
      <c r="R13" t="inlineStr">
        <is>
          <t xml:space="preserve">E  </t>
        </is>
      </c>
      <c r="S13" t="n">
        <v>16</v>
      </c>
      <c r="T13" t="n">
        <v>16</v>
      </c>
      <c r="U13" t="inlineStr">
        <is>
          <t>2004-09-01</t>
        </is>
      </c>
      <c r="V13" t="inlineStr">
        <is>
          <t>2004-09-01</t>
        </is>
      </c>
      <c r="W13" t="inlineStr">
        <is>
          <t>1991-08-06</t>
        </is>
      </c>
      <c r="X13" t="inlineStr">
        <is>
          <t>1991-08-06</t>
        </is>
      </c>
      <c r="Y13" t="n">
        <v>137</v>
      </c>
      <c r="Z13" t="n">
        <v>116</v>
      </c>
      <c r="AA13" t="n">
        <v>117</v>
      </c>
      <c r="AB13" t="n">
        <v>1</v>
      </c>
      <c r="AC13" t="n">
        <v>1</v>
      </c>
      <c r="AD13" t="n">
        <v>5</v>
      </c>
      <c r="AE13" t="n">
        <v>5</v>
      </c>
      <c r="AF13" t="n">
        <v>1</v>
      </c>
      <c r="AG13" t="n">
        <v>1</v>
      </c>
      <c r="AH13" t="n">
        <v>1</v>
      </c>
      <c r="AI13" t="n">
        <v>1</v>
      </c>
      <c r="AJ13" t="n">
        <v>4</v>
      </c>
      <c r="AK13" t="n">
        <v>4</v>
      </c>
      <c r="AL13" t="n">
        <v>0</v>
      </c>
      <c r="AM13" t="n">
        <v>0</v>
      </c>
      <c r="AN13" t="n">
        <v>0</v>
      </c>
      <c r="AO13" t="n">
        <v>0</v>
      </c>
      <c r="AP13" t="inlineStr">
        <is>
          <t>No</t>
        </is>
      </c>
      <c r="AQ13" t="inlineStr">
        <is>
          <t>No</t>
        </is>
      </c>
      <c r="AS13">
        <f>HYPERLINK("https://creighton-primo.hosted.exlibrisgroup.com/primo-explore/search?tab=default_tab&amp;search_scope=EVERYTHING&amp;vid=01CRU&amp;lang=en_US&amp;offset=0&amp;query=any,contains,991001814749702656","Catalog Record")</f>
        <v/>
      </c>
      <c r="AT13">
        <f>HYPERLINK("http://www.worldcat.org/oclc/22787050","WorldCat Record")</f>
        <v/>
      </c>
      <c r="AU13" t="inlineStr">
        <is>
          <t>3943642995:eng</t>
        </is>
      </c>
      <c r="AV13" t="inlineStr">
        <is>
          <t>22787050</t>
        </is>
      </c>
      <c r="AW13" t="inlineStr">
        <is>
          <t>991001814749702656</t>
        </is>
      </c>
      <c r="AX13" t="inlineStr">
        <is>
          <t>991001814749702656</t>
        </is>
      </c>
      <c r="AY13" t="inlineStr">
        <is>
          <t>2265248030002656</t>
        </is>
      </c>
      <c r="AZ13" t="inlineStr">
        <is>
          <t>BOOK</t>
        </is>
      </c>
      <c r="BB13" t="inlineStr">
        <is>
          <t>9780918680464</t>
        </is>
      </c>
      <c r="BC13" t="inlineStr">
        <is>
          <t>32285000664473</t>
        </is>
      </c>
      <c r="BD13" t="inlineStr">
        <is>
          <t>893615399</t>
        </is>
      </c>
    </row>
    <row r="14">
      <c r="A14" t="inlineStr">
        <is>
          <t>No</t>
        </is>
      </c>
      <c r="B14" t="inlineStr">
        <is>
          <t>E111 .C774 1992</t>
        </is>
      </c>
      <c r="C14" t="inlineStr">
        <is>
          <t>0                      E  0111000C  774         1992</t>
        </is>
      </c>
      <c r="D14" t="inlineStr">
        <is>
          <t>The Christopher Columbus encyclopedia / Silvio A. Bedini, editor ; editorial board, David Buisseret ... [et al.].</t>
        </is>
      </c>
      <c r="E14" t="inlineStr">
        <is>
          <t>V.1</t>
        </is>
      </c>
      <c r="F14" t="inlineStr">
        <is>
          <t>Yes</t>
        </is>
      </c>
      <c r="G14" t="inlineStr">
        <is>
          <t>1</t>
        </is>
      </c>
      <c r="H14" t="inlineStr">
        <is>
          <t>No</t>
        </is>
      </c>
      <c r="I14" t="inlineStr">
        <is>
          <t>No</t>
        </is>
      </c>
      <c r="J14" t="inlineStr">
        <is>
          <t>0</t>
        </is>
      </c>
      <c r="L14" t="inlineStr">
        <is>
          <t>New York : Simon &amp; Schuster, c1992.</t>
        </is>
      </c>
      <c r="M14" t="inlineStr">
        <is>
          <t>1992</t>
        </is>
      </c>
      <c r="O14" t="inlineStr">
        <is>
          <t>eng</t>
        </is>
      </c>
      <c r="P14" t="inlineStr">
        <is>
          <t>nyu</t>
        </is>
      </c>
      <c r="R14" t="inlineStr">
        <is>
          <t xml:space="preserve">E  </t>
        </is>
      </c>
      <c r="S14" t="n">
        <v>7</v>
      </c>
      <c r="T14" t="n">
        <v>12</v>
      </c>
      <c r="U14" t="inlineStr">
        <is>
          <t>1999-11-14</t>
        </is>
      </c>
      <c r="V14" t="inlineStr">
        <is>
          <t>1999-11-14</t>
        </is>
      </c>
      <c r="W14" t="inlineStr">
        <is>
          <t>1991-12-13</t>
        </is>
      </c>
      <c r="X14" t="inlineStr">
        <is>
          <t>1991-12-13</t>
        </is>
      </c>
      <c r="Y14" t="n">
        <v>1145</v>
      </c>
      <c r="Z14" t="n">
        <v>1078</v>
      </c>
      <c r="AA14" t="n">
        <v>1100</v>
      </c>
      <c r="AB14" t="n">
        <v>6</v>
      </c>
      <c r="AC14" t="n">
        <v>6</v>
      </c>
      <c r="AD14" t="n">
        <v>33</v>
      </c>
      <c r="AE14" t="n">
        <v>33</v>
      </c>
      <c r="AF14" t="n">
        <v>15</v>
      </c>
      <c r="AG14" t="n">
        <v>15</v>
      </c>
      <c r="AH14" t="n">
        <v>6</v>
      </c>
      <c r="AI14" t="n">
        <v>6</v>
      </c>
      <c r="AJ14" t="n">
        <v>16</v>
      </c>
      <c r="AK14" t="n">
        <v>16</v>
      </c>
      <c r="AL14" t="n">
        <v>4</v>
      </c>
      <c r="AM14" t="n">
        <v>4</v>
      </c>
      <c r="AN14" t="n">
        <v>0</v>
      </c>
      <c r="AO14" t="n">
        <v>0</v>
      </c>
      <c r="AP14" t="inlineStr">
        <is>
          <t>No</t>
        </is>
      </c>
      <c r="AQ14" t="inlineStr">
        <is>
          <t>Yes</t>
        </is>
      </c>
      <c r="AR14">
        <f>HYPERLINK("http://catalog.hathitrust.org/Record/002721728","HathiTrust Record")</f>
        <v/>
      </c>
      <c r="AS14">
        <f>HYPERLINK("https://creighton-primo.hosted.exlibrisgroup.com/primo-explore/search?tab=default_tab&amp;search_scope=EVERYTHING&amp;vid=01CRU&amp;lang=en_US&amp;offset=0&amp;query=any,contains,991001829319702656","Catalog Record")</f>
        <v/>
      </c>
      <c r="AT14">
        <f>HYPERLINK("http://www.worldcat.org/oclc/22983138","WorldCat Record")</f>
        <v/>
      </c>
      <c r="AU14" t="inlineStr">
        <is>
          <t>347305393:eng</t>
        </is>
      </c>
      <c r="AV14" t="inlineStr">
        <is>
          <t>22983138</t>
        </is>
      </c>
      <c r="AW14" t="inlineStr">
        <is>
          <t>991001829319702656</t>
        </is>
      </c>
      <c r="AX14" t="inlineStr">
        <is>
          <t>991001829319702656</t>
        </is>
      </c>
      <c r="AY14" t="inlineStr">
        <is>
          <t>2255870760002656</t>
        </is>
      </c>
      <c r="AZ14" t="inlineStr">
        <is>
          <t>BOOK</t>
        </is>
      </c>
      <c r="BB14" t="inlineStr">
        <is>
          <t>9780131426887</t>
        </is>
      </c>
      <c r="BC14" t="inlineStr">
        <is>
          <t>32285000819093</t>
        </is>
      </c>
      <c r="BD14" t="inlineStr">
        <is>
          <t>893779117</t>
        </is>
      </c>
    </row>
    <row r="15">
      <c r="A15" t="inlineStr">
        <is>
          <t>No</t>
        </is>
      </c>
      <c r="B15" t="inlineStr">
        <is>
          <t>E111 .C774 1992</t>
        </is>
      </c>
      <c r="C15" t="inlineStr">
        <is>
          <t>0                      E  0111000C  774         1992</t>
        </is>
      </c>
      <c r="D15" t="inlineStr">
        <is>
          <t>The Christopher Columbus encyclopedia / Silvio A. Bedini, editor ; editorial board, David Buisseret ... [et al.].</t>
        </is>
      </c>
      <c r="E15" t="inlineStr">
        <is>
          <t>V.2</t>
        </is>
      </c>
      <c r="F15" t="inlineStr">
        <is>
          <t>Yes</t>
        </is>
      </c>
      <c r="G15" t="inlineStr">
        <is>
          <t>1</t>
        </is>
      </c>
      <c r="H15" t="inlineStr">
        <is>
          <t>No</t>
        </is>
      </c>
      <c r="I15" t="inlineStr">
        <is>
          <t>No</t>
        </is>
      </c>
      <c r="J15" t="inlineStr">
        <is>
          <t>0</t>
        </is>
      </c>
      <c r="L15" t="inlineStr">
        <is>
          <t>New York : Simon &amp; Schuster, c1992.</t>
        </is>
      </c>
      <c r="M15" t="inlineStr">
        <is>
          <t>1992</t>
        </is>
      </c>
      <c r="O15" t="inlineStr">
        <is>
          <t>eng</t>
        </is>
      </c>
      <c r="P15" t="inlineStr">
        <is>
          <t>nyu</t>
        </is>
      </c>
      <c r="R15" t="inlineStr">
        <is>
          <t xml:space="preserve">E  </t>
        </is>
      </c>
      <c r="S15" t="n">
        <v>5</v>
      </c>
      <c r="T15" t="n">
        <v>12</v>
      </c>
      <c r="U15" t="inlineStr">
        <is>
          <t>1995-10-03</t>
        </is>
      </c>
      <c r="V15" t="inlineStr">
        <is>
          <t>1999-11-14</t>
        </is>
      </c>
      <c r="W15" t="inlineStr">
        <is>
          <t>1991-12-13</t>
        </is>
      </c>
      <c r="X15" t="inlineStr">
        <is>
          <t>1991-12-13</t>
        </is>
      </c>
      <c r="Y15" t="n">
        <v>1145</v>
      </c>
      <c r="Z15" t="n">
        <v>1078</v>
      </c>
      <c r="AA15" t="n">
        <v>1100</v>
      </c>
      <c r="AB15" t="n">
        <v>6</v>
      </c>
      <c r="AC15" t="n">
        <v>6</v>
      </c>
      <c r="AD15" t="n">
        <v>33</v>
      </c>
      <c r="AE15" t="n">
        <v>33</v>
      </c>
      <c r="AF15" t="n">
        <v>15</v>
      </c>
      <c r="AG15" t="n">
        <v>15</v>
      </c>
      <c r="AH15" t="n">
        <v>6</v>
      </c>
      <c r="AI15" t="n">
        <v>6</v>
      </c>
      <c r="AJ15" t="n">
        <v>16</v>
      </c>
      <c r="AK15" t="n">
        <v>16</v>
      </c>
      <c r="AL15" t="n">
        <v>4</v>
      </c>
      <c r="AM15" t="n">
        <v>4</v>
      </c>
      <c r="AN15" t="n">
        <v>0</v>
      </c>
      <c r="AO15" t="n">
        <v>0</v>
      </c>
      <c r="AP15" t="inlineStr">
        <is>
          <t>No</t>
        </is>
      </c>
      <c r="AQ15" t="inlineStr">
        <is>
          <t>Yes</t>
        </is>
      </c>
      <c r="AR15">
        <f>HYPERLINK("http://catalog.hathitrust.org/Record/002721728","HathiTrust Record")</f>
        <v/>
      </c>
      <c r="AS15">
        <f>HYPERLINK("https://creighton-primo.hosted.exlibrisgroup.com/primo-explore/search?tab=default_tab&amp;search_scope=EVERYTHING&amp;vid=01CRU&amp;lang=en_US&amp;offset=0&amp;query=any,contains,991001829319702656","Catalog Record")</f>
        <v/>
      </c>
      <c r="AT15">
        <f>HYPERLINK("http://www.worldcat.org/oclc/22983138","WorldCat Record")</f>
        <v/>
      </c>
      <c r="AU15" t="inlineStr">
        <is>
          <t>347305393:eng</t>
        </is>
      </c>
      <c r="AV15" t="inlineStr">
        <is>
          <t>22983138</t>
        </is>
      </c>
      <c r="AW15" t="inlineStr">
        <is>
          <t>991001829319702656</t>
        </is>
      </c>
      <c r="AX15" t="inlineStr">
        <is>
          <t>991001829319702656</t>
        </is>
      </c>
      <c r="AY15" t="inlineStr">
        <is>
          <t>2255870760002656</t>
        </is>
      </c>
      <c r="AZ15" t="inlineStr">
        <is>
          <t>BOOK</t>
        </is>
      </c>
      <c r="BB15" t="inlineStr">
        <is>
          <t>9780131426887</t>
        </is>
      </c>
      <c r="BC15" t="inlineStr">
        <is>
          <t>32285000819101</t>
        </is>
      </c>
      <c r="BD15" t="inlineStr">
        <is>
          <t>893779116</t>
        </is>
      </c>
    </row>
    <row r="16">
      <c r="A16" t="inlineStr">
        <is>
          <t>No</t>
        </is>
      </c>
      <c r="B16" t="inlineStr">
        <is>
          <t>E111 .C777 1992</t>
        </is>
      </c>
      <c r="C16" t="inlineStr">
        <is>
          <t>0                      E  0111000C  777         1992</t>
        </is>
      </c>
      <c r="D16" t="inlineStr">
        <is>
          <t>Confronting Columbus : an anthology / edited by John Yewell, Chris Dodge, Jan DeSirey.</t>
        </is>
      </c>
      <c r="F16" t="inlineStr">
        <is>
          <t>No</t>
        </is>
      </c>
      <c r="G16" t="inlineStr">
        <is>
          <t>1</t>
        </is>
      </c>
      <c r="H16" t="inlineStr">
        <is>
          <t>No</t>
        </is>
      </c>
      <c r="I16" t="inlineStr">
        <is>
          <t>No</t>
        </is>
      </c>
      <c r="J16" t="inlineStr">
        <is>
          <t>0</t>
        </is>
      </c>
      <c r="L16" t="inlineStr">
        <is>
          <t>Jefferson, N.C. : McFarland &amp; Co., c1992.</t>
        </is>
      </c>
      <c r="M16" t="inlineStr">
        <is>
          <t>1992</t>
        </is>
      </c>
      <c r="O16" t="inlineStr">
        <is>
          <t>eng</t>
        </is>
      </c>
      <c r="P16" t="inlineStr">
        <is>
          <t>ncu</t>
        </is>
      </c>
      <c r="R16" t="inlineStr">
        <is>
          <t xml:space="preserve">E  </t>
        </is>
      </c>
      <c r="S16" t="n">
        <v>29</v>
      </c>
      <c r="T16" t="n">
        <v>29</v>
      </c>
      <c r="U16" t="inlineStr">
        <is>
          <t>2004-03-11</t>
        </is>
      </c>
      <c r="V16" t="inlineStr">
        <is>
          <t>2004-03-11</t>
        </is>
      </c>
      <c r="W16" t="inlineStr">
        <is>
          <t>1992-07-29</t>
        </is>
      </c>
      <c r="X16" t="inlineStr">
        <is>
          <t>1992-07-29</t>
        </is>
      </c>
      <c r="Y16" t="n">
        <v>438</v>
      </c>
      <c r="Z16" t="n">
        <v>393</v>
      </c>
      <c r="AA16" t="n">
        <v>395</v>
      </c>
      <c r="AB16" t="n">
        <v>4</v>
      </c>
      <c r="AC16" t="n">
        <v>4</v>
      </c>
      <c r="AD16" t="n">
        <v>20</v>
      </c>
      <c r="AE16" t="n">
        <v>20</v>
      </c>
      <c r="AF16" t="n">
        <v>5</v>
      </c>
      <c r="AG16" t="n">
        <v>5</v>
      </c>
      <c r="AH16" t="n">
        <v>5</v>
      </c>
      <c r="AI16" t="n">
        <v>5</v>
      </c>
      <c r="AJ16" t="n">
        <v>11</v>
      </c>
      <c r="AK16" t="n">
        <v>11</v>
      </c>
      <c r="AL16" t="n">
        <v>3</v>
      </c>
      <c r="AM16" t="n">
        <v>3</v>
      </c>
      <c r="AN16" t="n">
        <v>0</v>
      </c>
      <c r="AO16" t="n">
        <v>0</v>
      </c>
      <c r="AP16" t="inlineStr">
        <is>
          <t>No</t>
        </is>
      </c>
      <c r="AQ16" t="inlineStr">
        <is>
          <t>Yes</t>
        </is>
      </c>
      <c r="AR16">
        <f>HYPERLINK("http://catalog.hathitrust.org/Record/101498511","HathiTrust Record")</f>
        <v/>
      </c>
      <c r="AS16">
        <f>HYPERLINK("https://creighton-primo.hosted.exlibrisgroup.com/primo-explore/search?tab=default_tab&amp;search_scope=EVERYTHING&amp;vid=01CRU&amp;lang=en_US&amp;offset=0&amp;query=any,contains,991001963229702656","Catalog Record")</f>
        <v/>
      </c>
      <c r="AT16">
        <f>HYPERLINK("http://www.worldcat.org/oclc/24871639","WorldCat Record")</f>
        <v/>
      </c>
      <c r="AU16" t="inlineStr">
        <is>
          <t>836839204:eng</t>
        </is>
      </c>
      <c r="AV16" t="inlineStr">
        <is>
          <t>24871639</t>
        </is>
      </c>
      <c r="AW16" t="inlineStr">
        <is>
          <t>991001963229702656</t>
        </is>
      </c>
      <c r="AX16" t="inlineStr">
        <is>
          <t>991001963229702656</t>
        </is>
      </c>
      <c r="AY16" t="inlineStr">
        <is>
          <t>2262839980002656</t>
        </is>
      </c>
      <c r="AZ16" t="inlineStr">
        <is>
          <t>BOOK</t>
        </is>
      </c>
      <c r="BB16" t="inlineStr">
        <is>
          <t>9780899506968</t>
        </is>
      </c>
      <c r="BC16" t="inlineStr">
        <is>
          <t>32285001196608</t>
        </is>
      </c>
      <c r="BD16" t="inlineStr">
        <is>
          <t>893703504</t>
        </is>
      </c>
    </row>
    <row r="17">
      <c r="A17" t="inlineStr">
        <is>
          <t>No</t>
        </is>
      </c>
      <c r="B17" t="inlineStr">
        <is>
          <t>E111 .D63 1992</t>
        </is>
      </c>
      <c r="C17" t="inlineStr">
        <is>
          <t>0                      E  0111000D  63          1992</t>
        </is>
      </c>
      <c r="D17" t="inlineStr">
        <is>
          <t>The Discovery of America &amp; other myths : a new world reader / Thomas Christensen and Carol Christensen, editors.</t>
        </is>
      </c>
      <c r="F17" t="inlineStr">
        <is>
          <t>No</t>
        </is>
      </c>
      <c r="G17" t="inlineStr">
        <is>
          <t>1</t>
        </is>
      </c>
      <c r="H17" t="inlineStr">
        <is>
          <t>No</t>
        </is>
      </c>
      <c r="I17" t="inlineStr">
        <is>
          <t>No</t>
        </is>
      </c>
      <c r="J17" t="inlineStr">
        <is>
          <t>0</t>
        </is>
      </c>
      <c r="L17" t="inlineStr">
        <is>
          <t>San Francisco : Chronicle Books, c1992.</t>
        </is>
      </c>
      <c r="M17" t="inlineStr">
        <is>
          <t>1992</t>
        </is>
      </c>
      <c r="O17" t="inlineStr">
        <is>
          <t>eng</t>
        </is>
      </c>
      <c r="P17" t="inlineStr">
        <is>
          <t>cau</t>
        </is>
      </c>
      <c r="R17" t="inlineStr">
        <is>
          <t xml:space="preserve">E  </t>
        </is>
      </c>
      <c r="S17" t="n">
        <v>23</v>
      </c>
      <c r="T17" t="n">
        <v>23</v>
      </c>
      <c r="U17" t="inlineStr">
        <is>
          <t>2004-04-20</t>
        </is>
      </c>
      <c r="V17" t="inlineStr">
        <is>
          <t>2004-04-20</t>
        </is>
      </c>
      <c r="W17" t="inlineStr">
        <is>
          <t>1993-03-24</t>
        </is>
      </c>
      <c r="X17" t="inlineStr">
        <is>
          <t>1993-03-24</t>
        </is>
      </c>
      <c r="Y17" t="n">
        <v>192</v>
      </c>
      <c r="Z17" t="n">
        <v>178</v>
      </c>
      <c r="AA17" t="n">
        <v>185</v>
      </c>
      <c r="AB17" t="n">
        <v>2</v>
      </c>
      <c r="AC17" t="n">
        <v>2</v>
      </c>
      <c r="AD17" t="n">
        <v>7</v>
      </c>
      <c r="AE17" t="n">
        <v>7</v>
      </c>
      <c r="AF17" t="n">
        <v>2</v>
      </c>
      <c r="AG17" t="n">
        <v>2</v>
      </c>
      <c r="AH17" t="n">
        <v>1</v>
      </c>
      <c r="AI17" t="n">
        <v>1</v>
      </c>
      <c r="AJ17" t="n">
        <v>4</v>
      </c>
      <c r="AK17" t="n">
        <v>4</v>
      </c>
      <c r="AL17" t="n">
        <v>1</v>
      </c>
      <c r="AM17" t="n">
        <v>1</v>
      </c>
      <c r="AN17" t="n">
        <v>0</v>
      </c>
      <c r="AO17" t="n">
        <v>0</v>
      </c>
      <c r="AP17" t="inlineStr">
        <is>
          <t>No</t>
        </is>
      </c>
      <c r="AQ17" t="inlineStr">
        <is>
          <t>Yes</t>
        </is>
      </c>
      <c r="AR17">
        <f>HYPERLINK("http://catalog.hathitrust.org/Record/002617444","HathiTrust Record")</f>
        <v/>
      </c>
      <c r="AS17">
        <f>HYPERLINK("https://creighton-primo.hosted.exlibrisgroup.com/primo-explore/search?tab=default_tab&amp;search_scope=EVERYTHING&amp;vid=01CRU&amp;lang=en_US&amp;offset=0&amp;query=any,contains,991001985819702656","Catalog Record")</f>
        <v/>
      </c>
      <c r="AT17">
        <f>HYPERLINK("http://www.worldcat.org/oclc/25203395","WorldCat Record")</f>
        <v/>
      </c>
      <c r="AU17" t="inlineStr">
        <is>
          <t>27663440:eng</t>
        </is>
      </c>
      <c r="AV17" t="inlineStr">
        <is>
          <t>25203395</t>
        </is>
      </c>
      <c r="AW17" t="inlineStr">
        <is>
          <t>991001985819702656</t>
        </is>
      </c>
      <c r="AX17" t="inlineStr">
        <is>
          <t>991001985819702656</t>
        </is>
      </c>
      <c r="AY17" t="inlineStr">
        <is>
          <t>2264693160002656</t>
        </is>
      </c>
      <c r="AZ17" t="inlineStr">
        <is>
          <t>BOOK</t>
        </is>
      </c>
      <c r="BB17" t="inlineStr">
        <is>
          <t>9780811801867</t>
        </is>
      </c>
      <c r="BC17" t="inlineStr">
        <is>
          <t>32285001498442</t>
        </is>
      </c>
      <c r="BD17" t="inlineStr">
        <is>
          <t>893523057</t>
        </is>
      </c>
    </row>
    <row r="18">
      <c r="A18" t="inlineStr">
        <is>
          <t>No</t>
        </is>
      </c>
      <c r="B18" t="inlineStr">
        <is>
          <t>E111 .D69 1991</t>
        </is>
      </c>
      <c r="C18" t="inlineStr">
        <is>
          <t>0                      E  0111000D  69          1991</t>
        </is>
      </c>
      <c r="D18" t="inlineStr">
        <is>
          <t>Columbus and the age of discovery / by Zvi Dor-Ner [and William Scheller].</t>
        </is>
      </c>
      <c r="F18" t="inlineStr">
        <is>
          <t>No</t>
        </is>
      </c>
      <c r="G18" t="inlineStr">
        <is>
          <t>1</t>
        </is>
      </c>
      <c r="H18" t="inlineStr">
        <is>
          <t>No</t>
        </is>
      </c>
      <c r="I18" t="inlineStr">
        <is>
          <t>No</t>
        </is>
      </c>
      <c r="J18" t="inlineStr">
        <is>
          <t>0</t>
        </is>
      </c>
      <c r="K18" t="inlineStr">
        <is>
          <t>Dor-Ner, Zvi.</t>
        </is>
      </c>
      <c r="L18" t="inlineStr">
        <is>
          <t>New York : Morrow, 1991.</t>
        </is>
      </c>
      <c r="M18" t="inlineStr">
        <is>
          <t>1992</t>
        </is>
      </c>
      <c r="O18" t="inlineStr">
        <is>
          <t>eng</t>
        </is>
      </c>
      <c r="P18" t="inlineStr">
        <is>
          <t>nyu</t>
        </is>
      </c>
      <c r="R18" t="inlineStr">
        <is>
          <t xml:space="preserve">E  </t>
        </is>
      </c>
      <c r="S18" t="n">
        <v>11</v>
      </c>
      <c r="T18" t="n">
        <v>11</v>
      </c>
      <c r="U18" t="inlineStr">
        <is>
          <t>1996-09-15</t>
        </is>
      </c>
      <c r="V18" t="inlineStr">
        <is>
          <t>1996-09-15</t>
        </is>
      </c>
      <c r="W18" t="inlineStr">
        <is>
          <t>1991-11-08</t>
        </is>
      </c>
      <c r="X18" t="inlineStr">
        <is>
          <t>1991-11-08</t>
        </is>
      </c>
      <c r="Y18" t="n">
        <v>1836</v>
      </c>
      <c r="Z18" t="n">
        <v>1747</v>
      </c>
      <c r="AA18" t="n">
        <v>1804</v>
      </c>
      <c r="AB18" t="n">
        <v>18</v>
      </c>
      <c r="AC18" t="n">
        <v>18</v>
      </c>
      <c r="AD18" t="n">
        <v>34</v>
      </c>
      <c r="AE18" t="n">
        <v>34</v>
      </c>
      <c r="AF18" t="n">
        <v>14</v>
      </c>
      <c r="AG18" t="n">
        <v>14</v>
      </c>
      <c r="AH18" t="n">
        <v>9</v>
      </c>
      <c r="AI18" t="n">
        <v>9</v>
      </c>
      <c r="AJ18" t="n">
        <v>15</v>
      </c>
      <c r="AK18" t="n">
        <v>15</v>
      </c>
      <c r="AL18" t="n">
        <v>6</v>
      </c>
      <c r="AM18" t="n">
        <v>6</v>
      </c>
      <c r="AN18" t="n">
        <v>0</v>
      </c>
      <c r="AO18" t="n">
        <v>0</v>
      </c>
      <c r="AP18" t="inlineStr">
        <is>
          <t>No</t>
        </is>
      </c>
      <c r="AQ18" t="inlineStr">
        <is>
          <t>Yes</t>
        </is>
      </c>
      <c r="AR18">
        <f>HYPERLINK("http://catalog.hathitrust.org/Record/002518347","HathiTrust Record")</f>
        <v/>
      </c>
      <c r="AS18">
        <f>HYPERLINK("https://creighton-primo.hosted.exlibrisgroup.com/primo-explore/search?tab=default_tab&amp;search_scope=EVERYTHING&amp;vid=01CRU&amp;lang=en_US&amp;offset=0&amp;query=any,contains,991001832379702656","Catalog Record")</f>
        <v/>
      </c>
      <c r="AT18">
        <f>HYPERLINK("http://www.worldcat.org/oclc/23016616","WorldCat Record")</f>
        <v/>
      </c>
      <c r="AU18" t="inlineStr">
        <is>
          <t>24241179:eng</t>
        </is>
      </c>
      <c r="AV18" t="inlineStr">
        <is>
          <t>23016616</t>
        </is>
      </c>
      <c r="AW18" t="inlineStr">
        <is>
          <t>991001832379702656</t>
        </is>
      </c>
      <c r="AX18" t="inlineStr">
        <is>
          <t>991001832379702656</t>
        </is>
      </c>
      <c r="AY18" t="inlineStr">
        <is>
          <t>2264645460002656</t>
        </is>
      </c>
      <c r="AZ18" t="inlineStr">
        <is>
          <t>BOOK</t>
        </is>
      </c>
      <c r="BB18" t="inlineStr">
        <is>
          <t>9780688085452</t>
        </is>
      </c>
      <c r="BC18" t="inlineStr">
        <is>
          <t>32285000814813</t>
        </is>
      </c>
      <c r="BD18" t="inlineStr">
        <is>
          <t>893516611</t>
        </is>
      </c>
    </row>
    <row r="19">
      <c r="A19" t="inlineStr">
        <is>
          <t>No</t>
        </is>
      </c>
      <c r="B19" t="inlineStr">
        <is>
          <t>E111 .F35 1991</t>
        </is>
      </c>
      <c r="C19" t="inlineStr">
        <is>
          <t>0                      E  0111000F  35          1991</t>
        </is>
      </c>
      <c r="D19" t="inlineStr">
        <is>
          <t>Columbus / Felipe Fernández-Armesto.</t>
        </is>
      </c>
      <c r="F19" t="inlineStr">
        <is>
          <t>No</t>
        </is>
      </c>
      <c r="G19" t="inlineStr">
        <is>
          <t>1</t>
        </is>
      </c>
      <c r="H19" t="inlineStr">
        <is>
          <t>No</t>
        </is>
      </c>
      <c r="I19" t="inlineStr">
        <is>
          <t>No</t>
        </is>
      </c>
      <c r="J19" t="inlineStr">
        <is>
          <t>0</t>
        </is>
      </c>
      <c r="K19" t="inlineStr">
        <is>
          <t>Fernández-Armesto, Felipe.</t>
        </is>
      </c>
      <c r="L19" t="inlineStr">
        <is>
          <t>New York : Oxford University Press, 1991.</t>
        </is>
      </c>
      <c r="M19" t="inlineStr">
        <is>
          <t>1991</t>
        </is>
      </c>
      <c r="O19" t="inlineStr">
        <is>
          <t>eng</t>
        </is>
      </c>
      <c r="P19" t="inlineStr">
        <is>
          <t>nyu</t>
        </is>
      </c>
      <c r="R19" t="inlineStr">
        <is>
          <t xml:space="preserve">E  </t>
        </is>
      </c>
      <c r="S19" t="n">
        <v>13</v>
      </c>
      <c r="T19" t="n">
        <v>13</v>
      </c>
      <c r="U19" t="inlineStr">
        <is>
          <t>2003-04-03</t>
        </is>
      </c>
      <c r="V19" t="inlineStr">
        <is>
          <t>2003-04-03</t>
        </is>
      </c>
      <c r="W19" t="inlineStr">
        <is>
          <t>1991-11-05</t>
        </is>
      </c>
      <c r="X19" t="inlineStr">
        <is>
          <t>1991-11-05</t>
        </is>
      </c>
      <c r="Y19" t="n">
        <v>1138</v>
      </c>
      <c r="Z19" t="n">
        <v>980</v>
      </c>
      <c r="AA19" t="n">
        <v>1291</v>
      </c>
      <c r="AB19" t="n">
        <v>6</v>
      </c>
      <c r="AC19" t="n">
        <v>7</v>
      </c>
      <c r="AD19" t="n">
        <v>28</v>
      </c>
      <c r="AE19" t="n">
        <v>34</v>
      </c>
      <c r="AF19" t="n">
        <v>11</v>
      </c>
      <c r="AG19" t="n">
        <v>13</v>
      </c>
      <c r="AH19" t="n">
        <v>7</v>
      </c>
      <c r="AI19" t="n">
        <v>8</v>
      </c>
      <c r="AJ19" t="n">
        <v>15</v>
      </c>
      <c r="AK19" t="n">
        <v>18</v>
      </c>
      <c r="AL19" t="n">
        <v>4</v>
      </c>
      <c r="AM19" t="n">
        <v>5</v>
      </c>
      <c r="AN19" t="n">
        <v>0</v>
      </c>
      <c r="AO19" t="n">
        <v>0</v>
      </c>
      <c r="AP19" t="inlineStr">
        <is>
          <t>No</t>
        </is>
      </c>
      <c r="AQ19" t="inlineStr">
        <is>
          <t>Yes</t>
        </is>
      </c>
      <c r="AR19">
        <f>HYPERLINK("http://catalog.hathitrust.org/Record/002485603","HathiTrust Record")</f>
        <v/>
      </c>
      <c r="AS19">
        <f>HYPERLINK("https://creighton-primo.hosted.exlibrisgroup.com/primo-explore/search?tab=default_tab&amp;search_scope=EVERYTHING&amp;vid=01CRU&amp;lang=en_US&amp;offset=0&amp;query=any,contains,991001820249702656","Catalog Record")</f>
        <v/>
      </c>
      <c r="AT19">
        <f>HYPERLINK("http://www.worldcat.org/oclc/22888220","WorldCat Record")</f>
        <v/>
      </c>
      <c r="AU19" t="inlineStr">
        <is>
          <t>580713:eng</t>
        </is>
      </c>
      <c r="AV19" t="inlineStr">
        <is>
          <t>22888220</t>
        </is>
      </c>
      <c r="AW19" t="inlineStr">
        <is>
          <t>991001820249702656</t>
        </is>
      </c>
      <c r="AX19" t="inlineStr">
        <is>
          <t>991001820249702656</t>
        </is>
      </c>
      <c r="AY19" t="inlineStr">
        <is>
          <t>2267953580002656</t>
        </is>
      </c>
      <c r="AZ19" t="inlineStr">
        <is>
          <t>BOOK</t>
        </is>
      </c>
      <c r="BB19" t="inlineStr">
        <is>
          <t>9780192158987</t>
        </is>
      </c>
      <c r="BC19" t="inlineStr">
        <is>
          <t>32285000729656</t>
        </is>
      </c>
      <c r="BD19" t="inlineStr">
        <is>
          <t>893621650</t>
        </is>
      </c>
    </row>
    <row r="20">
      <c r="A20" t="inlineStr">
        <is>
          <t>No</t>
        </is>
      </c>
      <c r="B20" t="inlineStr">
        <is>
          <t>E111 .M1873</t>
        </is>
      </c>
      <c r="C20" t="inlineStr">
        <is>
          <t>0                      E  0111000M  1873</t>
        </is>
      </c>
      <c r="D20" t="inlineStr">
        <is>
          <t>Columbus / [by] Marianne Mahn-Lot ; tr. by Helen R. Lane.</t>
        </is>
      </c>
      <c r="F20" t="inlineStr">
        <is>
          <t>No</t>
        </is>
      </c>
      <c r="G20" t="inlineStr">
        <is>
          <t>1</t>
        </is>
      </c>
      <c r="H20" t="inlineStr">
        <is>
          <t>No</t>
        </is>
      </c>
      <c r="I20" t="inlineStr">
        <is>
          <t>No</t>
        </is>
      </c>
      <c r="J20" t="inlineStr">
        <is>
          <t>0</t>
        </is>
      </c>
      <c r="K20" t="inlineStr">
        <is>
          <t>Mahn-Lot, Marianne.</t>
        </is>
      </c>
      <c r="L20" t="inlineStr">
        <is>
          <t>New York : Grove Press, 1961.</t>
        </is>
      </c>
      <c r="M20" t="inlineStr">
        <is>
          <t>1961</t>
        </is>
      </c>
      <c r="O20" t="inlineStr">
        <is>
          <t>eng</t>
        </is>
      </c>
      <c r="P20" t="inlineStr">
        <is>
          <t xml:space="preserve">xx </t>
        </is>
      </c>
      <c r="Q20" t="inlineStr">
        <is>
          <t>Evergreen profile book ; 33</t>
        </is>
      </c>
      <c r="R20" t="inlineStr">
        <is>
          <t xml:space="preserve">E  </t>
        </is>
      </c>
      <c r="S20" t="n">
        <v>8</v>
      </c>
      <c r="T20" t="n">
        <v>8</v>
      </c>
      <c r="U20" t="inlineStr">
        <is>
          <t>2002-02-19</t>
        </is>
      </c>
      <c r="V20" t="inlineStr">
        <is>
          <t>2002-02-19</t>
        </is>
      </c>
      <c r="W20" t="inlineStr">
        <is>
          <t>1992-10-06</t>
        </is>
      </c>
      <c r="X20" t="inlineStr">
        <is>
          <t>1992-10-06</t>
        </is>
      </c>
      <c r="Y20" t="n">
        <v>142</v>
      </c>
      <c r="Z20" t="n">
        <v>125</v>
      </c>
      <c r="AA20" t="n">
        <v>126</v>
      </c>
      <c r="AB20" t="n">
        <v>1</v>
      </c>
      <c r="AC20" t="n">
        <v>1</v>
      </c>
      <c r="AD20" t="n">
        <v>3</v>
      </c>
      <c r="AE20" t="n">
        <v>3</v>
      </c>
      <c r="AF20" t="n">
        <v>1</v>
      </c>
      <c r="AG20" t="n">
        <v>1</v>
      </c>
      <c r="AH20" t="n">
        <v>1</v>
      </c>
      <c r="AI20" t="n">
        <v>1</v>
      </c>
      <c r="AJ20" t="n">
        <v>2</v>
      </c>
      <c r="AK20" t="n">
        <v>2</v>
      </c>
      <c r="AL20" t="n">
        <v>0</v>
      </c>
      <c r="AM20" t="n">
        <v>0</v>
      </c>
      <c r="AN20" t="n">
        <v>0</v>
      </c>
      <c r="AO20" t="n">
        <v>0</v>
      </c>
      <c r="AP20" t="inlineStr">
        <is>
          <t>No</t>
        </is>
      </c>
      <c r="AQ20" t="inlineStr">
        <is>
          <t>Yes</t>
        </is>
      </c>
      <c r="AR20">
        <f>HYPERLINK("http://catalog.hathitrust.org/Record/006003613","HathiTrust Record")</f>
        <v/>
      </c>
      <c r="AS20">
        <f>HYPERLINK("https://creighton-primo.hosted.exlibrisgroup.com/primo-explore/search?tab=default_tab&amp;search_scope=EVERYTHING&amp;vid=01CRU&amp;lang=en_US&amp;offset=0&amp;query=any,contains,991004049009702656","Catalog Record")</f>
        <v/>
      </c>
      <c r="AT20">
        <f>HYPERLINK("http://www.worldcat.org/oclc/2208162","WorldCat Record")</f>
        <v/>
      </c>
      <c r="AU20" t="inlineStr">
        <is>
          <t>2896164067:eng</t>
        </is>
      </c>
      <c r="AV20" t="inlineStr">
        <is>
          <t>2208162</t>
        </is>
      </c>
      <c r="AW20" t="inlineStr">
        <is>
          <t>991004049009702656</t>
        </is>
      </c>
      <c r="AX20" t="inlineStr">
        <is>
          <t>991004049009702656</t>
        </is>
      </c>
      <c r="AY20" t="inlineStr">
        <is>
          <t>2260110530002656</t>
        </is>
      </c>
      <c r="AZ20" t="inlineStr">
        <is>
          <t>BOOK</t>
        </is>
      </c>
      <c r="BC20" t="inlineStr">
        <is>
          <t>32285001326197</t>
        </is>
      </c>
      <c r="BD20" t="inlineStr">
        <is>
          <t>893781792</t>
        </is>
      </c>
    </row>
    <row r="21">
      <c r="A21" t="inlineStr">
        <is>
          <t>No</t>
        </is>
      </c>
      <c r="B21" t="inlineStr">
        <is>
          <t>E111 .M86 1942a</t>
        </is>
      </c>
      <c r="C21" t="inlineStr">
        <is>
          <t>0                      E  0111000M  86          1942a</t>
        </is>
      </c>
      <c r="D21" t="inlineStr">
        <is>
          <t>Admiral of the ocean sea : a life of Christopher Columbus / by Samuel Eliot Morison. Maps by Erwin Raisz. Drawings by Bertram Greene.</t>
        </is>
      </c>
      <c r="F21" t="inlineStr">
        <is>
          <t>No</t>
        </is>
      </c>
      <c r="G21" t="inlineStr">
        <is>
          <t>1</t>
        </is>
      </c>
      <c r="H21" t="inlineStr">
        <is>
          <t>No</t>
        </is>
      </c>
      <c r="I21" t="inlineStr">
        <is>
          <t>No</t>
        </is>
      </c>
      <c r="J21" t="inlineStr">
        <is>
          <t>0</t>
        </is>
      </c>
      <c r="K21" t="inlineStr">
        <is>
          <t>Morison, Samuel Eliot, 1887-1976.</t>
        </is>
      </c>
      <c r="L21" t="inlineStr">
        <is>
          <t>Boston : Little, Brown and company, 1942.</t>
        </is>
      </c>
      <c r="M21" t="inlineStr">
        <is>
          <t>1942</t>
        </is>
      </c>
      <c r="O21" t="inlineStr">
        <is>
          <t>eng</t>
        </is>
      </c>
      <c r="P21" t="inlineStr">
        <is>
          <t>mau</t>
        </is>
      </c>
      <c r="R21" t="inlineStr">
        <is>
          <t xml:space="preserve">E  </t>
        </is>
      </c>
      <c r="S21" t="n">
        <v>11</v>
      </c>
      <c r="T21" t="n">
        <v>11</v>
      </c>
      <c r="U21" t="inlineStr">
        <is>
          <t>1996-09-16</t>
        </is>
      </c>
      <c r="V21" t="inlineStr">
        <is>
          <t>1996-09-16</t>
        </is>
      </c>
      <c r="W21" t="inlineStr">
        <is>
          <t>1990-10-08</t>
        </is>
      </c>
      <c r="X21" t="inlineStr">
        <is>
          <t>1990-10-08</t>
        </is>
      </c>
      <c r="Y21" t="n">
        <v>2333</v>
      </c>
      <c r="Z21" t="n">
        <v>2162</v>
      </c>
      <c r="AA21" t="n">
        <v>3003</v>
      </c>
      <c r="AB21" t="n">
        <v>31</v>
      </c>
      <c r="AC21" t="n">
        <v>38</v>
      </c>
      <c r="AD21" t="n">
        <v>57</v>
      </c>
      <c r="AE21" t="n">
        <v>71</v>
      </c>
      <c r="AF21" t="n">
        <v>24</v>
      </c>
      <c r="AG21" t="n">
        <v>29</v>
      </c>
      <c r="AH21" t="n">
        <v>9</v>
      </c>
      <c r="AI21" t="n">
        <v>10</v>
      </c>
      <c r="AJ21" t="n">
        <v>23</v>
      </c>
      <c r="AK21" t="n">
        <v>28</v>
      </c>
      <c r="AL21" t="n">
        <v>13</v>
      </c>
      <c r="AM21" t="n">
        <v>18</v>
      </c>
      <c r="AN21" t="n">
        <v>0</v>
      </c>
      <c r="AO21" t="n">
        <v>0</v>
      </c>
      <c r="AP21" t="inlineStr">
        <is>
          <t>No</t>
        </is>
      </c>
      <c r="AQ21" t="inlineStr">
        <is>
          <t>Yes</t>
        </is>
      </c>
      <c r="AR21">
        <f>HYPERLINK("http://catalog.hathitrust.org/Record/000288185","HathiTrust Record")</f>
        <v/>
      </c>
      <c r="AS21">
        <f>HYPERLINK("https://creighton-primo.hosted.exlibrisgroup.com/primo-explore/search?tab=default_tab&amp;search_scope=EVERYTHING&amp;vid=01CRU&amp;lang=en_US&amp;offset=0&amp;query=any,contains,991002735429702656","Catalog Record")</f>
        <v/>
      </c>
      <c r="AT21">
        <f>HYPERLINK("http://www.worldcat.org/oclc/419092","WorldCat Record")</f>
        <v/>
      </c>
      <c r="AU21" t="inlineStr">
        <is>
          <t>679045:eng</t>
        </is>
      </c>
      <c r="AV21" t="inlineStr">
        <is>
          <t>419092</t>
        </is>
      </c>
      <c r="AW21" t="inlineStr">
        <is>
          <t>991002735429702656</t>
        </is>
      </c>
      <c r="AX21" t="inlineStr">
        <is>
          <t>991002735429702656</t>
        </is>
      </c>
      <c r="AY21" t="inlineStr">
        <is>
          <t>2261596980002656</t>
        </is>
      </c>
      <c r="AZ21" t="inlineStr">
        <is>
          <t>BOOK</t>
        </is>
      </c>
      <c r="BC21" t="inlineStr">
        <is>
          <t>32285000334226</t>
        </is>
      </c>
      <c r="BD21" t="inlineStr">
        <is>
          <t>893233354</t>
        </is>
      </c>
    </row>
    <row r="22">
      <c r="A22" t="inlineStr">
        <is>
          <t>No</t>
        </is>
      </c>
      <c r="B22" t="inlineStr">
        <is>
          <t>E111 .P67 1992</t>
        </is>
      </c>
      <c r="C22" t="inlineStr">
        <is>
          <t>0                      E  0111000P  67          1992</t>
        </is>
      </c>
      <c r="D22" t="inlineStr">
        <is>
          <t>The worlds of Christopher Columbus / William D. Phillips, Jr., and Carla Rahn Phillips.</t>
        </is>
      </c>
      <c r="F22" t="inlineStr">
        <is>
          <t>No</t>
        </is>
      </c>
      <c r="G22" t="inlineStr">
        <is>
          <t>1</t>
        </is>
      </c>
      <c r="H22" t="inlineStr">
        <is>
          <t>No</t>
        </is>
      </c>
      <c r="I22" t="inlineStr">
        <is>
          <t>No</t>
        </is>
      </c>
      <c r="J22" t="inlineStr">
        <is>
          <t>0</t>
        </is>
      </c>
      <c r="K22" t="inlineStr">
        <is>
          <t>Phillips, William D.</t>
        </is>
      </c>
      <c r="L22" t="inlineStr">
        <is>
          <t>Cambridge [England] ; New York : Cambridge University Press, 1992.</t>
        </is>
      </c>
      <c r="M22" t="inlineStr">
        <is>
          <t>1992</t>
        </is>
      </c>
      <c r="O22" t="inlineStr">
        <is>
          <t>eng</t>
        </is>
      </c>
      <c r="P22" t="inlineStr">
        <is>
          <t>enk</t>
        </is>
      </c>
      <c r="R22" t="inlineStr">
        <is>
          <t xml:space="preserve">E  </t>
        </is>
      </c>
      <c r="S22" t="n">
        <v>11</v>
      </c>
      <c r="T22" t="n">
        <v>11</v>
      </c>
      <c r="U22" t="inlineStr">
        <is>
          <t>2002-02-19</t>
        </is>
      </c>
      <c r="V22" t="inlineStr">
        <is>
          <t>2002-02-19</t>
        </is>
      </c>
      <c r="W22" t="inlineStr">
        <is>
          <t>1992-04-30</t>
        </is>
      </c>
      <c r="X22" t="inlineStr">
        <is>
          <t>1992-04-30</t>
        </is>
      </c>
      <c r="Y22" t="n">
        <v>1369</v>
      </c>
      <c r="Z22" t="n">
        <v>1142</v>
      </c>
      <c r="AA22" t="n">
        <v>1165</v>
      </c>
      <c r="AB22" t="n">
        <v>8</v>
      </c>
      <c r="AC22" t="n">
        <v>8</v>
      </c>
      <c r="AD22" t="n">
        <v>45</v>
      </c>
      <c r="AE22" t="n">
        <v>45</v>
      </c>
      <c r="AF22" t="n">
        <v>21</v>
      </c>
      <c r="AG22" t="n">
        <v>21</v>
      </c>
      <c r="AH22" t="n">
        <v>10</v>
      </c>
      <c r="AI22" t="n">
        <v>10</v>
      </c>
      <c r="AJ22" t="n">
        <v>20</v>
      </c>
      <c r="AK22" t="n">
        <v>20</v>
      </c>
      <c r="AL22" t="n">
        <v>5</v>
      </c>
      <c r="AM22" t="n">
        <v>5</v>
      </c>
      <c r="AN22" t="n">
        <v>0</v>
      </c>
      <c r="AO22" t="n">
        <v>0</v>
      </c>
      <c r="AP22" t="inlineStr">
        <is>
          <t>No</t>
        </is>
      </c>
      <c r="AQ22" t="inlineStr">
        <is>
          <t>No</t>
        </is>
      </c>
      <c r="AS22">
        <f>HYPERLINK("https://creighton-primo.hosted.exlibrisgroup.com/primo-explore/search?tab=default_tab&amp;search_scope=EVERYTHING&amp;vid=01CRU&amp;lang=en_US&amp;offset=0&amp;query=any,contains,991001883299702656","Catalog Record")</f>
        <v/>
      </c>
      <c r="AT22">
        <f>HYPERLINK("http://www.worldcat.org/oclc/23765696","WorldCat Record")</f>
        <v/>
      </c>
      <c r="AU22" t="inlineStr">
        <is>
          <t>343353:eng</t>
        </is>
      </c>
      <c r="AV22" t="inlineStr">
        <is>
          <t>23765696</t>
        </is>
      </c>
      <c r="AW22" t="inlineStr">
        <is>
          <t>991001883299702656</t>
        </is>
      </c>
      <c r="AX22" t="inlineStr">
        <is>
          <t>991001883299702656</t>
        </is>
      </c>
      <c r="AY22" t="inlineStr">
        <is>
          <t>2269075060002656</t>
        </is>
      </c>
      <c r="AZ22" t="inlineStr">
        <is>
          <t>BOOK</t>
        </is>
      </c>
      <c r="BB22" t="inlineStr">
        <is>
          <t>9780521350976</t>
        </is>
      </c>
      <c r="BC22" t="inlineStr">
        <is>
          <t>32285001037422</t>
        </is>
      </c>
      <c r="BD22" t="inlineStr">
        <is>
          <t>893866551</t>
        </is>
      </c>
    </row>
    <row r="23">
      <c r="A23" t="inlineStr">
        <is>
          <t>No</t>
        </is>
      </c>
      <c r="B23" t="inlineStr">
        <is>
          <t>E111 .P76 1991</t>
        </is>
      </c>
      <c r="C23" t="inlineStr">
        <is>
          <t>0                      E  0111000P  76          1991</t>
        </is>
      </c>
      <c r="D23" t="inlineStr">
        <is>
          <t>Columbus : an annotated guide to the scholarship on his life and writings, 1750 to 1988 / by Foster Provost.</t>
        </is>
      </c>
      <c r="F23" t="inlineStr">
        <is>
          <t>No</t>
        </is>
      </c>
      <c r="G23" t="inlineStr">
        <is>
          <t>1</t>
        </is>
      </c>
      <c r="H23" t="inlineStr">
        <is>
          <t>No</t>
        </is>
      </c>
      <c r="I23" t="inlineStr">
        <is>
          <t>No</t>
        </is>
      </c>
      <c r="J23" t="inlineStr">
        <is>
          <t>0</t>
        </is>
      </c>
      <c r="K23" t="inlineStr">
        <is>
          <t>Provost, Foster.</t>
        </is>
      </c>
      <c r="L23" t="inlineStr">
        <is>
          <t>Detroit, Mich. : Published for the John Carter Brown Library by Omnigraphics, Inc., 1991.</t>
        </is>
      </c>
      <c r="M23" t="inlineStr">
        <is>
          <t>1991</t>
        </is>
      </c>
      <c r="O23" t="inlineStr">
        <is>
          <t>eng</t>
        </is>
      </c>
      <c r="P23" t="inlineStr">
        <is>
          <t>miu</t>
        </is>
      </c>
      <c r="R23" t="inlineStr">
        <is>
          <t xml:space="preserve">E  </t>
        </is>
      </c>
      <c r="S23" t="n">
        <v>10</v>
      </c>
      <c r="T23" t="n">
        <v>10</v>
      </c>
      <c r="U23" t="inlineStr">
        <is>
          <t>1999-10-06</t>
        </is>
      </c>
      <c r="V23" t="inlineStr">
        <is>
          <t>1999-10-06</t>
        </is>
      </c>
      <c r="W23" t="inlineStr">
        <is>
          <t>1991-12-13</t>
        </is>
      </c>
      <c r="X23" t="inlineStr">
        <is>
          <t>1991-12-13</t>
        </is>
      </c>
      <c r="Y23" t="n">
        <v>418</v>
      </c>
      <c r="Z23" t="n">
        <v>365</v>
      </c>
      <c r="AA23" t="n">
        <v>367</v>
      </c>
      <c r="AB23" t="n">
        <v>3</v>
      </c>
      <c r="AC23" t="n">
        <v>3</v>
      </c>
      <c r="AD23" t="n">
        <v>17</v>
      </c>
      <c r="AE23" t="n">
        <v>17</v>
      </c>
      <c r="AF23" t="n">
        <v>6</v>
      </c>
      <c r="AG23" t="n">
        <v>6</v>
      </c>
      <c r="AH23" t="n">
        <v>6</v>
      </c>
      <c r="AI23" t="n">
        <v>6</v>
      </c>
      <c r="AJ23" t="n">
        <v>8</v>
      </c>
      <c r="AK23" t="n">
        <v>8</v>
      </c>
      <c r="AL23" t="n">
        <v>2</v>
      </c>
      <c r="AM23" t="n">
        <v>2</v>
      </c>
      <c r="AN23" t="n">
        <v>0</v>
      </c>
      <c r="AO23" t="n">
        <v>0</v>
      </c>
      <c r="AP23" t="inlineStr">
        <is>
          <t>No</t>
        </is>
      </c>
      <c r="AQ23" t="inlineStr">
        <is>
          <t>Yes</t>
        </is>
      </c>
      <c r="AR23">
        <f>HYPERLINK("http://catalog.hathitrust.org/Record/002441676","HathiTrust Record")</f>
        <v/>
      </c>
      <c r="AS23">
        <f>HYPERLINK("https://creighton-primo.hosted.exlibrisgroup.com/primo-explore/search?tab=default_tab&amp;search_scope=EVERYTHING&amp;vid=01CRU&amp;lang=en_US&amp;offset=0&amp;query=any,contains,991001826589702656","Catalog Record")</f>
        <v/>
      </c>
      <c r="AT23">
        <f>HYPERLINK("http://www.worldcat.org/oclc/22952608","WorldCat Record")</f>
        <v/>
      </c>
      <c r="AU23" t="inlineStr">
        <is>
          <t>23970677:eng</t>
        </is>
      </c>
      <c r="AV23" t="inlineStr">
        <is>
          <t>22952608</t>
        </is>
      </c>
      <c r="AW23" t="inlineStr">
        <is>
          <t>991001826589702656</t>
        </is>
      </c>
      <c r="AX23" t="inlineStr">
        <is>
          <t>991001826589702656</t>
        </is>
      </c>
      <c r="AY23" t="inlineStr">
        <is>
          <t>2260698020002656</t>
        </is>
      </c>
      <c r="AZ23" t="inlineStr">
        <is>
          <t>BOOK</t>
        </is>
      </c>
      <c r="BB23" t="inlineStr">
        <is>
          <t>9781558881570</t>
        </is>
      </c>
      <c r="BC23" t="inlineStr">
        <is>
          <t>32285000819374</t>
        </is>
      </c>
      <c r="BD23" t="inlineStr">
        <is>
          <t>893690948</t>
        </is>
      </c>
    </row>
    <row r="24">
      <c r="A24" t="inlineStr">
        <is>
          <t>No</t>
        </is>
      </c>
      <c r="B24" t="inlineStr">
        <is>
          <t>E111 .S3 1992</t>
        </is>
      </c>
      <c r="C24" t="inlineStr">
        <is>
          <t>0                      E  0111000S  3           1992</t>
        </is>
      </c>
      <c r="D24" t="inlineStr">
        <is>
          <t>Columbus, Marrano discoverer from Mallorca : in honor of the 500th anniversary of the discovery of America by Columbus, 1992 / Martin H. Sable.</t>
        </is>
      </c>
      <c r="F24" t="inlineStr">
        <is>
          <t>No</t>
        </is>
      </c>
      <c r="G24" t="inlineStr">
        <is>
          <t>1</t>
        </is>
      </c>
      <c r="H24" t="inlineStr">
        <is>
          <t>No</t>
        </is>
      </c>
      <c r="I24" t="inlineStr">
        <is>
          <t>No</t>
        </is>
      </c>
      <c r="J24" t="inlineStr">
        <is>
          <t>0</t>
        </is>
      </c>
      <c r="K24" t="inlineStr">
        <is>
          <t>Sable, Martin Howard.</t>
        </is>
      </c>
      <c r="M24" t="inlineStr">
        <is>
          <t>1992</t>
        </is>
      </c>
      <c r="N24" t="inlineStr">
        <is>
          <t>1st ed.</t>
        </is>
      </c>
      <c r="O24" t="inlineStr">
        <is>
          <t>eng</t>
        </is>
      </c>
      <c r="P24" t="inlineStr">
        <is>
          <t>wiu</t>
        </is>
      </c>
      <c r="R24" t="inlineStr">
        <is>
          <t xml:space="preserve">E  </t>
        </is>
      </c>
      <c r="S24" t="n">
        <v>5</v>
      </c>
      <c r="T24" t="n">
        <v>5</v>
      </c>
      <c r="U24" t="inlineStr">
        <is>
          <t>1996-09-17</t>
        </is>
      </c>
      <c r="V24" t="inlineStr">
        <is>
          <t>1996-09-17</t>
        </is>
      </c>
      <c r="W24" t="inlineStr">
        <is>
          <t>1993-05-19</t>
        </is>
      </c>
      <c r="X24" t="inlineStr">
        <is>
          <t>1993-05-19</t>
        </is>
      </c>
      <c r="Y24" t="n">
        <v>113</v>
      </c>
      <c r="Z24" t="n">
        <v>105</v>
      </c>
      <c r="AA24" t="n">
        <v>106</v>
      </c>
      <c r="AB24" t="n">
        <v>2</v>
      </c>
      <c r="AC24" t="n">
        <v>2</v>
      </c>
      <c r="AD24" t="n">
        <v>6</v>
      </c>
      <c r="AE24" t="n">
        <v>6</v>
      </c>
      <c r="AF24" t="n">
        <v>2</v>
      </c>
      <c r="AG24" t="n">
        <v>2</v>
      </c>
      <c r="AH24" t="n">
        <v>0</v>
      </c>
      <c r="AI24" t="n">
        <v>0</v>
      </c>
      <c r="AJ24" t="n">
        <v>3</v>
      </c>
      <c r="AK24" t="n">
        <v>3</v>
      </c>
      <c r="AL24" t="n">
        <v>1</v>
      </c>
      <c r="AM24" t="n">
        <v>1</v>
      </c>
      <c r="AN24" t="n">
        <v>0</v>
      </c>
      <c r="AO24" t="n">
        <v>0</v>
      </c>
      <c r="AP24" t="inlineStr">
        <is>
          <t>No</t>
        </is>
      </c>
      <c r="AQ24" t="inlineStr">
        <is>
          <t>Yes</t>
        </is>
      </c>
      <c r="AR24">
        <f>HYPERLINK("http://catalog.hathitrust.org/Record/008309940","HathiTrust Record")</f>
        <v/>
      </c>
      <c r="AS24">
        <f>HYPERLINK("https://creighton-primo.hosted.exlibrisgroup.com/primo-explore/search?tab=default_tab&amp;search_scope=EVERYTHING&amp;vid=01CRU&amp;lang=en_US&amp;offset=0&amp;query=any,contains,991002124019702656","Catalog Record")</f>
        <v/>
      </c>
      <c r="AT24">
        <f>HYPERLINK("http://www.worldcat.org/oclc/27203979","WorldCat Record")</f>
        <v/>
      </c>
      <c r="AU24" t="inlineStr">
        <is>
          <t>1059428341:eng</t>
        </is>
      </c>
      <c r="AV24" t="inlineStr">
        <is>
          <t>27203979</t>
        </is>
      </c>
      <c r="AW24" t="inlineStr">
        <is>
          <t>991002124019702656</t>
        </is>
      </c>
      <c r="AX24" t="inlineStr">
        <is>
          <t>991002124019702656</t>
        </is>
      </c>
      <c r="AY24" t="inlineStr">
        <is>
          <t>2262736690002656</t>
        </is>
      </c>
      <c r="AZ24" t="inlineStr">
        <is>
          <t>BOOK</t>
        </is>
      </c>
      <c r="BC24" t="inlineStr">
        <is>
          <t>32285001680031</t>
        </is>
      </c>
      <c r="BD24" t="inlineStr">
        <is>
          <t>893510321</t>
        </is>
      </c>
    </row>
    <row r="25">
      <c r="A25" t="inlineStr">
        <is>
          <t>No</t>
        </is>
      </c>
      <c r="B25" t="inlineStr">
        <is>
          <t>E111 .T23 1991</t>
        </is>
      </c>
      <c r="C25" t="inlineStr">
        <is>
          <t>0                      E  0111000T  23          1991</t>
        </is>
      </c>
      <c r="D25" t="inlineStr">
        <is>
          <t>Columbus, the great adventure : his life, his times, and his voyages / Paolo Emilio Taviani ; translated from the Italian by Luciano F. Farina and Marc A. Beckwith.</t>
        </is>
      </c>
      <c r="F25" t="inlineStr">
        <is>
          <t>No</t>
        </is>
      </c>
      <c r="G25" t="inlineStr">
        <is>
          <t>1</t>
        </is>
      </c>
      <c r="H25" t="inlineStr">
        <is>
          <t>No</t>
        </is>
      </c>
      <c r="I25" t="inlineStr">
        <is>
          <t>No</t>
        </is>
      </c>
      <c r="J25" t="inlineStr">
        <is>
          <t>0</t>
        </is>
      </c>
      <c r="K25" t="inlineStr">
        <is>
          <t>Taviani, Paolo Emilio.</t>
        </is>
      </c>
      <c r="L25" t="inlineStr">
        <is>
          <t>New York : Orion Books, c1991.</t>
        </is>
      </c>
      <c r="M25" t="inlineStr">
        <is>
          <t>1991</t>
        </is>
      </c>
      <c r="N25" t="inlineStr">
        <is>
          <t>1st American ed.</t>
        </is>
      </c>
      <c r="O25" t="inlineStr">
        <is>
          <t>eng</t>
        </is>
      </c>
      <c r="P25" t="inlineStr">
        <is>
          <t>nyu</t>
        </is>
      </c>
      <c r="R25" t="inlineStr">
        <is>
          <t xml:space="preserve">E  </t>
        </is>
      </c>
      <c r="S25" t="n">
        <v>18</v>
      </c>
      <c r="T25" t="n">
        <v>18</v>
      </c>
      <c r="U25" t="inlineStr">
        <is>
          <t>2002-04-01</t>
        </is>
      </c>
      <c r="V25" t="inlineStr">
        <is>
          <t>2002-04-01</t>
        </is>
      </c>
      <c r="W25" t="inlineStr">
        <is>
          <t>1991-11-08</t>
        </is>
      </c>
      <c r="X25" t="inlineStr">
        <is>
          <t>1991-11-08</t>
        </is>
      </c>
      <c r="Y25" t="n">
        <v>1061</v>
      </c>
      <c r="Z25" t="n">
        <v>1005</v>
      </c>
      <c r="AA25" t="n">
        <v>1009</v>
      </c>
      <c r="AB25" t="n">
        <v>7</v>
      </c>
      <c r="AC25" t="n">
        <v>7</v>
      </c>
      <c r="AD25" t="n">
        <v>28</v>
      </c>
      <c r="AE25" t="n">
        <v>28</v>
      </c>
      <c r="AF25" t="n">
        <v>10</v>
      </c>
      <c r="AG25" t="n">
        <v>10</v>
      </c>
      <c r="AH25" t="n">
        <v>7</v>
      </c>
      <c r="AI25" t="n">
        <v>7</v>
      </c>
      <c r="AJ25" t="n">
        <v>15</v>
      </c>
      <c r="AK25" t="n">
        <v>15</v>
      </c>
      <c r="AL25" t="n">
        <v>5</v>
      </c>
      <c r="AM25" t="n">
        <v>5</v>
      </c>
      <c r="AN25" t="n">
        <v>0</v>
      </c>
      <c r="AO25" t="n">
        <v>0</v>
      </c>
      <c r="AP25" t="inlineStr">
        <is>
          <t>No</t>
        </is>
      </c>
      <c r="AQ25" t="inlineStr">
        <is>
          <t>No</t>
        </is>
      </c>
      <c r="AS25">
        <f>HYPERLINK("https://creighton-primo.hosted.exlibrisgroup.com/primo-explore/search?tab=default_tab&amp;search_scope=EVERYTHING&amp;vid=01CRU&amp;lang=en_US&amp;offset=0&amp;query=any,contains,991001849709702656","Catalog Record")</f>
        <v/>
      </c>
      <c r="AT25">
        <f>HYPERLINK("http://www.worldcat.org/oclc/23216969","WorldCat Record")</f>
        <v/>
      </c>
      <c r="AU25" t="inlineStr">
        <is>
          <t>9349345286:eng</t>
        </is>
      </c>
      <c r="AV25" t="inlineStr">
        <is>
          <t>23216969</t>
        </is>
      </c>
      <c r="AW25" t="inlineStr">
        <is>
          <t>991001849709702656</t>
        </is>
      </c>
      <c r="AX25" t="inlineStr">
        <is>
          <t>991001849709702656</t>
        </is>
      </c>
      <c r="AY25" t="inlineStr">
        <is>
          <t>2261460580002656</t>
        </is>
      </c>
      <c r="AZ25" t="inlineStr">
        <is>
          <t>BOOK</t>
        </is>
      </c>
      <c r="BB25" t="inlineStr">
        <is>
          <t>9780517584743</t>
        </is>
      </c>
      <c r="BC25" t="inlineStr">
        <is>
          <t>32285000814805</t>
        </is>
      </c>
      <c r="BD25" t="inlineStr">
        <is>
          <t>893238375</t>
        </is>
      </c>
    </row>
    <row r="26">
      <c r="A26" t="inlineStr">
        <is>
          <t>No</t>
        </is>
      </c>
      <c r="B26" t="inlineStr">
        <is>
          <t>E111 .T2513 1985</t>
        </is>
      </c>
      <c r="C26" t="inlineStr">
        <is>
          <t>0                      E  0111000T  2513        1985</t>
        </is>
      </c>
      <c r="D26" t="inlineStr">
        <is>
          <t>Christopher Columbus : the grand design / Paolo Emilio Taviani.</t>
        </is>
      </c>
      <c r="F26" t="inlineStr">
        <is>
          <t>No</t>
        </is>
      </c>
      <c r="G26" t="inlineStr">
        <is>
          <t>1</t>
        </is>
      </c>
      <c r="H26" t="inlineStr">
        <is>
          <t>No</t>
        </is>
      </c>
      <c r="I26" t="inlineStr">
        <is>
          <t>No</t>
        </is>
      </c>
      <c r="J26" t="inlineStr">
        <is>
          <t>0</t>
        </is>
      </c>
      <c r="K26" t="inlineStr">
        <is>
          <t>Taviani, Paolo Emilio.</t>
        </is>
      </c>
      <c r="L26" t="inlineStr">
        <is>
          <t>London : Orbis, c1985.</t>
        </is>
      </c>
      <c r="M26" t="inlineStr">
        <is>
          <t>1985</t>
        </is>
      </c>
      <c r="O26" t="inlineStr">
        <is>
          <t>eng</t>
        </is>
      </c>
      <c r="P26" t="inlineStr">
        <is>
          <t>enk</t>
        </is>
      </c>
      <c r="R26" t="inlineStr">
        <is>
          <t xml:space="preserve">E  </t>
        </is>
      </c>
      <c r="S26" t="n">
        <v>5</v>
      </c>
      <c r="T26" t="n">
        <v>5</v>
      </c>
      <c r="U26" t="inlineStr">
        <is>
          <t>1992-11-15</t>
        </is>
      </c>
      <c r="V26" t="inlineStr">
        <is>
          <t>1992-11-15</t>
        </is>
      </c>
      <c r="W26" t="inlineStr">
        <is>
          <t>1991-05-30</t>
        </is>
      </c>
      <c r="X26" t="inlineStr">
        <is>
          <t>1991-05-30</t>
        </is>
      </c>
      <c r="Y26" t="n">
        <v>182</v>
      </c>
      <c r="Z26" t="n">
        <v>125</v>
      </c>
      <c r="AA26" t="n">
        <v>143</v>
      </c>
      <c r="AB26" t="n">
        <v>3</v>
      </c>
      <c r="AC26" t="n">
        <v>3</v>
      </c>
      <c r="AD26" t="n">
        <v>3</v>
      </c>
      <c r="AE26" t="n">
        <v>4</v>
      </c>
      <c r="AF26" t="n">
        <v>0</v>
      </c>
      <c r="AG26" t="n">
        <v>0</v>
      </c>
      <c r="AH26" t="n">
        <v>0</v>
      </c>
      <c r="AI26" t="n">
        <v>1</v>
      </c>
      <c r="AJ26" t="n">
        <v>1</v>
      </c>
      <c r="AK26" t="n">
        <v>2</v>
      </c>
      <c r="AL26" t="n">
        <v>2</v>
      </c>
      <c r="AM26" t="n">
        <v>2</v>
      </c>
      <c r="AN26" t="n">
        <v>0</v>
      </c>
      <c r="AO26" t="n">
        <v>0</v>
      </c>
      <c r="AP26" t="inlineStr">
        <is>
          <t>No</t>
        </is>
      </c>
      <c r="AQ26" t="inlineStr">
        <is>
          <t>Yes</t>
        </is>
      </c>
      <c r="AR26">
        <f>HYPERLINK("http://catalog.hathitrust.org/Record/000624826","HathiTrust Record")</f>
        <v/>
      </c>
      <c r="AS26">
        <f>HYPERLINK("https://creighton-primo.hosted.exlibrisgroup.com/primo-explore/search?tab=default_tab&amp;search_scope=EVERYTHING&amp;vid=01CRU&amp;lang=en_US&amp;offset=0&amp;query=any,contains,991000843609702656","Catalog Record")</f>
        <v/>
      </c>
      <c r="AT26">
        <f>HYPERLINK("http://www.worldcat.org/oclc/13535017","WorldCat Record")</f>
        <v/>
      </c>
      <c r="AU26" t="inlineStr">
        <is>
          <t>3943277003:eng</t>
        </is>
      </c>
      <c r="AV26" t="inlineStr">
        <is>
          <t>13535017</t>
        </is>
      </c>
      <c r="AW26" t="inlineStr">
        <is>
          <t>991000843609702656</t>
        </is>
      </c>
      <c r="AX26" t="inlineStr">
        <is>
          <t>991000843609702656</t>
        </is>
      </c>
      <c r="AY26" t="inlineStr">
        <is>
          <t>2255476480002656</t>
        </is>
      </c>
      <c r="AZ26" t="inlineStr">
        <is>
          <t>BOOK</t>
        </is>
      </c>
      <c r="BB26" t="inlineStr">
        <is>
          <t>9780856139222</t>
        </is>
      </c>
      <c r="BC26" t="inlineStr">
        <is>
          <t>32285000590348</t>
        </is>
      </c>
      <c r="BD26" t="inlineStr">
        <is>
          <t>893589788</t>
        </is>
      </c>
    </row>
    <row r="27">
      <c r="A27" t="inlineStr">
        <is>
          <t>No</t>
        </is>
      </c>
      <c r="B27" t="inlineStr">
        <is>
          <t>E111 .V47</t>
        </is>
      </c>
      <c r="C27" t="inlineStr">
        <is>
          <t>0                      E  0111000V  47</t>
        </is>
      </c>
      <c r="D27" t="inlineStr">
        <is>
          <t>Cristobal Colón y el descubrimiento de America [por] Charles Verlinden y Florentino Pérez-Embid. [Traducción y amplificación del texto original francés por Florentino Pérez-Embid]</t>
        </is>
      </c>
      <c r="F27" t="inlineStr">
        <is>
          <t>No</t>
        </is>
      </c>
      <c r="G27" t="inlineStr">
        <is>
          <t>1</t>
        </is>
      </c>
      <c r="H27" t="inlineStr">
        <is>
          <t>No</t>
        </is>
      </c>
      <c r="I27" t="inlineStr">
        <is>
          <t>No</t>
        </is>
      </c>
      <c r="J27" t="inlineStr">
        <is>
          <t>0</t>
        </is>
      </c>
      <c r="K27" t="inlineStr">
        <is>
          <t>Verlinden, Charles.</t>
        </is>
      </c>
      <c r="L27" t="inlineStr">
        <is>
          <t>Madrid : Ediciones Rialp, [1967]</t>
        </is>
      </c>
      <c r="M27" t="inlineStr">
        <is>
          <t>1967</t>
        </is>
      </c>
      <c r="O27" t="inlineStr">
        <is>
          <t>spa</t>
        </is>
      </c>
      <c r="P27" t="inlineStr">
        <is>
          <t xml:space="preserve">sp </t>
        </is>
      </c>
      <c r="Q27" t="inlineStr">
        <is>
          <t>Forjadores de historia ; 9</t>
        </is>
      </c>
      <c r="R27" t="inlineStr">
        <is>
          <t xml:space="preserve">E  </t>
        </is>
      </c>
      <c r="S27" t="n">
        <v>2</v>
      </c>
      <c r="T27" t="n">
        <v>2</v>
      </c>
      <c r="U27" t="inlineStr">
        <is>
          <t>2003-10-17</t>
        </is>
      </c>
      <c r="V27" t="inlineStr">
        <is>
          <t>2003-10-17</t>
        </is>
      </c>
      <c r="W27" t="inlineStr">
        <is>
          <t>1997-04-02</t>
        </is>
      </c>
      <c r="X27" t="inlineStr">
        <is>
          <t>1997-04-02</t>
        </is>
      </c>
      <c r="Y27" t="n">
        <v>80</v>
      </c>
      <c r="Z27" t="n">
        <v>53</v>
      </c>
      <c r="AA27" t="n">
        <v>62</v>
      </c>
      <c r="AB27" t="n">
        <v>2</v>
      </c>
      <c r="AC27" t="n">
        <v>2</v>
      </c>
      <c r="AD27" t="n">
        <v>3</v>
      </c>
      <c r="AE27" t="n">
        <v>3</v>
      </c>
      <c r="AF27" t="n">
        <v>0</v>
      </c>
      <c r="AG27" t="n">
        <v>0</v>
      </c>
      <c r="AH27" t="n">
        <v>1</v>
      </c>
      <c r="AI27" t="n">
        <v>1</v>
      </c>
      <c r="AJ27" t="n">
        <v>2</v>
      </c>
      <c r="AK27" t="n">
        <v>2</v>
      </c>
      <c r="AL27" t="n">
        <v>1</v>
      </c>
      <c r="AM27" t="n">
        <v>1</v>
      </c>
      <c r="AN27" t="n">
        <v>0</v>
      </c>
      <c r="AO27" t="n">
        <v>0</v>
      </c>
      <c r="AP27" t="inlineStr">
        <is>
          <t>No</t>
        </is>
      </c>
      <c r="AQ27" t="inlineStr">
        <is>
          <t>Yes</t>
        </is>
      </c>
      <c r="AR27">
        <f>HYPERLINK("http://catalog.hathitrust.org/Record/000288229","HathiTrust Record")</f>
        <v/>
      </c>
      <c r="AS27">
        <f>HYPERLINK("https://creighton-primo.hosted.exlibrisgroup.com/primo-explore/search?tab=default_tab&amp;search_scope=EVERYTHING&amp;vid=01CRU&amp;lang=en_US&amp;offset=0&amp;query=any,contains,991004570299702656","Catalog Record")</f>
        <v/>
      </c>
      <c r="AT27">
        <f>HYPERLINK("http://www.worldcat.org/oclc/4021554","WorldCat Record")</f>
        <v/>
      </c>
      <c r="AU27" t="inlineStr">
        <is>
          <t>3943534739:spa</t>
        </is>
      </c>
      <c r="AV27" t="inlineStr">
        <is>
          <t>4021554</t>
        </is>
      </c>
      <c r="AW27" t="inlineStr">
        <is>
          <t>991004570299702656</t>
        </is>
      </c>
      <c r="AX27" t="inlineStr">
        <is>
          <t>991004570299702656</t>
        </is>
      </c>
      <c r="AY27" t="inlineStr">
        <is>
          <t>2270822070002656</t>
        </is>
      </c>
      <c r="AZ27" t="inlineStr">
        <is>
          <t>BOOK</t>
        </is>
      </c>
      <c r="BC27" t="inlineStr">
        <is>
          <t>32285002488301</t>
        </is>
      </c>
      <c r="BD27" t="inlineStr">
        <is>
          <t>893526254</t>
        </is>
      </c>
    </row>
    <row r="28">
      <c r="A28" t="inlineStr">
        <is>
          <t>No</t>
        </is>
      </c>
      <c r="B28" t="inlineStr">
        <is>
          <t>E111 .W33</t>
        </is>
      </c>
      <c r="C28" t="inlineStr">
        <is>
          <t>0                      E  0111000W  33</t>
        </is>
      </c>
      <c r="D28" t="inlineStr">
        <is>
          <t>Christopher Columbus : Don Quixote of the seas / by Jacob Wassermann ; translated from the German by Eric Sutton.</t>
        </is>
      </c>
      <c r="F28" t="inlineStr">
        <is>
          <t>No</t>
        </is>
      </c>
      <c r="G28" t="inlineStr">
        <is>
          <t>1</t>
        </is>
      </c>
      <c r="H28" t="inlineStr">
        <is>
          <t>No</t>
        </is>
      </c>
      <c r="I28" t="inlineStr">
        <is>
          <t>No</t>
        </is>
      </c>
      <c r="J28" t="inlineStr">
        <is>
          <t>0</t>
        </is>
      </c>
      <c r="K28" t="inlineStr">
        <is>
          <t>Wassermann, Jakob, 1873-1934.</t>
        </is>
      </c>
      <c r="L28" t="inlineStr">
        <is>
          <t>London : M. Secker, 1930.</t>
        </is>
      </c>
      <c r="M28" t="inlineStr">
        <is>
          <t>1930</t>
        </is>
      </c>
      <c r="O28" t="inlineStr">
        <is>
          <t>eng</t>
        </is>
      </c>
      <c r="P28" t="inlineStr">
        <is>
          <t>enk</t>
        </is>
      </c>
      <c r="R28" t="inlineStr">
        <is>
          <t xml:space="preserve">E  </t>
        </is>
      </c>
      <c r="S28" t="n">
        <v>3</v>
      </c>
      <c r="T28" t="n">
        <v>3</v>
      </c>
      <c r="U28" t="inlineStr">
        <is>
          <t>1998-10-14</t>
        </is>
      </c>
      <c r="V28" t="inlineStr">
        <is>
          <t>1998-10-14</t>
        </is>
      </c>
      <c r="W28" t="inlineStr">
        <is>
          <t>1992-12-02</t>
        </is>
      </c>
      <c r="X28" t="inlineStr">
        <is>
          <t>1992-12-02</t>
        </is>
      </c>
      <c r="Y28" t="n">
        <v>91</v>
      </c>
      <c r="Z28" t="n">
        <v>59</v>
      </c>
      <c r="AA28" t="n">
        <v>60</v>
      </c>
      <c r="AB28" t="n">
        <v>1</v>
      </c>
      <c r="AC28" t="n">
        <v>1</v>
      </c>
      <c r="AD28" t="n">
        <v>4</v>
      </c>
      <c r="AE28" t="n">
        <v>4</v>
      </c>
      <c r="AF28" t="n">
        <v>0</v>
      </c>
      <c r="AG28" t="n">
        <v>0</v>
      </c>
      <c r="AH28" t="n">
        <v>2</v>
      </c>
      <c r="AI28" t="n">
        <v>2</v>
      </c>
      <c r="AJ28" t="n">
        <v>3</v>
      </c>
      <c r="AK28" t="n">
        <v>3</v>
      </c>
      <c r="AL28" t="n">
        <v>0</v>
      </c>
      <c r="AM28" t="n">
        <v>0</v>
      </c>
      <c r="AN28" t="n">
        <v>0</v>
      </c>
      <c r="AO28" t="n">
        <v>0</v>
      </c>
      <c r="AP28" t="inlineStr">
        <is>
          <t>No</t>
        </is>
      </c>
      <c r="AQ28" t="inlineStr">
        <is>
          <t>No</t>
        </is>
      </c>
      <c r="AS28">
        <f>HYPERLINK("https://creighton-primo.hosted.exlibrisgroup.com/primo-explore/search?tab=default_tab&amp;search_scope=EVERYTHING&amp;vid=01CRU&amp;lang=en_US&amp;offset=0&amp;query=any,contains,991004071899702656","Catalog Record")</f>
        <v/>
      </c>
      <c r="AT28">
        <f>HYPERLINK("http://www.worldcat.org/oclc/2304748","WorldCat Record")</f>
        <v/>
      </c>
      <c r="AU28" t="inlineStr">
        <is>
          <t>1508322:eng</t>
        </is>
      </c>
      <c r="AV28" t="inlineStr">
        <is>
          <t>2304748</t>
        </is>
      </c>
      <c r="AW28" t="inlineStr">
        <is>
          <t>991004071899702656</t>
        </is>
      </c>
      <c r="AX28" t="inlineStr">
        <is>
          <t>991004071899702656</t>
        </is>
      </c>
      <c r="AY28" t="inlineStr">
        <is>
          <t>2262712720002656</t>
        </is>
      </c>
      <c r="AZ28" t="inlineStr">
        <is>
          <t>BOOK</t>
        </is>
      </c>
      <c r="BC28" t="inlineStr">
        <is>
          <t>32285001411494</t>
        </is>
      </c>
      <c r="BD28" t="inlineStr">
        <is>
          <t>893228897</t>
        </is>
      </c>
    </row>
    <row r="29">
      <c r="A29" t="inlineStr">
        <is>
          <t>No</t>
        </is>
      </c>
      <c r="B29" t="inlineStr">
        <is>
          <t>E111 .W65 1991</t>
        </is>
      </c>
      <c r="C29" t="inlineStr">
        <is>
          <t>0                      E  0111000W  65          1991</t>
        </is>
      </c>
      <c r="D29" t="inlineStr">
        <is>
          <t>The mysterious history of Columbus : an exploration of the man, the myth, the legacy / John Noble Wilford.</t>
        </is>
      </c>
      <c r="F29" t="inlineStr">
        <is>
          <t>No</t>
        </is>
      </c>
      <c r="G29" t="inlineStr">
        <is>
          <t>1</t>
        </is>
      </c>
      <c r="H29" t="inlineStr">
        <is>
          <t>No</t>
        </is>
      </c>
      <c r="I29" t="inlineStr">
        <is>
          <t>No</t>
        </is>
      </c>
      <c r="J29" t="inlineStr">
        <is>
          <t>0</t>
        </is>
      </c>
      <c r="K29" t="inlineStr">
        <is>
          <t>Wilford, John Noble.</t>
        </is>
      </c>
      <c r="L29" t="inlineStr">
        <is>
          <t>New York : Knopf, 1991.</t>
        </is>
      </c>
      <c r="M29" t="inlineStr">
        <is>
          <t>1991</t>
        </is>
      </c>
      <c r="N29" t="inlineStr">
        <is>
          <t>1st ed.</t>
        </is>
      </c>
      <c r="O29" t="inlineStr">
        <is>
          <t>eng</t>
        </is>
      </c>
      <c r="P29" t="inlineStr">
        <is>
          <t>nyu</t>
        </is>
      </c>
      <c r="R29" t="inlineStr">
        <is>
          <t xml:space="preserve">E  </t>
        </is>
      </c>
      <c r="S29" t="n">
        <v>13</v>
      </c>
      <c r="T29" t="n">
        <v>13</v>
      </c>
      <c r="U29" t="inlineStr">
        <is>
          <t>2002-04-01</t>
        </is>
      </c>
      <c r="V29" t="inlineStr">
        <is>
          <t>2002-04-01</t>
        </is>
      </c>
      <c r="W29" t="inlineStr">
        <is>
          <t>1991-10-31</t>
        </is>
      </c>
      <c r="X29" t="inlineStr">
        <is>
          <t>1991-10-31</t>
        </is>
      </c>
      <c r="Y29" t="n">
        <v>1600</v>
      </c>
      <c r="Z29" t="n">
        <v>1518</v>
      </c>
      <c r="AA29" t="n">
        <v>1605</v>
      </c>
      <c r="AB29" t="n">
        <v>10</v>
      </c>
      <c r="AC29" t="n">
        <v>10</v>
      </c>
      <c r="AD29" t="n">
        <v>33</v>
      </c>
      <c r="AE29" t="n">
        <v>37</v>
      </c>
      <c r="AF29" t="n">
        <v>15</v>
      </c>
      <c r="AG29" t="n">
        <v>17</v>
      </c>
      <c r="AH29" t="n">
        <v>7</v>
      </c>
      <c r="AI29" t="n">
        <v>7</v>
      </c>
      <c r="AJ29" t="n">
        <v>15</v>
      </c>
      <c r="AK29" t="n">
        <v>17</v>
      </c>
      <c r="AL29" t="n">
        <v>5</v>
      </c>
      <c r="AM29" t="n">
        <v>5</v>
      </c>
      <c r="AN29" t="n">
        <v>0</v>
      </c>
      <c r="AO29" t="n">
        <v>0</v>
      </c>
      <c r="AP29" t="inlineStr">
        <is>
          <t>No</t>
        </is>
      </c>
      <c r="AQ29" t="inlineStr">
        <is>
          <t>Yes</t>
        </is>
      </c>
      <c r="AR29">
        <f>HYPERLINK("http://catalog.hathitrust.org/Record/002497561","HathiTrust Record")</f>
        <v/>
      </c>
      <c r="AS29">
        <f>HYPERLINK("https://creighton-primo.hosted.exlibrisgroup.com/primo-explore/search?tab=default_tab&amp;search_scope=EVERYTHING&amp;vid=01CRU&amp;lang=en_US&amp;offset=0&amp;query=any,contains,991001877749702656","Catalog Record")</f>
        <v/>
      </c>
      <c r="AT29">
        <f>HYPERLINK("http://www.worldcat.org/oclc/23691620","WorldCat Record")</f>
        <v/>
      </c>
      <c r="AU29" t="inlineStr">
        <is>
          <t>20712249:eng</t>
        </is>
      </c>
      <c r="AV29" t="inlineStr">
        <is>
          <t>23691620</t>
        </is>
      </c>
      <c r="AW29" t="inlineStr">
        <is>
          <t>991001877749702656</t>
        </is>
      </c>
      <c r="AX29" t="inlineStr">
        <is>
          <t>991001877749702656</t>
        </is>
      </c>
      <c r="AY29" t="inlineStr">
        <is>
          <t>2261290800002656</t>
        </is>
      </c>
      <c r="AZ29" t="inlineStr">
        <is>
          <t>BOOK</t>
        </is>
      </c>
      <c r="BB29" t="inlineStr">
        <is>
          <t>9780679404767</t>
        </is>
      </c>
      <c r="BC29" t="inlineStr">
        <is>
          <t>32285000728666</t>
        </is>
      </c>
      <c r="BD29" t="inlineStr">
        <is>
          <t>893346859</t>
        </is>
      </c>
    </row>
    <row r="30">
      <c r="A30" t="inlineStr">
        <is>
          <t>No</t>
        </is>
      </c>
      <c r="B30" t="inlineStr">
        <is>
          <t>E112 .B44</t>
        </is>
      </c>
      <c r="C30" t="inlineStr">
        <is>
          <t>0                      E  0112000B  44</t>
        </is>
      </c>
      <c r="D30" t="inlineStr">
        <is>
          <t>The last resting place of Christopher Columbus / edited by George A. Lockward S.</t>
        </is>
      </c>
      <c r="F30" t="inlineStr">
        <is>
          <t>No</t>
        </is>
      </c>
      <c r="G30" t="inlineStr">
        <is>
          <t>1</t>
        </is>
      </c>
      <c r="H30" t="inlineStr">
        <is>
          <t>No</t>
        </is>
      </c>
      <c r="I30" t="inlineStr">
        <is>
          <t>No</t>
        </is>
      </c>
      <c r="J30" t="inlineStr">
        <is>
          <t>0</t>
        </is>
      </c>
      <c r="K30" t="inlineStr">
        <is>
          <t>Benton, Frederick L.</t>
        </is>
      </c>
      <c r="L30" t="inlineStr">
        <is>
          <t>Ciudad Trujillo, Impresora Dominicans : C. por A., 1953.</t>
        </is>
      </c>
      <c r="M30" t="inlineStr">
        <is>
          <t>1953</t>
        </is>
      </c>
      <c r="O30" t="inlineStr">
        <is>
          <t>eng</t>
        </is>
      </c>
      <c r="P30" t="inlineStr">
        <is>
          <t xml:space="preserve">dr </t>
        </is>
      </c>
      <c r="Q30" t="inlineStr">
        <is>
          <t>Publications of the Permanent Executive Committee of Columbus Memorial Lighthouse</t>
        </is>
      </c>
      <c r="R30" t="inlineStr">
        <is>
          <t xml:space="preserve">E  </t>
        </is>
      </c>
      <c r="S30" t="n">
        <v>3</v>
      </c>
      <c r="T30" t="n">
        <v>3</v>
      </c>
      <c r="U30" t="inlineStr">
        <is>
          <t>1996-09-15</t>
        </is>
      </c>
      <c r="V30" t="inlineStr">
        <is>
          <t>1996-09-15</t>
        </is>
      </c>
      <c r="W30" t="inlineStr">
        <is>
          <t>1992-12-02</t>
        </is>
      </c>
      <c r="X30" t="inlineStr">
        <is>
          <t>1992-12-02</t>
        </is>
      </c>
      <c r="Y30" t="n">
        <v>121</v>
      </c>
      <c r="Z30" t="n">
        <v>101</v>
      </c>
      <c r="AA30" t="n">
        <v>104</v>
      </c>
      <c r="AB30" t="n">
        <v>1</v>
      </c>
      <c r="AC30" t="n">
        <v>1</v>
      </c>
      <c r="AD30" t="n">
        <v>2</v>
      </c>
      <c r="AE30" t="n">
        <v>2</v>
      </c>
      <c r="AF30" t="n">
        <v>0</v>
      </c>
      <c r="AG30" t="n">
        <v>0</v>
      </c>
      <c r="AH30" t="n">
        <v>1</v>
      </c>
      <c r="AI30" t="n">
        <v>1</v>
      </c>
      <c r="AJ30" t="n">
        <v>2</v>
      </c>
      <c r="AK30" t="n">
        <v>2</v>
      </c>
      <c r="AL30" t="n">
        <v>0</v>
      </c>
      <c r="AM30" t="n">
        <v>0</v>
      </c>
      <c r="AN30" t="n">
        <v>0</v>
      </c>
      <c r="AO30" t="n">
        <v>0</v>
      </c>
      <c r="AP30" t="inlineStr">
        <is>
          <t>No</t>
        </is>
      </c>
      <c r="AQ30" t="inlineStr">
        <is>
          <t>Yes</t>
        </is>
      </c>
      <c r="AR30">
        <f>HYPERLINK("http://catalog.hathitrust.org/Record/000778063","HathiTrust Record")</f>
        <v/>
      </c>
      <c r="AS30">
        <f>HYPERLINK("https://creighton-primo.hosted.exlibrisgroup.com/primo-explore/search?tab=default_tab&amp;search_scope=EVERYTHING&amp;vid=01CRU&amp;lang=en_US&amp;offset=0&amp;query=any,contains,991003847179702656","Catalog Record")</f>
        <v/>
      </c>
      <c r="AT30">
        <f>HYPERLINK("http://www.worldcat.org/oclc/1633112","WorldCat Record")</f>
        <v/>
      </c>
      <c r="AU30" t="inlineStr">
        <is>
          <t>359598280:eng</t>
        </is>
      </c>
      <c r="AV30" t="inlineStr">
        <is>
          <t>1633112</t>
        </is>
      </c>
      <c r="AW30" t="inlineStr">
        <is>
          <t>991003847179702656</t>
        </is>
      </c>
      <c r="AX30" t="inlineStr">
        <is>
          <t>991003847179702656</t>
        </is>
      </c>
      <c r="AY30" t="inlineStr">
        <is>
          <t>2255137540002656</t>
        </is>
      </c>
      <c r="AZ30" t="inlineStr">
        <is>
          <t>BOOK</t>
        </is>
      </c>
      <c r="BC30" t="inlineStr">
        <is>
          <t>32285001402287</t>
        </is>
      </c>
      <c r="BD30" t="inlineStr">
        <is>
          <t>893611534</t>
        </is>
      </c>
    </row>
    <row r="31">
      <c r="A31" t="inlineStr">
        <is>
          <t>No</t>
        </is>
      </c>
      <c r="B31" t="inlineStr">
        <is>
          <t>E112 .B95 1992</t>
        </is>
      </c>
      <c r="C31" t="inlineStr">
        <is>
          <t>0                      E  0112000B  95          1992</t>
        </is>
      </c>
      <c r="D31" t="inlineStr">
        <is>
          <t>America discovers Columbus : how an Italian explorer became an American hero / Claudia L. Bushman.</t>
        </is>
      </c>
      <c r="F31" t="inlineStr">
        <is>
          <t>No</t>
        </is>
      </c>
      <c r="G31" t="inlineStr">
        <is>
          <t>1</t>
        </is>
      </c>
      <c r="H31" t="inlineStr">
        <is>
          <t>No</t>
        </is>
      </c>
      <c r="I31" t="inlineStr">
        <is>
          <t>No</t>
        </is>
      </c>
      <c r="J31" t="inlineStr">
        <is>
          <t>0</t>
        </is>
      </c>
      <c r="K31" t="inlineStr">
        <is>
          <t>Bushman, Claudia L.</t>
        </is>
      </c>
      <c r="L31" t="inlineStr">
        <is>
          <t>Hanover, NH : University Press of New England, c1992.</t>
        </is>
      </c>
      <c r="M31" t="inlineStr">
        <is>
          <t>1992</t>
        </is>
      </c>
      <c r="O31" t="inlineStr">
        <is>
          <t>eng</t>
        </is>
      </c>
      <c r="P31" t="inlineStr">
        <is>
          <t>nhu</t>
        </is>
      </c>
      <c r="R31" t="inlineStr">
        <is>
          <t xml:space="preserve">E  </t>
        </is>
      </c>
      <c r="S31" t="n">
        <v>12</v>
      </c>
      <c r="T31" t="n">
        <v>12</v>
      </c>
      <c r="U31" t="inlineStr">
        <is>
          <t>2004-10-28</t>
        </is>
      </c>
      <c r="V31" t="inlineStr">
        <is>
          <t>2004-10-28</t>
        </is>
      </c>
      <c r="W31" t="inlineStr">
        <is>
          <t>1995-10-11</t>
        </is>
      </c>
      <c r="X31" t="inlineStr">
        <is>
          <t>1995-10-11</t>
        </is>
      </c>
      <c r="Y31" t="n">
        <v>750</v>
      </c>
      <c r="Z31" t="n">
        <v>684</v>
      </c>
      <c r="AA31" t="n">
        <v>687</v>
      </c>
      <c r="AB31" t="n">
        <v>3</v>
      </c>
      <c r="AC31" t="n">
        <v>3</v>
      </c>
      <c r="AD31" t="n">
        <v>30</v>
      </c>
      <c r="AE31" t="n">
        <v>30</v>
      </c>
      <c r="AF31" t="n">
        <v>12</v>
      </c>
      <c r="AG31" t="n">
        <v>12</v>
      </c>
      <c r="AH31" t="n">
        <v>7</v>
      </c>
      <c r="AI31" t="n">
        <v>7</v>
      </c>
      <c r="AJ31" t="n">
        <v>15</v>
      </c>
      <c r="AK31" t="n">
        <v>15</v>
      </c>
      <c r="AL31" t="n">
        <v>2</v>
      </c>
      <c r="AM31" t="n">
        <v>2</v>
      </c>
      <c r="AN31" t="n">
        <v>0</v>
      </c>
      <c r="AO31" t="n">
        <v>0</v>
      </c>
      <c r="AP31" t="inlineStr">
        <is>
          <t>No</t>
        </is>
      </c>
      <c r="AQ31" t="inlineStr">
        <is>
          <t>Yes</t>
        </is>
      </c>
      <c r="AR31">
        <f>HYPERLINK("http://catalog.hathitrust.org/Record/002551851","HathiTrust Record")</f>
        <v/>
      </c>
      <c r="AS31">
        <f>HYPERLINK("https://creighton-primo.hosted.exlibrisgroup.com/primo-explore/search?tab=default_tab&amp;search_scope=EVERYTHING&amp;vid=01CRU&amp;lang=en_US&amp;offset=0&amp;query=any,contains,991001991249702656","Catalog Record")</f>
        <v/>
      </c>
      <c r="AT31">
        <f>HYPERLINK("http://www.worldcat.org/oclc/25283193","WorldCat Record")</f>
        <v/>
      </c>
      <c r="AU31" t="inlineStr">
        <is>
          <t>2031290:eng</t>
        </is>
      </c>
      <c r="AV31" t="inlineStr">
        <is>
          <t>25283193</t>
        </is>
      </c>
      <c r="AW31" t="inlineStr">
        <is>
          <t>991001991249702656</t>
        </is>
      </c>
      <c r="AX31" t="inlineStr">
        <is>
          <t>991001991249702656</t>
        </is>
      </c>
      <c r="AY31" t="inlineStr">
        <is>
          <t>2272403200002656</t>
        </is>
      </c>
      <c r="AZ31" t="inlineStr">
        <is>
          <t>BOOK</t>
        </is>
      </c>
      <c r="BB31" t="inlineStr">
        <is>
          <t>9780874515763</t>
        </is>
      </c>
      <c r="BC31" t="inlineStr">
        <is>
          <t>32285001415602</t>
        </is>
      </c>
      <c r="BD31" t="inlineStr">
        <is>
          <t>893721228</t>
        </is>
      </c>
    </row>
    <row r="32">
      <c r="A32" t="inlineStr">
        <is>
          <t>No</t>
        </is>
      </c>
      <c r="B32" t="inlineStr">
        <is>
          <t>E112 .C39 1993</t>
        </is>
      </c>
      <c r="C32" t="inlineStr">
        <is>
          <t>0                      E  0112000C  39          1993</t>
        </is>
      </c>
      <c r="D32" t="inlineStr">
        <is>
          <t>Christopher Columbus and the Portuguese, 1476-1498 / Rebecca Catz.</t>
        </is>
      </c>
      <c r="F32" t="inlineStr">
        <is>
          <t>No</t>
        </is>
      </c>
      <c r="G32" t="inlineStr">
        <is>
          <t>1</t>
        </is>
      </c>
      <c r="H32" t="inlineStr">
        <is>
          <t>No</t>
        </is>
      </c>
      <c r="I32" t="inlineStr">
        <is>
          <t>No</t>
        </is>
      </c>
      <c r="J32" t="inlineStr">
        <is>
          <t>0</t>
        </is>
      </c>
      <c r="K32" t="inlineStr">
        <is>
          <t>Catz, Rebecca.</t>
        </is>
      </c>
      <c r="L32" t="inlineStr">
        <is>
          <t>Westport, Conn. : Greenwood Press, 1993.</t>
        </is>
      </c>
      <c r="M32" t="inlineStr">
        <is>
          <t>1993</t>
        </is>
      </c>
      <c r="O32" t="inlineStr">
        <is>
          <t>eng</t>
        </is>
      </c>
      <c r="P32" t="inlineStr">
        <is>
          <t>ctu</t>
        </is>
      </c>
      <c r="Q32" t="inlineStr">
        <is>
          <t>Contributions to the study of world history, 0885-9159 ; no. 39</t>
        </is>
      </c>
      <c r="R32" t="inlineStr">
        <is>
          <t xml:space="preserve">E  </t>
        </is>
      </c>
      <c r="S32" t="n">
        <v>2</v>
      </c>
      <c r="T32" t="n">
        <v>2</v>
      </c>
      <c r="U32" t="inlineStr">
        <is>
          <t>2004-08-28</t>
        </is>
      </c>
      <c r="V32" t="inlineStr">
        <is>
          <t>2004-08-28</t>
        </is>
      </c>
      <c r="W32" t="inlineStr">
        <is>
          <t>1994-04-21</t>
        </is>
      </c>
      <c r="X32" t="inlineStr">
        <is>
          <t>1994-04-21</t>
        </is>
      </c>
      <c r="Y32" t="n">
        <v>203</v>
      </c>
      <c r="Z32" t="n">
        <v>159</v>
      </c>
      <c r="AA32" t="n">
        <v>172</v>
      </c>
      <c r="AB32" t="n">
        <v>1</v>
      </c>
      <c r="AC32" t="n">
        <v>1</v>
      </c>
      <c r="AD32" t="n">
        <v>6</v>
      </c>
      <c r="AE32" t="n">
        <v>6</v>
      </c>
      <c r="AF32" t="n">
        <v>2</v>
      </c>
      <c r="AG32" t="n">
        <v>2</v>
      </c>
      <c r="AH32" t="n">
        <v>2</v>
      </c>
      <c r="AI32" t="n">
        <v>2</v>
      </c>
      <c r="AJ32" t="n">
        <v>5</v>
      </c>
      <c r="AK32" t="n">
        <v>5</v>
      </c>
      <c r="AL32" t="n">
        <v>0</v>
      </c>
      <c r="AM32" t="n">
        <v>0</v>
      </c>
      <c r="AN32" t="n">
        <v>0</v>
      </c>
      <c r="AO32" t="n">
        <v>0</v>
      </c>
      <c r="AP32" t="inlineStr">
        <is>
          <t>No</t>
        </is>
      </c>
      <c r="AQ32" t="inlineStr">
        <is>
          <t>Yes</t>
        </is>
      </c>
      <c r="AR32">
        <f>HYPERLINK("http://catalog.hathitrust.org/Record/002780196","HathiTrust Record")</f>
        <v/>
      </c>
      <c r="AS32">
        <f>HYPERLINK("https://creighton-primo.hosted.exlibrisgroup.com/primo-explore/search?tab=default_tab&amp;search_scope=EVERYTHING&amp;vid=01CRU&amp;lang=en_US&amp;offset=0&amp;query=any,contains,991002139679702656","Catalog Record")</f>
        <v/>
      </c>
      <c r="AT32">
        <f>HYPERLINK("http://www.worldcat.org/oclc/27430999","WorldCat Record")</f>
        <v/>
      </c>
      <c r="AU32" t="inlineStr">
        <is>
          <t>331648:eng</t>
        </is>
      </c>
      <c r="AV32" t="inlineStr">
        <is>
          <t>27430999</t>
        </is>
      </c>
      <c r="AW32" t="inlineStr">
        <is>
          <t>991002139679702656</t>
        </is>
      </c>
      <c r="AX32" t="inlineStr">
        <is>
          <t>991002139679702656</t>
        </is>
      </c>
      <c r="AY32" t="inlineStr">
        <is>
          <t>2266078990002656</t>
        </is>
      </c>
      <c r="AZ32" t="inlineStr">
        <is>
          <t>BOOK</t>
        </is>
      </c>
      <c r="BB32" t="inlineStr">
        <is>
          <t>9780313288678</t>
        </is>
      </c>
      <c r="BC32" t="inlineStr">
        <is>
          <t>32285001876621</t>
        </is>
      </c>
      <c r="BD32" t="inlineStr">
        <is>
          <t>893316436</t>
        </is>
      </c>
    </row>
    <row r="33">
      <c r="A33" t="inlineStr">
        <is>
          <t>No</t>
        </is>
      </c>
      <c r="B33" t="inlineStr">
        <is>
          <t>E112 .F57 1992</t>
        </is>
      </c>
      <c r="C33" t="inlineStr">
        <is>
          <t>0                      E  0112000F  57          1992</t>
        </is>
      </c>
      <c r="D33" t="inlineStr">
        <is>
          <t>The imaginative landscape of Christopher Columbus / Valerie I.J. Flint.</t>
        </is>
      </c>
      <c r="F33" t="inlineStr">
        <is>
          <t>No</t>
        </is>
      </c>
      <c r="G33" t="inlineStr">
        <is>
          <t>1</t>
        </is>
      </c>
      <c r="H33" t="inlineStr">
        <is>
          <t>No</t>
        </is>
      </c>
      <c r="I33" t="inlineStr">
        <is>
          <t>No</t>
        </is>
      </c>
      <c r="J33" t="inlineStr">
        <is>
          <t>0</t>
        </is>
      </c>
      <c r="K33" t="inlineStr">
        <is>
          <t>Flint, Valerie I. J. (Valerie Irene Jane), 1936-2009.</t>
        </is>
      </c>
      <c r="L33" t="inlineStr">
        <is>
          <t>Princeton, N.J. : Princeton University Press, 1992.</t>
        </is>
      </c>
      <c r="M33" t="inlineStr">
        <is>
          <t>1992</t>
        </is>
      </c>
      <c r="O33" t="inlineStr">
        <is>
          <t>eng</t>
        </is>
      </c>
      <c r="P33" t="inlineStr">
        <is>
          <t>nju</t>
        </is>
      </c>
      <c r="R33" t="inlineStr">
        <is>
          <t xml:space="preserve">E  </t>
        </is>
      </c>
      <c r="S33" t="n">
        <v>7</v>
      </c>
      <c r="T33" t="n">
        <v>7</v>
      </c>
      <c r="U33" t="inlineStr">
        <is>
          <t>2002-02-19</t>
        </is>
      </c>
      <c r="V33" t="inlineStr">
        <is>
          <t>2002-02-19</t>
        </is>
      </c>
      <c r="W33" t="inlineStr">
        <is>
          <t>1992-10-27</t>
        </is>
      </c>
      <c r="X33" t="inlineStr">
        <is>
          <t>1992-10-27</t>
        </is>
      </c>
      <c r="Y33" t="n">
        <v>590</v>
      </c>
      <c r="Z33" t="n">
        <v>473</v>
      </c>
      <c r="AA33" t="n">
        <v>641</v>
      </c>
      <c r="AB33" t="n">
        <v>4</v>
      </c>
      <c r="AC33" t="n">
        <v>4</v>
      </c>
      <c r="AD33" t="n">
        <v>23</v>
      </c>
      <c r="AE33" t="n">
        <v>29</v>
      </c>
      <c r="AF33" t="n">
        <v>4</v>
      </c>
      <c r="AG33" t="n">
        <v>9</v>
      </c>
      <c r="AH33" t="n">
        <v>9</v>
      </c>
      <c r="AI33" t="n">
        <v>10</v>
      </c>
      <c r="AJ33" t="n">
        <v>12</v>
      </c>
      <c r="AK33" t="n">
        <v>15</v>
      </c>
      <c r="AL33" t="n">
        <v>3</v>
      </c>
      <c r="AM33" t="n">
        <v>3</v>
      </c>
      <c r="AN33" t="n">
        <v>0</v>
      </c>
      <c r="AO33" t="n">
        <v>0</v>
      </c>
      <c r="AP33" t="inlineStr">
        <is>
          <t>No</t>
        </is>
      </c>
      <c r="AQ33" t="inlineStr">
        <is>
          <t>No</t>
        </is>
      </c>
      <c r="AS33">
        <f>HYPERLINK("https://creighton-primo.hosted.exlibrisgroup.com/primo-explore/search?tab=default_tab&amp;search_scope=EVERYTHING&amp;vid=01CRU&amp;lang=en_US&amp;offset=0&amp;query=any,contains,991001991359702656","Catalog Record")</f>
        <v/>
      </c>
      <c r="AT33">
        <f>HYPERLINK("http://www.worldcat.org/oclc/25283983","WorldCat Record")</f>
        <v/>
      </c>
      <c r="AU33" t="inlineStr">
        <is>
          <t>24199384:eng</t>
        </is>
      </c>
      <c r="AV33" t="inlineStr">
        <is>
          <t>25283983</t>
        </is>
      </c>
      <c r="AW33" t="inlineStr">
        <is>
          <t>991001991359702656</t>
        </is>
      </c>
      <c r="AX33" t="inlineStr">
        <is>
          <t>991001991359702656</t>
        </is>
      </c>
      <c r="AY33" t="inlineStr">
        <is>
          <t>2272685240002656</t>
        </is>
      </c>
      <c r="AZ33" t="inlineStr">
        <is>
          <t>BOOK</t>
        </is>
      </c>
      <c r="BB33" t="inlineStr">
        <is>
          <t>9780691056814</t>
        </is>
      </c>
      <c r="BC33" t="inlineStr">
        <is>
          <t>32285001319291</t>
        </is>
      </c>
      <c r="BD33" t="inlineStr">
        <is>
          <t>893703544</t>
        </is>
      </c>
    </row>
    <row r="34">
      <c r="A34" t="inlineStr">
        <is>
          <t>No</t>
        </is>
      </c>
      <c r="B34" t="inlineStr">
        <is>
          <t>E112 .S16 1991</t>
        </is>
      </c>
      <c r="C34" t="inlineStr">
        <is>
          <t>0                      E  0112000S  16          1991</t>
        </is>
      </c>
      <c r="D34" t="inlineStr">
        <is>
          <t>The conquest of paradise : Christopher Columbus and the Columbian legacy / Kirkpatrick Sale.</t>
        </is>
      </c>
      <c r="F34" t="inlineStr">
        <is>
          <t>No</t>
        </is>
      </c>
      <c r="G34" t="inlineStr">
        <is>
          <t>1</t>
        </is>
      </c>
      <c r="H34" t="inlineStr">
        <is>
          <t>No</t>
        </is>
      </c>
      <c r="I34" t="inlineStr">
        <is>
          <t>No</t>
        </is>
      </c>
      <c r="J34" t="inlineStr">
        <is>
          <t>0</t>
        </is>
      </c>
      <c r="K34" t="inlineStr">
        <is>
          <t>Sale, Kirkpatrick.</t>
        </is>
      </c>
      <c r="L34" t="inlineStr">
        <is>
          <t>New York : Plume, 1991.</t>
        </is>
      </c>
      <c r="M34" t="inlineStr">
        <is>
          <t>1991</t>
        </is>
      </c>
      <c r="O34" t="inlineStr">
        <is>
          <t>eng</t>
        </is>
      </c>
      <c r="P34" t="inlineStr">
        <is>
          <t>nyu</t>
        </is>
      </c>
      <c r="R34" t="inlineStr">
        <is>
          <t xml:space="preserve">E  </t>
        </is>
      </c>
      <c r="S34" t="n">
        <v>25</v>
      </c>
      <c r="T34" t="n">
        <v>25</v>
      </c>
      <c r="U34" t="inlineStr">
        <is>
          <t>2004-09-01</t>
        </is>
      </c>
      <c r="V34" t="inlineStr">
        <is>
          <t>2004-09-01</t>
        </is>
      </c>
      <c r="W34" t="inlineStr">
        <is>
          <t>1992-08-14</t>
        </is>
      </c>
      <c r="X34" t="inlineStr">
        <is>
          <t>1992-08-14</t>
        </is>
      </c>
      <c r="Y34" t="n">
        <v>456</v>
      </c>
      <c r="Z34" t="n">
        <v>418</v>
      </c>
      <c r="AA34" t="n">
        <v>1857</v>
      </c>
      <c r="AB34" t="n">
        <v>3</v>
      </c>
      <c r="AC34" t="n">
        <v>11</v>
      </c>
      <c r="AD34" t="n">
        <v>12</v>
      </c>
      <c r="AE34" t="n">
        <v>53</v>
      </c>
      <c r="AF34" t="n">
        <v>6</v>
      </c>
      <c r="AG34" t="n">
        <v>22</v>
      </c>
      <c r="AH34" t="n">
        <v>2</v>
      </c>
      <c r="AI34" t="n">
        <v>11</v>
      </c>
      <c r="AJ34" t="n">
        <v>3</v>
      </c>
      <c r="AK34" t="n">
        <v>24</v>
      </c>
      <c r="AL34" t="n">
        <v>2</v>
      </c>
      <c r="AM34" t="n">
        <v>9</v>
      </c>
      <c r="AN34" t="n">
        <v>0</v>
      </c>
      <c r="AO34" t="n">
        <v>0</v>
      </c>
      <c r="AP34" t="inlineStr">
        <is>
          <t>No</t>
        </is>
      </c>
      <c r="AQ34" t="inlineStr">
        <is>
          <t>No</t>
        </is>
      </c>
      <c r="AS34">
        <f>HYPERLINK("https://creighton-primo.hosted.exlibrisgroup.com/primo-explore/search?tab=default_tab&amp;search_scope=EVERYTHING&amp;vid=01CRU&amp;lang=en_US&amp;offset=0&amp;query=any,contains,991001895469702656","Catalog Record")</f>
        <v/>
      </c>
      <c r="AT34">
        <f>HYPERLINK("http://www.worldcat.org/oclc/23940970","WorldCat Record")</f>
        <v/>
      </c>
      <c r="AU34" t="inlineStr">
        <is>
          <t>20548815:eng</t>
        </is>
      </c>
      <c r="AV34" t="inlineStr">
        <is>
          <t>23940970</t>
        </is>
      </c>
      <c r="AW34" t="inlineStr">
        <is>
          <t>991001895469702656</t>
        </is>
      </c>
      <c r="AX34" t="inlineStr">
        <is>
          <t>991001895469702656</t>
        </is>
      </c>
      <c r="AY34" t="inlineStr">
        <is>
          <t>2267462910002656</t>
        </is>
      </c>
      <c r="AZ34" t="inlineStr">
        <is>
          <t>BOOK</t>
        </is>
      </c>
      <c r="BB34" t="inlineStr">
        <is>
          <t>9780452266698</t>
        </is>
      </c>
      <c r="BC34" t="inlineStr">
        <is>
          <t>32285001197812</t>
        </is>
      </c>
      <c r="BD34" t="inlineStr">
        <is>
          <t>893439516</t>
        </is>
      </c>
    </row>
    <row r="35">
      <c r="A35" t="inlineStr">
        <is>
          <t>No</t>
        </is>
      </c>
      <c r="B35" t="inlineStr">
        <is>
          <t>E119.2 .R48 1998</t>
        </is>
      </c>
      <c r="C35" t="inlineStr">
        <is>
          <t>0                      E  0119200R  48          1998</t>
        </is>
      </c>
      <c r="D35" t="inlineStr">
        <is>
          <t>Rethinking Columbus : the next 500 years / edited by Bill Bigelow and Bob Peterson.</t>
        </is>
      </c>
      <c r="F35" t="inlineStr">
        <is>
          <t>No</t>
        </is>
      </c>
      <c r="G35" t="inlineStr">
        <is>
          <t>1</t>
        </is>
      </c>
      <c r="H35" t="inlineStr">
        <is>
          <t>No</t>
        </is>
      </c>
      <c r="I35" t="inlineStr">
        <is>
          <t>No</t>
        </is>
      </c>
      <c r="J35" t="inlineStr">
        <is>
          <t>0</t>
        </is>
      </c>
      <c r="L35" t="inlineStr">
        <is>
          <t>Milwaukee, Wisc. : Rethinking Schools, c1998.</t>
        </is>
      </c>
      <c r="M35" t="inlineStr">
        <is>
          <t>1998</t>
        </is>
      </c>
      <c r="N35" t="inlineStr">
        <is>
          <t>2nd ed.</t>
        </is>
      </c>
      <c r="O35" t="inlineStr">
        <is>
          <t>eng</t>
        </is>
      </c>
      <c r="P35" t="inlineStr">
        <is>
          <t>wiu</t>
        </is>
      </c>
      <c r="R35" t="inlineStr">
        <is>
          <t xml:space="preserve">E  </t>
        </is>
      </c>
      <c r="S35" t="n">
        <v>1</v>
      </c>
      <c r="T35" t="n">
        <v>1</v>
      </c>
      <c r="U35" t="inlineStr">
        <is>
          <t>2004-03-15</t>
        </is>
      </c>
      <c r="V35" t="inlineStr">
        <is>
          <t>2004-03-15</t>
        </is>
      </c>
      <c r="W35" t="inlineStr">
        <is>
          <t>2004-03-15</t>
        </is>
      </c>
      <c r="X35" t="inlineStr">
        <is>
          <t>2004-03-15</t>
        </is>
      </c>
      <c r="Y35" t="n">
        <v>665</v>
      </c>
      <c r="Z35" t="n">
        <v>626</v>
      </c>
      <c r="AA35" t="n">
        <v>641</v>
      </c>
      <c r="AB35" t="n">
        <v>6</v>
      </c>
      <c r="AC35" t="n">
        <v>6</v>
      </c>
      <c r="AD35" t="n">
        <v>20</v>
      </c>
      <c r="AE35" t="n">
        <v>20</v>
      </c>
      <c r="AF35" t="n">
        <v>8</v>
      </c>
      <c r="AG35" t="n">
        <v>8</v>
      </c>
      <c r="AH35" t="n">
        <v>3</v>
      </c>
      <c r="AI35" t="n">
        <v>3</v>
      </c>
      <c r="AJ35" t="n">
        <v>10</v>
      </c>
      <c r="AK35" t="n">
        <v>10</v>
      </c>
      <c r="AL35" t="n">
        <v>4</v>
      </c>
      <c r="AM35" t="n">
        <v>4</v>
      </c>
      <c r="AN35" t="n">
        <v>0</v>
      </c>
      <c r="AO35" t="n">
        <v>0</v>
      </c>
      <c r="AP35" t="inlineStr">
        <is>
          <t>No</t>
        </is>
      </c>
      <c r="AQ35" t="inlineStr">
        <is>
          <t>Yes</t>
        </is>
      </c>
      <c r="AR35">
        <f>HYPERLINK("http://catalog.hathitrust.org/Record/004059816","HathiTrust Record")</f>
        <v/>
      </c>
      <c r="AS35">
        <f>HYPERLINK("https://creighton-primo.hosted.exlibrisgroup.com/primo-explore/search?tab=default_tab&amp;search_scope=EVERYTHING&amp;vid=01CRU&amp;lang=en_US&amp;offset=0&amp;query=any,contains,991004262579702656","Catalog Record")</f>
        <v/>
      </c>
      <c r="AT35">
        <f>HYPERLINK("http://www.worldcat.org/oclc/40195492","WorldCat Record")</f>
        <v/>
      </c>
      <c r="AU35" t="inlineStr">
        <is>
          <t>407583438:eng</t>
        </is>
      </c>
      <c r="AV35" t="inlineStr">
        <is>
          <t>40195492</t>
        </is>
      </c>
      <c r="AW35" t="inlineStr">
        <is>
          <t>991004262579702656</t>
        </is>
      </c>
      <c r="AX35" t="inlineStr">
        <is>
          <t>991004262579702656</t>
        </is>
      </c>
      <c r="AY35" t="inlineStr">
        <is>
          <t>2268252720002656</t>
        </is>
      </c>
      <c r="AZ35" t="inlineStr">
        <is>
          <t>BOOK</t>
        </is>
      </c>
      <c r="BB35" t="inlineStr">
        <is>
          <t>9780942961201</t>
        </is>
      </c>
      <c r="BC35" t="inlineStr">
        <is>
          <t>32285004893326</t>
        </is>
      </c>
      <c r="BD35" t="inlineStr">
        <is>
          <t>893800789</t>
        </is>
      </c>
    </row>
    <row r="36">
      <c r="A36" t="inlineStr">
        <is>
          <t>No</t>
        </is>
      </c>
      <c r="B36" t="inlineStr">
        <is>
          <t>E121 .E9</t>
        </is>
      </c>
      <c r="C36" t="inlineStr">
        <is>
          <t>0                      E  0121000E  9</t>
        </is>
      </c>
      <c r="D36" t="inlineStr">
        <is>
          <t>The Exploration of North America, 1630-1776 / W. P. Cumming ... [et al.].</t>
        </is>
      </c>
      <c r="F36" t="inlineStr">
        <is>
          <t>No</t>
        </is>
      </c>
      <c r="G36" t="inlineStr">
        <is>
          <t>1</t>
        </is>
      </c>
      <c r="H36" t="inlineStr">
        <is>
          <t>No</t>
        </is>
      </c>
      <c r="I36" t="inlineStr">
        <is>
          <t>No</t>
        </is>
      </c>
      <c r="J36" t="inlineStr">
        <is>
          <t>0</t>
        </is>
      </c>
      <c r="L36" t="inlineStr">
        <is>
          <t>New York : Putnam, 1974.</t>
        </is>
      </c>
      <c r="M36" t="inlineStr">
        <is>
          <t>1974</t>
        </is>
      </c>
      <c r="O36" t="inlineStr">
        <is>
          <t>eng</t>
        </is>
      </c>
      <c r="P36" t="inlineStr">
        <is>
          <t>nyu</t>
        </is>
      </c>
      <c r="R36" t="inlineStr">
        <is>
          <t xml:space="preserve">E  </t>
        </is>
      </c>
      <c r="S36" t="n">
        <v>3</v>
      </c>
      <c r="T36" t="n">
        <v>3</v>
      </c>
      <c r="U36" t="inlineStr">
        <is>
          <t>1995-11-01</t>
        </is>
      </c>
      <c r="V36" t="inlineStr">
        <is>
          <t>1995-11-01</t>
        </is>
      </c>
      <c r="W36" t="inlineStr">
        <is>
          <t>1990-09-21</t>
        </is>
      </c>
      <c r="X36" t="inlineStr">
        <is>
          <t>1990-09-21</t>
        </is>
      </c>
      <c r="Y36" t="n">
        <v>1040</v>
      </c>
      <c r="Z36" t="n">
        <v>988</v>
      </c>
      <c r="AA36" t="n">
        <v>1028</v>
      </c>
      <c r="AB36" t="n">
        <v>11</v>
      </c>
      <c r="AC36" t="n">
        <v>11</v>
      </c>
      <c r="AD36" t="n">
        <v>34</v>
      </c>
      <c r="AE36" t="n">
        <v>34</v>
      </c>
      <c r="AF36" t="n">
        <v>14</v>
      </c>
      <c r="AG36" t="n">
        <v>14</v>
      </c>
      <c r="AH36" t="n">
        <v>5</v>
      </c>
      <c r="AI36" t="n">
        <v>5</v>
      </c>
      <c r="AJ36" t="n">
        <v>12</v>
      </c>
      <c r="AK36" t="n">
        <v>12</v>
      </c>
      <c r="AL36" t="n">
        <v>8</v>
      </c>
      <c r="AM36" t="n">
        <v>8</v>
      </c>
      <c r="AN36" t="n">
        <v>0</v>
      </c>
      <c r="AO36" t="n">
        <v>0</v>
      </c>
      <c r="AP36" t="inlineStr">
        <is>
          <t>No</t>
        </is>
      </c>
      <c r="AQ36" t="inlineStr">
        <is>
          <t>No</t>
        </is>
      </c>
      <c r="AS36">
        <f>HYPERLINK("https://creighton-primo.hosted.exlibrisgroup.com/primo-explore/search?tab=default_tab&amp;search_scope=EVERYTHING&amp;vid=01CRU&amp;lang=en_US&amp;offset=0&amp;query=any,contains,991003552039702656","Catalog Record")</f>
        <v/>
      </c>
      <c r="AT36">
        <f>HYPERLINK("http://www.worldcat.org/oclc/1119980","WorldCat Record")</f>
        <v/>
      </c>
      <c r="AU36" t="inlineStr">
        <is>
          <t>752733626:eng</t>
        </is>
      </c>
      <c r="AV36" t="inlineStr">
        <is>
          <t>1119980</t>
        </is>
      </c>
      <c r="AW36" t="inlineStr">
        <is>
          <t>991003552039702656</t>
        </is>
      </c>
      <c r="AX36" t="inlineStr">
        <is>
          <t>991003552039702656</t>
        </is>
      </c>
      <c r="AY36" t="inlineStr">
        <is>
          <t>2255942510002656</t>
        </is>
      </c>
      <c r="AZ36" t="inlineStr">
        <is>
          <t>BOOK</t>
        </is>
      </c>
      <c r="BB36" t="inlineStr">
        <is>
          <t>9780399114076</t>
        </is>
      </c>
      <c r="BC36" t="inlineStr">
        <is>
          <t>32285000307982</t>
        </is>
      </c>
      <c r="BD36" t="inlineStr">
        <is>
          <t>893692832</t>
        </is>
      </c>
    </row>
    <row r="37">
      <c r="A37" t="inlineStr">
        <is>
          <t>No</t>
        </is>
      </c>
      <c r="B37" t="inlineStr">
        <is>
          <t>E121 .G7 1992</t>
        </is>
      </c>
      <c r="C37" t="inlineStr">
        <is>
          <t>0                      E  0121000G  7           1992</t>
        </is>
      </c>
      <c r="D37" t="inlineStr">
        <is>
          <t>New worlds, ancient texts : the power of tradition and the shock of discovery / Anthony Grafton with April Shelford and Nancy Siraisi.</t>
        </is>
      </c>
      <c r="F37" t="inlineStr">
        <is>
          <t>No</t>
        </is>
      </c>
      <c r="G37" t="inlineStr">
        <is>
          <t>1</t>
        </is>
      </c>
      <c r="H37" t="inlineStr">
        <is>
          <t>No</t>
        </is>
      </c>
      <c r="I37" t="inlineStr">
        <is>
          <t>No</t>
        </is>
      </c>
      <c r="J37" t="inlineStr">
        <is>
          <t>0</t>
        </is>
      </c>
      <c r="K37" t="inlineStr">
        <is>
          <t>Grafton, Anthony.</t>
        </is>
      </c>
      <c r="L37" t="inlineStr">
        <is>
          <t>Cambridge, Mass. : Harvard University Press, 1992.</t>
        </is>
      </c>
      <c r="M37" t="inlineStr">
        <is>
          <t>1992</t>
        </is>
      </c>
      <c r="O37" t="inlineStr">
        <is>
          <t>eng</t>
        </is>
      </c>
      <c r="P37" t="inlineStr">
        <is>
          <t>mau</t>
        </is>
      </c>
      <c r="R37" t="inlineStr">
        <is>
          <t xml:space="preserve">E  </t>
        </is>
      </c>
      <c r="S37" t="n">
        <v>4</v>
      </c>
      <c r="T37" t="n">
        <v>4</v>
      </c>
      <c r="U37" t="inlineStr">
        <is>
          <t>1994-09-18</t>
        </is>
      </c>
      <c r="V37" t="inlineStr">
        <is>
          <t>1994-09-18</t>
        </is>
      </c>
      <c r="W37" t="inlineStr">
        <is>
          <t>1993-06-07</t>
        </is>
      </c>
      <c r="X37" t="inlineStr">
        <is>
          <t>1993-06-07</t>
        </is>
      </c>
      <c r="Y37" t="n">
        <v>874</v>
      </c>
      <c r="Z37" t="n">
        <v>673</v>
      </c>
      <c r="AA37" t="n">
        <v>824</v>
      </c>
      <c r="AB37" t="n">
        <v>5</v>
      </c>
      <c r="AC37" t="n">
        <v>7</v>
      </c>
      <c r="AD37" t="n">
        <v>33</v>
      </c>
      <c r="AE37" t="n">
        <v>43</v>
      </c>
      <c r="AF37" t="n">
        <v>14</v>
      </c>
      <c r="AG37" t="n">
        <v>19</v>
      </c>
      <c r="AH37" t="n">
        <v>7</v>
      </c>
      <c r="AI37" t="n">
        <v>10</v>
      </c>
      <c r="AJ37" t="n">
        <v>17</v>
      </c>
      <c r="AK37" t="n">
        <v>19</v>
      </c>
      <c r="AL37" t="n">
        <v>4</v>
      </c>
      <c r="AM37" t="n">
        <v>6</v>
      </c>
      <c r="AN37" t="n">
        <v>0</v>
      </c>
      <c r="AO37" t="n">
        <v>0</v>
      </c>
      <c r="AP37" t="inlineStr">
        <is>
          <t>No</t>
        </is>
      </c>
      <c r="AQ37" t="inlineStr">
        <is>
          <t>Yes</t>
        </is>
      </c>
      <c r="AR37">
        <f>HYPERLINK("http://catalog.hathitrust.org/Record/002573934","HathiTrust Record")</f>
        <v/>
      </c>
      <c r="AS37">
        <f>HYPERLINK("https://creighton-primo.hosted.exlibrisgroup.com/primo-explore/search?tab=default_tab&amp;search_scope=EVERYTHING&amp;vid=01CRU&amp;lang=en_US&amp;offset=0&amp;query=any,contains,991002021359702656","Catalog Record")</f>
        <v/>
      </c>
      <c r="AT37">
        <f>HYPERLINK("http://www.worldcat.org/oclc/25712175","WorldCat Record")</f>
        <v/>
      </c>
      <c r="AU37" t="inlineStr">
        <is>
          <t>2682478:eng</t>
        </is>
      </c>
      <c r="AV37" t="inlineStr">
        <is>
          <t>25712175</t>
        </is>
      </c>
      <c r="AW37" t="inlineStr">
        <is>
          <t>991002021359702656</t>
        </is>
      </c>
      <c r="AX37" t="inlineStr">
        <is>
          <t>991002021359702656</t>
        </is>
      </c>
      <c r="AY37" t="inlineStr">
        <is>
          <t>2266548050002656</t>
        </is>
      </c>
      <c r="AZ37" t="inlineStr">
        <is>
          <t>BOOK</t>
        </is>
      </c>
      <c r="BB37" t="inlineStr">
        <is>
          <t>9780674618756</t>
        </is>
      </c>
      <c r="BC37" t="inlineStr">
        <is>
          <t>32285001584233</t>
        </is>
      </c>
      <c r="BD37" t="inlineStr">
        <is>
          <t>893879411</t>
        </is>
      </c>
    </row>
    <row r="38">
      <c r="A38" t="inlineStr">
        <is>
          <t>No</t>
        </is>
      </c>
      <c r="B38" t="inlineStr">
        <is>
          <t>E123 .W66 2000</t>
        </is>
      </c>
      <c r="C38" t="inlineStr">
        <is>
          <t>0                      E  0123000W  66          2000</t>
        </is>
      </c>
      <c r="D38" t="inlineStr">
        <is>
          <t>Conquistadors / Michael Wood.</t>
        </is>
      </c>
      <c r="F38" t="inlineStr">
        <is>
          <t>No</t>
        </is>
      </c>
      <c r="G38" t="inlineStr">
        <is>
          <t>1</t>
        </is>
      </c>
      <c r="H38" t="inlineStr">
        <is>
          <t>No</t>
        </is>
      </c>
      <c r="I38" t="inlineStr">
        <is>
          <t>No</t>
        </is>
      </c>
      <c r="J38" t="inlineStr">
        <is>
          <t>0</t>
        </is>
      </c>
      <c r="K38" t="inlineStr">
        <is>
          <t>Wood, Michael, 1948-</t>
        </is>
      </c>
      <c r="L38" t="inlineStr">
        <is>
          <t>Berkeley, Calif. : University of California Press, 2000.</t>
        </is>
      </c>
      <c r="M38" t="inlineStr">
        <is>
          <t>2000</t>
        </is>
      </c>
      <c r="O38" t="inlineStr">
        <is>
          <t>eng</t>
        </is>
      </c>
      <c r="P38" t="inlineStr">
        <is>
          <t>cau</t>
        </is>
      </c>
      <c r="R38" t="inlineStr">
        <is>
          <t xml:space="preserve">E  </t>
        </is>
      </c>
      <c r="S38" t="n">
        <v>9</v>
      </c>
      <c r="T38" t="n">
        <v>9</v>
      </c>
      <c r="U38" t="inlineStr">
        <is>
          <t>2005-10-05</t>
        </is>
      </c>
      <c r="V38" t="inlineStr">
        <is>
          <t>2005-10-05</t>
        </is>
      </c>
      <c r="W38" t="inlineStr">
        <is>
          <t>2001-07-09</t>
        </is>
      </c>
      <c r="X38" t="inlineStr">
        <is>
          <t>2001-07-09</t>
        </is>
      </c>
      <c r="Y38" t="n">
        <v>1221</v>
      </c>
      <c r="Z38" t="n">
        <v>1175</v>
      </c>
      <c r="AA38" t="n">
        <v>1235</v>
      </c>
      <c r="AB38" t="n">
        <v>8</v>
      </c>
      <c r="AC38" t="n">
        <v>8</v>
      </c>
      <c r="AD38" t="n">
        <v>21</v>
      </c>
      <c r="AE38" t="n">
        <v>21</v>
      </c>
      <c r="AF38" t="n">
        <v>8</v>
      </c>
      <c r="AG38" t="n">
        <v>8</v>
      </c>
      <c r="AH38" t="n">
        <v>5</v>
      </c>
      <c r="AI38" t="n">
        <v>5</v>
      </c>
      <c r="AJ38" t="n">
        <v>10</v>
      </c>
      <c r="AK38" t="n">
        <v>10</v>
      </c>
      <c r="AL38" t="n">
        <v>3</v>
      </c>
      <c r="AM38" t="n">
        <v>3</v>
      </c>
      <c r="AN38" t="n">
        <v>0</v>
      </c>
      <c r="AO38" t="n">
        <v>0</v>
      </c>
      <c r="AP38" t="inlineStr">
        <is>
          <t>No</t>
        </is>
      </c>
      <c r="AQ38" t="inlineStr">
        <is>
          <t>No</t>
        </is>
      </c>
      <c r="AS38">
        <f>HYPERLINK("https://creighton-primo.hosted.exlibrisgroup.com/primo-explore/search?tab=default_tab&amp;search_scope=EVERYTHING&amp;vid=01CRU&amp;lang=en_US&amp;offset=0&amp;query=any,contains,991003540909702656","Catalog Record")</f>
        <v/>
      </c>
      <c r="AT38">
        <f>HYPERLINK("http://www.worldcat.org/oclc/46621628","WorldCat Record")</f>
        <v/>
      </c>
      <c r="AU38" t="inlineStr">
        <is>
          <t>3768983552:eng</t>
        </is>
      </c>
      <c r="AV38" t="inlineStr">
        <is>
          <t>46621628</t>
        </is>
      </c>
      <c r="AW38" t="inlineStr">
        <is>
          <t>991003540909702656</t>
        </is>
      </c>
      <c r="AX38" t="inlineStr">
        <is>
          <t>991003540909702656</t>
        </is>
      </c>
      <c r="AY38" t="inlineStr">
        <is>
          <t>2258030630002656</t>
        </is>
      </c>
      <c r="AZ38" t="inlineStr">
        <is>
          <t>BOOK</t>
        </is>
      </c>
      <c r="BB38" t="inlineStr">
        <is>
          <t>9780520230644</t>
        </is>
      </c>
      <c r="BC38" t="inlineStr">
        <is>
          <t>32285004330386</t>
        </is>
      </c>
      <c r="BD38" t="inlineStr">
        <is>
          <t>893611153</t>
        </is>
      </c>
    </row>
    <row r="39">
      <c r="A39" t="inlineStr">
        <is>
          <t>No</t>
        </is>
      </c>
      <c r="B39" t="inlineStr">
        <is>
          <t>E125.N9 L3 1961</t>
        </is>
      </c>
      <c r="C39" t="inlineStr">
        <is>
          <t>0                      E  0125000N  9                  L  3           1961</t>
        </is>
      </c>
      <c r="D39" t="inlineStr">
        <is>
          <t>Noticia sobre Alvar Núñez Cabeza de Vaca / Carlos Lacalle ; hazañas americanas de un caballero andaluz.</t>
        </is>
      </c>
      <c r="F39" t="inlineStr">
        <is>
          <t>No</t>
        </is>
      </c>
      <c r="G39" t="inlineStr">
        <is>
          <t>1</t>
        </is>
      </c>
      <c r="H39" t="inlineStr">
        <is>
          <t>No</t>
        </is>
      </c>
      <c r="I39" t="inlineStr">
        <is>
          <t>No</t>
        </is>
      </c>
      <c r="J39" t="inlineStr">
        <is>
          <t>0</t>
        </is>
      </c>
      <c r="K39" t="inlineStr">
        <is>
          <t>Lacalle, Carlos, 1909-</t>
        </is>
      </c>
      <c r="L39" t="inlineStr">
        <is>
          <t>Madrid : Instituto de Cultura Hispánica, 1961.</t>
        </is>
      </c>
      <c r="M39" t="inlineStr">
        <is>
          <t>1961</t>
        </is>
      </c>
      <c r="O39" t="inlineStr">
        <is>
          <t>spa</t>
        </is>
      </c>
      <c r="P39" t="inlineStr">
        <is>
          <t xml:space="preserve">sp </t>
        </is>
      </c>
      <c r="Q39" t="inlineStr">
        <is>
          <t>Colección Nuevo Mundo</t>
        </is>
      </c>
      <c r="R39" t="inlineStr">
        <is>
          <t xml:space="preserve">E  </t>
        </is>
      </c>
      <c r="S39" t="n">
        <v>1</v>
      </c>
      <c r="T39" t="n">
        <v>1</v>
      </c>
      <c r="U39" t="inlineStr">
        <is>
          <t>2005-04-06</t>
        </is>
      </c>
      <c r="V39" t="inlineStr">
        <is>
          <t>2005-04-06</t>
        </is>
      </c>
      <c r="W39" t="inlineStr">
        <is>
          <t>2005-04-06</t>
        </is>
      </c>
      <c r="X39" t="inlineStr">
        <is>
          <t>2005-04-06</t>
        </is>
      </c>
      <c r="Y39" t="n">
        <v>91</v>
      </c>
      <c r="Z39" t="n">
        <v>70</v>
      </c>
      <c r="AA39" t="n">
        <v>72</v>
      </c>
      <c r="AB39" t="n">
        <v>2</v>
      </c>
      <c r="AC39" t="n">
        <v>2</v>
      </c>
      <c r="AD39" t="n">
        <v>2</v>
      </c>
      <c r="AE39" t="n">
        <v>2</v>
      </c>
      <c r="AF39" t="n">
        <v>0</v>
      </c>
      <c r="AG39" t="n">
        <v>0</v>
      </c>
      <c r="AH39" t="n">
        <v>0</v>
      </c>
      <c r="AI39" t="n">
        <v>0</v>
      </c>
      <c r="AJ39" t="n">
        <v>1</v>
      </c>
      <c r="AK39" t="n">
        <v>1</v>
      </c>
      <c r="AL39" t="n">
        <v>1</v>
      </c>
      <c r="AM39" t="n">
        <v>1</v>
      </c>
      <c r="AN39" t="n">
        <v>0</v>
      </c>
      <c r="AO39" t="n">
        <v>0</v>
      </c>
      <c r="AP39" t="inlineStr">
        <is>
          <t>No</t>
        </is>
      </c>
      <c r="AQ39" t="inlineStr">
        <is>
          <t>Yes</t>
        </is>
      </c>
      <c r="AR39">
        <f>HYPERLINK("http://catalog.hathitrust.org/Record/007369822","HathiTrust Record")</f>
        <v/>
      </c>
      <c r="AS39">
        <f>HYPERLINK("https://creighton-primo.hosted.exlibrisgroup.com/primo-explore/search?tab=default_tab&amp;search_scope=EVERYTHING&amp;vid=01CRU&amp;lang=en_US&amp;offset=0&amp;query=any,contains,991004522809702656","Catalog Record")</f>
        <v/>
      </c>
      <c r="AT39">
        <f>HYPERLINK("http://www.worldcat.org/oclc/666201","WorldCat Record")</f>
        <v/>
      </c>
      <c r="AU39" t="inlineStr">
        <is>
          <t>4020623369:spa</t>
        </is>
      </c>
      <c r="AV39" t="inlineStr">
        <is>
          <t>666201</t>
        </is>
      </c>
      <c r="AW39" t="inlineStr">
        <is>
          <t>991004522809702656</t>
        </is>
      </c>
      <c r="AX39" t="inlineStr">
        <is>
          <t>991004522809702656</t>
        </is>
      </c>
      <c r="AY39" t="inlineStr">
        <is>
          <t>2271104630002656</t>
        </is>
      </c>
      <c r="AZ39" t="inlineStr">
        <is>
          <t>BOOK</t>
        </is>
      </c>
      <c r="BC39" t="inlineStr">
        <is>
          <t>32285005048201</t>
        </is>
      </c>
      <c r="BD39" t="inlineStr">
        <is>
          <t>893794957</t>
        </is>
      </c>
    </row>
    <row r="40">
      <c r="A40" t="inlineStr">
        <is>
          <t>No</t>
        </is>
      </c>
      <c r="B40" t="inlineStr">
        <is>
          <t>E127 .P68 1977</t>
        </is>
      </c>
      <c r="C40" t="inlineStr">
        <is>
          <t>0                      E  0127000P  68          1977</t>
        </is>
      </c>
      <c r="D40" t="inlineStr">
        <is>
          <t>Mirrors of the New World : images and image-makers in the settlement process / J. M. Powell.</t>
        </is>
      </c>
      <c r="F40" t="inlineStr">
        <is>
          <t>No</t>
        </is>
      </c>
      <c r="G40" t="inlineStr">
        <is>
          <t>1</t>
        </is>
      </c>
      <c r="H40" t="inlineStr">
        <is>
          <t>No</t>
        </is>
      </c>
      <c r="I40" t="inlineStr">
        <is>
          <t>No</t>
        </is>
      </c>
      <c r="J40" t="inlineStr">
        <is>
          <t>0</t>
        </is>
      </c>
      <c r="K40" t="inlineStr">
        <is>
          <t>Powell, J. M. (Joseph Michael)</t>
        </is>
      </c>
      <c r="L40" t="inlineStr">
        <is>
          <t>Folkestone, Eng. : Dawson ; Hamden, Conn. : Archon Books, 1977.</t>
        </is>
      </c>
      <c r="M40" t="inlineStr">
        <is>
          <t>1977</t>
        </is>
      </c>
      <c r="O40" t="inlineStr">
        <is>
          <t>eng</t>
        </is>
      </c>
      <c r="P40" t="inlineStr">
        <is>
          <t>enk</t>
        </is>
      </c>
      <c r="Q40" t="inlineStr">
        <is>
          <t>Studies in historical geography, 0308-6607</t>
        </is>
      </c>
      <c r="R40" t="inlineStr">
        <is>
          <t xml:space="preserve">E  </t>
        </is>
      </c>
      <c r="S40" t="n">
        <v>2</v>
      </c>
      <c r="T40" t="n">
        <v>2</v>
      </c>
      <c r="U40" t="inlineStr">
        <is>
          <t>1993-02-16</t>
        </is>
      </c>
      <c r="V40" t="inlineStr">
        <is>
          <t>1993-02-16</t>
        </is>
      </c>
      <c r="W40" t="inlineStr">
        <is>
          <t>1990-12-06</t>
        </is>
      </c>
      <c r="X40" t="inlineStr">
        <is>
          <t>1990-12-06</t>
        </is>
      </c>
      <c r="Y40" t="n">
        <v>387</v>
      </c>
      <c r="Z40" t="n">
        <v>297</v>
      </c>
      <c r="AA40" t="n">
        <v>313</v>
      </c>
      <c r="AB40" t="n">
        <v>3</v>
      </c>
      <c r="AC40" t="n">
        <v>3</v>
      </c>
      <c r="AD40" t="n">
        <v>12</v>
      </c>
      <c r="AE40" t="n">
        <v>12</v>
      </c>
      <c r="AF40" t="n">
        <v>3</v>
      </c>
      <c r="AG40" t="n">
        <v>3</v>
      </c>
      <c r="AH40" t="n">
        <v>4</v>
      </c>
      <c r="AI40" t="n">
        <v>4</v>
      </c>
      <c r="AJ40" t="n">
        <v>4</v>
      </c>
      <c r="AK40" t="n">
        <v>4</v>
      </c>
      <c r="AL40" t="n">
        <v>2</v>
      </c>
      <c r="AM40" t="n">
        <v>2</v>
      </c>
      <c r="AN40" t="n">
        <v>0</v>
      </c>
      <c r="AO40" t="n">
        <v>0</v>
      </c>
      <c r="AP40" t="inlineStr">
        <is>
          <t>No</t>
        </is>
      </c>
      <c r="AQ40" t="inlineStr">
        <is>
          <t>Yes</t>
        </is>
      </c>
      <c r="AR40">
        <f>HYPERLINK("http://catalog.hathitrust.org/Record/000133100","HathiTrust Record")</f>
        <v/>
      </c>
      <c r="AS40">
        <f>HYPERLINK("https://creighton-primo.hosted.exlibrisgroup.com/primo-explore/search?tab=default_tab&amp;search_scope=EVERYTHING&amp;vid=01CRU&amp;lang=en_US&amp;offset=0&amp;query=any,contains,991004510209702656","Catalog Record")</f>
        <v/>
      </c>
      <c r="AT40">
        <f>HYPERLINK("http://www.worldcat.org/oclc/3758732","WorldCat Record")</f>
        <v/>
      </c>
      <c r="AU40" t="inlineStr">
        <is>
          <t>11888230:eng</t>
        </is>
      </c>
      <c r="AV40" t="inlineStr">
        <is>
          <t>3758732</t>
        </is>
      </c>
      <c r="AW40" t="inlineStr">
        <is>
          <t>991004510209702656</t>
        </is>
      </c>
      <c r="AX40" t="inlineStr">
        <is>
          <t>991004510209702656</t>
        </is>
      </c>
      <c r="AY40" t="inlineStr">
        <is>
          <t>2272612700002656</t>
        </is>
      </c>
      <c r="AZ40" t="inlineStr">
        <is>
          <t>BOOK</t>
        </is>
      </c>
      <c r="BB40" t="inlineStr">
        <is>
          <t>9780208016546</t>
        </is>
      </c>
      <c r="BC40" t="inlineStr">
        <is>
          <t>32285000422427</t>
        </is>
      </c>
      <c r="BD40" t="inlineStr">
        <is>
          <t>893247655</t>
        </is>
      </c>
    </row>
    <row r="41">
      <c r="A41" t="inlineStr">
        <is>
          <t>No</t>
        </is>
      </c>
      <c r="B41" t="inlineStr">
        <is>
          <t>E127 .Q49</t>
        </is>
      </c>
      <c r="C41" t="inlineStr">
        <is>
          <t>0                      E  0127000Q  49</t>
        </is>
      </c>
      <c r="D41" t="inlineStr">
        <is>
          <t>England and the discovery of America, 1481-1620 : from the Bristol voyages of the fifteenth century to the Pilgrim settlement at Plymouth : the exploration, exploitation, and trial-and-error colonization of North America by the English.</t>
        </is>
      </c>
      <c r="F41" t="inlineStr">
        <is>
          <t>No</t>
        </is>
      </c>
      <c r="G41" t="inlineStr">
        <is>
          <t>1</t>
        </is>
      </c>
      <c r="H41" t="inlineStr">
        <is>
          <t>No</t>
        </is>
      </c>
      <c r="I41" t="inlineStr">
        <is>
          <t>No</t>
        </is>
      </c>
      <c r="J41" t="inlineStr">
        <is>
          <t>0</t>
        </is>
      </c>
      <c r="K41" t="inlineStr">
        <is>
          <t>Quinn, David B.</t>
        </is>
      </c>
      <c r="L41" t="inlineStr">
        <is>
          <t>New York : Knopf, 1974 [c1973]</t>
        </is>
      </c>
      <c r="M41" t="inlineStr">
        <is>
          <t>1974</t>
        </is>
      </c>
      <c r="N41" t="inlineStr">
        <is>
          <t>[1st ed.]</t>
        </is>
      </c>
      <c r="O41" t="inlineStr">
        <is>
          <t>eng</t>
        </is>
      </c>
      <c r="P41" t="inlineStr">
        <is>
          <t>nyu</t>
        </is>
      </c>
      <c r="R41" t="inlineStr">
        <is>
          <t xml:space="preserve">E  </t>
        </is>
      </c>
      <c r="S41" t="n">
        <v>2</v>
      </c>
      <c r="T41" t="n">
        <v>2</v>
      </c>
      <c r="U41" t="inlineStr">
        <is>
          <t>1995-02-26</t>
        </is>
      </c>
      <c r="V41" t="inlineStr">
        <is>
          <t>1995-02-26</t>
        </is>
      </c>
      <c r="W41" t="inlineStr">
        <is>
          <t>1994-11-10</t>
        </is>
      </c>
      <c r="X41" t="inlineStr">
        <is>
          <t>1994-11-10</t>
        </is>
      </c>
      <c r="Y41" t="n">
        <v>990</v>
      </c>
      <c r="Z41" t="n">
        <v>923</v>
      </c>
      <c r="AA41" t="n">
        <v>1016</v>
      </c>
      <c r="AB41" t="n">
        <v>11</v>
      </c>
      <c r="AC41" t="n">
        <v>13</v>
      </c>
      <c r="AD41" t="n">
        <v>39</v>
      </c>
      <c r="AE41" t="n">
        <v>44</v>
      </c>
      <c r="AF41" t="n">
        <v>14</v>
      </c>
      <c r="AG41" t="n">
        <v>16</v>
      </c>
      <c r="AH41" t="n">
        <v>8</v>
      </c>
      <c r="AI41" t="n">
        <v>8</v>
      </c>
      <c r="AJ41" t="n">
        <v>17</v>
      </c>
      <c r="AK41" t="n">
        <v>20</v>
      </c>
      <c r="AL41" t="n">
        <v>8</v>
      </c>
      <c r="AM41" t="n">
        <v>9</v>
      </c>
      <c r="AN41" t="n">
        <v>0</v>
      </c>
      <c r="AO41" t="n">
        <v>0</v>
      </c>
      <c r="AP41" t="inlineStr">
        <is>
          <t>No</t>
        </is>
      </c>
      <c r="AQ41" t="inlineStr">
        <is>
          <t>Yes</t>
        </is>
      </c>
      <c r="AR41">
        <f>HYPERLINK("http://catalog.hathitrust.org/Record/000008687","HathiTrust Record")</f>
        <v/>
      </c>
      <c r="AS41">
        <f>HYPERLINK("https://creighton-primo.hosted.exlibrisgroup.com/primo-explore/search?tab=default_tab&amp;search_scope=EVERYTHING&amp;vid=01CRU&amp;lang=en_US&amp;offset=0&amp;query=any,contains,991003073349702656","Catalog Record")</f>
        <v/>
      </c>
      <c r="AT41">
        <f>HYPERLINK("http://www.worldcat.org/oclc/627770","WorldCat Record")</f>
        <v/>
      </c>
      <c r="AU41" t="inlineStr">
        <is>
          <t>1724849:eng</t>
        </is>
      </c>
      <c r="AV41" t="inlineStr">
        <is>
          <t>627770</t>
        </is>
      </c>
      <c r="AW41" t="inlineStr">
        <is>
          <t>991003073349702656</t>
        </is>
      </c>
      <c r="AX41" t="inlineStr">
        <is>
          <t>991003073349702656</t>
        </is>
      </c>
      <c r="AY41" t="inlineStr">
        <is>
          <t>2257900440002656</t>
        </is>
      </c>
      <c r="AZ41" t="inlineStr">
        <is>
          <t>BOOK</t>
        </is>
      </c>
      <c r="BB41" t="inlineStr">
        <is>
          <t>9780394466736</t>
        </is>
      </c>
      <c r="BC41" t="inlineStr">
        <is>
          <t>32285001965358</t>
        </is>
      </c>
      <c r="BD41" t="inlineStr">
        <is>
          <t>893233795</t>
        </is>
      </c>
    </row>
    <row r="42">
      <c r="A42" t="inlineStr">
        <is>
          <t>No</t>
        </is>
      </c>
      <c r="B42" t="inlineStr">
        <is>
          <t>E127 .W47 1979</t>
        </is>
      </c>
      <c r="C42" t="inlineStr">
        <is>
          <t>0                      E  0127000W  47          1979</t>
        </is>
      </c>
      <c r="D42" t="inlineStr">
        <is>
          <t>The Westward enterprise : English activities in Ireland, the Atlantic, and America, 1480-1650 / edited by K. R. Andrews, N. P. Canny, and P. E. H. Hair.</t>
        </is>
      </c>
      <c r="F42" t="inlineStr">
        <is>
          <t>No</t>
        </is>
      </c>
      <c r="G42" t="inlineStr">
        <is>
          <t>1</t>
        </is>
      </c>
      <c r="H42" t="inlineStr">
        <is>
          <t>No</t>
        </is>
      </c>
      <c r="I42" t="inlineStr">
        <is>
          <t>No</t>
        </is>
      </c>
      <c r="J42" t="inlineStr">
        <is>
          <t>0</t>
        </is>
      </c>
      <c r="L42" t="inlineStr">
        <is>
          <t>Detroit : Wayne State University Press, 1979.</t>
        </is>
      </c>
      <c r="M42" t="inlineStr">
        <is>
          <t>1979</t>
        </is>
      </c>
      <c r="O42" t="inlineStr">
        <is>
          <t>eng</t>
        </is>
      </c>
      <c r="P42" t="inlineStr">
        <is>
          <t>miu</t>
        </is>
      </c>
      <c r="R42" t="inlineStr">
        <is>
          <t xml:space="preserve">E  </t>
        </is>
      </c>
      <c r="S42" t="n">
        <v>12</v>
      </c>
      <c r="T42" t="n">
        <v>12</v>
      </c>
      <c r="U42" t="inlineStr">
        <is>
          <t>1998-09-03</t>
        </is>
      </c>
      <c r="V42" t="inlineStr">
        <is>
          <t>1998-09-03</t>
        </is>
      </c>
      <c r="W42" t="inlineStr">
        <is>
          <t>1990-12-06</t>
        </is>
      </c>
      <c r="X42" t="inlineStr">
        <is>
          <t>1990-12-06</t>
        </is>
      </c>
      <c r="Y42" t="n">
        <v>264</v>
      </c>
      <c r="Z42" t="n">
        <v>242</v>
      </c>
      <c r="AA42" t="n">
        <v>306</v>
      </c>
      <c r="AB42" t="n">
        <v>1</v>
      </c>
      <c r="AC42" t="n">
        <v>3</v>
      </c>
      <c r="AD42" t="n">
        <v>13</v>
      </c>
      <c r="AE42" t="n">
        <v>16</v>
      </c>
      <c r="AF42" t="n">
        <v>4</v>
      </c>
      <c r="AG42" t="n">
        <v>5</v>
      </c>
      <c r="AH42" t="n">
        <v>4</v>
      </c>
      <c r="AI42" t="n">
        <v>5</v>
      </c>
      <c r="AJ42" t="n">
        <v>7</v>
      </c>
      <c r="AK42" t="n">
        <v>7</v>
      </c>
      <c r="AL42" t="n">
        <v>0</v>
      </c>
      <c r="AM42" t="n">
        <v>2</v>
      </c>
      <c r="AN42" t="n">
        <v>0</v>
      </c>
      <c r="AO42" t="n">
        <v>0</v>
      </c>
      <c r="AP42" t="inlineStr">
        <is>
          <t>No</t>
        </is>
      </c>
      <c r="AQ42" t="inlineStr">
        <is>
          <t>Yes</t>
        </is>
      </c>
      <c r="AR42">
        <f>HYPERLINK("http://catalog.hathitrust.org/Record/000031296","HathiTrust Record")</f>
        <v/>
      </c>
      <c r="AS42">
        <f>HYPERLINK("https://creighton-primo.hosted.exlibrisgroup.com/primo-explore/search?tab=default_tab&amp;search_scope=EVERYTHING&amp;vid=01CRU&amp;lang=en_US&amp;offset=0&amp;query=any,contains,991004769619702656","Catalog Record")</f>
        <v/>
      </c>
      <c r="AT42">
        <f>HYPERLINK("http://www.worldcat.org/oclc/5051670","WorldCat Record")</f>
        <v/>
      </c>
      <c r="AU42" t="inlineStr">
        <is>
          <t>836665058:eng</t>
        </is>
      </c>
      <c r="AV42" t="inlineStr">
        <is>
          <t>5051670</t>
        </is>
      </c>
      <c r="AW42" t="inlineStr">
        <is>
          <t>991004769619702656</t>
        </is>
      </c>
      <c r="AX42" t="inlineStr">
        <is>
          <t>991004769619702656</t>
        </is>
      </c>
      <c r="AY42" t="inlineStr">
        <is>
          <t>2263777810002656</t>
        </is>
      </c>
      <c r="AZ42" t="inlineStr">
        <is>
          <t>BOOK</t>
        </is>
      </c>
      <c r="BC42" t="inlineStr">
        <is>
          <t>32285000422435</t>
        </is>
      </c>
      <c r="BD42" t="inlineStr">
        <is>
          <t>893776411</t>
        </is>
      </c>
    </row>
    <row r="43">
      <c r="A43" t="inlineStr">
        <is>
          <t>No</t>
        </is>
      </c>
      <c r="B43" t="inlineStr">
        <is>
          <t>E131 .B4</t>
        </is>
      </c>
      <c r="C43" t="inlineStr">
        <is>
          <t>0                      E  0131000B  4</t>
        </is>
      </c>
      <c r="D43" t="inlineStr">
        <is>
          <t>The French in North America; a bibliographical guide to French archives, reproductions, and research missions.</t>
        </is>
      </c>
      <c r="F43" t="inlineStr">
        <is>
          <t>No</t>
        </is>
      </c>
      <c r="G43" t="inlineStr">
        <is>
          <t>1</t>
        </is>
      </c>
      <c r="H43" t="inlineStr">
        <is>
          <t>No</t>
        </is>
      </c>
      <c r="I43" t="inlineStr">
        <is>
          <t>No</t>
        </is>
      </c>
      <c r="J43" t="inlineStr">
        <is>
          <t>0</t>
        </is>
      </c>
      <c r="K43" t="inlineStr">
        <is>
          <t>Beers, Henry Putney, 1907-1996.</t>
        </is>
      </c>
      <c r="L43" t="inlineStr">
        <is>
          <t>Baton Rouge, Louisiana State University Press [1957]</t>
        </is>
      </c>
      <c r="M43" t="inlineStr">
        <is>
          <t>1957</t>
        </is>
      </c>
      <c r="O43" t="inlineStr">
        <is>
          <t>eng</t>
        </is>
      </c>
      <c r="P43" t="inlineStr">
        <is>
          <t xml:space="preserve">xx </t>
        </is>
      </c>
      <c r="R43" t="inlineStr">
        <is>
          <t xml:space="preserve">E  </t>
        </is>
      </c>
      <c r="S43" t="n">
        <v>1</v>
      </c>
      <c r="T43" t="n">
        <v>1</v>
      </c>
      <c r="U43" t="inlineStr">
        <is>
          <t>2000-11-01</t>
        </is>
      </c>
      <c r="V43" t="inlineStr">
        <is>
          <t>2000-11-01</t>
        </is>
      </c>
      <c r="W43" t="inlineStr">
        <is>
          <t>1997-04-02</t>
        </is>
      </c>
      <c r="X43" t="inlineStr">
        <is>
          <t>1997-04-02</t>
        </is>
      </c>
      <c r="Y43" t="n">
        <v>504</v>
      </c>
      <c r="Z43" t="n">
        <v>431</v>
      </c>
      <c r="AA43" t="n">
        <v>442</v>
      </c>
      <c r="AB43" t="n">
        <v>3</v>
      </c>
      <c r="AC43" t="n">
        <v>3</v>
      </c>
      <c r="AD43" t="n">
        <v>23</v>
      </c>
      <c r="AE43" t="n">
        <v>23</v>
      </c>
      <c r="AF43" t="n">
        <v>9</v>
      </c>
      <c r="AG43" t="n">
        <v>9</v>
      </c>
      <c r="AH43" t="n">
        <v>4</v>
      </c>
      <c r="AI43" t="n">
        <v>4</v>
      </c>
      <c r="AJ43" t="n">
        <v>13</v>
      </c>
      <c r="AK43" t="n">
        <v>13</v>
      </c>
      <c r="AL43" t="n">
        <v>2</v>
      </c>
      <c r="AM43" t="n">
        <v>2</v>
      </c>
      <c r="AN43" t="n">
        <v>0</v>
      </c>
      <c r="AO43" t="n">
        <v>0</v>
      </c>
      <c r="AP43" t="inlineStr">
        <is>
          <t>No</t>
        </is>
      </c>
      <c r="AQ43" t="inlineStr">
        <is>
          <t>Yes</t>
        </is>
      </c>
      <c r="AR43">
        <f>HYPERLINK("http://catalog.hathitrust.org/Record/001168578","HathiTrust Record")</f>
        <v/>
      </c>
      <c r="AS43">
        <f>HYPERLINK("https://creighton-primo.hosted.exlibrisgroup.com/primo-explore/search?tab=default_tab&amp;search_scope=EVERYTHING&amp;vid=01CRU&amp;lang=en_US&amp;offset=0&amp;query=any,contains,991003368589702656","Catalog Record")</f>
        <v/>
      </c>
      <c r="AT43">
        <f>HYPERLINK("http://www.worldcat.org/oclc/904430","WorldCat Record")</f>
        <v/>
      </c>
      <c r="AU43" t="inlineStr">
        <is>
          <t>836162945:eng</t>
        </is>
      </c>
      <c r="AV43" t="inlineStr">
        <is>
          <t>904430</t>
        </is>
      </c>
      <c r="AW43" t="inlineStr">
        <is>
          <t>991003368589702656</t>
        </is>
      </c>
      <c r="AX43" t="inlineStr">
        <is>
          <t>991003368589702656</t>
        </is>
      </c>
      <c r="AY43" t="inlineStr">
        <is>
          <t>2263568810002656</t>
        </is>
      </c>
      <c r="AZ43" t="inlineStr">
        <is>
          <t>BOOK</t>
        </is>
      </c>
      <c r="BC43" t="inlineStr">
        <is>
          <t>32285002488657</t>
        </is>
      </c>
      <c r="BD43" t="inlineStr">
        <is>
          <t>893705165</t>
        </is>
      </c>
    </row>
    <row r="44">
      <c r="A44" t="inlineStr">
        <is>
          <t>No</t>
        </is>
      </c>
      <c r="B44" t="inlineStr">
        <is>
          <t>E141 .N48 1993</t>
        </is>
      </c>
      <c r="C44" t="inlineStr">
        <is>
          <t>0                      E  0141000N  48          1993</t>
        </is>
      </c>
      <c r="D44" t="inlineStr">
        <is>
          <t>New world encounters / edited by Stephen Greenblatt.</t>
        </is>
      </c>
      <c r="F44" t="inlineStr">
        <is>
          <t>No</t>
        </is>
      </c>
      <c r="G44" t="inlineStr">
        <is>
          <t>1</t>
        </is>
      </c>
      <c r="H44" t="inlineStr">
        <is>
          <t>No</t>
        </is>
      </c>
      <c r="I44" t="inlineStr">
        <is>
          <t>No</t>
        </is>
      </c>
      <c r="J44" t="inlineStr">
        <is>
          <t>0</t>
        </is>
      </c>
      <c r="L44" t="inlineStr">
        <is>
          <t>Berkeley : University of California Press, c1993.</t>
        </is>
      </c>
      <c r="M44" t="inlineStr">
        <is>
          <t>1993</t>
        </is>
      </c>
      <c r="O44" t="inlineStr">
        <is>
          <t>eng</t>
        </is>
      </c>
      <c r="P44" t="inlineStr">
        <is>
          <t>cau</t>
        </is>
      </c>
      <c r="Q44" t="inlineStr">
        <is>
          <t>Representations books ; 6</t>
        </is>
      </c>
      <c r="R44" t="inlineStr">
        <is>
          <t xml:space="preserve">E  </t>
        </is>
      </c>
      <c r="S44" t="n">
        <v>13</v>
      </c>
      <c r="T44" t="n">
        <v>13</v>
      </c>
      <c r="U44" t="inlineStr">
        <is>
          <t>2005-02-20</t>
        </is>
      </c>
      <c r="V44" t="inlineStr">
        <is>
          <t>2005-02-20</t>
        </is>
      </c>
      <c r="W44" t="inlineStr">
        <is>
          <t>1993-05-19</t>
        </is>
      </c>
      <c r="X44" t="inlineStr">
        <is>
          <t>1993-05-19</t>
        </is>
      </c>
      <c r="Y44" t="n">
        <v>670</v>
      </c>
      <c r="Z44" t="n">
        <v>522</v>
      </c>
      <c r="AA44" t="n">
        <v>1478</v>
      </c>
      <c r="AB44" t="n">
        <v>5</v>
      </c>
      <c r="AC44" t="n">
        <v>16</v>
      </c>
      <c r="AD44" t="n">
        <v>33</v>
      </c>
      <c r="AE44" t="n">
        <v>52</v>
      </c>
      <c r="AF44" t="n">
        <v>15</v>
      </c>
      <c r="AG44" t="n">
        <v>19</v>
      </c>
      <c r="AH44" t="n">
        <v>8</v>
      </c>
      <c r="AI44" t="n">
        <v>10</v>
      </c>
      <c r="AJ44" t="n">
        <v>13</v>
      </c>
      <c r="AK44" t="n">
        <v>18</v>
      </c>
      <c r="AL44" t="n">
        <v>4</v>
      </c>
      <c r="AM44" t="n">
        <v>14</v>
      </c>
      <c r="AN44" t="n">
        <v>0</v>
      </c>
      <c r="AO44" t="n">
        <v>1</v>
      </c>
      <c r="AP44" t="inlineStr">
        <is>
          <t>No</t>
        </is>
      </c>
      <c r="AQ44" t="inlineStr">
        <is>
          <t>No</t>
        </is>
      </c>
      <c r="AS44">
        <f>HYPERLINK("https://creighton-primo.hosted.exlibrisgroup.com/primo-explore/search?tab=default_tab&amp;search_scope=EVERYTHING&amp;vid=01CRU&amp;lang=en_US&amp;offset=0&amp;query=any,contains,991002033959702656","Catalog Record")</f>
        <v/>
      </c>
      <c r="AT44">
        <f>HYPERLINK("http://www.worldcat.org/oclc/25914218","WorldCat Record")</f>
        <v/>
      </c>
      <c r="AU44" t="inlineStr">
        <is>
          <t>55590713:eng</t>
        </is>
      </c>
      <c r="AV44" t="inlineStr">
        <is>
          <t>25914218</t>
        </is>
      </c>
      <c r="AW44" t="inlineStr">
        <is>
          <t>991002033959702656</t>
        </is>
      </c>
      <c r="AX44" t="inlineStr">
        <is>
          <t>991002033959702656</t>
        </is>
      </c>
      <c r="AY44" t="inlineStr">
        <is>
          <t>2272108570002656</t>
        </is>
      </c>
      <c r="AZ44" t="inlineStr">
        <is>
          <t>BOOK</t>
        </is>
      </c>
      <c r="BB44" t="inlineStr">
        <is>
          <t>9780520080201</t>
        </is>
      </c>
      <c r="BC44" t="inlineStr">
        <is>
          <t>32285001582229</t>
        </is>
      </c>
      <c r="BD44" t="inlineStr">
        <is>
          <t>893244681</t>
        </is>
      </c>
    </row>
    <row r="45">
      <c r="A45" t="inlineStr">
        <is>
          <t>No</t>
        </is>
      </c>
      <c r="B45" t="inlineStr">
        <is>
          <t>E156 .V47 1983</t>
        </is>
      </c>
      <c r="C45" t="inlineStr">
        <is>
          <t>0                      E  0156000V  47          1983</t>
        </is>
      </c>
      <c r="D45" t="inlineStr">
        <is>
          <t>Citizen ambassadors : guidelines for responding to questions asked about America / by Charles T. Vetter, Jr. ; with foreword and section introductions by W. Ladd Hollist.</t>
        </is>
      </c>
      <c r="F45" t="inlineStr">
        <is>
          <t>No</t>
        </is>
      </c>
      <c r="G45" t="inlineStr">
        <is>
          <t>1</t>
        </is>
      </c>
      <c r="H45" t="inlineStr">
        <is>
          <t>No</t>
        </is>
      </c>
      <c r="I45" t="inlineStr">
        <is>
          <t>No</t>
        </is>
      </c>
      <c r="J45" t="inlineStr">
        <is>
          <t>0</t>
        </is>
      </c>
      <c r="K45" t="inlineStr">
        <is>
          <t>Vetter, Charles T.</t>
        </is>
      </c>
      <c r="L45" t="inlineStr">
        <is>
          <t>Provo, Utah : Brigham Young University Center for International and Area Studies, c1983.</t>
        </is>
      </c>
      <c r="M45" t="inlineStr">
        <is>
          <t>1983</t>
        </is>
      </c>
      <c r="O45" t="inlineStr">
        <is>
          <t>eng</t>
        </is>
      </c>
      <c r="P45" t="inlineStr">
        <is>
          <t>utu</t>
        </is>
      </c>
      <c r="R45" t="inlineStr">
        <is>
          <t xml:space="preserve">E  </t>
        </is>
      </c>
      <c r="S45" t="n">
        <v>2</v>
      </c>
      <c r="T45" t="n">
        <v>2</v>
      </c>
      <c r="U45" t="inlineStr">
        <is>
          <t>1994-05-04</t>
        </is>
      </c>
      <c r="V45" t="inlineStr">
        <is>
          <t>1994-05-04</t>
        </is>
      </c>
      <c r="W45" t="inlineStr">
        <is>
          <t>1990-05-24</t>
        </is>
      </c>
      <c r="X45" t="inlineStr">
        <is>
          <t>1990-05-24</t>
        </is>
      </c>
      <c r="Y45" t="n">
        <v>93</v>
      </c>
      <c r="Z45" t="n">
        <v>87</v>
      </c>
      <c r="AA45" t="n">
        <v>87</v>
      </c>
      <c r="AB45" t="n">
        <v>1</v>
      </c>
      <c r="AC45" t="n">
        <v>1</v>
      </c>
      <c r="AD45" t="n">
        <v>0</v>
      </c>
      <c r="AE45" t="n">
        <v>0</v>
      </c>
      <c r="AF45" t="n">
        <v>0</v>
      </c>
      <c r="AG45" t="n">
        <v>0</v>
      </c>
      <c r="AH45" t="n">
        <v>0</v>
      </c>
      <c r="AI45" t="n">
        <v>0</v>
      </c>
      <c r="AJ45" t="n">
        <v>0</v>
      </c>
      <c r="AK45" t="n">
        <v>0</v>
      </c>
      <c r="AL45" t="n">
        <v>0</v>
      </c>
      <c r="AM45" t="n">
        <v>0</v>
      </c>
      <c r="AN45" t="n">
        <v>0</v>
      </c>
      <c r="AO45" t="n">
        <v>0</v>
      </c>
      <c r="AP45" t="inlineStr">
        <is>
          <t>No</t>
        </is>
      </c>
      <c r="AQ45" t="inlineStr">
        <is>
          <t>No</t>
        </is>
      </c>
      <c r="AS45">
        <f>HYPERLINK("https://creighton-primo.hosted.exlibrisgroup.com/primo-explore/search?tab=default_tab&amp;search_scope=EVERYTHING&amp;vid=01CRU&amp;lang=en_US&amp;offset=0&amp;query=any,contains,991000226479702656","Catalog Record")</f>
        <v/>
      </c>
      <c r="AT45">
        <f>HYPERLINK("http://www.worldcat.org/oclc/9620258","WorldCat Record")</f>
        <v/>
      </c>
      <c r="AU45" t="inlineStr">
        <is>
          <t>427927444:eng</t>
        </is>
      </c>
      <c r="AV45" t="inlineStr">
        <is>
          <t>9620258</t>
        </is>
      </c>
      <c r="AW45" t="inlineStr">
        <is>
          <t>991000226479702656</t>
        </is>
      </c>
      <c r="AX45" t="inlineStr">
        <is>
          <t>991000226479702656</t>
        </is>
      </c>
      <c r="AY45" t="inlineStr">
        <is>
          <t>2270239460002656</t>
        </is>
      </c>
      <c r="AZ45" t="inlineStr">
        <is>
          <t>BOOK</t>
        </is>
      </c>
      <c r="BB45" t="inlineStr">
        <is>
          <t>9780912575001</t>
        </is>
      </c>
      <c r="BC45" t="inlineStr">
        <is>
          <t>32285000164797</t>
        </is>
      </c>
      <c r="BD45" t="inlineStr">
        <is>
          <t>893496068</t>
        </is>
      </c>
    </row>
    <row r="46">
      <c r="A46" t="inlineStr">
        <is>
          <t>No</t>
        </is>
      </c>
      <c r="B46" t="inlineStr">
        <is>
          <t>E158 .A46 1988</t>
        </is>
      </c>
      <c r="C46" t="inlineStr">
        <is>
          <t>0                      E  0158000A  46          1988</t>
        </is>
      </c>
      <c r="D46" t="inlineStr">
        <is>
          <t>American ways : a guide for foreigners in the United States / Gary Althen.</t>
        </is>
      </c>
      <c r="F46" t="inlineStr">
        <is>
          <t>No</t>
        </is>
      </c>
      <c r="G46" t="inlineStr">
        <is>
          <t>1</t>
        </is>
      </c>
      <c r="H46" t="inlineStr">
        <is>
          <t>No</t>
        </is>
      </c>
      <c r="I46" t="inlineStr">
        <is>
          <t>No</t>
        </is>
      </c>
      <c r="J46" t="inlineStr">
        <is>
          <t>0</t>
        </is>
      </c>
      <c r="K46" t="inlineStr">
        <is>
          <t>Althen, Gary.</t>
        </is>
      </c>
      <c r="L46" t="inlineStr">
        <is>
          <t>Yarmouth, Me. : Intercultural Press, c1988.</t>
        </is>
      </c>
      <c r="M46" t="inlineStr">
        <is>
          <t>1988</t>
        </is>
      </c>
      <c r="O46" t="inlineStr">
        <is>
          <t>eng</t>
        </is>
      </c>
      <c r="P46" t="inlineStr">
        <is>
          <t>meu</t>
        </is>
      </c>
      <c r="R46" t="inlineStr">
        <is>
          <t xml:space="preserve">E  </t>
        </is>
      </c>
      <c r="S46" t="n">
        <v>21</v>
      </c>
      <c r="T46" t="n">
        <v>21</v>
      </c>
      <c r="U46" t="inlineStr">
        <is>
          <t>1999-12-04</t>
        </is>
      </c>
      <c r="V46" t="inlineStr">
        <is>
          <t>1999-12-04</t>
        </is>
      </c>
      <c r="W46" t="inlineStr">
        <is>
          <t>1992-09-14</t>
        </is>
      </c>
      <c r="X46" t="inlineStr">
        <is>
          <t>1992-09-14</t>
        </is>
      </c>
      <c r="Y46" t="n">
        <v>765</v>
      </c>
      <c r="Z46" t="n">
        <v>710</v>
      </c>
      <c r="AA46" t="n">
        <v>1770</v>
      </c>
      <c r="AB46" t="n">
        <v>5</v>
      </c>
      <c r="AC46" t="n">
        <v>30</v>
      </c>
      <c r="AD46" t="n">
        <v>20</v>
      </c>
      <c r="AE46" t="n">
        <v>45</v>
      </c>
      <c r="AF46" t="n">
        <v>10</v>
      </c>
      <c r="AG46" t="n">
        <v>18</v>
      </c>
      <c r="AH46" t="n">
        <v>3</v>
      </c>
      <c r="AI46" t="n">
        <v>5</v>
      </c>
      <c r="AJ46" t="n">
        <v>7</v>
      </c>
      <c r="AK46" t="n">
        <v>16</v>
      </c>
      <c r="AL46" t="n">
        <v>2</v>
      </c>
      <c r="AM46" t="n">
        <v>12</v>
      </c>
      <c r="AN46" t="n">
        <v>1</v>
      </c>
      <c r="AO46" t="n">
        <v>1</v>
      </c>
      <c r="AP46" t="inlineStr">
        <is>
          <t>No</t>
        </is>
      </c>
      <c r="AQ46" t="inlineStr">
        <is>
          <t>No</t>
        </is>
      </c>
      <c r="AS46">
        <f>HYPERLINK("https://creighton-primo.hosted.exlibrisgroup.com/primo-explore/search?tab=default_tab&amp;search_scope=EVERYTHING&amp;vid=01CRU&amp;lang=en_US&amp;offset=0&amp;query=any,contains,991001235169702656","Catalog Record")</f>
        <v/>
      </c>
      <c r="AT46">
        <f>HYPERLINK("http://www.worldcat.org/oclc/17550084","WorldCat Record")</f>
        <v/>
      </c>
      <c r="AU46" t="inlineStr">
        <is>
          <t>16268776:eng</t>
        </is>
      </c>
      <c r="AV46" t="inlineStr">
        <is>
          <t>17550084</t>
        </is>
      </c>
      <c r="AW46" t="inlineStr">
        <is>
          <t>991001235169702656</t>
        </is>
      </c>
      <c r="AX46" t="inlineStr">
        <is>
          <t>991001235169702656</t>
        </is>
      </c>
      <c r="AY46" t="inlineStr">
        <is>
          <t>2262088640002656</t>
        </is>
      </c>
      <c r="AZ46" t="inlineStr">
        <is>
          <t>BOOK</t>
        </is>
      </c>
      <c r="BB46" t="inlineStr">
        <is>
          <t>9780933662681</t>
        </is>
      </c>
      <c r="BC46" t="inlineStr">
        <is>
          <t>32285001286862</t>
        </is>
      </c>
      <c r="BD46" t="inlineStr">
        <is>
          <t>893528785</t>
        </is>
      </c>
    </row>
    <row r="47">
      <c r="A47" t="inlineStr">
        <is>
          <t>No</t>
        </is>
      </c>
      <c r="B47" t="inlineStr">
        <is>
          <t>E158 .E96</t>
        </is>
      </c>
      <c r="C47" t="inlineStr">
        <is>
          <t>0                      E  0158000E  96</t>
        </is>
      </c>
      <c r="D47" t="inlineStr">
        <is>
          <t>Explore America : tours of discovery through our magnificent country / [Richard Marshall]</t>
        </is>
      </c>
      <c r="F47" t="inlineStr">
        <is>
          <t>No</t>
        </is>
      </c>
      <c r="G47" t="inlineStr">
        <is>
          <t>1</t>
        </is>
      </c>
      <c r="H47" t="inlineStr">
        <is>
          <t>No</t>
        </is>
      </c>
      <c r="I47" t="inlineStr">
        <is>
          <t>No</t>
        </is>
      </c>
      <c r="J47" t="inlineStr">
        <is>
          <t>0</t>
        </is>
      </c>
      <c r="L47" t="inlineStr">
        <is>
          <t>New York : Avenues, [199-?]</t>
        </is>
      </c>
      <c r="M47" t="inlineStr">
        <is>
          <t>1990</t>
        </is>
      </c>
      <c r="O47" t="inlineStr">
        <is>
          <t>eng</t>
        </is>
      </c>
      <c r="P47" t="inlineStr">
        <is>
          <t>nyu</t>
        </is>
      </c>
      <c r="R47" t="inlineStr">
        <is>
          <t xml:space="preserve">E  </t>
        </is>
      </c>
      <c r="S47" t="n">
        <v>4</v>
      </c>
      <c r="T47" t="n">
        <v>4</v>
      </c>
      <c r="U47" t="inlineStr">
        <is>
          <t>2005-04-15</t>
        </is>
      </c>
      <c r="V47" t="inlineStr">
        <is>
          <t>2005-04-15</t>
        </is>
      </c>
      <c r="W47" t="inlineStr">
        <is>
          <t>2001-04-05</t>
        </is>
      </c>
      <c r="X47" t="inlineStr">
        <is>
          <t>2001-04-05</t>
        </is>
      </c>
      <c r="Y47" t="n">
        <v>316</v>
      </c>
      <c r="Z47" t="n">
        <v>311</v>
      </c>
      <c r="AA47" t="n">
        <v>442</v>
      </c>
      <c r="AB47" t="n">
        <v>5</v>
      </c>
      <c r="AC47" t="n">
        <v>5</v>
      </c>
      <c r="AD47" t="n">
        <v>0</v>
      </c>
      <c r="AE47" t="n">
        <v>2</v>
      </c>
      <c r="AF47" t="n">
        <v>0</v>
      </c>
      <c r="AG47" t="n">
        <v>1</v>
      </c>
      <c r="AH47" t="n">
        <v>0</v>
      </c>
      <c r="AI47" t="n">
        <v>1</v>
      </c>
      <c r="AJ47" t="n">
        <v>0</v>
      </c>
      <c r="AK47" t="n">
        <v>0</v>
      </c>
      <c r="AL47" t="n">
        <v>0</v>
      </c>
      <c r="AM47" t="n">
        <v>0</v>
      </c>
      <c r="AN47" t="n">
        <v>0</v>
      </c>
      <c r="AO47" t="n">
        <v>0</v>
      </c>
      <c r="AP47" t="inlineStr">
        <is>
          <t>No</t>
        </is>
      </c>
      <c r="AQ47" t="inlineStr">
        <is>
          <t>Yes</t>
        </is>
      </c>
      <c r="AR47">
        <f>HYPERLINK("http://catalog.hathitrust.org/Record/007964102","HathiTrust Record")</f>
        <v/>
      </c>
      <c r="AS47">
        <f>HYPERLINK("https://creighton-primo.hosted.exlibrisgroup.com/primo-explore/search?tab=default_tab&amp;search_scope=EVERYTHING&amp;vid=01CRU&amp;lang=en_US&amp;offset=0&amp;query=any,contains,991003518259702656","Catalog Record")</f>
        <v/>
      </c>
      <c r="AT47">
        <f>HYPERLINK("http://www.worldcat.org/oclc/26168014","WorldCat Record")</f>
        <v/>
      </c>
      <c r="AU47" t="inlineStr">
        <is>
          <t>986515646:eng</t>
        </is>
      </c>
      <c r="AV47" t="inlineStr">
        <is>
          <t>26168014</t>
        </is>
      </c>
      <c r="AW47" t="inlineStr">
        <is>
          <t>991003518259702656</t>
        </is>
      </c>
      <c r="AX47" t="inlineStr">
        <is>
          <t>991003518259702656</t>
        </is>
      </c>
      <c r="AY47" t="inlineStr">
        <is>
          <t>2269057950002656</t>
        </is>
      </c>
      <c r="AZ47" t="inlineStr">
        <is>
          <t>BOOK</t>
        </is>
      </c>
      <c r="BB47" t="inlineStr">
        <is>
          <t>9781550011401</t>
        </is>
      </c>
      <c r="BC47" t="inlineStr">
        <is>
          <t>32285004310180</t>
        </is>
      </c>
      <c r="BD47" t="inlineStr">
        <is>
          <t>893774827</t>
        </is>
      </c>
    </row>
    <row r="48">
      <c r="A48" t="inlineStr">
        <is>
          <t>No</t>
        </is>
      </c>
      <c r="B48" t="inlineStr">
        <is>
          <t>E159 .A85 1990</t>
        </is>
      </c>
      <c r="C48" t="inlineStr">
        <is>
          <t>0                      E  0159000A  85          1990</t>
        </is>
      </c>
      <c r="D48" t="inlineStr">
        <is>
          <t>The American country house / Clive Aslet.</t>
        </is>
      </c>
      <c r="F48" t="inlineStr">
        <is>
          <t>No</t>
        </is>
      </c>
      <c r="G48" t="inlineStr">
        <is>
          <t>1</t>
        </is>
      </c>
      <c r="H48" t="inlineStr">
        <is>
          <t>No</t>
        </is>
      </c>
      <c r="I48" t="inlineStr">
        <is>
          <t>No</t>
        </is>
      </c>
      <c r="J48" t="inlineStr">
        <is>
          <t>0</t>
        </is>
      </c>
      <c r="K48" t="inlineStr">
        <is>
          <t>Aslet, Clive, 1955-</t>
        </is>
      </c>
      <c r="L48" t="inlineStr">
        <is>
          <t>New Haven : Yale University Press, 1990.</t>
        </is>
      </c>
      <c r="M48" t="inlineStr">
        <is>
          <t>1990</t>
        </is>
      </c>
      <c r="O48" t="inlineStr">
        <is>
          <t>eng</t>
        </is>
      </c>
      <c r="P48" t="inlineStr">
        <is>
          <t>ctu</t>
        </is>
      </c>
      <c r="R48" t="inlineStr">
        <is>
          <t xml:space="preserve">E  </t>
        </is>
      </c>
      <c r="S48" t="n">
        <v>3</v>
      </c>
      <c r="T48" t="n">
        <v>3</v>
      </c>
      <c r="U48" t="inlineStr">
        <is>
          <t>1998-04-14</t>
        </is>
      </c>
      <c r="V48" t="inlineStr">
        <is>
          <t>1998-04-14</t>
        </is>
      </c>
      <c r="W48" t="inlineStr">
        <is>
          <t>1993-05-24</t>
        </is>
      </c>
      <c r="X48" t="inlineStr">
        <is>
          <t>1993-05-24</t>
        </is>
      </c>
      <c r="Y48" t="n">
        <v>767</v>
      </c>
      <c r="Z48" t="n">
        <v>652</v>
      </c>
      <c r="AA48" t="n">
        <v>700</v>
      </c>
      <c r="AB48" t="n">
        <v>4</v>
      </c>
      <c r="AC48" t="n">
        <v>4</v>
      </c>
      <c r="AD48" t="n">
        <v>17</v>
      </c>
      <c r="AE48" t="n">
        <v>17</v>
      </c>
      <c r="AF48" t="n">
        <v>3</v>
      </c>
      <c r="AG48" t="n">
        <v>3</v>
      </c>
      <c r="AH48" t="n">
        <v>6</v>
      </c>
      <c r="AI48" t="n">
        <v>6</v>
      </c>
      <c r="AJ48" t="n">
        <v>8</v>
      </c>
      <c r="AK48" t="n">
        <v>8</v>
      </c>
      <c r="AL48" t="n">
        <v>2</v>
      </c>
      <c r="AM48" t="n">
        <v>2</v>
      </c>
      <c r="AN48" t="n">
        <v>0</v>
      </c>
      <c r="AO48" t="n">
        <v>0</v>
      </c>
      <c r="AP48" t="inlineStr">
        <is>
          <t>No</t>
        </is>
      </c>
      <c r="AQ48" t="inlineStr">
        <is>
          <t>No</t>
        </is>
      </c>
      <c r="AS48">
        <f>HYPERLINK("https://creighton-primo.hosted.exlibrisgroup.com/primo-explore/search?tab=default_tab&amp;search_scope=EVERYTHING&amp;vid=01CRU&amp;lang=en_US&amp;offset=0&amp;query=any,contains,991001767889702656","Catalog Record")</f>
        <v/>
      </c>
      <c r="AT48">
        <f>HYPERLINK("http://www.worldcat.org/oclc/22342371","WorldCat Record")</f>
        <v/>
      </c>
      <c r="AU48" t="inlineStr">
        <is>
          <t>894918:eng</t>
        </is>
      </c>
      <c r="AV48" t="inlineStr">
        <is>
          <t>22342371</t>
        </is>
      </c>
      <c r="AW48" t="inlineStr">
        <is>
          <t>991001767889702656</t>
        </is>
      </c>
      <c r="AX48" t="inlineStr">
        <is>
          <t>991001767889702656</t>
        </is>
      </c>
      <c r="AY48" t="inlineStr">
        <is>
          <t>2256993010002656</t>
        </is>
      </c>
      <c r="AZ48" t="inlineStr">
        <is>
          <t>BOOK</t>
        </is>
      </c>
      <c r="BB48" t="inlineStr">
        <is>
          <t>9780300047578</t>
        </is>
      </c>
      <c r="BC48" t="inlineStr">
        <is>
          <t>32285001582559</t>
        </is>
      </c>
      <c r="BD48" t="inlineStr">
        <is>
          <t>893433101</t>
        </is>
      </c>
    </row>
    <row r="49">
      <c r="A49" t="inlineStr">
        <is>
          <t>No</t>
        </is>
      </c>
      <c r="B49" t="inlineStr">
        <is>
          <t>E159 .P746 2000</t>
        </is>
      </c>
      <c r="C49" t="inlineStr">
        <is>
          <t>0                      E  0159000P  746         2000</t>
        </is>
      </c>
      <c r="D49" t="inlineStr">
        <is>
          <t>Preserving cultural landscapes in America / edited by Arnold R. Alanen and Robert Z. Melnick ; foreword by Dolores Hayden.</t>
        </is>
      </c>
      <c r="F49" t="inlineStr">
        <is>
          <t>No</t>
        </is>
      </c>
      <c r="G49" t="inlineStr">
        <is>
          <t>1</t>
        </is>
      </c>
      <c r="H49" t="inlineStr">
        <is>
          <t>No</t>
        </is>
      </c>
      <c r="I49" t="inlineStr">
        <is>
          <t>No</t>
        </is>
      </c>
      <c r="J49" t="inlineStr">
        <is>
          <t>0</t>
        </is>
      </c>
      <c r="L49" t="inlineStr">
        <is>
          <t>Baltimore : Johns Hopkins University Press, 2000.</t>
        </is>
      </c>
      <c r="M49" t="inlineStr">
        <is>
          <t>2000</t>
        </is>
      </c>
      <c r="O49" t="inlineStr">
        <is>
          <t>eng</t>
        </is>
      </c>
      <c r="P49" t="inlineStr">
        <is>
          <t>mdu</t>
        </is>
      </c>
      <c r="Q49" t="inlineStr">
        <is>
          <t>Center books on contemporary landscape design</t>
        </is>
      </c>
      <c r="R49" t="inlineStr">
        <is>
          <t xml:space="preserve">E  </t>
        </is>
      </c>
      <c r="S49" t="n">
        <v>5</v>
      </c>
      <c r="T49" t="n">
        <v>5</v>
      </c>
      <c r="U49" t="inlineStr">
        <is>
          <t>2002-09-09</t>
        </is>
      </c>
      <c r="V49" t="inlineStr">
        <is>
          <t>2002-09-09</t>
        </is>
      </c>
      <c r="W49" t="inlineStr">
        <is>
          <t>2001-03-05</t>
        </is>
      </c>
      <c r="X49" t="inlineStr">
        <is>
          <t>2001-03-05</t>
        </is>
      </c>
      <c r="Y49" t="n">
        <v>625</v>
      </c>
      <c r="Z49" t="n">
        <v>544</v>
      </c>
      <c r="AA49" t="n">
        <v>685</v>
      </c>
      <c r="AB49" t="n">
        <v>5</v>
      </c>
      <c r="AC49" t="n">
        <v>5</v>
      </c>
      <c r="AD49" t="n">
        <v>30</v>
      </c>
      <c r="AE49" t="n">
        <v>36</v>
      </c>
      <c r="AF49" t="n">
        <v>9</v>
      </c>
      <c r="AG49" t="n">
        <v>12</v>
      </c>
      <c r="AH49" t="n">
        <v>8</v>
      </c>
      <c r="AI49" t="n">
        <v>10</v>
      </c>
      <c r="AJ49" t="n">
        <v>14</v>
      </c>
      <c r="AK49" t="n">
        <v>17</v>
      </c>
      <c r="AL49" t="n">
        <v>4</v>
      </c>
      <c r="AM49" t="n">
        <v>4</v>
      </c>
      <c r="AN49" t="n">
        <v>1</v>
      </c>
      <c r="AO49" t="n">
        <v>1</v>
      </c>
      <c r="AP49" t="inlineStr">
        <is>
          <t>No</t>
        </is>
      </c>
      <c r="AQ49" t="inlineStr">
        <is>
          <t>Yes</t>
        </is>
      </c>
      <c r="AR49">
        <f>HYPERLINK("http://catalog.hathitrust.org/Record/004090347","HathiTrust Record")</f>
        <v/>
      </c>
      <c r="AS49">
        <f>HYPERLINK("https://creighton-primo.hosted.exlibrisgroup.com/primo-explore/search?tab=default_tab&amp;search_scope=EVERYTHING&amp;vid=01CRU&amp;lang=en_US&amp;offset=0&amp;query=any,contains,991003480429702656","Catalog Record")</f>
        <v/>
      </c>
      <c r="AT49">
        <f>HYPERLINK("http://www.worldcat.org/oclc/41991275","WorldCat Record")</f>
        <v/>
      </c>
      <c r="AU49" t="inlineStr">
        <is>
          <t>1117959587:eng</t>
        </is>
      </c>
      <c r="AV49" t="inlineStr">
        <is>
          <t>41991275</t>
        </is>
      </c>
      <c r="AW49" t="inlineStr">
        <is>
          <t>991003480429702656</t>
        </is>
      </c>
      <c r="AX49" t="inlineStr">
        <is>
          <t>991003480429702656</t>
        </is>
      </c>
      <c r="AY49" t="inlineStr">
        <is>
          <t>2262460240002656</t>
        </is>
      </c>
      <c r="AZ49" t="inlineStr">
        <is>
          <t>BOOK</t>
        </is>
      </c>
      <c r="BB49" t="inlineStr">
        <is>
          <t>9780801862632</t>
        </is>
      </c>
      <c r="BC49" t="inlineStr">
        <is>
          <t>32285004299250</t>
        </is>
      </c>
      <c r="BD49" t="inlineStr">
        <is>
          <t>893428831</t>
        </is>
      </c>
    </row>
    <row r="50">
      <c r="A50" t="inlineStr">
        <is>
          <t>No</t>
        </is>
      </c>
      <c r="B50" t="inlineStr">
        <is>
          <t>E16 .M34 1998</t>
        </is>
      </c>
      <c r="C50" t="inlineStr">
        <is>
          <t>0                      E  0016000M  34          1998</t>
        </is>
      </c>
      <c r="D50" t="inlineStr">
        <is>
          <t>Herbert E. Bolton and the historiography of the Americas / Russell M. Magnaghi.</t>
        </is>
      </c>
      <c r="F50" t="inlineStr">
        <is>
          <t>No</t>
        </is>
      </c>
      <c r="G50" t="inlineStr">
        <is>
          <t>1</t>
        </is>
      </c>
      <c r="H50" t="inlineStr">
        <is>
          <t>No</t>
        </is>
      </c>
      <c r="I50" t="inlineStr">
        <is>
          <t>No</t>
        </is>
      </c>
      <c r="J50" t="inlineStr">
        <is>
          <t>0</t>
        </is>
      </c>
      <c r="K50" t="inlineStr">
        <is>
          <t>Magnaghi, Russell M.</t>
        </is>
      </c>
      <c r="L50" t="inlineStr">
        <is>
          <t>Westport, Conn : Greenwood Press, 1998.</t>
        </is>
      </c>
      <c r="M50" t="inlineStr">
        <is>
          <t>1998</t>
        </is>
      </c>
      <c r="O50" t="inlineStr">
        <is>
          <t>eng</t>
        </is>
      </c>
      <c r="P50" t="inlineStr">
        <is>
          <t>ctu</t>
        </is>
      </c>
      <c r="Q50" t="inlineStr">
        <is>
          <t>Studies in historiography, 1046-526X ; no. 5</t>
        </is>
      </c>
      <c r="R50" t="inlineStr">
        <is>
          <t xml:space="preserve">E  </t>
        </is>
      </c>
      <c r="S50" t="n">
        <v>1</v>
      </c>
      <c r="T50" t="n">
        <v>1</v>
      </c>
      <c r="U50" t="inlineStr">
        <is>
          <t>2003-11-04</t>
        </is>
      </c>
      <c r="V50" t="inlineStr">
        <is>
          <t>2003-11-04</t>
        </is>
      </c>
      <c r="W50" t="inlineStr">
        <is>
          <t>2000-03-15</t>
        </is>
      </c>
      <c r="X50" t="inlineStr">
        <is>
          <t>2000-03-15</t>
        </is>
      </c>
      <c r="Y50" t="n">
        <v>290</v>
      </c>
      <c r="Z50" t="n">
        <v>267</v>
      </c>
      <c r="AA50" t="n">
        <v>628</v>
      </c>
      <c r="AB50" t="n">
        <v>3</v>
      </c>
      <c r="AC50" t="n">
        <v>6</v>
      </c>
      <c r="AD50" t="n">
        <v>19</v>
      </c>
      <c r="AE50" t="n">
        <v>25</v>
      </c>
      <c r="AF50" t="n">
        <v>6</v>
      </c>
      <c r="AG50" t="n">
        <v>9</v>
      </c>
      <c r="AH50" t="n">
        <v>8</v>
      </c>
      <c r="AI50" t="n">
        <v>8</v>
      </c>
      <c r="AJ50" t="n">
        <v>10</v>
      </c>
      <c r="AK50" t="n">
        <v>11</v>
      </c>
      <c r="AL50" t="n">
        <v>2</v>
      </c>
      <c r="AM50" t="n">
        <v>5</v>
      </c>
      <c r="AN50" t="n">
        <v>0</v>
      </c>
      <c r="AO50" t="n">
        <v>0</v>
      </c>
      <c r="AP50" t="inlineStr">
        <is>
          <t>No</t>
        </is>
      </c>
      <c r="AQ50" t="inlineStr">
        <is>
          <t>Yes</t>
        </is>
      </c>
      <c r="AR50">
        <f>HYPERLINK("http://catalog.hathitrust.org/Record/003998771","HathiTrust Record")</f>
        <v/>
      </c>
      <c r="AS50">
        <f>HYPERLINK("https://creighton-primo.hosted.exlibrisgroup.com/primo-explore/search?tab=default_tab&amp;search_scope=EVERYTHING&amp;vid=01CRU&amp;lang=en_US&amp;offset=0&amp;query=any,contains,991002862459702656","Catalog Record")</f>
        <v/>
      </c>
      <c r="AT50">
        <f>HYPERLINK("http://www.worldcat.org/oclc/37725514","WorldCat Record")</f>
        <v/>
      </c>
      <c r="AU50" t="inlineStr">
        <is>
          <t>611777:eng</t>
        </is>
      </c>
      <c r="AV50" t="inlineStr">
        <is>
          <t>37725514</t>
        </is>
      </c>
      <c r="AW50" t="inlineStr">
        <is>
          <t>991002862459702656</t>
        </is>
      </c>
      <c r="AX50" t="inlineStr">
        <is>
          <t>991002862459702656</t>
        </is>
      </c>
      <c r="AY50" t="inlineStr">
        <is>
          <t>2255746060002656</t>
        </is>
      </c>
      <c r="AZ50" t="inlineStr">
        <is>
          <t>BOOK</t>
        </is>
      </c>
      <c r="BB50" t="inlineStr">
        <is>
          <t>9780313298950</t>
        </is>
      </c>
      <c r="BC50" t="inlineStr">
        <is>
          <t>32285003669925</t>
        </is>
      </c>
      <c r="BD50" t="inlineStr">
        <is>
          <t>893434385</t>
        </is>
      </c>
    </row>
    <row r="51">
      <c r="A51" t="inlineStr">
        <is>
          <t>No</t>
        </is>
      </c>
      <c r="B51" t="inlineStr">
        <is>
          <t>E160 .N247 1993</t>
        </is>
      </c>
      <c r="C51" t="inlineStr">
        <is>
          <t>0                      E  0160000N  247         1993</t>
        </is>
      </c>
      <c r="D51" t="inlineStr">
        <is>
          <t>National parks.</t>
        </is>
      </c>
      <c r="F51" t="inlineStr">
        <is>
          <t>No</t>
        </is>
      </c>
      <c r="G51" t="inlineStr">
        <is>
          <t>1</t>
        </is>
      </c>
      <c r="H51" t="inlineStr">
        <is>
          <t>No</t>
        </is>
      </c>
      <c r="I51" t="inlineStr">
        <is>
          <t>No</t>
        </is>
      </c>
      <c r="J51" t="inlineStr">
        <is>
          <t>0</t>
        </is>
      </c>
      <c r="L51" t="inlineStr">
        <is>
          <t>Pleasantville, N.Y. : Reader's Digest Association, c1993.</t>
        </is>
      </c>
      <c r="M51" t="inlineStr">
        <is>
          <t>1993</t>
        </is>
      </c>
      <c r="O51" t="inlineStr">
        <is>
          <t>eng</t>
        </is>
      </c>
      <c r="P51" t="inlineStr">
        <is>
          <t>nyu</t>
        </is>
      </c>
      <c r="Q51" t="inlineStr">
        <is>
          <t>Explore America</t>
        </is>
      </c>
      <c r="R51" t="inlineStr">
        <is>
          <t xml:space="preserve">E  </t>
        </is>
      </c>
      <c r="S51" t="n">
        <v>5</v>
      </c>
      <c r="T51" t="n">
        <v>5</v>
      </c>
      <c r="U51" t="inlineStr">
        <is>
          <t>1998-04-14</t>
        </is>
      </c>
      <c r="V51" t="inlineStr">
        <is>
          <t>1998-04-14</t>
        </is>
      </c>
      <c r="W51" t="inlineStr">
        <is>
          <t>1996-10-28</t>
        </is>
      </c>
      <c r="X51" t="inlineStr">
        <is>
          <t>1996-10-28</t>
        </is>
      </c>
      <c r="Y51" t="n">
        <v>1229</v>
      </c>
      <c r="Z51" t="n">
        <v>1224</v>
      </c>
      <c r="AA51" t="n">
        <v>1234</v>
      </c>
      <c r="AB51" t="n">
        <v>12</v>
      </c>
      <c r="AC51" t="n">
        <v>13</v>
      </c>
      <c r="AD51" t="n">
        <v>4</v>
      </c>
      <c r="AE51" t="n">
        <v>4</v>
      </c>
      <c r="AF51" t="n">
        <v>1</v>
      </c>
      <c r="AG51" t="n">
        <v>1</v>
      </c>
      <c r="AH51" t="n">
        <v>0</v>
      </c>
      <c r="AI51" t="n">
        <v>0</v>
      </c>
      <c r="AJ51" t="n">
        <v>1</v>
      </c>
      <c r="AK51" t="n">
        <v>1</v>
      </c>
      <c r="AL51" t="n">
        <v>3</v>
      </c>
      <c r="AM51" t="n">
        <v>3</v>
      </c>
      <c r="AN51" t="n">
        <v>0</v>
      </c>
      <c r="AO51" t="n">
        <v>0</v>
      </c>
      <c r="AP51" t="inlineStr">
        <is>
          <t>No</t>
        </is>
      </c>
      <c r="AQ51" t="inlineStr">
        <is>
          <t>No</t>
        </is>
      </c>
      <c r="AS51">
        <f>HYPERLINK("https://creighton-primo.hosted.exlibrisgroup.com/primo-explore/search?tab=default_tab&amp;search_scope=EVERYTHING&amp;vid=01CRU&amp;lang=en_US&amp;offset=0&amp;query=any,contains,991002093829702656","Catalog Record")</f>
        <v/>
      </c>
      <c r="AT51">
        <f>HYPERLINK("http://www.worldcat.org/oclc/26854080","WorldCat Record")</f>
        <v/>
      </c>
      <c r="AU51" t="inlineStr">
        <is>
          <t>55636616:eng</t>
        </is>
      </c>
      <c r="AV51" t="inlineStr">
        <is>
          <t>26854080</t>
        </is>
      </c>
      <c r="AW51" t="inlineStr">
        <is>
          <t>991002093829702656</t>
        </is>
      </c>
      <c r="AX51" t="inlineStr">
        <is>
          <t>991002093829702656</t>
        </is>
      </c>
      <c r="AY51" t="inlineStr">
        <is>
          <t>2268057000002656</t>
        </is>
      </c>
      <c r="AZ51" t="inlineStr">
        <is>
          <t>BOOK</t>
        </is>
      </c>
      <c r="BB51" t="inlineStr">
        <is>
          <t>9780895774477</t>
        </is>
      </c>
      <c r="BC51" t="inlineStr">
        <is>
          <t>32285002369436</t>
        </is>
      </c>
      <c r="BD51" t="inlineStr">
        <is>
          <t>893621899</t>
        </is>
      </c>
    </row>
    <row r="52">
      <c r="A52" t="inlineStr">
        <is>
          <t>No</t>
        </is>
      </c>
      <c r="B52" t="inlineStr">
        <is>
          <t>E160 .R78</t>
        </is>
      </c>
      <c r="C52" t="inlineStr">
        <is>
          <t>0                      E  0160000R  78</t>
        </is>
      </c>
      <c r="D52" t="inlineStr">
        <is>
          <t>National parks : the American experience / Alfred Runte.</t>
        </is>
      </c>
      <c r="F52" t="inlineStr">
        <is>
          <t>No</t>
        </is>
      </c>
      <c r="G52" t="inlineStr">
        <is>
          <t>1</t>
        </is>
      </c>
      <c r="H52" t="inlineStr">
        <is>
          <t>No</t>
        </is>
      </c>
      <c r="I52" t="inlineStr">
        <is>
          <t>No</t>
        </is>
      </c>
      <c r="J52" t="inlineStr">
        <is>
          <t>0</t>
        </is>
      </c>
      <c r="K52" t="inlineStr">
        <is>
          <t>Runte, Alfred, 1947-</t>
        </is>
      </c>
      <c r="L52" t="inlineStr">
        <is>
          <t>Lincoln : University of Nebraska Press, c1979.</t>
        </is>
      </c>
      <c r="M52" t="inlineStr">
        <is>
          <t>1979</t>
        </is>
      </c>
      <c r="O52" t="inlineStr">
        <is>
          <t>eng</t>
        </is>
      </c>
      <c r="P52" t="inlineStr">
        <is>
          <t>nbu</t>
        </is>
      </c>
      <c r="R52" t="inlineStr">
        <is>
          <t xml:space="preserve">E  </t>
        </is>
      </c>
      <c r="S52" t="n">
        <v>8</v>
      </c>
      <c r="T52" t="n">
        <v>8</v>
      </c>
      <c r="U52" t="inlineStr">
        <is>
          <t>1998-03-15</t>
        </is>
      </c>
      <c r="V52" t="inlineStr">
        <is>
          <t>1998-03-15</t>
        </is>
      </c>
      <c r="W52" t="inlineStr">
        <is>
          <t>1990-12-11</t>
        </is>
      </c>
      <c r="X52" t="inlineStr">
        <is>
          <t>1990-12-11</t>
        </is>
      </c>
      <c r="Y52" t="n">
        <v>819</v>
      </c>
      <c r="Z52" t="n">
        <v>714</v>
      </c>
      <c r="AA52" t="n">
        <v>716</v>
      </c>
      <c r="AB52" t="n">
        <v>9</v>
      </c>
      <c r="AC52" t="n">
        <v>9</v>
      </c>
      <c r="AD52" t="n">
        <v>23</v>
      </c>
      <c r="AE52" t="n">
        <v>23</v>
      </c>
      <c r="AF52" t="n">
        <v>5</v>
      </c>
      <c r="AG52" t="n">
        <v>5</v>
      </c>
      <c r="AH52" t="n">
        <v>5</v>
      </c>
      <c r="AI52" t="n">
        <v>5</v>
      </c>
      <c r="AJ52" t="n">
        <v>11</v>
      </c>
      <c r="AK52" t="n">
        <v>11</v>
      </c>
      <c r="AL52" t="n">
        <v>7</v>
      </c>
      <c r="AM52" t="n">
        <v>7</v>
      </c>
      <c r="AN52" t="n">
        <v>0</v>
      </c>
      <c r="AO52" t="n">
        <v>0</v>
      </c>
      <c r="AP52" t="inlineStr">
        <is>
          <t>No</t>
        </is>
      </c>
      <c r="AQ52" t="inlineStr">
        <is>
          <t>Yes</t>
        </is>
      </c>
      <c r="AR52">
        <f>HYPERLINK("http://catalog.hathitrust.org/Record/000691530","HathiTrust Record")</f>
        <v/>
      </c>
      <c r="AS52">
        <f>HYPERLINK("https://creighton-primo.hosted.exlibrisgroup.com/primo-explore/search?tab=default_tab&amp;search_scope=EVERYTHING&amp;vid=01CRU&amp;lang=en_US&amp;offset=0&amp;query=any,contains,991004699859702656","Catalog Record")</f>
        <v/>
      </c>
      <c r="AT52">
        <f>HYPERLINK("http://www.worldcat.org/oclc/4665114","WorldCat Record")</f>
        <v/>
      </c>
      <c r="AU52" t="inlineStr">
        <is>
          <t>8909351391:eng</t>
        </is>
      </c>
      <c r="AV52" t="inlineStr">
        <is>
          <t>4665114</t>
        </is>
      </c>
      <c r="AW52" t="inlineStr">
        <is>
          <t>991004699859702656</t>
        </is>
      </c>
      <c r="AX52" t="inlineStr">
        <is>
          <t>991004699859702656</t>
        </is>
      </c>
      <c r="AY52" t="inlineStr">
        <is>
          <t>2257282980002656</t>
        </is>
      </c>
      <c r="AZ52" t="inlineStr">
        <is>
          <t>BOOK</t>
        </is>
      </c>
      <c r="BB52" t="inlineStr">
        <is>
          <t>9780803238527</t>
        </is>
      </c>
      <c r="BC52" t="inlineStr">
        <is>
          <t>32285000422542</t>
        </is>
      </c>
      <c r="BD52" t="inlineStr">
        <is>
          <t>893325665</t>
        </is>
      </c>
    </row>
    <row r="53">
      <c r="A53" t="inlineStr">
        <is>
          <t>No</t>
        </is>
      </c>
      <c r="B53" t="inlineStr">
        <is>
          <t>E160 .S77</t>
        </is>
      </c>
      <c r="C53" t="inlineStr">
        <is>
          <t>0                      E  0160000S  77</t>
        </is>
      </c>
      <c r="D53" t="inlineStr">
        <is>
          <t>National parks of the West.</t>
        </is>
      </c>
      <c r="F53" t="inlineStr">
        <is>
          <t>No</t>
        </is>
      </c>
      <c r="G53" t="inlineStr">
        <is>
          <t>1</t>
        </is>
      </c>
      <c r="H53" t="inlineStr">
        <is>
          <t>No</t>
        </is>
      </c>
      <c r="I53" t="inlineStr">
        <is>
          <t>No</t>
        </is>
      </c>
      <c r="J53" t="inlineStr">
        <is>
          <t>0</t>
        </is>
      </c>
      <c r="K53" t="inlineStr">
        <is>
          <t>Sunset.</t>
        </is>
      </c>
      <c r="L53" t="inlineStr">
        <is>
          <t>Menlo Park, Calif., Lane Magazine &amp; Book Co. [1965]</t>
        </is>
      </c>
      <c r="M53" t="inlineStr">
        <is>
          <t>1965</t>
        </is>
      </c>
      <c r="O53" t="inlineStr">
        <is>
          <t>eng</t>
        </is>
      </c>
      <c r="P53" t="inlineStr">
        <is>
          <t>___</t>
        </is>
      </c>
      <c r="R53" t="inlineStr">
        <is>
          <t xml:space="preserve">E  </t>
        </is>
      </c>
      <c r="S53" t="n">
        <v>8</v>
      </c>
      <c r="T53" t="n">
        <v>8</v>
      </c>
      <c r="U53" t="inlineStr">
        <is>
          <t>1998-04-14</t>
        </is>
      </c>
      <c r="V53" t="inlineStr">
        <is>
          <t>1998-04-14</t>
        </is>
      </c>
      <c r="W53" t="inlineStr">
        <is>
          <t>1990-12-11</t>
        </is>
      </c>
      <c r="X53" t="inlineStr">
        <is>
          <t>1990-12-11</t>
        </is>
      </c>
      <c r="Y53" t="n">
        <v>403</v>
      </c>
      <c r="Z53" t="n">
        <v>386</v>
      </c>
      <c r="AA53" t="n">
        <v>563</v>
      </c>
      <c r="AB53" t="n">
        <v>3</v>
      </c>
      <c r="AC53" t="n">
        <v>5</v>
      </c>
      <c r="AD53" t="n">
        <v>8</v>
      </c>
      <c r="AE53" t="n">
        <v>11</v>
      </c>
      <c r="AF53" t="n">
        <v>3</v>
      </c>
      <c r="AG53" t="n">
        <v>3</v>
      </c>
      <c r="AH53" t="n">
        <v>1</v>
      </c>
      <c r="AI53" t="n">
        <v>1</v>
      </c>
      <c r="AJ53" t="n">
        <v>5</v>
      </c>
      <c r="AK53" t="n">
        <v>6</v>
      </c>
      <c r="AL53" t="n">
        <v>1</v>
      </c>
      <c r="AM53" t="n">
        <v>3</v>
      </c>
      <c r="AN53" t="n">
        <v>0</v>
      </c>
      <c r="AO53" t="n">
        <v>0</v>
      </c>
      <c r="AP53" t="inlineStr">
        <is>
          <t>No</t>
        </is>
      </c>
      <c r="AQ53" t="inlineStr">
        <is>
          <t>Yes</t>
        </is>
      </c>
      <c r="AR53">
        <f>HYPERLINK("http://catalog.hathitrust.org/Record/000289099","HathiTrust Record")</f>
        <v/>
      </c>
      <c r="AS53">
        <f>HYPERLINK("https://creighton-primo.hosted.exlibrisgroup.com/primo-explore/search?tab=default_tab&amp;search_scope=EVERYTHING&amp;vid=01CRU&amp;lang=en_US&amp;offset=0&amp;query=any,contains,991002738259702656","Catalog Record")</f>
        <v/>
      </c>
      <c r="AT53">
        <f>HYPERLINK("http://www.worldcat.org/oclc/711631","WorldCat Record")</f>
        <v/>
      </c>
      <c r="AU53" t="inlineStr">
        <is>
          <t>9532531:eng</t>
        </is>
      </c>
      <c r="AV53" t="inlineStr">
        <is>
          <t>711631</t>
        </is>
      </c>
      <c r="AW53" t="inlineStr">
        <is>
          <t>991002738259702656</t>
        </is>
      </c>
      <c r="AX53" t="inlineStr">
        <is>
          <t>991002738259702656</t>
        </is>
      </c>
      <c r="AY53" t="inlineStr">
        <is>
          <t>2270504240002656</t>
        </is>
      </c>
      <c r="AZ53" t="inlineStr">
        <is>
          <t>BOOK</t>
        </is>
      </c>
      <c r="BC53" t="inlineStr">
        <is>
          <t>32285000422559</t>
        </is>
      </c>
      <c r="BD53" t="inlineStr">
        <is>
          <t>893347858</t>
        </is>
      </c>
    </row>
    <row r="54">
      <c r="A54" t="inlineStr">
        <is>
          <t>No</t>
        </is>
      </c>
      <c r="B54" t="inlineStr">
        <is>
          <t>E160 .U3</t>
        </is>
      </c>
      <c r="C54" t="inlineStr">
        <is>
          <t>0                      E  0160000U  3</t>
        </is>
      </c>
      <c r="D54" t="inlineStr">
        <is>
          <t>The national parks of America / [by] Stewart L. Udall and the editors of Country beautiful.</t>
        </is>
      </c>
      <c r="F54" t="inlineStr">
        <is>
          <t>No</t>
        </is>
      </c>
      <c r="G54" t="inlineStr">
        <is>
          <t>1</t>
        </is>
      </c>
      <c r="H54" t="inlineStr">
        <is>
          <t>No</t>
        </is>
      </c>
      <c r="I54" t="inlineStr">
        <is>
          <t>No</t>
        </is>
      </c>
      <c r="J54" t="inlineStr">
        <is>
          <t>0</t>
        </is>
      </c>
      <c r="K54" t="inlineStr">
        <is>
          <t>Udall, Stewart L.</t>
        </is>
      </c>
      <c r="L54" t="inlineStr">
        <is>
          <t>New York : Rand McNally, [1966]</t>
        </is>
      </c>
      <c r="M54" t="inlineStr">
        <is>
          <t>1966</t>
        </is>
      </c>
      <c r="N54" t="inlineStr">
        <is>
          <t>[1st ed.]</t>
        </is>
      </c>
      <c r="O54" t="inlineStr">
        <is>
          <t>eng</t>
        </is>
      </c>
      <c r="P54" t="inlineStr">
        <is>
          <t>nyu</t>
        </is>
      </c>
      <c r="R54" t="inlineStr">
        <is>
          <t xml:space="preserve">E  </t>
        </is>
      </c>
      <c r="S54" t="n">
        <v>10</v>
      </c>
      <c r="T54" t="n">
        <v>10</v>
      </c>
      <c r="U54" t="inlineStr">
        <is>
          <t>1998-04-14</t>
        </is>
      </c>
      <c r="V54" t="inlineStr">
        <is>
          <t>1998-04-14</t>
        </is>
      </c>
      <c r="W54" t="inlineStr">
        <is>
          <t>1992-03-18</t>
        </is>
      </c>
      <c r="X54" t="inlineStr">
        <is>
          <t>1992-03-18</t>
        </is>
      </c>
      <c r="Y54" t="n">
        <v>802</v>
      </c>
      <c r="Z54" t="n">
        <v>780</v>
      </c>
      <c r="AA54" t="n">
        <v>1074</v>
      </c>
      <c r="AB54" t="n">
        <v>7</v>
      </c>
      <c r="AC54" t="n">
        <v>8</v>
      </c>
      <c r="AD54" t="n">
        <v>20</v>
      </c>
      <c r="AE54" t="n">
        <v>21</v>
      </c>
      <c r="AF54" t="n">
        <v>8</v>
      </c>
      <c r="AG54" t="n">
        <v>9</v>
      </c>
      <c r="AH54" t="n">
        <v>5</v>
      </c>
      <c r="AI54" t="n">
        <v>5</v>
      </c>
      <c r="AJ54" t="n">
        <v>12</v>
      </c>
      <c r="AK54" t="n">
        <v>12</v>
      </c>
      <c r="AL54" t="n">
        <v>2</v>
      </c>
      <c r="AM54" t="n">
        <v>2</v>
      </c>
      <c r="AN54" t="n">
        <v>0</v>
      </c>
      <c r="AO54" t="n">
        <v>0</v>
      </c>
      <c r="AP54" t="inlineStr">
        <is>
          <t>No</t>
        </is>
      </c>
      <c r="AQ54" t="inlineStr">
        <is>
          <t>Yes</t>
        </is>
      </c>
      <c r="AR54">
        <f>HYPERLINK("http://catalog.hathitrust.org/Record/000289106","HathiTrust Record")</f>
        <v/>
      </c>
      <c r="AS54">
        <f>HYPERLINK("https://creighton-primo.hosted.exlibrisgroup.com/primo-explore/search?tab=default_tab&amp;search_scope=EVERYTHING&amp;vid=01CRU&amp;lang=en_US&amp;offset=0&amp;query=any,contains,991002408849702656","Catalog Record")</f>
        <v/>
      </c>
      <c r="AT54">
        <f>HYPERLINK("http://www.worldcat.org/oclc/338757","WorldCat Record")</f>
        <v/>
      </c>
      <c r="AU54" t="inlineStr">
        <is>
          <t>504534298:eng</t>
        </is>
      </c>
      <c r="AV54" t="inlineStr">
        <is>
          <t>338757</t>
        </is>
      </c>
      <c r="AW54" t="inlineStr">
        <is>
          <t>991002408849702656</t>
        </is>
      </c>
      <c r="AX54" t="inlineStr">
        <is>
          <t>991002408849702656</t>
        </is>
      </c>
      <c r="AY54" t="inlineStr">
        <is>
          <t>2257053330002656</t>
        </is>
      </c>
      <c r="AZ54" t="inlineStr">
        <is>
          <t>BOOK</t>
        </is>
      </c>
      <c r="BC54" t="inlineStr">
        <is>
          <t>32285001023984</t>
        </is>
      </c>
      <c r="BD54" t="inlineStr">
        <is>
          <t>893704036</t>
        </is>
      </c>
    </row>
    <row r="55">
      <c r="A55" t="inlineStr">
        <is>
          <t>No</t>
        </is>
      </c>
      <c r="B55" t="inlineStr">
        <is>
          <t>E160 .Z37 1994</t>
        </is>
      </c>
      <c r="C55" t="inlineStr">
        <is>
          <t>0                      E  0160000Z  37          1994</t>
        </is>
      </c>
      <c r="D55" t="inlineStr">
        <is>
          <t>These American lands : parks, wilderness, and the public lands / Dyan Zaslowsky and T.H. Watkins, the Wilderness Society.</t>
        </is>
      </c>
      <c r="F55" t="inlineStr">
        <is>
          <t>No</t>
        </is>
      </c>
      <c r="G55" t="inlineStr">
        <is>
          <t>1</t>
        </is>
      </c>
      <c r="H55" t="inlineStr">
        <is>
          <t>No</t>
        </is>
      </c>
      <c r="I55" t="inlineStr">
        <is>
          <t>No</t>
        </is>
      </c>
      <c r="J55" t="inlineStr">
        <is>
          <t>0</t>
        </is>
      </c>
      <c r="K55" t="inlineStr">
        <is>
          <t>Zaslowsky, Dyan.</t>
        </is>
      </c>
      <c r="L55" t="inlineStr">
        <is>
          <t>Washington, D.C. : Island Press, c1994.</t>
        </is>
      </c>
      <c r="M55" t="inlineStr">
        <is>
          <t>1994</t>
        </is>
      </c>
      <c r="N55" t="inlineStr">
        <is>
          <t>Rev. and expanded ed.</t>
        </is>
      </c>
      <c r="O55" t="inlineStr">
        <is>
          <t>eng</t>
        </is>
      </c>
      <c r="P55" t="inlineStr">
        <is>
          <t>dcu</t>
        </is>
      </c>
      <c r="R55" t="inlineStr">
        <is>
          <t xml:space="preserve">E  </t>
        </is>
      </c>
      <c r="S55" t="n">
        <v>11</v>
      </c>
      <c r="T55" t="n">
        <v>11</v>
      </c>
      <c r="U55" t="inlineStr">
        <is>
          <t>1999-03-22</t>
        </is>
      </c>
      <c r="V55" t="inlineStr">
        <is>
          <t>1999-03-22</t>
        </is>
      </c>
      <c r="W55" t="inlineStr">
        <is>
          <t>1996-03-08</t>
        </is>
      </c>
      <c r="X55" t="inlineStr">
        <is>
          <t>1996-03-08</t>
        </is>
      </c>
      <c r="Y55" t="n">
        <v>424</v>
      </c>
      <c r="Z55" t="n">
        <v>406</v>
      </c>
      <c r="AA55" t="n">
        <v>946</v>
      </c>
      <c r="AB55" t="n">
        <v>5</v>
      </c>
      <c r="AC55" t="n">
        <v>9</v>
      </c>
      <c r="AD55" t="n">
        <v>17</v>
      </c>
      <c r="AE55" t="n">
        <v>29</v>
      </c>
      <c r="AF55" t="n">
        <v>3</v>
      </c>
      <c r="AG55" t="n">
        <v>8</v>
      </c>
      <c r="AH55" t="n">
        <v>4</v>
      </c>
      <c r="AI55" t="n">
        <v>6</v>
      </c>
      <c r="AJ55" t="n">
        <v>7</v>
      </c>
      <c r="AK55" t="n">
        <v>10</v>
      </c>
      <c r="AL55" t="n">
        <v>4</v>
      </c>
      <c r="AM55" t="n">
        <v>7</v>
      </c>
      <c r="AN55" t="n">
        <v>2</v>
      </c>
      <c r="AO55" t="n">
        <v>4</v>
      </c>
      <c r="AP55" t="inlineStr">
        <is>
          <t>No</t>
        </is>
      </c>
      <c r="AQ55" t="inlineStr">
        <is>
          <t>Yes</t>
        </is>
      </c>
      <c r="AR55">
        <f>HYPERLINK("http://catalog.hathitrust.org/Record/002873431","HathiTrust Record")</f>
        <v/>
      </c>
      <c r="AS55">
        <f>HYPERLINK("https://creighton-primo.hosted.exlibrisgroup.com/primo-explore/search?tab=default_tab&amp;search_scope=EVERYTHING&amp;vid=01CRU&amp;lang=en_US&amp;offset=0&amp;query=any,contains,991002333399702656","Catalog Record")</f>
        <v/>
      </c>
      <c r="AT55">
        <f>HYPERLINK("http://www.worldcat.org/oclc/30360160","WorldCat Record")</f>
        <v/>
      </c>
      <c r="AU55" t="inlineStr">
        <is>
          <t>7095748:eng</t>
        </is>
      </c>
      <c r="AV55" t="inlineStr">
        <is>
          <t>30360160</t>
        </is>
      </c>
      <c r="AW55" t="inlineStr">
        <is>
          <t>991002333399702656</t>
        </is>
      </c>
      <c r="AX55" t="inlineStr">
        <is>
          <t>991002333399702656</t>
        </is>
      </c>
      <c r="AY55" t="inlineStr">
        <is>
          <t>2255235000002656</t>
        </is>
      </c>
      <c r="AZ55" t="inlineStr">
        <is>
          <t>BOOK</t>
        </is>
      </c>
      <c r="BB55" t="inlineStr">
        <is>
          <t>9781559632393</t>
        </is>
      </c>
      <c r="BC55" t="inlineStr">
        <is>
          <t>32285002140910</t>
        </is>
      </c>
      <c r="BD55" t="inlineStr">
        <is>
          <t>893622160</t>
        </is>
      </c>
    </row>
    <row r="56">
      <c r="A56" t="inlineStr">
        <is>
          <t>No</t>
        </is>
      </c>
      <c r="B56" t="inlineStr">
        <is>
          <t>E161 .A75 1999</t>
        </is>
      </c>
      <c r="C56" t="inlineStr">
        <is>
          <t>0                      E  0161000A  75          1999</t>
        </is>
      </c>
      <c r="D56" t="inlineStr">
        <is>
          <t>Working at play : a history of vacations in the United States / Cindy S. Aron.</t>
        </is>
      </c>
      <c r="F56" t="inlineStr">
        <is>
          <t>No</t>
        </is>
      </c>
      <c r="G56" t="inlineStr">
        <is>
          <t>1</t>
        </is>
      </c>
      <c r="H56" t="inlineStr">
        <is>
          <t>No</t>
        </is>
      </c>
      <c r="I56" t="inlineStr">
        <is>
          <t>No</t>
        </is>
      </c>
      <c r="J56" t="inlineStr">
        <is>
          <t>0</t>
        </is>
      </c>
      <c r="K56" t="inlineStr">
        <is>
          <t>Aron, Cindy Sondik, 1945-</t>
        </is>
      </c>
      <c r="L56" t="inlineStr">
        <is>
          <t>New York : Oxford University Press, 1999.</t>
        </is>
      </c>
      <c r="M56" t="inlineStr">
        <is>
          <t>1999</t>
        </is>
      </c>
      <c r="O56" t="inlineStr">
        <is>
          <t>eng</t>
        </is>
      </c>
      <c r="P56" t="inlineStr">
        <is>
          <t>nyu</t>
        </is>
      </c>
      <c r="R56" t="inlineStr">
        <is>
          <t xml:space="preserve">E  </t>
        </is>
      </c>
      <c r="S56" t="n">
        <v>3</v>
      </c>
      <c r="T56" t="n">
        <v>3</v>
      </c>
      <c r="U56" t="inlineStr">
        <is>
          <t>2001-10-05</t>
        </is>
      </c>
      <c r="V56" t="inlineStr">
        <is>
          <t>2001-10-05</t>
        </is>
      </c>
      <c r="W56" t="inlineStr">
        <is>
          <t>2001-09-25</t>
        </is>
      </c>
      <c r="X56" t="inlineStr">
        <is>
          <t>2001-09-25</t>
        </is>
      </c>
      <c r="Y56" t="n">
        <v>841</v>
      </c>
      <c r="Z56" t="n">
        <v>748</v>
      </c>
      <c r="AA56" t="n">
        <v>1312</v>
      </c>
      <c r="AB56" t="n">
        <v>6</v>
      </c>
      <c r="AC56" t="n">
        <v>12</v>
      </c>
      <c r="AD56" t="n">
        <v>36</v>
      </c>
      <c r="AE56" t="n">
        <v>51</v>
      </c>
      <c r="AF56" t="n">
        <v>12</v>
      </c>
      <c r="AG56" t="n">
        <v>17</v>
      </c>
      <c r="AH56" t="n">
        <v>9</v>
      </c>
      <c r="AI56" t="n">
        <v>10</v>
      </c>
      <c r="AJ56" t="n">
        <v>20</v>
      </c>
      <c r="AK56" t="n">
        <v>23</v>
      </c>
      <c r="AL56" t="n">
        <v>5</v>
      </c>
      <c r="AM56" t="n">
        <v>10</v>
      </c>
      <c r="AN56" t="n">
        <v>1</v>
      </c>
      <c r="AO56" t="n">
        <v>2</v>
      </c>
      <c r="AP56" t="inlineStr">
        <is>
          <t>No</t>
        </is>
      </c>
      <c r="AQ56" t="inlineStr">
        <is>
          <t>No</t>
        </is>
      </c>
      <c r="AS56">
        <f>HYPERLINK("https://creighton-primo.hosted.exlibrisgroup.com/primo-explore/search?tab=default_tab&amp;search_scope=EVERYTHING&amp;vid=01CRU&amp;lang=en_US&amp;offset=0&amp;query=any,contains,991003568919702656","Catalog Record")</f>
        <v/>
      </c>
      <c r="AT56">
        <f>HYPERLINK("http://www.worldcat.org/oclc/39157720","WorldCat Record")</f>
        <v/>
      </c>
      <c r="AU56" t="inlineStr">
        <is>
          <t>803644710:eng</t>
        </is>
      </c>
      <c r="AV56" t="inlineStr">
        <is>
          <t>39157720</t>
        </is>
      </c>
      <c r="AW56" t="inlineStr">
        <is>
          <t>991003568919702656</t>
        </is>
      </c>
      <c r="AX56" t="inlineStr">
        <is>
          <t>991003568919702656</t>
        </is>
      </c>
      <c r="AY56" t="inlineStr">
        <is>
          <t>2266121060002656</t>
        </is>
      </c>
      <c r="AZ56" t="inlineStr">
        <is>
          <t>BOOK</t>
        </is>
      </c>
      <c r="BB56" t="inlineStr">
        <is>
          <t>9780195055849</t>
        </is>
      </c>
      <c r="BC56" t="inlineStr">
        <is>
          <t>32285004393020</t>
        </is>
      </c>
      <c r="BD56" t="inlineStr">
        <is>
          <t>893258572</t>
        </is>
      </c>
    </row>
    <row r="57">
      <c r="A57" t="inlineStr">
        <is>
          <t>No</t>
        </is>
      </c>
      <c r="B57" t="inlineStr">
        <is>
          <t>E161 .B785 2003</t>
        </is>
      </c>
      <c r="C57" t="inlineStr">
        <is>
          <t>0                      E  0161000B  785         2003</t>
        </is>
      </c>
      <c r="D57" t="inlineStr">
        <is>
          <t>Readymades : American roadside artifacts / photographs by Jeff Brouws ; introduction by Diana Gaston ; essays by Jeff Brouws ... [et al.].</t>
        </is>
      </c>
      <c r="F57" t="inlineStr">
        <is>
          <t>No</t>
        </is>
      </c>
      <c r="G57" t="inlineStr">
        <is>
          <t>1</t>
        </is>
      </c>
      <c r="H57" t="inlineStr">
        <is>
          <t>No</t>
        </is>
      </c>
      <c r="I57" t="inlineStr">
        <is>
          <t>No</t>
        </is>
      </c>
      <c r="J57" t="inlineStr">
        <is>
          <t>0</t>
        </is>
      </c>
      <c r="K57" t="inlineStr">
        <is>
          <t>Brouws, Jeffrey T.</t>
        </is>
      </c>
      <c r="L57" t="inlineStr">
        <is>
          <t>San Francisco : Chronicle Books, c2003.</t>
        </is>
      </c>
      <c r="M57" t="inlineStr">
        <is>
          <t>2003</t>
        </is>
      </c>
      <c r="O57" t="inlineStr">
        <is>
          <t>eng</t>
        </is>
      </c>
      <c r="P57" t="inlineStr">
        <is>
          <t>cau</t>
        </is>
      </c>
      <c r="R57" t="inlineStr">
        <is>
          <t xml:space="preserve">E  </t>
        </is>
      </c>
      <c r="S57" t="n">
        <v>2</v>
      </c>
      <c r="T57" t="n">
        <v>2</v>
      </c>
      <c r="U57" t="inlineStr">
        <is>
          <t>2004-05-07</t>
        </is>
      </c>
      <c r="V57" t="inlineStr">
        <is>
          <t>2004-05-07</t>
        </is>
      </c>
      <c r="W57" t="inlineStr">
        <is>
          <t>2003-06-10</t>
        </is>
      </c>
      <c r="X57" t="inlineStr">
        <is>
          <t>2003-06-10</t>
        </is>
      </c>
      <c r="Y57" t="n">
        <v>263</v>
      </c>
      <c r="Z57" t="n">
        <v>240</v>
      </c>
      <c r="AA57" t="n">
        <v>245</v>
      </c>
      <c r="AB57" t="n">
        <v>2</v>
      </c>
      <c r="AC57" t="n">
        <v>2</v>
      </c>
      <c r="AD57" t="n">
        <v>2</v>
      </c>
      <c r="AE57" t="n">
        <v>2</v>
      </c>
      <c r="AF57" t="n">
        <v>1</v>
      </c>
      <c r="AG57" t="n">
        <v>1</v>
      </c>
      <c r="AH57" t="n">
        <v>0</v>
      </c>
      <c r="AI57" t="n">
        <v>0</v>
      </c>
      <c r="AJ57" t="n">
        <v>1</v>
      </c>
      <c r="AK57" t="n">
        <v>1</v>
      </c>
      <c r="AL57" t="n">
        <v>0</v>
      </c>
      <c r="AM57" t="n">
        <v>0</v>
      </c>
      <c r="AN57" t="n">
        <v>0</v>
      </c>
      <c r="AO57" t="n">
        <v>0</v>
      </c>
      <c r="AP57" t="inlineStr">
        <is>
          <t>No</t>
        </is>
      </c>
      <c r="AQ57" t="inlineStr">
        <is>
          <t>No</t>
        </is>
      </c>
      <c r="AS57">
        <f>HYPERLINK("https://creighton-primo.hosted.exlibrisgroup.com/primo-explore/search?tab=default_tab&amp;search_scope=EVERYTHING&amp;vid=01CRU&amp;lang=en_US&amp;offset=0&amp;query=any,contains,991004057529702656","Catalog Record")</f>
        <v/>
      </c>
      <c r="AT57">
        <f>HYPERLINK("http://www.worldcat.org/oclc/50294915","WorldCat Record")</f>
        <v/>
      </c>
      <c r="AU57" t="inlineStr">
        <is>
          <t>232321895:eng</t>
        </is>
      </c>
      <c r="AV57" t="inlineStr">
        <is>
          <t>50294915</t>
        </is>
      </c>
      <c r="AW57" t="inlineStr">
        <is>
          <t>991004057529702656</t>
        </is>
      </c>
      <c r="AX57" t="inlineStr">
        <is>
          <t>991004057529702656</t>
        </is>
      </c>
      <c r="AY57" t="inlineStr">
        <is>
          <t>2268871380002656</t>
        </is>
      </c>
      <c r="AZ57" t="inlineStr">
        <is>
          <t>BOOK</t>
        </is>
      </c>
      <c r="BB57" t="inlineStr">
        <is>
          <t>9780811836777</t>
        </is>
      </c>
      <c r="BC57" t="inlineStr">
        <is>
          <t>32285004751623</t>
        </is>
      </c>
      <c r="BD57" t="inlineStr">
        <is>
          <t>893605580</t>
        </is>
      </c>
    </row>
    <row r="58">
      <c r="A58" t="inlineStr">
        <is>
          <t>No</t>
        </is>
      </c>
      <c r="B58" t="inlineStr">
        <is>
          <t>E161 .T74</t>
        </is>
      </c>
      <c r="C58" t="inlineStr">
        <is>
          <t>0                      E  0161000T  74</t>
        </is>
      </c>
      <c r="D58" t="inlineStr">
        <is>
          <t>The story of everyday things, by Arthur Train, jr., with illustrations by Chichi Lasley.</t>
        </is>
      </c>
      <c r="F58" t="inlineStr">
        <is>
          <t>No</t>
        </is>
      </c>
      <c r="G58" t="inlineStr">
        <is>
          <t>1</t>
        </is>
      </c>
      <c r="H58" t="inlineStr">
        <is>
          <t>No</t>
        </is>
      </c>
      <c r="I58" t="inlineStr">
        <is>
          <t>No</t>
        </is>
      </c>
      <c r="J58" t="inlineStr">
        <is>
          <t>0</t>
        </is>
      </c>
      <c r="K58" t="inlineStr">
        <is>
          <t>Train, Arthur.</t>
        </is>
      </c>
      <c r="L58" t="inlineStr">
        <is>
          <t>New York, London, Harper &amp; brothers [c1941]</t>
        </is>
      </c>
      <c r="M58" t="inlineStr">
        <is>
          <t>1941</t>
        </is>
      </c>
      <c r="O58" t="inlineStr">
        <is>
          <t>eng</t>
        </is>
      </c>
      <c r="P58" t="inlineStr">
        <is>
          <t>nyu</t>
        </is>
      </c>
      <c r="R58" t="inlineStr">
        <is>
          <t xml:space="preserve">E  </t>
        </is>
      </c>
      <c r="S58" t="n">
        <v>1</v>
      </c>
      <c r="T58" t="n">
        <v>1</v>
      </c>
      <c r="U58" t="inlineStr">
        <is>
          <t>2000-11-01</t>
        </is>
      </c>
      <c r="V58" t="inlineStr">
        <is>
          <t>2000-11-01</t>
        </is>
      </c>
      <c r="W58" t="inlineStr">
        <is>
          <t>1997-04-02</t>
        </is>
      </c>
      <c r="X58" t="inlineStr">
        <is>
          <t>1997-04-02</t>
        </is>
      </c>
      <c r="Y58" t="n">
        <v>418</v>
      </c>
      <c r="Z58" t="n">
        <v>392</v>
      </c>
      <c r="AA58" t="n">
        <v>411</v>
      </c>
      <c r="AB58" t="n">
        <v>4</v>
      </c>
      <c r="AC58" t="n">
        <v>4</v>
      </c>
      <c r="AD58" t="n">
        <v>9</v>
      </c>
      <c r="AE58" t="n">
        <v>9</v>
      </c>
      <c r="AF58" t="n">
        <v>1</v>
      </c>
      <c r="AG58" t="n">
        <v>1</v>
      </c>
      <c r="AH58" t="n">
        <v>3</v>
      </c>
      <c r="AI58" t="n">
        <v>3</v>
      </c>
      <c r="AJ58" t="n">
        <v>3</v>
      </c>
      <c r="AK58" t="n">
        <v>3</v>
      </c>
      <c r="AL58" t="n">
        <v>3</v>
      </c>
      <c r="AM58" t="n">
        <v>3</v>
      </c>
      <c r="AN58" t="n">
        <v>0</v>
      </c>
      <c r="AO58" t="n">
        <v>0</v>
      </c>
      <c r="AP58" t="inlineStr">
        <is>
          <t>No</t>
        </is>
      </c>
      <c r="AQ58" t="inlineStr">
        <is>
          <t>Yes</t>
        </is>
      </c>
      <c r="AR58">
        <f>HYPERLINK("http://catalog.hathitrust.org/Record/000289027","HathiTrust Record")</f>
        <v/>
      </c>
      <c r="AS58">
        <f>HYPERLINK("https://creighton-primo.hosted.exlibrisgroup.com/primo-explore/search?tab=default_tab&amp;search_scope=EVERYTHING&amp;vid=01CRU&amp;lang=en_US&amp;offset=0&amp;query=any,contains,991003860729702656","Catalog Record")</f>
        <v/>
      </c>
      <c r="AT58">
        <f>HYPERLINK("http://www.worldcat.org/oclc/1665737","WorldCat Record")</f>
        <v/>
      </c>
      <c r="AU58" t="inlineStr">
        <is>
          <t>2486198:eng</t>
        </is>
      </c>
      <c r="AV58" t="inlineStr">
        <is>
          <t>1665737</t>
        </is>
      </c>
      <c r="AW58" t="inlineStr">
        <is>
          <t>991003860729702656</t>
        </is>
      </c>
      <c r="AX58" t="inlineStr">
        <is>
          <t>991003860729702656</t>
        </is>
      </c>
      <c r="AY58" t="inlineStr">
        <is>
          <t>2269052580002656</t>
        </is>
      </c>
      <c r="AZ58" t="inlineStr">
        <is>
          <t>BOOK</t>
        </is>
      </c>
      <c r="BC58" t="inlineStr">
        <is>
          <t>32285002489267</t>
        </is>
      </c>
      <c r="BD58" t="inlineStr">
        <is>
          <t>893617878</t>
        </is>
      </c>
    </row>
    <row r="59">
      <c r="A59" t="inlineStr">
        <is>
          <t>No</t>
        </is>
      </c>
      <c r="B59" t="inlineStr">
        <is>
          <t>E161.3 .L46 2002</t>
        </is>
      </c>
      <c r="C59" t="inlineStr">
        <is>
          <t>0                      E  0161300L  46          2002</t>
        </is>
      </c>
      <c r="D59" t="inlineStr">
        <is>
          <t>Measuring America : how an untamed wilderness shaped the United States and fulfilled the promise of democracy / Andro Linklater.</t>
        </is>
      </c>
      <c r="F59" t="inlineStr">
        <is>
          <t>No</t>
        </is>
      </c>
      <c r="G59" t="inlineStr">
        <is>
          <t>1</t>
        </is>
      </c>
      <c r="H59" t="inlineStr">
        <is>
          <t>No</t>
        </is>
      </c>
      <c r="I59" t="inlineStr">
        <is>
          <t>No</t>
        </is>
      </c>
      <c r="J59" t="inlineStr">
        <is>
          <t>0</t>
        </is>
      </c>
      <c r="K59" t="inlineStr">
        <is>
          <t>Linklater, Andro.</t>
        </is>
      </c>
      <c r="L59" t="inlineStr">
        <is>
          <t>New York : Walker &amp; Co., 2002.</t>
        </is>
      </c>
      <c r="M59" t="inlineStr">
        <is>
          <t>2002</t>
        </is>
      </c>
      <c r="O59" t="inlineStr">
        <is>
          <t>eng</t>
        </is>
      </c>
      <c r="P59" t="inlineStr">
        <is>
          <t>nyu</t>
        </is>
      </c>
      <c r="R59" t="inlineStr">
        <is>
          <t xml:space="preserve">E  </t>
        </is>
      </c>
      <c r="S59" t="n">
        <v>1</v>
      </c>
      <c r="T59" t="n">
        <v>1</v>
      </c>
      <c r="U59" t="inlineStr">
        <is>
          <t>2003-05-29</t>
        </is>
      </c>
      <c r="V59" t="inlineStr">
        <is>
          <t>2003-05-29</t>
        </is>
      </c>
      <c r="W59" t="inlineStr">
        <is>
          <t>2002-09-27</t>
        </is>
      </c>
      <c r="X59" t="inlineStr">
        <is>
          <t>2002-09-27</t>
        </is>
      </c>
      <c r="Y59" t="n">
        <v>1499</v>
      </c>
      <c r="Z59" t="n">
        <v>1460</v>
      </c>
      <c r="AA59" t="n">
        <v>1467</v>
      </c>
      <c r="AB59" t="n">
        <v>16</v>
      </c>
      <c r="AC59" t="n">
        <v>16</v>
      </c>
      <c r="AD59" t="n">
        <v>37</v>
      </c>
      <c r="AE59" t="n">
        <v>37</v>
      </c>
      <c r="AF59" t="n">
        <v>12</v>
      </c>
      <c r="AG59" t="n">
        <v>12</v>
      </c>
      <c r="AH59" t="n">
        <v>6</v>
      </c>
      <c r="AI59" t="n">
        <v>6</v>
      </c>
      <c r="AJ59" t="n">
        <v>13</v>
      </c>
      <c r="AK59" t="n">
        <v>13</v>
      </c>
      <c r="AL59" t="n">
        <v>11</v>
      </c>
      <c r="AM59" t="n">
        <v>11</v>
      </c>
      <c r="AN59" t="n">
        <v>1</v>
      </c>
      <c r="AO59" t="n">
        <v>1</v>
      </c>
      <c r="AP59" t="inlineStr">
        <is>
          <t>No</t>
        </is>
      </c>
      <c r="AQ59" t="inlineStr">
        <is>
          <t>No</t>
        </is>
      </c>
      <c r="AS59">
        <f>HYPERLINK("https://creighton-primo.hosted.exlibrisgroup.com/primo-explore/search?tab=default_tab&amp;search_scope=EVERYTHING&amp;vid=01CRU&amp;lang=en_US&amp;offset=0&amp;query=any,contains,991003899199702656","Catalog Record")</f>
        <v/>
      </c>
      <c r="AT59">
        <f>HYPERLINK("http://www.worldcat.org/oclc/50143791","WorldCat Record")</f>
        <v/>
      </c>
      <c r="AU59" t="inlineStr">
        <is>
          <t>8909391817:eng</t>
        </is>
      </c>
      <c r="AV59" t="inlineStr">
        <is>
          <t>50143791</t>
        </is>
      </c>
      <c r="AW59" t="inlineStr">
        <is>
          <t>991003899199702656</t>
        </is>
      </c>
      <c r="AX59" t="inlineStr">
        <is>
          <t>991003899199702656</t>
        </is>
      </c>
      <c r="AY59" t="inlineStr">
        <is>
          <t>2268985270002656</t>
        </is>
      </c>
      <c r="AZ59" t="inlineStr">
        <is>
          <t>BOOK</t>
        </is>
      </c>
      <c r="BB59" t="inlineStr">
        <is>
          <t>9780802713964</t>
        </is>
      </c>
      <c r="BC59" t="inlineStr">
        <is>
          <t>32285004661236</t>
        </is>
      </c>
      <c r="BD59" t="inlineStr">
        <is>
          <t>893512539</t>
        </is>
      </c>
    </row>
    <row r="60">
      <c r="A60" t="inlineStr">
        <is>
          <t>No</t>
        </is>
      </c>
      <c r="B60" t="inlineStr">
        <is>
          <t>E161.3 .S39 2000</t>
        </is>
      </c>
      <c r="C60" t="inlineStr">
        <is>
          <t>0                      E  0161300S  39          2000</t>
        </is>
      </c>
      <c r="D60" t="inlineStr">
        <is>
          <t>This land is your land : the geographic evolution of the United States / Seymour I. Schwartz.</t>
        </is>
      </c>
      <c r="F60" t="inlineStr">
        <is>
          <t>No</t>
        </is>
      </c>
      <c r="G60" t="inlineStr">
        <is>
          <t>1</t>
        </is>
      </c>
      <c r="H60" t="inlineStr">
        <is>
          <t>No</t>
        </is>
      </c>
      <c r="I60" t="inlineStr">
        <is>
          <t>No</t>
        </is>
      </c>
      <c r="J60" t="inlineStr">
        <is>
          <t>0</t>
        </is>
      </c>
      <c r="K60" t="inlineStr">
        <is>
          <t>Schwartz, Seymour I., 1928-</t>
        </is>
      </c>
      <c r="L60" t="inlineStr">
        <is>
          <t>New York : Harry N. Abrams, 2000.</t>
        </is>
      </c>
      <c r="M60" t="inlineStr">
        <is>
          <t>2000</t>
        </is>
      </c>
      <c r="O60" t="inlineStr">
        <is>
          <t>eng</t>
        </is>
      </c>
      <c r="P60" t="inlineStr">
        <is>
          <t>nyu</t>
        </is>
      </c>
      <c r="R60" t="inlineStr">
        <is>
          <t xml:space="preserve">E  </t>
        </is>
      </c>
      <c r="S60" t="n">
        <v>2</v>
      </c>
      <c r="T60" t="n">
        <v>2</v>
      </c>
      <c r="U60" t="inlineStr">
        <is>
          <t>2001-08-21</t>
        </is>
      </c>
      <c r="V60" t="inlineStr">
        <is>
          <t>2001-08-21</t>
        </is>
      </c>
      <c r="W60" t="inlineStr">
        <is>
          <t>2001-08-20</t>
        </is>
      </c>
      <c r="X60" t="inlineStr">
        <is>
          <t>2001-08-20</t>
        </is>
      </c>
      <c r="Y60" t="n">
        <v>803</v>
      </c>
      <c r="Z60" t="n">
        <v>754</v>
      </c>
      <c r="AA60" t="n">
        <v>754</v>
      </c>
      <c r="AB60" t="n">
        <v>10</v>
      </c>
      <c r="AC60" t="n">
        <v>10</v>
      </c>
      <c r="AD60" t="n">
        <v>24</v>
      </c>
      <c r="AE60" t="n">
        <v>24</v>
      </c>
      <c r="AF60" t="n">
        <v>9</v>
      </c>
      <c r="AG60" t="n">
        <v>9</v>
      </c>
      <c r="AH60" t="n">
        <v>6</v>
      </c>
      <c r="AI60" t="n">
        <v>6</v>
      </c>
      <c r="AJ60" t="n">
        <v>8</v>
      </c>
      <c r="AK60" t="n">
        <v>8</v>
      </c>
      <c r="AL60" t="n">
        <v>7</v>
      </c>
      <c r="AM60" t="n">
        <v>7</v>
      </c>
      <c r="AN60" t="n">
        <v>0</v>
      </c>
      <c r="AO60" t="n">
        <v>0</v>
      </c>
      <c r="AP60" t="inlineStr">
        <is>
          <t>No</t>
        </is>
      </c>
      <c r="AQ60" t="inlineStr">
        <is>
          <t>No</t>
        </is>
      </c>
      <c r="AS60">
        <f>HYPERLINK("https://creighton-primo.hosted.exlibrisgroup.com/primo-explore/search?tab=default_tab&amp;search_scope=EVERYTHING&amp;vid=01CRU&amp;lang=en_US&amp;offset=0&amp;query=any,contains,991003582059702656","Catalog Record")</f>
        <v/>
      </c>
      <c r="AT60">
        <f>HYPERLINK("http://www.worldcat.org/oclc/43894291","WorldCat Record")</f>
        <v/>
      </c>
      <c r="AU60" t="inlineStr">
        <is>
          <t>836987482:eng</t>
        </is>
      </c>
      <c r="AV60" t="inlineStr">
        <is>
          <t>43894291</t>
        </is>
      </c>
      <c r="AW60" t="inlineStr">
        <is>
          <t>991003582059702656</t>
        </is>
      </c>
      <c r="AX60" t="inlineStr">
        <is>
          <t>991003582059702656</t>
        </is>
      </c>
      <c r="AY60" t="inlineStr">
        <is>
          <t>2263212310002656</t>
        </is>
      </c>
      <c r="AZ60" t="inlineStr">
        <is>
          <t>BOOK</t>
        </is>
      </c>
      <c r="BB60" t="inlineStr">
        <is>
          <t>9780810967151</t>
        </is>
      </c>
      <c r="BC60" t="inlineStr">
        <is>
          <t>32285004378344</t>
        </is>
      </c>
      <c r="BD60" t="inlineStr">
        <is>
          <t>893611191</t>
        </is>
      </c>
    </row>
    <row r="61">
      <c r="A61" t="inlineStr">
        <is>
          <t>No</t>
        </is>
      </c>
      <c r="B61" t="inlineStr">
        <is>
          <t>E162 .A97</t>
        </is>
      </c>
      <c r="C61" t="inlineStr">
        <is>
          <t>0                      E  0162000A  97</t>
        </is>
      </c>
      <c r="D61" t="inlineStr">
        <is>
          <t>America perceived: a view from abroad in the 18th century / Edited by James Axtell.</t>
        </is>
      </c>
      <c r="F61" t="inlineStr">
        <is>
          <t>No</t>
        </is>
      </c>
      <c r="G61" t="inlineStr">
        <is>
          <t>1</t>
        </is>
      </c>
      <c r="H61" t="inlineStr">
        <is>
          <t>No</t>
        </is>
      </c>
      <c r="I61" t="inlineStr">
        <is>
          <t>No</t>
        </is>
      </c>
      <c r="J61" t="inlineStr">
        <is>
          <t>0</t>
        </is>
      </c>
      <c r="K61" t="inlineStr">
        <is>
          <t>Axtell, James, compiler.</t>
        </is>
      </c>
      <c r="L61" t="inlineStr">
        <is>
          <t>West Haven, Conn. : Pendulum Press, 1974.</t>
        </is>
      </c>
      <c r="M61" t="inlineStr">
        <is>
          <t>1974</t>
        </is>
      </c>
      <c r="O61" t="inlineStr">
        <is>
          <t>eng</t>
        </is>
      </c>
      <c r="P61" t="inlineStr">
        <is>
          <t>ctu</t>
        </is>
      </c>
      <c r="R61" t="inlineStr">
        <is>
          <t xml:space="preserve">E  </t>
        </is>
      </c>
      <c r="S61" t="n">
        <v>2</v>
      </c>
      <c r="T61" t="n">
        <v>2</v>
      </c>
      <c r="U61" t="inlineStr">
        <is>
          <t>1995-04-04</t>
        </is>
      </c>
      <c r="V61" t="inlineStr">
        <is>
          <t>1995-04-04</t>
        </is>
      </c>
      <c r="W61" t="inlineStr">
        <is>
          <t>1990-12-11</t>
        </is>
      </c>
      <c r="X61" t="inlineStr">
        <is>
          <t>1990-12-11</t>
        </is>
      </c>
      <c r="Y61" t="n">
        <v>169</v>
      </c>
      <c r="Z61" t="n">
        <v>162</v>
      </c>
      <c r="AA61" t="n">
        <v>330</v>
      </c>
      <c r="AB61" t="n">
        <v>1</v>
      </c>
      <c r="AC61" t="n">
        <v>2</v>
      </c>
      <c r="AD61" t="n">
        <v>4</v>
      </c>
      <c r="AE61" t="n">
        <v>9</v>
      </c>
      <c r="AF61" t="n">
        <v>0</v>
      </c>
      <c r="AG61" t="n">
        <v>1</v>
      </c>
      <c r="AH61" t="n">
        <v>2</v>
      </c>
      <c r="AI61" t="n">
        <v>4</v>
      </c>
      <c r="AJ61" t="n">
        <v>4</v>
      </c>
      <c r="AK61" t="n">
        <v>7</v>
      </c>
      <c r="AL61" t="n">
        <v>0</v>
      </c>
      <c r="AM61" t="n">
        <v>1</v>
      </c>
      <c r="AN61" t="n">
        <v>0</v>
      </c>
      <c r="AO61" t="n">
        <v>0</v>
      </c>
      <c r="AP61" t="inlineStr">
        <is>
          <t>No</t>
        </is>
      </c>
      <c r="AQ61" t="inlineStr">
        <is>
          <t>No</t>
        </is>
      </c>
      <c r="AS61">
        <f>HYPERLINK("https://creighton-primo.hosted.exlibrisgroup.com/primo-explore/search?tab=default_tab&amp;search_scope=EVERYTHING&amp;vid=01CRU&amp;lang=en_US&amp;offset=0&amp;query=any,contains,991003408719702656","Catalog Record")</f>
        <v/>
      </c>
      <c r="AT61">
        <f>HYPERLINK("http://www.worldcat.org/oclc/947784","WorldCat Record")</f>
        <v/>
      </c>
      <c r="AU61" t="inlineStr">
        <is>
          <t>1909940:eng</t>
        </is>
      </c>
      <c r="AV61" t="inlineStr">
        <is>
          <t>947784</t>
        </is>
      </c>
      <c r="AW61" t="inlineStr">
        <is>
          <t>991003408719702656</t>
        </is>
      </c>
      <c r="AX61" t="inlineStr">
        <is>
          <t>991003408719702656</t>
        </is>
      </c>
      <c r="AY61" t="inlineStr">
        <is>
          <t>2264394550002656</t>
        </is>
      </c>
      <c r="AZ61" t="inlineStr">
        <is>
          <t>BOOK</t>
        </is>
      </c>
      <c r="BB61" t="inlineStr">
        <is>
          <t>9780883011461</t>
        </is>
      </c>
      <c r="BC61" t="inlineStr">
        <is>
          <t>32285000422633</t>
        </is>
      </c>
      <c r="BD61" t="inlineStr">
        <is>
          <t>893874731</t>
        </is>
      </c>
    </row>
    <row r="62">
      <c r="A62" t="inlineStr">
        <is>
          <t>No</t>
        </is>
      </c>
      <c r="B62" t="inlineStr">
        <is>
          <t>E162 .E13</t>
        </is>
      </c>
      <c r="C62" t="inlineStr">
        <is>
          <t>0                      E  0162000E  13</t>
        </is>
      </c>
      <c r="D62" t="inlineStr">
        <is>
          <t>Child life in colonial days, written by Alice Morse Earle with many illustrations from photographs.</t>
        </is>
      </c>
      <c r="F62" t="inlineStr">
        <is>
          <t>No</t>
        </is>
      </c>
      <c r="G62" t="inlineStr">
        <is>
          <t>1</t>
        </is>
      </c>
      <c r="H62" t="inlineStr">
        <is>
          <t>No</t>
        </is>
      </c>
      <c r="I62" t="inlineStr">
        <is>
          <t>No</t>
        </is>
      </c>
      <c r="J62" t="inlineStr">
        <is>
          <t>0</t>
        </is>
      </c>
      <c r="K62" t="inlineStr">
        <is>
          <t>Earle, Alice Morse, 1851-1911.</t>
        </is>
      </c>
      <c r="L62" t="inlineStr">
        <is>
          <t>New York, The Macmillan Company; London, Macmillan &amp; Co., 1899.</t>
        </is>
      </c>
      <c r="M62" t="inlineStr">
        <is>
          <t>1899</t>
        </is>
      </c>
      <c r="O62" t="inlineStr">
        <is>
          <t>eng</t>
        </is>
      </c>
      <c r="P62" t="inlineStr">
        <is>
          <t>nyu</t>
        </is>
      </c>
      <c r="R62" t="inlineStr">
        <is>
          <t xml:space="preserve">E  </t>
        </is>
      </c>
      <c r="S62" t="n">
        <v>2</v>
      </c>
      <c r="T62" t="n">
        <v>2</v>
      </c>
      <c r="U62" t="inlineStr">
        <is>
          <t>1999-12-03</t>
        </is>
      </c>
      <c r="V62" t="inlineStr">
        <is>
          <t>1999-12-03</t>
        </is>
      </c>
      <c r="W62" t="inlineStr">
        <is>
          <t>1997-04-02</t>
        </is>
      </c>
      <c r="X62" t="inlineStr">
        <is>
          <t>1997-04-02</t>
        </is>
      </c>
      <c r="Y62" t="n">
        <v>692</v>
      </c>
      <c r="Z62" t="n">
        <v>662</v>
      </c>
      <c r="AA62" t="n">
        <v>2023</v>
      </c>
      <c r="AB62" t="n">
        <v>7</v>
      </c>
      <c r="AC62" t="n">
        <v>17</v>
      </c>
      <c r="AD62" t="n">
        <v>22</v>
      </c>
      <c r="AE62" t="n">
        <v>46</v>
      </c>
      <c r="AF62" t="n">
        <v>12</v>
      </c>
      <c r="AG62" t="n">
        <v>21</v>
      </c>
      <c r="AH62" t="n">
        <v>4</v>
      </c>
      <c r="AI62" t="n">
        <v>8</v>
      </c>
      <c r="AJ62" t="n">
        <v>8</v>
      </c>
      <c r="AK62" t="n">
        <v>19</v>
      </c>
      <c r="AL62" t="n">
        <v>4</v>
      </c>
      <c r="AM62" t="n">
        <v>8</v>
      </c>
      <c r="AN62" t="n">
        <v>0</v>
      </c>
      <c r="AO62" t="n">
        <v>0</v>
      </c>
      <c r="AP62" t="inlineStr">
        <is>
          <t>Yes</t>
        </is>
      </c>
      <c r="AQ62" t="inlineStr">
        <is>
          <t>No</t>
        </is>
      </c>
      <c r="AR62">
        <f>HYPERLINK("http://catalog.hathitrust.org/Record/008009812","HathiTrust Record")</f>
        <v/>
      </c>
      <c r="AS62">
        <f>HYPERLINK("https://creighton-primo.hosted.exlibrisgroup.com/primo-explore/search?tab=default_tab&amp;search_scope=EVERYTHING&amp;vid=01CRU&amp;lang=en_US&amp;offset=0&amp;query=any,contains,991003618709702656","Catalog Record")</f>
        <v/>
      </c>
      <c r="AT62">
        <f>HYPERLINK("http://www.worldcat.org/oclc/1205572","WorldCat Record")</f>
        <v/>
      </c>
      <c r="AU62" t="inlineStr">
        <is>
          <t>468532:eng</t>
        </is>
      </c>
      <c r="AV62" t="inlineStr">
        <is>
          <t>1205572</t>
        </is>
      </c>
      <c r="AW62" t="inlineStr">
        <is>
          <t>991003618709702656</t>
        </is>
      </c>
      <c r="AX62" t="inlineStr">
        <is>
          <t>991003618709702656</t>
        </is>
      </c>
      <c r="AY62" t="inlineStr">
        <is>
          <t>2272217350002656</t>
        </is>
      </c>
      <c r="AZ62" t="inlineStr">
        <is>
          <t>BOOK</t>
        </is>
      </c>
      <c r="BC62" t="inlineStr">
        <is>
          <t>32285002489341</t>
        </is>
      </c>
      <c r="BD62" t="inlineStr">
        <is>
          <t>893330571</t>
        </is>
      </c>
    </row>
    <row r="63">
      <c r="A63" t="inlineStr">
        <is>
          <t>No</t>
        </is>
      </c>
      <c r="B63" t="inlineStr">
        <is>
          <t>E162 .O3 1994</t>
        </is>
      </c>
      <c r="C63" t="inlineStr">
        <is>
          <t>0                      E  0162000O  3           1994</t>
        </is>
      </c>
      <c r="D63" t="inlineStr">
        <is>
          <t>Of consuming interests : the style of life in the eighteenth century / edited by Cary Carson, Ronald Hoffman, and Peter J. Albert.</t>
        </is>
      </c>
      <c r="F63" t="inlineStr">
        <is>
          <t>No</t>
        </is>
      </c>
      <c r="G63" t="inlineStr">
        <is>
          <t>1</t>
        </is>
      </c>
      <c r="H63" t="inlineStr">
        <is>
          <t>No</t>
        </is>
      </c>
      <c r="I63" t="inlineStr">
        <is>
          <t>No</t>
        </is>
      </c>
      <c r="J63" t="inlineStr">
        <is>
          <t>0</t>
        </is>
      </c>
      <c r="L63" t="inlineStr">
        <is>
          <t>Charlottesville : Published for the United States Capitol Historical Society by the University Press of Virginia, 1994.</t>
        </is>
      </c>
      <c r="M63" t="inlineStr">
        <is>
          <t>1994</t>
        </is>
      </c>
      <c r="O63" t="inlineStr">
        <is>
          <t>eng</t>
        </is>
      </c>
      <c r="P63" t="inlineStr">
        <is>
          <t>vau</t>
        </is>
      </c>
      <c r="Q63" t="inlineStr">
        <is>
          <t>Perspectives on the American Revolution</t>
        </is>
      </c>
      <c r="R63" t="inlineStr">
        <is>
          <t xml:space="preserve">E  </t>
        </is>
      </c>
      <c r="S63" t="n">
        <v>3</v>
      </c>
      <c r="T63" t="n">
        <v>3</v>
      </c>
      <c r="U63" t="inlineStr">
        <is>
          <t>2005-10-01</t>
        </is>
      </c>
      <c r="V63" t="inlineStr">
        <is>
          <t>2005-10-01</t>
        </is>
      </c>
      <c r="W63" t="inlineStr">
        <is>
          <t>1996-10-16</t>
        </is>
      </c>
      <c r="X63" t="inlineStr">
        <is>
          <t>1996-10-16</t>
        </is>
      </c>
      <c r="Y63" t="n">
        <v>458</v>
      </c>
      <c r="Z63" t="n">
        <v>406</v>
      </c>
      <c r="AA63" t="n">
        <v>406</v>
      </c>
      <c r="AB63" t="n">
        <v>2</v>
      </c>
      <c r="AC63" t="n">
        <v>2</v>
      </c>
      <c r="AD63" t="n">
        <v>20</v>
      </c>
      <c r="AE63" t="n">
        <v>20</v>
      </c>
      <c r="AF63" t="n">
        <v>6</v>
      </c>
      <c r="AG63" t="n">
        <v>6</v>
      </c>
      <c r="AH63" t="n">
        <v>7</v>
      </c>
      <c r="AI63" t="n">
        <v>7</v>
      </c>
      <c r="AJ63" t="n">
        <v>13</v>
      </c>
      <c r="AK63" t="n">
        <v>13</v>
      </c>
      <c r="AL63" t="n">
        <v>1</v>
      </c>
      <c r="AM63" t="n">
        <v>1</v>
      </c>
      <c r="AN63" t="n">
        <v>0</v>
      </c>
      <c r="AO63" t="n">
        <v>0</v>
      </c>
      <c r="AP63" t="inlineStr">
        <is>
          <t>No</t>
        </is>
      </c>
      <c r="AQ63" t="inlineStr">
        <is>
          <t>No</t>
        </is>
      </c>
      <c r="AS63">
        <f>HYPERLINK("https://creighton-primo.hosted.exlibrisgroup.com/primo-explore/search?tab=default_tab&amp;search_scope=EVERYTHING&amp;vid=01CRU&amp;lang=en_US&amp;offset=0&amp;query=any,contains,991002339919702656","Catalog Record")</f>
        <v/>
      </c>
      <c r="AT63">
        <f>HYPERLINK("http://www.worldcat.org/oclc/30472967","WorldCat Record")</f>
        <v/>
      </c>
      <c r="AU63" t="inlineStr">
        <is>
          <t>836885122:eng</t>
        </is>
      </c>
      <c r="AV63" t="inlineStr">
        <is>
          <t>30472967</t>
        </is>
      </c>
      <c r="AW63" t="inlineStr">
        <is>
          <t>991002339919702656</t>
        </is>
      </c>
      <c r="AX63" t="inlineStr">
        <is>
          <t>991002339919702656</t>
        </is>
      </c>
      <c r="AY63" t="inlineStr">
        <is>
          <t>2261212840002656</t>
        </is>
      </c>
      <c r="AZ63" t="inlineStr">
        <is>
          <t>BOOK</t>
        </is>
      </c>
      <c r="BB63" t="inlineStr">
        <is>
          <t>9780813914138</t>
        </is>
      </c>
      <c r="BC63" t="inlineStr">
        <is>
          <t>32285002366242</t>
        </is>
      </c>
      <c r="BD63" t="inlineStr">
        <is>
          <t>893445106</t>
        </is>
      </c>
    </row>
    <row r="64">
      <c r="A64" t="inlineStr">
        <is>
          <t>No</t>
        </is>
      </c>
      <c r="B64" t="inlineStr">
        <is>
          <t>E162 .P135 1992</t>
        </is>
      </c>
      <c r="C64" t="inlineStr">
        <is>
          <t>0                      E  0162000P  135         1992</t>
        </is>
      </c>
      <c r="D64" t="inlineStr">
        <is>
          <t>Paradox lost : free will and political liberty in American culture, 1630-1760 / Jon Pahl.</t>
        </is>
      </c>
      <c r="F64" t="inlineStr">
        <is>
          <t>No</t>
        </is>
      </c>
      <c r="G64" t="inlineStr">
        <is>
          <t>1</t>
        </is>
      </c>
      <c r="H64" t="inlineStr">
        <is>
          <t>No</t>
        </is>
      </c>
      <c r="I64" t="inlineStr">
        <is>
          <t>No</t>
        </is>
      </c>
      <c r="J64" t="inlineStr">
        <is>
          <t>0</t>
        </is>
      </c>
      <c r="K64" t="inlineStr">
        <is>
          <t>Pahl, Jon, 1958-</t>
        </is>
      </c>
      <c r="L64" t="inlineStr">
        <is>
          <t>Baltimore : Johns Hopkins University Press, c1992.</t>
        </is>
      </c>
      <c r="M64" t="inlineStr">
        <is>
          <t>1992</t>
        </is>
      </c>
      <c r="O64" t="inlineStr">
        <is>
          <t>eng</t>
        </is>
      </c>
      <c r="P64" t="inlineStr">
        <is>
          <t>mdu</t>
        </is>
      </c>
      <c r="Q64" t="inlineStr">
        <is>
          <t>New studies in American intellectual and cultural history</t>
        </is>
      </c>
      <c r="R64" t="inlineStr">
        <is>
          <t xml:space="preserve">E  </t>
        </is>
      </c>
      <c r="S64" t="n">
        <v>1</v>
      </c>
      <c r="T64" t="n">
        <v>1</v>
      </c>
      <c r="U64" t="inlineStr">
        <is>
          <t>1993-01-04</t>
        </is>
      </c>
      <c r="V64" t="inlineStr">
        <is>
          <t>1993-01-04</t>
        </is>
      </c>
      <c r="W64" t="inlineStr">
        <is>
          <t>1992-09-30</t>
        </is>
      </c>
      <c r="X64" t="inlineStr">
        <is>
          <t>1992-09-30</t>
        </is>
      </c>
      <c r="Y64" t="n">
        <v>441</v>
      </c>
      <c r="Z64" t="n">
        <v>389</v>
      </c>
      <c r="AA64" t="n">
        <v>391</v>
      </c>
      <c r="AB64" t="n">
        <v>4</v>
      </c>
      <c r="AC64" t="n">
        <v>4</v>
      </c>
      <c r="AD64" t="n">
        <v>23</v>
      </c>
      <c r="AE64" t="n">
        <v>23</v>
      </c>
      <c r="AF64" t="n">
        <v>8</v>
      </c>
      <c r="AG64" t="n">
        <v>8</v>
      </c>
      <c r="AH64" t="n">
        <v>5</v>
      </c>
      <c r="AI64" t="n">
        <v>5</v>
      </c>
      <c r="AJ64" t="n">
        <v>13</v>
      </c>
      <c r="AK64" t="n">
        <v>13</v>
      </c>
      <c r="AL64" t="n">
        <v>3</v>
      </c>
      <c r="AM64" t="n">
        <v>3</v>
      </c>
      <c r="AN64" t="n">
        <v>1</v>
      </c>
      <c r="AO64" t="n">
        <v>1</v>
      </c>
      <c r="AP64" t="inlineStr">
        <is>
          <t>No</t>
        </is>
      </c>
      <c r="AQ64" t="inlineStr">
        <is>
          <t>Yes</t>
        </is>
      </c>
      <c r="AR64">
        <f>HYPERLINK("http://catalog.hathitrust.org/Record/002553121","HathiTrust Record")</f>
        <v/>
      </c>
      <c r="AS64">
        <f>HYPERLINK("https://creighton-primo.hosted.exlibrisgroup.com/primo-explore/search?tab=default_tab&amp;search_scope=EVERYTHING&amp;vid=01CRU&amp;lang=en_US&amp;offset=0&amp;query=any,contains,991001960439702656","Catalog Record")</f>
        <v/>
      </c>
      <c r="AT64">
        <f>HYPERLINK("http://www.worldcat.org/oclc/24846921","WorldCat Record")</f>
        <v/>
      </c>
      <c r="AU64" t="inlineStr">
        <is>
          <t>198248314:eng</t>
        </is>
      </c>
      <c r="AV64" t="inlineStr">
        <is>
          <t>24846921</t>
        </is>
      </c>
      <c r="AW64" t="inlineStr">
        <is>
          <t>991001960439702656</t>
        </is>
      </c>
      <c r="AX64" t="inlineStr">
        <is>
          <t>991001960439702656</t>
        </is>
      </c>
      <c r="AY64" t="inlineStr">
        <is>
          <t>2269164000002656</t>
        </is>
      </c>
      <c r="AZ64" t="inlineStr">
        <is>
          <t>BOOK</t>
        </is>
      </c>
      <c r="BB64" t="inlineStr">
        <is>
          <t>9780801843341</t>
        </is>
      </c>
      <c r="BC64" t="inlineStr">
        <is>
          <t>32285001289726</t>
        </is>
      </c>
      <c r="BD64" t="inlineStr">
        <is>
          <t>893697190</t>
        </is>
      </c>
    </row>
    <row r="65">
      <c r="A65" t="inlineStr">
        <is>
          <t>No</t>
        </is>
      </c>
      <c r="B65" t="inlineStr">
        <is>
          <t>E162 .R44 1984</t>
        </is>
      </c>
      <c r="C65" t="inlineStr">
        <is>
          <t>0                      E  0162000R  44          1984</t>
        </is>
      </c>
      <c r="D65" t="inlineStr">
        <is>
          <t>Colonial America / Jerome R. Reich.</t>
        </is>
      </c>
      <c r="F65" t="inlineStr">
        <is>
          <t>No</t>
        </is>
      </c>
      <c r="G65" t="inlineStr">
        <is>
          <t>1</t>
        </is>
      </c>
      <c r="H65" t="inlineStr">
        <is>
          <t>No</t>
        </is>
      </c>
      <c r="I65" t="inlineStr">
        <is>
          <t>No</t>
        </is>
      </c>
      <c r="J65" t="inlineStr">
        <is>
          <t>0</t>
        </is>
      </c>
      <c r="K65" t="inlineStr">
        <is>
          <t>Reich, Jerome R.</t>
        </is>
      </c>
      <c r="L65" t="inlineStr">
        <is>
          <t>Englewood Cliffs, N.J. : Prentice-Hall, c1984.</t>
        </is>
      </c>
      <c r="M65" t="inlineStr">
        <is>
          <t>1984</t>
        </is>
      </c>
      <c r="O65" t="inlineStr">
        <is>
          <t>eng</t>
        </is>
      </c>
      <c r="P65" t="inlineStr">
        <is>
          <t>nju</t>
        </is>
      </c>
      <c r="R65" t="inlineStr">
        <is>
          <t xml:space="preserve">E  </t>
        </is>
      </c>
      <c r="S65" t="n">
        <v>3</v>
      </c>
      <c r="T65" t="n">
        <v>3</v>
      </c>
      <c r="U65" t="inlineStr">
        <is>
          <t>1994-09-17</t>
        </is>
      </c>
      <c r="V65" t="inlineStr">
        <is>
          <t>1994-09-17</t>
        </is>
      </c>
      <c r="W65" t="inlineStr">
        <is>
          <t>1994-05-06</t>
        </is>
      </c>
      <c r="X65" t="inlineStr">
        <is>
          <t>1994-05-06</t>
        </is>
      </c>
      <c r="Y65" t="n">
        <v>198</v>
      </c>
      <c r="Z65" t="n">
        <v>162</v>
      </c>
      <c r="AA65" t="n">
        <v>552</v>
      </c>
      <c r="AB65" t="n">
        <v>1</v>
      </c>
      <c r="AC65" t="n">
        <v>4</v>
      </c>
      <c r="AD65" t="n">
        <v>5</v>
      </c>
      <c r="AE65" t="n">
        <v>17</v>
      </c>
      <c r="AF65" t="n">
        <v>1</v>
      </c>
      <c r="AG65" t="n">
        <v>5</v>
      </c>
      <c r="AH65" t="n">
        <v>1</v>
      </c>
      <c r="AI65" t="n">
        <v>5</v>
      </c>
      <c r="AJ65" t="n">
        <v>3</v>
      </c>
      <c r="AK65" t="n">
        <v>9</v>
      </c>
      <c r="AL65" t="n">
        <v>0</v>
      </c>
      <c r="AM65" t="n">
        <v>2</v>
      </c>
      <c r="AN65" t="n">
        <v>0</v>
      </c>
      <c r="AO65" t="n">
        <v>0</v>
      </c>
      <c r="AP65" t="inlineStr">
        <is>
          <t>No</t>
        </is>
      </c>
      <c r="AQ65" t="inlineStr">
        <is>
          <t>No</t>
        </is>
      </c>
      <c r="AS65">
        <f>HYPERLINK("https://creighton-primo.hosted.exlibrisgroup.com/primo-explore/search?tab=default_tab&amp;search_scope=EVERYTHING&amp;vid=01CRU&amp;lang=en_US&amp;offset=0&amp;query=any,contains,991000200559702656","Catalog Record")</f>
        <v/>
      </c>
      <c r="AT65">
        <f>HYPERLINK("http://www.worldcat.org/oclc/9464634","WorldCat Record")</f>
        <v/>
      </c>
      <c r="AU65" t="inlineStr">
        <is>
          <t>2545058:eng</t>
        </is>
      </c>
      <c r="AV65" t="inlineStr">
        <is>
          <t>9464634</t>
        </is>
      </c>
      <c r="AW65" t="inlineStr">
        <is>
          <t>991000200559702656</t>
        </is>
      </c>
      <c r="AX65" t="inlineStr">
        <is>
          <t>991000200559702656</t>
        </is>
      </c>
      <c r="AY65" t="inlineStr">
        <is>
          <t>2266215060002656</t>
        </is>
      </c>
      <c r="AZ65" t="inlineStr">
        <is>
          <t>BOOK</t>
        </is>
      </c>
      <c r="BB65" t="inlineStr">
        <is>
          <t>9780131511675</t>
        </is>
      </c>
      <c r="BC65" t="inlineStr">
        <is>
          <t>32285001864569</t>
        </is>
      </c>
      <c r="BD65" t="inlineStr">
        <is>
          <t>893508605</t>
        </is>
      </c>
    </row>
    <row r="66">
      <c r="A66" t="inlineStr">
        <is>
          <t>No</t>
        </is>
      </c>
      <c r="B66" t="inlineStr">
        <is>
          <t>E162 .S88</t>
        </is>
      </c>
      <c r="C66" t="inlineStr">
        <is>
          <t>0                      E  0162000S  88</t>
        </is>
      </c>
      <c r="D66" t="inlineStr">
        <is>
          <t>Struggle and survival in colonial America / edited by David G. Sweet and Gary B. Nash.</t>
        </is>
      </c>
      <c r="F66" t="inlineStr">
        <is>
          <t>No</t>
        </is>
      </c>
      <c r="G66" t="inlineStr">
        <is>
          <t>1</t>
        </is>
      </c>
      <c r="H66" t="inlineStr">
        <is>
          <t>No</t>
        </is>
      </c>
      <c r="I66" t="inlineStr">
        <is>
          <t>No</t>
        </is>
      </c>
      <c r="J66" t="inlineStr">
        <is>
          <t>0</t>
        </is>
      </c>
      <c r="L66" t="inlineStr">
        <is>
          <t>Berkeley : University of California Press, c1981.</t>
        </is>
      </c>
      <c r="M66" t="inlineStr">
        <is>
          <t>1980</t>
        </is>
      </c>
      <c r="O66" t="inlineStr">
        <is>
          <t>eng</t>
        </is>
      </c>
      <c r="P66" t="inlineStr">
        <is>
          <t>cau</t>
        </is>
      </c>
      <c r="R66" t="inlineStr">
        <is>
          <t xml:space="preserve">E  </t>
        </is>
      </c>
      <c r="S66" t="n">
        <v>4</v>
      </c>
      <c r="T66" t="n">
        <v>4</v>
      </c>
      <c r="U66" t="inlineStr">
        <is>
          <t>1998-01-16</t>
        </is>
      </c>
      <c r="V66" t="inlineStr">
        <is>
          <t>1998-01-16</t>
        </is>
      </c>
      <c r="W66" t="inlineStr">
        <is>
          <t>1990-12-11</t>
        </is>
      </c>
      <c r="X66" t="inlineStr">
        <is>
          <t>1990-12-11</t>
        </is>
      </c>
      <c r="Y66" t="n">
        <v>915</v>
      </c>
      <c r="Z66" t="n">
        <v>807</v>
      </c>
      <c r="AA66" t="n">
        <v>813</v>
      </c>
      <c r="AB66" t="n">
        <v>4</v>
      </c>
      <c r="AC66" t="n">
        <v>4</v>
      </c>
      <c r="AD66" t="n">
        <v>35</v>
      </c>
      <c r="AE66" t="n">
        <v>35</v>
      </c>
      <c r="AF66" t="n">
        <v>14</v>
      </c>
      <c r="AG66" t="n">
        <v>14</v>
      </c>
      <c r="AH66" t="n">
        <v>9</v>
      </c>
      <c r="AI66" t="n">
        <v>9</v>
      </c>
      <c r="AJ66" t="n">
        <v>19</v>
      </c>
      <c r="AK66" t="n">
        <v>19</v>
      </c>
      <c r="AL66" t="n">
        <v>3</v>
      </c>
      <c r="AM66" t="n">
        <v>3</v>
      </c>
      <c r="AN66" t="n">
        <v>0</v>
      </c>
      <c r="AO66" t="n">
        <v>0</v>
      </c>
      <c r="AP66" t="inlineStr">
        <is>
          <t>No</t>
        </is>
      </c>
      <c r="AQ66" t="inlineStr">
        <is>
          <t>No</t>
        </is>
      </c>
      <c r="AS66">
        <f>HYPERLINK("https://creighton-primo.hosted.exlibrisgroup.com/primo-explore/search?tab=default_tab&amp;search_scope=EVERYTHING&amp;vid=01CRU&amp;lang=en_US&amp;offset=0&amp;query=any,contains,991004951929702656","Catalog Record")</f>
        <v/>
      </c>
      <c r="AT66">
        <f>HYPERLINK("http://www.worldcat.org/oclc/6250866","WorldCat Record")</f>
        <v/>
      </c>
      <c r="AU66" t="inlineStr">
        <is>
          <t>351910865:eng</t>
        </is>
      </c>
      <c r="AV66" t="inlineStr">
        <is>
          <t>6250866</t>
        </is>
      </c>
      <c r="AW66" t="inlineStr">
        <is>
          <t>991004951929702656</t>
        </is>
      </c>
      <c r="AX66" t="inlineStr">
        <is>
          <t>991004951929702656</t>
        </is>
      </c>
      <c r="AY66" t="inlineStr">
        <is>
          <t>2265142230002656</t>
        </is>
      </c>
      <c r="AZ66" t="inlineStr">
        <is>
          <t>BOOK</t>
        </is>
      </c>
      <c r="BB66" t="inlineStr">
        <is>
          <t>9780520041103</t>
        </is>
      </c>
      <c r="BC66" t="inlineStr">
        <is>
          <t>32285000422658</t>
        </is>
      </c>
      <c r="BD66" t="inlineStr">
        <is>
          <t>893889462</t>
        </is>
      </c>
    </row>
    <row r="67">
      <c r="A67" t="inlineStr">
        <is>
          <t>No</t>
        </is>
      </c>
      <c r="B67" t="inlineStr">
        <is>
          <t>E162 .W48 1959</t>
        </is>
      </c>
      <c r="C67" t="inlineStr">
        <is>
          <t>0                      E  0162000W  48          1959</t>
        </is>
      </c>
      <c r="D67" t="inlineStr">
        <is>
          <t>The golden age of colonial culture.</t>
        </is>
      </c>
      <c r="F67" t="inlineStr">
        <is>
          <t>No</t>
        </is>
      </c>
      <c r="G67" t="inlineStr">
        <is>
          <t>1</t>
        </is>
      </c>
      <c r="H67" t="inlineStr">
        <is>
          <t>No</t>
        </is>
      </c>
      <c r="I67" t="inlineStr">
        <is>
          <t>No</t>
        </is>
      </c>
      <c r="J67" t="inlineStr">
        <is>
          <t>0</t>
        </is>
      </c>
      <c r="K67" t="inlineStr">
        <is>
          <t>Wertenbaker, Thomas Jefferson, 1879-1966.</t>
        </is>
      </c>
      <c r="L67" t="inlineStr">
        <is>
          <t>Ithaca, N.Y., Great Seal Books [1959, c1949]</t>
        </is>
      </c>
      <c r="M67" t="inlineStr">
        <is>
          <t>1959</t>
        </is>
      </c>
      <c r="O67" t="inlineStr">
        <is>
          <t>eng</t>
        </is>
      </c>
      <c r="P67" t="inlineStr">
        <is>
          <t>nyu</t>
        </is>
      </c>
      <c r="R67" t="inlineStr">
        <is>
          <t xml:space="preserve">E  </t>
        </is>
      </c>
      <c r="S67" t="n">
        <v>4</v>
      </c>
      <c r="T67" t="n">
        <v>4</v>
      </c>
      <c r="U67" t="inlineStr">
        <is>
          <t>2000-10-30</t>
        </is>
      </c>
      <c r="V67" t="inlineStr">
        <is>
          <t>2000-10-30</t>
        </is>
      </c>
      <c r="W67" t="inlineStr">
        <is>
          <t>1997-04-02</t>
        </is>
      </c>
      <c r="X67" t="inlineStr">
        <is>
          <t>1997-04-02</t>
        </is>
      </c>
      <c r="Y67" t="n">
        <v>287</v>
      </c>
      <c r="Z67" t="n">
        <v>258</v>
      </c>
      <c r="AA67" t="n">
        <v>1122</v>
      </c>
      <c r="AB67" t="n">
        <v>1</v>
      </c>
      <c r="AC67" t="n">
        <v>9</v>
      </c>
      <c r="AD67" t="n">
        <v>6</v>
      </c>
      <c r="AE67" t="n">
        <v>43</v>
      </c>
      <c r="AF67" t="n">
        <v>0</v>
      </c>
      <c r="AG67" t="n">
        <v>16</v>
      </c>
      <c r="AH67" t="n">
        <v>0</v>
      </c>
      <c r="AI67" t="n">
        <v>6</v>
      </c>
      <c r="AJ67" t="n">
        <v>6</v>
      </c>
      <c r="AK67" t="n">
        <v>22</v>
      </c>
      <c r="AL67" t="n">
        <v>0</v>
      </c>
      <c r="AM67" t="n">
        <v>8</v>
      </c>
      <c r="AN67" t="n">
        <v>0</v>
      </c>
      <c r="AO67" t="n">
        <v>1</v>
      </c>
      <c r="AP67" t="inlineStr">
        <is>
          <t>No</t>
        </is>
      </c>
      <c r="AQ67" t="inlineStr">
        <is>
          <t>No</t>
        </is>
      </c>
      <c r="AS67">
        <f>HYPERLINK("https://creighton-primo.hosted.exlibrisgroup.com/primo-explore/search?tab=default_tab&amp;search_scope=EVERYTHING&amp;vid=01CRU&amp;lang=en_US&amp;offset=0&amp;query=any,contains,991002737249702656","Catalog Record")</f>
        <v/>
      </c>
      <c r="AT67">
        <f>HYPERLINK("http://www.worldcat.org/oclc/419739","WorldCat Record")</f>
        <v/>
      </c>
      <c r="AU67" t="inlineStr">
        <is>
          <t>446129:eng</t>
        </is>
      </c>
      <c r="AV67" t="inlineStr">
        <is>
          <t>419739</t>
        </is>
      </c>
      <c r="AW67" t="inlineStr">
        <is>
          <t>991002737249702656</t>
        </is>
      </c>
      <c r="AX67" t="inlineStr">
        <is>
          <t>991002737249702656</t>
        </is>
      </c>
      <c r="AY67" t="inlineStr">
        <is>
          <t>2261796090002656</t>
        </is>
      </c>
      <c r="AZ67" t="inlineStr">
        <is>
          <t>BOOK</t>
        </is>
      </c>
      <c r="BC67" t="inlineStr">
        <is>
          <t>32285002489408</t>
        </is>
      </c>
      <c r="BD67" t="inlineStr">
        <is>
          <t>893792848</t>
        </is>
      </c>
    </row>
    <row r="68">
      <c r="A68" t="inlineStr">
        <is>
          <t>No</t>
        </is>
      </c>
      <c r="B68" t="inlineStr">
        <is>
          <t>E162 .W75 1987</t>
        </is>
      </c>
      <c r="C68" t="inlineStr">
        <is>
          <t>0                      E  0162000W  75          1987</t>
        </is>
      </c>
      <c r="D68" t="inlineStr">
        <is>
          <t>Wilderness lost : the religious origins of the American mind / David R. Williams.</t>
        </is>
      </c>
      <c r="F68" t="inlineStr">
        <is>
          <t>No</t>
        </is>
      </c>
      <c r="G68" t="inlineStr">
        <is>
          <t>1</t>
        </is>
      </c>
      <c r="H68" t="inlineStr">
        <is>
          <t>No</t>
        </is>
      </c>
      <c r="I68" t="inlineStr">
        <is>
          <t>No</t>
        </is>
      </c>
      <c r="J68" t="inlineStr">
        <is>
          <t>0</t>
        </is>
      </c>
      <c r="K68" t="inlineStr">
        <is>
          <t>Williams, David R. (David Ross), 1949-</t>
        </is>
      </c>
      <c r="L68" t="inlineStr">
        <is>
          <t>Selinsgrove : Susquehanna University Press ; London : Associated University Presses, c1987.</t>
        </is>
      </c>
      <c r="M68" t="inlineStr">
        <is>
          <t>1987</t>
        </is>
      </c>
      <c r="O68" t="inlineStr">
        <is>
          <t>eng</t>
        </is>
      </c>
      <c r="P68" t="inlineStr">
        <is>
          <t>pau</t>
        </is>
      </c>
      <c r="R68" t="inlineStr">
        <is>
          <t xml:space="preserve">E  </t>
        </is>
      </c>
      <c r="S68" t="n">
        <v>2</v>
      </c>
      <c r="T68" t="n">
        <v>2</v>
      </c>
      <c r="U68" t="inlineStr">
        <is>
          <t>1999-04-18</t>
        </is>
      </c>
      <c r="V68" t="inlineStr">
        <is>
          <t>1999-04-18</t>
        </is>
      </c>
      <c r="W68" t="inlineStr">
        <is>
          <t>1990-12-11</t>
        </is>
      </c>
      <c r="X68" t="inlineStr">
        <is>
          <t>1990-12-11</t>
        </is>
      </c>
      <c r="Y68" t="n">
        <v>591</v>
      </c>
      <c r="Z68" t="n">
        <v>519</v>
      </c>
      <c r="AA68" t="n">
        <v>526</v>
      </c>
      <c r="AB68" t="n">
        <v>4</v>
      </c>
      <c r="AC68" t="n">
        <v>4</v>
      </c>
      <c r="AD68" t="n">
        <v>20</v>
      </c>
      <c r="AE68" t="n">
        <v>20</v>
      </c>
      <c r="AF68" t="n">
        <v>6</v>
      </c>
      <c r="AG68" t="n">
        <v>6</v>
      </c>
      <c r="AH68" t="n">
        <v>6</v>
      </c>
      <c r="AI68" t="n">
        <v>6</v>
      </c>
      <c r="AJ68" t="n">
        <v>11</v>
      </c>
      <c r="AK68" t="n">
        <v>11</v>
      </c>
      <c r="AL68" t="n">
        <v>3</v>
      </c>
      <c r="AM68" t="n">
        <v>3</v>
      </c>
      <c r="AN68" t="n">
        <v>0</v>
      </c>
      <c r="AO68" t="n">
        <v>0</v>
      </c>
      <c r="AP68" t="inlineStr">
        <is>
          <t>No</t>
        </is>
      </c>
      <c r="AQ68" t="inlineStr">
        <is>
          <t>Yes</t>
        </is>
      </c>
      <c r="AR68">
        <f>HYPERLINK("http://catalog.hathitrust.org/Record/000809117","HathiTrust Record")</f>
        <v/>
      </c>
      <c r="AS68">
        <f>HYPERLINK("https://creighton-primo.hosted.exlibrisgroup.com/primo-explore/search?tab=default_tab&amp;search_scope=EVERYTHING&amp;vid=01CRU&amp;lang=en_US&amp;offset=0&amp;query=any,contains,991000870699702656","Catalog Record")</f>
        <v/>
      </c>
      <c r="AT68">
        <f>HYPERLINK("http://www.worldcat.org/oclc/13792459","WorldCat Record")</f>
        <v/>
      </c>
      <c r="AU68" t="inlineStr">
        <is>
          <t>7850193:eng</t>
        </is>
      </c>
      <c r="AV68" t="inlineStr">
        <is>
          <t>13792459</t>
        </is>
      </c>
      <c r="AW68" t="inlineStr">
        <is>
          <t>991000870699702656</t>
        </is>
      </c>
      <c r="AX68" t="inlineStr">
        <is>
          <t>991000870699702656</t>
        </is>
      </c>
      <c r="AY68" t="inlineStr">
        <is>
          <t>2272807500002656</t>
        </is>
      </c>
      <c r="AZ68" t="inlineStr">
        <is>
          <t>BOOK</t>
        </is>
      </c>
      <c r="BB68" t="inlineStr">
        <is>
          <t>9780941664219</t>
        </is>
      </c>
      <c r="BC68" t="inlineStr">
        <is>
          <t>32285000422666</t>
        </is>
      </c>
      <c r="BD68" t="inlineStr">
        <is>
          <t>893496634</t>
        </is>
      </c>
    </row>
    <row r="69">
      <c r="A69" t="inlineStr">
        <is>
          <t>No</t>
        </is>
      </c>
      <c r="B69" t="inlineStr">
        <is>
          <t>E162 .W89</t>
        </is>
      </c>
      <c r="C69" t="inlineStr">
        <is>
          <t>0                      E  0162000W  89</t>
        </is>
      </c>
      <c r="D69" t="inlineStr">
        <is>
          <t>The cultural life of the American Colonies, 1607-1763.</t>
        </is>
      </c>
      <c r="F69" t="inlineStr">
        <is>
          <t>No</t>
        </is>
      </c>
      <c r="G69" t="inlineStr">
        <is>
          <t>1</t>
        </is>
      </c>
      <c r="H69" t="inlineStr">
        <is>
          <t>No</t>
        </is>
      </c>
      <c r="I69" t="inlineStr">
        <is>
          <t>No</t>
        </is>
      </c>
      <c r="J69" t="inlineStr">
        <is>
          <t>0</t>
        </is>
      </c>
      <c r="K69" t="inlineStr">
        <is>
          <t>Wright, Louis B. (Louis Booker), 1899-1984.</t>
        </is>
      </c>
      <c r="L69" t="inlineStr">
        <is>
          <t>New York, Harper [1957]</t>
        </is>
      </c>
      <c r="M69" t="inlineStr">
        <is>
          <t>1957</t>
        </is>
      </c>
      <c r="N69" t="inlineStr">
        <is>
          <t>[1st ed.]</t>
        </is>
      </c>
      <c r="O69" t="inlineStr">
        <is>
          <t>eng</t>
        </is>
      </c>
      <c r="P69" t="inlineStr">
        <is>
          <t>nyu</t>
        </is>
      </c>
      <c r="Q69" t="inlineStr">
        <is>
          <t>The New American Nation series</t>
        </is>
      </c>
      <c r="R69" t="inlineStr">
        <is>
          <t xml:space="preserve">E  </t>
        </is>
      </c>
      <c r="S69" t="n">
        <v>3</v>
      </c>
      <c r="T69" t="n">
        <v>3</v>
      </c>
      <c r="U69" t="inlineStr">
        <is>
          <t>1999-09-07</t>
        </is>
      </c>
      <c r="V69" t="inlineStr">
        <is>
          <t>1999-09-07</t>
        </is>
      </c>
      <c r="W69" t="inlineStr">
        <is>
          <t>1997-04-02</t>
        </is>
      </c>
      <c r="X69" t="inlineStr">
        <is>
          <t>1997-04-02</t>
        </is>
      </c>
      <c r="Y69" t="n">
        <v>2291</v>
      </c>
      <c r="Z69" t="n">
        <v>2113</v>
      </c>
      <c r="AA69" t="n">
        <v>2425</v>
      </c>
      <c r="AB69" t="n">
        <v>18</v>
      </c>
      <c r="AC69" t="n">
        <v>20</v>
      </c>
      <c r="AD69" t="n">
        <v>58</v>
      </c>
      <c r="AE69" t="n">
        <v>64</v>
      </c>
      <c r="AF69" t="n">
        <v>25</v>
      </c>
      <c r="AG69" t="n">
        <v>26</v>
      </c>
      <c r="AH69" t="n">
        <v>9</v>
      </c>
      <c r="AI69" t="n">
        <v>10</v>
      </c>
      <c r="AJ69" t="n">
        <v>20</v>
      </c>
      <c r="AK69" t="n">
        <v>24</v>
      </c>
      <c r="AL69" t="n">
        <v>13</v>
      </c>
      <c r="AM69" t="n">
        <v>13</v>
      </c>
      <c r="AN69" t="n">
        <v>3</v>
      </c>
      <c r="AO69" t="n">
        <v>4</v>
      </c>
      <c r="AP69" t="inlineStr">
        <is>
          <t>No</t>
        </is>
      </c>
      <c r="AQ69" t="inlineStr">
        <is>
          <t>No</t>
        </is>
      </c>
      <c r="AS69">
        <f>HYPERLINK("https://creighton-primo.hosted.exlibrisgroup.com/primo-explore/search?tab=default_tab&amp;search_scope=EVERYTHING&amp;vid=01CRU&amp;lang=en_US&amp;offset=0&amp;query=any,contains,991002742369702656","Catalog Record")</f>
        <v/>
      </c>
      <c r="AT69">
        <f>HYPERLINK("http://www.worldcat.org/oclc/421537","WorldCat Record")</f>
        <v/>
      </c>
      <c r="AU69" t="inlineStr">
        <is>
          <t>104179388:eng</t>
        </is>
      </c>
      <c r="AV69" t="inlineStr">
        <is>
          <t>421537</t>
        </is>
      </c>
      <c r="AW69" t="inlineStr">
        <is>
          <t>991002742369702656</t>
        </is>
      </c>
      <c r="AX69" t="inlineStr">
        <is>
          <t>991002742369702656</t>
        </is>
      </c>
      <c r="AY69" t="inlineStr">
        <is>
          <t>2267521400002656</t>
        </is>
      </c>
      <c r="AZ69" t="inlineStr">
        <is>
          <t>BOOK</t>
        </is>
      </c>
      <c r="BC69" t="inlineStr">
        <is>
          <t>32285002489416</t>
        </is>
      </c>
      <c r="BD69" t="inlineStr">
        <is>
          <t>893251582</t>
        </is>
      </c>
    </row>
    <row r="70">
      <c r="A70" t="inlineStr">
        <is>
          <t>No</t>
        </is>
      </c>
      <c r="B70" t="inlineStr">
        <is>
          <t>E163 .A47 1976</t>
        </is>
      </c>
      <c r="C70" t="inlineStr">
        <is>
          <t>0                      E  0163000A  47          1976</t>
        </is>
      </c>
      <c r="D70" t="inlineStr">
        <is>
          <t>The American Revolution and eighteenth-century culture : essays from the 1976 Bicentennial Conference of the American Society for Eighteenth-Century Studies / edited by Paul J. Korshin.</t>
        </is>
      </c>
      <c r="F70" t="inlineStr">
        <is>
          <t>No</t>
        </is>
      </c>
      <c r="G70" t="inlineStr">
        <is>
          <t>1</t>
        </is>
      </c>
      <c r="H70" t="inlineStr">
        <is>
          <t>No</t>
        </is>
      </c>
      <c r="I70" t="inlineStr">
        <is>
          <t>No</t>
        </is>
      </c>
      <c r="J70" t="inlineStr">
        <is>
          <t>0</t>
        </is>
      </c>
      <c r="K70" t="inlineStr">
        <is>
          <t>American Society for Eighteenth-Century Studies. Bicentennial Conference (1976 : University of Pennsylvania)</t>
        </is>
      </c>
      <c r="L70" t="inlineStr">
        <is>
          <t>New York : AMS Press, c1986.</t>
        </is>
      </c>
      <c r="M70" t="inlineStr">
        <is>
          <t>1986</t>
        </is>
      </c>
      <c r="O70" t="inlineStr">
        <is>
          <t>eng</t>
        </is>
      </c>
      <c r="P70" t="inlineStr">
        <is>
          <t>nyu</t>
        </is>
      </c>
      <c r="Q70" t="inlineStr">
        <is>
          <t>AMS studies in the eighteenth century, 0196-6561 ; no. 5</t>
        </is>
      </c>
      <c r="R70" t="inlineStr">
        <is>
          <t xml:space="preserve">E  </t>
        </is>
      </c>
      <c r="S70" t="n">
        <v>2</v>
      </c>
      <c r="T70" t="n">
        <v>2</v>
      </c>
      <c r="U70" t="inlineStr">
        <is>
          <t>1995-01-27</t>
        </is>
      </c>
      <c r="V70" t="inlineStr">
        <is>
          <t>1995-01-27</t>
        </is>
      </c>
      <c r="W70" t="inlineStr">
        <is>
          <t>1990-12-11</t>
        </is>
      </c>
      <c r="X70" t="inlineStr">
        <is>
          <t>1990-12-11</t>
        </is>
      </c>
      <c r="Y70" t="n">
        <v>277</v>
      </c>
      <c r="Z70" t="n">
        <v>211</v>
      </c>
      <c r="AA70" t="n">
        <v>213</v>
      </c>
      <c r="AB70" t="n">
        <v>1</v>
      </c>
      <c r="AC70" t="n">
        <v>1</v>
      </c>
      <c r="AD70" t="n">
        <v>14</v>
      </c>
      <c r="AE70" t="n">
        <v>14</v>
      </c>
      <c r="AF70" t="n">
        <v>6</v>
      </c>
      <c r="AG70" t="n">
        <v>6</v>
      </c>
      <c r="AH70" t="n">
        <v>4</v>
      </c>
      <c r="AI70" t="n">
        <v>4</v>
      </c>
      <c r="AJ70" t="n">
        <v>9</v>
      </c>
      <c r="AK70" t="n">
        <v>9</v>
      </c>
      <c r="AL70" t="n">
        <v>0</v>
      </c>
      <c r="AM70" t="n">
        <v>0</v>
      </c>
      <c r="AN70" t="n">
        <v>0</v>
      </c>
      <c r="AO70" t="n">
        <v>0</v>
      </c>
      <c r="AP70" t="inlineStr">
        <is>
          <t>No</t>
        </is>
      </c>
      <c r="AQ70" t="inlineStr">
        <is>
          <t>Yes</t>
        </is>
      </c>
      <c r="AR70">
        <f>HYPERLINK("http://catalog.hathitrust.org/Record/000814724","HathiTrust Record")</f>
        <v/>
      </c>
      <c r="AS70">
        <f>HYPERLINK("https://creighton-primo.hosted.exlibrisgroup.com/primo-explore/search?tab=default_tab&amp;search_scope=EVERYTHING&amp;vid=01CRU&amp;lang=en_US&amp;offset=0&amp;query=any,contains,991000863749702656","Catalog Record")</f>
        <v/>
      </c>
      <c r="AT70">
        <f>HYPERLINK("http://www.worldcat.org/oclc/13702712","WorldCat Record")</f>
        <v/>
      </c>
      <c r="AU70" t="inlineStr">
        <is>
          <t>890224885:eng</t>
        </is>
      </c>
      <c r="AV70" t="inlineStr">
        <is>
          <t>13702712</t>
        </is>
      </c>
      <c r="AW70" t="inlineStr">
        <is>
          <t>991000863749702656</t>
        </is>
      </c>
      <c r="AX70" t="inlineStr">
        <is>
          <t>991000863749702656</t>
        </is>
      </c>
      <c r="AY70" t="inlineStr">
        <is>
          <t>2261453230002656</t>
        </is>
      </c>
      <c r="AZ70" t="inlineStr">
        <is>
          <t>BOOK</t>
        </is>
      </c>
      <c r="BB70" t="inlineStr">
        <is>
          <t>9780404614713</t>
        </is>
      </c>
      <c r="BC70" t="inlineStr">
        <is>
          <t>32285000422674</t>
        </is>
      </c>
      <c r="BD70" t="inlineStr">
        <is>
          <t>893515682</t>
        </is>
      </c>
    </row>
    <row r="71">
      <c r="A71" t="inlineStr">
        <is>
          <t>No</t>
        </is>
      </c>
      <c r="B71" t="inlineStr">
        <is>
          <t>E163 .A67 1992</t>
        </is>
      </c>
      <c r="C71" t="inlineStr">
        <is>
          <t>0                      E  0163000A  67          1992</t>
        </is>
      </c>
      <c r="D71" t="inlineStr">
        <is>
          <t>Liberalism and republicanism in the historical imagination / Joyce Appleby.</t>
        </is>
      </c>
      <c r="F71" t="inlineStr">
        <is>
          <t>No</t>
        </is>
      </c>
      <c r="G71" t="inlineStr">
        <is>
          <t>1</t>
        </is>
      </c>
      <c r="H71" t="inlineStr">
        <is>
          <t>No</t>
        </is>
      </c>
      <c r="I71" t="inlineStr">
        <is>
          <t>No</t>
        </is>
      </c>
      <c r="J71" t="inlineStr">
        <is>
          <t>0</t>
        </is>
      </c>
      <c r="K71" t="inlineStr">
        <is>
          <t>Appleby, Joyce, 1929-2016.</t>
        </is>
      </c>
      <c r="L71" t="inlineStr">
        <is>
          <t>Cambridge, Mass. : Harvard University Press, 1992.</t>
        </is>
      </c>
      <c r="M71" t="inlineStr">
        <is>
          <t>1992</t>
        </is>
      </c>
      <c r="O71" t="inlineStr">
        <is>
          <t>eng</t>
        </is>
      </c>
      <c r="P71" t="inlineStr">
        <is>
          <t>mau</t>
        </is>
      </c>
      <c r="R71" t="inlineStr">
        <is>
          <t xml:space="preserve">E  </t>
        </is>
      </c>
      <c r="S71" t="n">
        <v>10</v>
      </c>
      <c r="T71" t="n">
        <v>10</v>
      </c>
      <c r="U71" t="inlineStr">
        <is>
          <t>1999-10-19</t>
        </is>
      </c>
      <c r="V71" t="inlineStr">
        <is>
          <t>1999-10-19</t>
        </is>
      </c>
      <c r="W71" t="inlineStr">
        <is>
          <t>1994-06-29</t>
        </is>
      </c>
      <c r="X71" t="inlineStr">
        <is>
          <t>1994-06-29</t>
        </is>
      </c>
      <c r="Y71" t="n">
        <v>616</v>
      </c>
      <c r="Z71" t="n">
        <v>484</v>
      </c>
      <c r="AA71" t="n">
        <v>614</v>
      </c>
      <c r="AB71" t="n">
        <v>4</v>
      </c>
      <c r="AC71" t="n">
        <v>5</v>
      </c>
      <c r="AD71" t="n">
        <v>27</v>
      </c>
      <c r="AE71" t="n">
        <v>32</v>
      </c>
      <c r="AF71" t="n">
        <v>9</v>
      </c>
      <c r="AG71" t="n">
        <v>12</v>
      </c>
      <c r="AH71" t="n">
        <v>9</v>
      </c>
      <c r="AI71" t="n">
        <v>11</v>
      </c>
      <c r="AJ71" t="n">
        <v>16</v>
      </c>
      <c r="AK71" t="n">
        <v>16</v>
      </c>
      <c r="AL71" t="n">
        <v>3</v>
      </c>
      <c r="AM71" t="n">
        <v>4</v>
      </c>
      <c r="AN71" t="n">
        <v>0</v>
      </c>
      <c r="AO71" t="n">
        <v>0</v>
      </c>
      <c r="AP71" t="inlineStr">
        <is>
          <t>No</t>
        </is>
      </c>
      <c r="AQ71" t="inlineStr">
        <is>
          <t>Yes</t>
        </is>
      </c>
      <c r="AR71">
        <f>HYPERLINK("http://catalog.hathitrust.org/Record/002533963","HathiTrust Record")</f>
        <v/>
      </c>
      <c r="AS71">
        <f>HYPERLINK("https://creighton-primo.hosted.exlibrisgroup.com/primo-explore/search?tab=default_tab&amp;search_scope=EVERYTHING&amp;vid=01CRU&amp;lang=en_US&amp;offset=0&amp;query=any,contains,991001929199702656","Catalog Record")</f>
        <v/>
      </c>
      <c r="AT71">
        <f>HYPERLINK("http://www.worldcat.org/oclc/24374137","WorldCat Record")</f>
        <v/>
      </c>
      <c r="AU71" t="inlineStr">
        <is>
          <t>2681560:eng</t>
        </is>
      </c>
      <c r="AV71" t="inlineStr">
        <is>
          <t>24374137</t>
        </is>
      </c>
      <c r="AW71" t="inlineStr">
        <is>
          <t>991001929199702656</t>
        </is>
      </c>
      <c r="AX71" t="inlineStr">
        <is>
          <t>991001929199702656</t>
        </is>
      </c>
      <c r="AY71" t="inlineStr">
        <is>
          <t>2266748380002656</t>
        </is>
      </c>
      <c r="AZ71" t="inlineStr">
        <is>
          <t>BOOK</t>
        </is>
      </c>
      <c r="BB71" t="inlineStr">
        <is>
          <t>9780674530126</t>
        </is>
      </c>
      <c r="BC71" t="inlineStr">
        <is>
          <t>32285001930048</t>
        </is>
      </c>
      <c r="BD71" t="inlineStr">
        <is>
          <t>893510080</t>
        </is>
      </c>
    </row>
    <row r="72">
      <c r="A72" t="inlineStr">
        <is>
          <t>No</t>
        </is>
      </c>
      <c r="B72" t="inlineStr">
        <is>
          <t>E163 .B88 1999</t>
        </is>
      </c>
      <c r="C72" t="inlineStr">
        <is>
          <t>0                      E  0163000B  88          1999</t>
        </is>
      </c>
      <c r="D72" t="inlineStr">
        <is>
          <t>Sentimental democracy : the evolution of America's romantic self-image / Andrew Burstein.</t>
        </is>
      </c>
      <c r="F72" t="inlineStr">
        <is>
          <t>No</t>
        </is>
      </c>
      <c r="G72" t="inlineStr">
        <is>
          <t>1</t>
        </is>
      </c>
      <c r="H72" t="inlineStr">
        <is>
          <t>No</t>
        </is>
      </c>
      <c r="I72" t="inlineStr">
        <is>
          <t>No</t>
        </is>
      </c>
      <c r="J72" t="inlineStr">
        <is>
          <t>0</t>
        </is>
      </c>
      <c r="K72" t="inlineStr">
        <is>
          <t>Burstein, Andrew.</t>
        </is>
      </c>
      <c r="L72" t="inlineStr">
        <is>
          <t>New York : Hill and Wang, 1999.</t>
        </is>
      </c>
      <c r="M72" t="inlineStr">
        <is>
          <t>1999</t>
        </is>
      </c>
      <c r="N72" t="inlineStr">
        <is>
          <t>1st ed.</t>
        </is>
      </c>
      <c r="O72" t="inlineStr">
        <is>
          <t>eng</t>
        </is>
      </c>
      <c r="P72" t="inlineStr">
        <is>
          <t>nyu</t>
        </is>
      </c>
      <c r="R72" t="inlineStr">
        <is>
          <t xml:space="preserve">E  </t>
        </is>
      </c>
      <c r="S72" t="n">
        <v>1</v>
      </c>
      <c r="T72" t="n">
        <v>1</v>
      </c>
      <c r="U72" t="inlineStr">
        <is>
          <t>2001-10-17</t>
        </is>
      </c>
      <c r="V72" t="inlineStr">
        <is>
          <t>2001-10-17</t>
        </is>
      </c>
      <c r="W72" t="inlineStr">
        <is>
          <t>2001-10-17</t>
        </is>
      </c>
      <c r="X72" t="inlineStr">
        <is>
          <t>2001-10-17</t>
        </is>
      </c>
      <c r="Y72" t="n">
        <v>544</v>
      </c>
      <c r="Z72" t="n">
        <v>487</v>
      </c>
      <c r="AA72" t="n">
        <v>493</v>
      </c>
      <c r="AB72" t="n">
        <v>3</v>
      </c>
      <c r="AC72" t="n">
        <v>3</v>
      </c>
      <c r="AD72" t="n">
        <v>22</v>
      </c>
      <c r="AE72" t="n">
        <v>22</v>
      </c>
      <c r="AF72" t="n">
        <v>6</v>
      </c>
      <c r="AG72" t="n">
        <v>6</v>
      </c>
      <c r="AH72" t="n">
        <v>6</v>
      </c>
      <c r="AI72" t="n">
        <v>6</v>
      </c>
      <c r="AJ72" t="n">
        <v>13</v>
      </c>
      <c r="AK72" t="n">
        <v>13</v>
      </c>
      <c r="AL72" t="n">
        <v>2</v>
      </c>
      <c r="AM72" t="n">
        <v>2</v>
      </c>
      <c r="AN72" t="n">
        <v>0</v>
      </c>
      <c r="AO72" t="n">
        <v>0</v>
      </c>
      <c r="AP72" t="inlineStr">
        <is>
          <t>No</t>
        </is>
      </c>
      <c r="AQ72" t="inlineStr">
        <is>
          <t>No</t>
        </is>
      </c>
      <c r="AS72">
        <f>HYPERLINK("https://creighton-primo.hosted.exlibrisgroup.com/primo-explore/search?tab=default_tab&amp;search_scope=EVERYTHING&amp;vid=01CRU&amp;lang=en_US&amp;offset=0&amp;query=any,contains,991003582249702656","Catalog Record")</f>
        <v/>
      </c>
      <c r="AT72">
        <f>HYPERLINK("http://www.worldcat.org/oclc/40444492","WorldCat Record")</f>
        <v/>
      </c>
      <c r="AU72" t="inlineStr">
        <is>
          <t>340763851:eng</t>
        </is>
      </c>
      <c r="AV72" t="inlineStr">
        <is>
          <t>40444492</t>
        </is>
      </c>
      <c r="AW72" t="inlineStr">
        <is>
          <t>991003582249702656</t>
        </is>
      </c>
      <c r="AX72" t="inlineStr">
        <is>
          <t>991003582249702656</t>
        </is>
      </c>
      <c r="AY72" t="inlineStr">
        <is>
          <t>2272750040002656</t>
        </is>
      </c>
      <c r="AZ72" t="inlineStr">
        <is>
          <t>BOOK</t>
        </is>
      </c>
      <c r="BB72" t="inlineStr">
        <is>
          <t>9780809085354</t>
        </is>
      </c>
      <c r="BC72" t="inlineStr">
        <is>
          <t>32285004397856</t>
        </is>
      </c>
      <c r="BD72" t="inlineStr">
        <is>
          <t>893617493</t>
        </is>
      </c>
    </row>
    <row r="73">
      <c r="A73" t="inlineStr">
        <is>
          <t>No</t>
        </is>
      </c>
      <c r="B73" t="inlineStr">
        <is>
          <t>E163 .F58 1982</t>
        </is>
      </c>
      <c r="C73" t="inlineStr">
        <is>
          <t>0                      E  0163000F  58          1982</t>
        </is>
      </c>
      <c r="D73" t="inlineStr">
        <is>
          <t>Prodigals and pilgrims : the American revolution against patriarchal authority, 1750-1800 / Jay Fliegelman.</t>
        </is>
      </c>
      <c r="F73" t="inlineStr">
        <is>
          <t>No</t>
        </is>
      </c>
      <c r="G73" t="inlineStr">
        <is>
          <t>1</t>
        </is>
      </c>
      <c r="H73" t="inlineStr">
        <is>
          <t>No</t>
        </is>
      </c>
      <c r="I73" t="inlineStr">
        <is>
          <t>No</t>
        </is>
      </c>
      <c r="J73" t="inlineStr">
        <is>
          <t>0</t>
        </is>
      </c>
      <c r="K73" t="inlineStr">
        <is>
          <t>Fliegelman, Jay.</t>
        </is>
      </c>
      <c r="L73" t="inlineStr">
        <is>
          <t>Cambridge ; New York ; Cambridge University Press, 1982.</t>
        </is>
      </c>
      <c r="M73" t="inlineStr">
        <is>
          <t>1982</t>
        </is>
      </c>
      <c r="O73" t="inlineStr">
        <is>
          <t>eng</t>
        </is>
      </c>
      <c r="P73" t="inlineStr">
        <is>
          <t>enk</t>
        </is>
      </c>
      <c r="R73" t="inlineStr">
        <is>
          <t xml:space="preserve">E  </t>
        </is>
      </c>
      <c r="S73" t="n">
        <v>2</v>
      </c>
      <c r="T73" t="n">
        <v>2</v>
      </c>
      <c r="U73" t="inlineStr">
        <is>
          <t>1997-10-12</t>
        </is>
      </c>
      <c r="V73" t="inlineStr">
        <is>
          <t>1997-10-12</t>
        </is>
      </c>
      <c r="W73" t="inlineStr">
        <is>
          <t>1990-12-11</t>
        </is>
      </c>
      <c r="X73" t="inlineStr">
        <is>
          <t>1990-12-11</t>
        </is>
      </c>
      <c r="Y73" t="n">
        <v>772</v>
      </c>
      <c r="Z73" t="n">
        <v>626</v>
      </c>
      <c r="AA73" t="n">
        <v>805</v>
      </c>
      <c r="AB73" t="n">
        <v>3</v>
      </c>
      <c r="AC73" t="n">
        <v>6</v>
      </c>
      <c r="AD73" t="n">
        <v>26</v>
      </c>
      <c r="AE73" t="n">
        <v>39</v>
      </c>
      <c r="AF73" t="n">
        <v>10</v>
      </c>
      <c r="AG73" t="n">
        <v>15</v>
      </c>
      <c r="AH73" t="n">
        <v>7</v>
      </c>
      <c r="AI73" t="n">
        <v>9</v>
      </c>
      <c r="AJ73" t="n">
        <v>15</v>
      </c>
      <c r="AK73" t="n">
        <v>19</v>
      </c>
      <c r="AL73" t="n">
        <v>2</v>
      </c>
      <c r="AM73" t="n">
        <v>5</v>
      </c>
      <c r="AN73" t="n">
        <v>1</v>
      </c>
      <c r="AO73" t="n">
        <v>1</v>
      </c>
      <c r="AP73" t="inlineStr">
        <is>
          <t>No</t>
        </is>
      </c>
      <c r="AQ73" t="inlineStr">
        <is>
          <t>No</t>
        </is>
      </c>
      <c r="AS73">
        <f>HYPERLINK("https://creighton-primo.hosted.exlibrisgroup.com/primo-explore/search?tab=default_tab&amp;search_scope=EVERYTHING&amp;vid=01CRU&amp;lang=en_US&amp;offset=0&amp;query=any,contains,991005140149702656","Catalog Record")</f>
        <v/>
      </c>
      <c r="AT73">
        <f>HYPERLINK("http://www.worldcat.org/oclc/7597888","WorldCat Record")</f>
        <v/>
      </c>
      <c r="AU73" t="inlineStr">
        <is>
          <t>504900:eng</t>
        </is>
      </c>
      <c r="AV73" t="inlineStr">
        <is>
          <t>7597888</t>
        </is>
      </c>
      <c r="AW73" t="inlineStr">
        <is>
          <t>991005140149702656</t>
        </is>
      </c>
      <c r="AX73" t="inlineStr">
        <is>
          <t>991005140149702656</t>
        </is>
      </c>
      <c r="AY73" t="inlineStr">
        <is>
          <t>2254725760002656</t>
        </is>
      </c>
      <c r="AZ73" t="inlineStr">
        <is>
          <t>BOOK</t>
        </is>
      </c>
      <c r="BB73" t="inlineStr">
        <is>
          <t>9780521237192</t>
        </is>
      </c>
      <c r="BC73" t="inlineStr">
        <is>
          <t>32285000422682</t>
        </is>
      </c>
      <c r="BD73" t="inlineStr">
        <is>
          <t>893722792</t>
        </is>
      </c>
    </row>
    <row r="74">
      <c r="A74" t="inlineStr">
        <is>
          <t>No</t>
        </is>
      </c>
      <c r="B74" t="inlineStr">
        <is>
          <t>E164 .E4 1979</t>
        </is>
      </c>
      <c r="C74" t="inlineStr">
        <is>
          <t>0                      E  0164000E  4           1979</t>
        </is>
      </c>
      <c r="D74" t="inlineStr">
        <is>
          <t>After the Revolution : profiles of early American culture / Joseph J. Ellis.</t>
        </is>
      </c>
      <c r="F74" t="inlineStr">
        <is>
          <t>No</t>
        </is>
      </c>
      <c r="G74" t="inlineStr">
        <is>
          <t>1</t>
        </is>
      </c>
      <c r="H74" t="inlineStr">
        <is>
          <t>No</t>
        </is>
      </c>
      <c r="I74" t="inlineStr">
        <is>
          <t>No</t>
        </is>
      </c>
      <c r="J74" t="inlineStr">
        <is>
          <t>0</t>
        </is>
      </c>
      <c r="K74" t="inlineStr">
        <is>
          <t>Ellis, Joseph J.</t>
        </is>
      </c>
      <c r="L74" t="inlineStr">
        <is>
          <t>New York ; London : Norton, c1979.</t>
        </is>
      </c>
      <c r="M74" t="inlineStr">
        <is>
          <t>1979</t>
        </is>
      </c>
      <c r="N74" t="inlineStr">
        <is>
          <t>1st ed.</t>
        </is>
      </c>
      <c r="O74" t="inlineStr">
        <is>
          <t>eng</t>
        </is>
      </c>
      <c r="P74" t="inlineStr">
        <is>
          <t>nyu</t>
        </is>
      </c>
      <c r="R74" t="inlineStr">
        <is>
          <t xml:space="preserve">E  </t>
        </is>
      </c>
      <c r="S74" t="n">
        <v>3</v>
      </c>
      <c r="T74" t="n">
        <v>3</v>
      </c>
      <c r="U74" t="inlineStr">
        <is>
          <t>1998-11-07</t>
        </is>
      </c>
      <c r="V74" t="inlineStr">
        <is>
          <t>1998-11-07</t>
        </is>
      </c>
      <c r="W74" t="inlineStr">
        <is>
          <t>1990-12-11</t>
        </is>
      </c>
      <c r="X74" t="inlineStr">
        <is>
          <t>1990-12-11</t>
        </is>
      </c>
      <c r="Y74" t="n">
        <v>853</v>
      </c>
      <c r="Z74" t="n">
        <v>763</v>
      </c>
      <c r="AA74" t="n">
        <v>863</v>
      </c>
      <c r="AB74" t="n">
        <v>4</v>
      </c>
      <c r="AC74" t="n">
        <v>4</v>
      </c>
      <c r="AD74" t="n">
        <v>25</v>
      </c>
      <c r="AE74" t="n">
        <v>28</v>
      </c>
      <c r="AF74" t="n">
        <v>8</v>
      </c>
      <c r="AG74" t="n">
        <v>10</v>
      </c>
      <c r="AH74" t="n">
        <v>9</v>
      </c>
      <c r="AI74" t="n">
        <v>10</v>
      </c>
      <c r="AJ74" t="n">
        <v>10</v>
      </c>
      <c r="AK74" t="n">
        <v>11</v>
      </c>
      <c r="AL74" t="n">
        <v>3</v>
      </c>
      <c r="AM74" t="n">
        <v>3</v>
      </c>
      <c r="AN74" t="n">
        <v>2</v>
      </c>
      <c r="AO74" t="n">
        <v>2</v>
      </c>
      <c r="AP74" t="inlineStr">
        <is>
          <t>No</t>
        </is>
      </c>
      <c r="AQ74" t="inlineStr">
        <is>
          <t>No</t>
        </is>
      </c>
      <c r="AS74">
        <f>HYPERLINK("https://creighton-primo.hosted.exlibrisgroup.com/primo-explore/search?tab=default_tab&amp;search_scope=EVERYTHING&amp;vid=01CRU&amp;lang=en_US&amp;offset=0&amp;query=any,contains,991004791409702656","Catalog Record")</f>
        <v/>
      </c>
      <c r="AT74">
        <f>HYPERLINK("http://www.worldcat.org/oclc/5171264","WorldCat Record")</f>
        <v/>
      </c>
      <c r="AU74" t="inlineStr">
        <is>
          <t>796455715:eng</t>
        </is>
      </c>
      <c r="AV74" t="inlineStr">
        <is>
          <t>5171264</t>
        </is>
      </c>
      <c r="AW74" t="inlineStr">
        <is>
          <t>991004791409702656</t>
        </is>
      </c>
      <c r="AX74" t="inlineStr">
        <is>
          <t>991004791409702656</t>
        </is>
      </c>
      <c r="AY74" t="inlineStr">
        <is>
          <t>2258762330002656</t>
        </is>
      </c>
      <c r="AZ74" t="inlineStr">
        <is>
          <t>BOOK</t>
        </is>
      </c>
      <c r="BB74" t="inlineStr">
        <is>
          <t>9780393012538</t>
        </is>
      </c>
      <c r="BC74" t="inlineStr">
        <is>
          <t>32285000422724</t>
        </is>
      </c>
      <c r="BD74" t="inlineStr">
        <is>
          <t>893901760</t>
        </is>
      </c>
    </row>
    <row r="75">
      <c r="A75" t="inlineStr">
        <is>
          <t>No</t>
        </is>
      </c>
      <c r="B75" t="inlineStr">
        <is>
          <t>E164 .L27 1988</t>
        </is>
      </c>
      <c r="C75" t="inlineStr">
        <is>
          <t>0                      E  0164000L  27          1988</t>
        </is>
      </c>
      <c r="D75" t="inlineStr">
        <is>
          <t>The reshaping of everyday life, 1790-1840 / Jack Larkin.</t>
        </is>
      </c>
      <c r="F75" t="inlineStr">
        <is>
          <t>No</t>
        </is>
      </c>
      <c r="G75" t="inlineStr">
        <is>
          <t>1</t>
        </is>
      </c>
      <c r="H75" t="inlineStr">
        <is>
          <t>No</t>
        </is>
      </c>
      <c r="I75" t="inlineStr">
        <is>
          <t>No</t>
        </is>
      </c>
      <c r="J75" t="inlineStr">
        <is>
          <t>0</t>
        </is>
      </c>
      <c r="K75" t="inlineStr">
        <is>
          <t>Larkin, Jack, 1943-</t>
        </is>
      </c>
      <c r="L75" t="inlineStr">
        <is>
          <t>New York : Harper &amp; Row, c1988.</t>
        </is>
      </c>
      <c r="M75" t="inlineStr">
        <is>
          <t>1988</t>
        </is>
      </c>
      <c r="N75" t="inlineStr">
        <is>
          <t>1st ed.</t>
        </is>
      </c>
      <c r="O75" t="inlineStr">
        <is>
          <t>eng</t>
        </is>
      </c>
      <c r="P75" t="inlineStr">
        <is>
          <t>nyu</t>
        </is>
      </c>
      <c r="R75" t="inlineStr">
        <is>
          <t xml:space="preserve">E  </t>
        </is>
      </c>
      <c r="S75" t="n">
        <v>2</v>
      </c>
      <c r="T75" t="n">
        <v>2</v>
      </c>
      <c r="U75" t="inlineStr">
        <is>
          <t>1995-12-19</t>
        </is>
      </c>
      <c r="V75" t="inlineStr">
        <is>
          <t>1995-12-19</t>
        </is>
      </c>
      <c r="W75" t="inlineStr">
        <is>
          <t>1990-12-11</t>
        </is>
      </c>
      <c r="X75" t="inlineStr">
        <is>
          <t>1990-12-11</t>
        </is>
      </c>
      <c r="Y75" t="n">
        <v>1049</v>
      </c>
      <c r="Z75" t="n">
        <v>985</v>
      </c>
      <c r="AA75" t="n">
        <v>1354</v>
      </c>
      <c r="AB75" t="n">
        <v>6</v>
      </c>
      <c r="AC75" t="n">
        <v>8</v>
      </c>
      <c r="AD75" t="n">
        <v>27</v>
      </c>
      <c r="AE75" t="n">
        <v>34</v>
      </c>
      <c r="AF75" t="n">
        <v>13</v>
      </c>
      <c r="AG75" t="n">
        <v>17</v>
      </c>
      <c r="AH75" t="n">
        <v>5</v>
      </c>
      <c r="AI75" t="n">
        <v>5</v>
      </c>
      <c r="AJ75" t="n">
        <v>12</v>
      </c>
      <c r="AK75" t="n">
        <v>15</v>
      </c>
      <c r="AL75" t="n">
        <v>4</v>
      </c>
      <c r="AM75" t="n">
        <v>5</v>
      </c>
      <c r="AN75" t="n">
        <v>0</v>
      </c>
      <c r="AO75" t="n">
        <v>0</v>
      </c>
      <c r="AP75" t="inlineStr">
        <is>
          <t>No</t>
        </is>
      </c>
      <c r="AQ75" t="inlineStr">
        <is>
          <t>No</t>
        </is>
      </c>
      <c r="AS75">
        <f>HYPERLINK("https://creighton-primo.hosted.exlibrisgroup.com/primo-explore/search?tab=default_tab&amp;search_scope=EVERYTHING&amp;vid=01CRU&amp;lang=en_US&amp;offset=0&amp;query=any,contains,991001235869702656","Catalog Record")</f>
        <v/>
      </c>
      <c r="AT75">
        <f>HYPERLINK("http://www.worldcat.org/oclc/17550475","WorldCat Record")</f>
        <v/>
      </c>
      <c r="AU75" t="inlineStr">
        <is>
          <t>1059803:eng</t>
        </is>
      </c>
      <c r="AV75" t="inlineStr">
        <is>
          <t>17550475</t>
        </is>
      </c>
      <c r="AW75" t="inlineStr">
        <is>
          <t>991001235869702656</t>
        </is>
      </c>
      <c r="AX75" t="inlineStr">
        <is>
          <t>991001235869702656</t>
        </is>
      </c>
      <c r="AY75" t="inlineStr">
        <is>
          <t>2262418850002656</t>
        </is>
      </c>
      <c r="AZ75" t="inlineStr">
        <is>
          <t>BOOK</t>
        </is>
      </c>
      <c r="BB75" t="inlineStr">
        <is>
          <t>9780060159054</t>
        </is>
      </c>
      <c r="BC75" t="inlineStr">
        <is>
          <t>32285000422740</t>
        </is>
      </c>
      <c r="BD75" t="inlineStr">
        <is>
          <t>893432716</t>
        </is>
      </c>
    </row>
    <row r="76">
      <c r="A76" t="inlineStr">
        <is>
          <t>No</t>
        </is>
      </c>
      <c r="B76" t="inlineStr">
        <is>
          <t>E164 .M673</t>
        </is>
      </c>
      <c r="C76" t="inlineStr">
        <is>
          <t>0                      E  0164000M  673</t>
        </is>
      </c>
      <c r="D76" t="inlineStr">
        <is>
          <t>The new democracy in America ; travels of Francisco de Miranda in the United States, 1783-84 / translated by Judson P, Wood ; edited by John S. Ezell.</t>
        </is>
      </c>
      <c r="F76" t="inlineStr">
        <is>
          <t>No</t>
        </is>
      </c>
      <c r="G76" t="inlineStr">
        <is>
          <t>1</t>
        </is>
      </c>
      <c r="H76" t="inlineStr">
        <is>
          <t>No</t>
        </is>
      </c>
      <c r="I76" t="inlineStr">
        <is>
          <t>No</t>
        </is>
      </c>
      <c r="J76" t="inlineStr">
        <is>
          <t>0</t>
        </is>
      </c>
      <c r="K76" t="inlineStr">
        <is>
          <t>Miranda, Francisco de, 1750-1816.</t>
        </is>
      </c>
      <c r="L76" t="inlineStr">
        <is>
          <t>Norman, University of Oklahoma Press [1963]</t>
        </is>
      </c>
      <c r="M76" t="inlineStr">
        <is>
          <t>1963</t>
        </is>
      </c>
      <c r="N76" t="inlineStr">
        <is>
          <t>[1st ed.]</t>
        </is>
      </c>
      <c r="O76" t="inlineStr">
        <is>
          <t>eng</t>
        </is>
      </c>
      <c r="P76" t="inlineStr">
        <is>
          <t>___</t>
        </is>
      </c>
      <c r="Q76" t="inlineStr">
        <is>
          <t>The American exploration and travel series, 40</t>
        </is>
      </c>
      <c r="R76" t="inlineStr">
        <is>
          <t xml:space="preserve">E  </t>
        </is>
      </c>
      <c r="S76" t="n">
        <v>4</v>
      </c>
      <c r="T76" t="n">
        <v>4</v>
      </c>
      <c r="U76" t="inlineStr">
        <is>
          <t>2000-02-20</t>
        </is>
      </c>
      <c r="V76" t="inlineStr">
        <is>
          <t>2000-02-20</t>
        </is>
      </c>
      <c r="W76" t="inlineStr">
        <is>
          <t>1990-12-11</t>
        </is>
      </c>
      <c r="X76" t="inlineStr">
        <is>
          <t>1990-12-11</t>
        </is>
      </c>
      <c r="Y76" t="n">
        <v>986</v>
      </c>
      <c r="Z76" t="n">
        <v>949</v>
      </c>
      <c r="AA76" t="n">
        <v>1020</v>
      </c>
      <c r="AB76" t="n">
        <v>12</v>
      </c>
      <c r="AC76" t="n">
        <v>12</v>
      </c>
      <c r="AD76" t="n">
        <v>49</v>
      </c>
      <c r="AE76" t="n">
        <v>50</v>
      </c>
      <c r="AF76" t="n">
        <v>18</v>
      </c>
      <c r="AG76" t="n">
        <v>18</v>
      </c>
      <c r="AH76" t="n">
        <v>8</v>
      </c>
      <c r="AI76" t="n">
        <v>9</v>
      </c>
      <c r="AJ76" t="n">
        <v>22</v>
      </c>
      <c r="AK76" t="n">
        <v>23</v>
      </c>
      <c r="AL76" t="n">
        <v>10</v>
      </c>
      <c r="AM76" t="n">
        <v>10</v>
      </c>
      <c r="AN76" t="n">
        <v>0</v>
      </c>
      <c r="AO76" t="n">
        <v>0</v>
      </c>
      <c r="AP76" t="inlineStr">
        <is>
          <t>No</t>
        </is>
      </c>
      <c r="AQ76" t="inlineStr">
        <is>
          <t>No</t>
        </is>
      </c>
      <c r="AS76">
        <f>HYPERLINK("https://creighton-primo.hosted.exlibrisgroup.com/primo-explore/search?tab=default_tab&amp;search_scope=EVERYTHING&amp;vid=01CRU&amp;lang=en_US&amp;offset=0&amp;query=any,contains,991002711739702656","Catalog Record")</f>
        <v/>
      </c>
      <c r="AT76">
        <f>HYPERLINK("http://www.worldcat.org/oclc/409459","WorldCat Record")</f>
        <v/>
      </c>
      <c r="AU76" t="inlineStr">
        <is>
          <t>890052288:eng</t>
        </is>
      </c>
      <c r="AV76" t="inlineStr">
        <is>
          <t>409459</t>
        </is>
      </c>
      <c r="AW76" t="inlineStr">
        <is>
          <t>991002711739702656</t>
        </is>
      </c>
      <c r="AX76" t="inlineStr">
        <is>
          <t>991002711739702656</t>
        </is>
      </c>
      <c r="AY76" t="inlineStr">
        <is>
          <t>2262379640002656</t>
        </is>
      </c>
      <c r="AZ76" t="inlineStr">
        <is>
          <t>BOOK</t>
        </is>
      </c>
      <c r="BC76" t="inlineStr">
        <is>
          <t>32285000422757</t>
        </is>
      </c>
      <c r="BD76" t="inlineStr">
        <is>
          <t>893233326</t>
        </is>
      </c>
    </row>
    <row r="77">
      <c r="A77" t="inlineStr">
        <is>
          <t>No</t>
        </is>
      </c>
      <c r="B77" t="inlineStr">
        <is>
          <t>E165 .K27 1990</t>
        </is>
      </c>
      <c r="C77" t="inlineStr">
        <is>
          <t>0                      E  0165000K  27          1990</t>
        </is>
      </c>
      <c r="D77" t="inlineStr">
        <is>
          <t>Rudeness &amp; civility : manners in nineteenth-century urban America / John F. Kasson.</t>
        </is>
      </c>
      <c r="F77" t="inlineStr">
        <is>
          <t>No</t>
        </is>
      </c>
      <c r="G77" t="inlineStr">
        <is>
          <t>1</t>
        </is>
      </c>
      <c r="H77" t="inlineStr">
        <is>
          <t>No</t>
        </is>
      </c>
      <c r="I77" t="inlineStr">
        <is>
          <t>No</t>
        </is>
      </c>
      <c r="J77" t="inlineStr">
        <is>
          <t>0</t>
        </is>
      </c>
      <c r="K77" t="inlineStr">
        <is>
          <t>Kasson, John F., 1944-</t>
        </is>
      </c>
      <c r="L77" t="inlineStr">
        <is>
          <t>New York : Hill and Wang, c1990.</t>
        </is>
      </c>
      <c r="M77" t="inlineStr">
        <is>
          <t>1990</t>
        </is>
      </c>
      <c r="O77" t="inlineStr">
        <is>
          <t>eng</t>
        </is>
      </c>
      <c r="P77" t="inlineStr">
        <is>
          <t>nyu</t>
        </is>
      </c>
      <c r="R77" t="inlineStr">
        <is>
          <t xml:space="preserve">E  </t>
        </is>
      </c>
      <c r="S77" t="n">
        <v>7</v>
      </c>
      <c r="T77" t="n">
        <v>7</v>
      </c>
      <c r="U77" t="inlineStr">
        <is>
          <t>1998-03-29</t>
        </is>
      </c>
      <c r="V77" t="inlineStr">
        <is>
          <t>1998-03-29</t>
        </is>
      </c>
      <c r="W77" t="inlineStr">
        <is>
          <t>1991-04-09</t>
        </is>
      </c>
      <c r="X77" t="inlineStr">
        <is>
          <t>1991-04-09</t>
        </is>
      </c>
      <c r="Y77" t="n">
        <v>845</v>
      </c>
      <c r="Z77" t="n">
        <v>788</v>
      </c>
      <c r="AA77" t="n">
        <v>852</v>
      </c>
      <c r="AB77" t="n">
        <v>6</v>
      </c>
      <c r="AC77" t="n">
        <v>6</v>
      </c>
      <c r="AD77" t="n">
        <v>40</v>
      </c>
      <c r="AE77" t="n">
        <v>42</v>
      </c>
      <c r="AF77" t="n">
        <v>15</v>
      </c>
      <c r="AG77" t="n">
        <v>17</v>
      </c>
      <c r="AH77" t="n">
        <v>11</v>
      </c>
      <c r="AI77" t="n">
        <v>11</v>
      </c>
      <c r="AJ77" t="n">
        <v>21</v>
      </c>
      <c r="AK77" t="n">
        <v>21</v>
      </c>
      <c r="AL77" t="n">
        <v>5</v>
      </c>
      <c r="AM77" t="n">
        <v>5</v>
      </c>
      <c r="AN77" t="n">
        <v>0</v>
      </c>
      <c r="AO77" t="n">
        <v>0</v>
      </c>
      <c r="AP77" t="inlineStr">
        <is>
          <t>No</t>
        </is>
      </c>
      <c r="AQ77" t="inlineStr">
        <is>
          <t>No</t>
        </is>
      </c>
      <c r="AS77">
        <f>HYPERLINK("https://creighton-primo.hosted.exlibrisgroup.com/primo-explore/search?tab=default_tab&amp;search_scope=EVERYTHING&amp;vid=01CRU&amp;lang=en_US&amp;offset=0&amp;query=any,contains,991001722359702656","Catalog Record")</f>
        <v/>
      </c>
      <c r="AT77">
        <f>HYPERLINK("http://www.worldcat.org/oclc/21864056","WorldCat Record")</f>
        <v/>
      </c>
      <c r="AU77" t="inlineStr">
        <is>
          <t>23068244:eng</t>
        </is>
      </c>
      <c r="AV77" t="inlineStr">
        <is>
          <t>21864056</t>
        </is>
      </c>
      <c r="AW77" t="inlineStr">
        <is>
          <t>991001722359702656</t>
        </is>
      </c>
      <c r="AX77" t="inlineStr">
        <is>
          <t>991001722359702656</t>
        </is>
      </c>
      <c r="AY77" t="inlineStr">
        <is>
          <t>2256484930002656</t>
        </is>
      </c>
      <c r="AZ77" t="inlineStr">
        <is>
          <t>BOOK</t>
        </is>
      </c>
      <c r="BB77" t="inlineStr">
        <is>
          <t>9780809034703</t>
        </is>
      </c>
      <c r="BC77" t="inlineStr">
        <is>
          <t>32285000566330</t>
        </is>
      </c>
      <c r="BD77" t="inlineStr">
        <is>
          <t>893340645</t>
        </is>
      </c>
    </row>
    <row r="78">
      <c r="A78" t="inlineStr">
        <is>
          <t>No</t>
        </is>
      </c>
      <c r="B78" t="inlineStr">
        <is>
          <t>E165 .W46</t>
        </is>
      </c>
      <c r="C78" t="inlineStr">
        <is>
          <t>0                      E  0165000W  46</t>
        </is>
      </c>
      <c r="D78" t="inlineStr">
        <is>
          <t>The mind of America, 1820-1860.</t>
        </is>
      </c>
      <c r="F78" t="inlineStr">
        <is>
          <t>No</t>
        </is>
      </c>
      <c r="G78" t="inlineStr">
        <is>
          <t>1</t>
        </is>
      </c>
      <c r="H78" t="inlineStr">
        <is>
          <t>No</t>
        </is>
      </c>
      <c r="I78" t="inlineStr">
        <is>
          <t>No</t>
        </is>
      </c>
      <c r="J78" t="inlineStr">
        <is>
          <t>0</t>
        </is>
      </c>
      <c r="K78" t="inlineStr">
        <is>
          <t>Welter, Rush.</t>
        </is>
      </c>
      <c r="L78" t="inlineStr">
        <is>
          <t>New York, Columbia University Press, 1975.</t>
        </is>
      </c>
      <c r="M78" t="inlineStr">
        <is>
          <t>1975</t>
        </is>
      </c>
      <c r="O78" t="inlineStr">
        <is>
          <t>eng</t>
        </is>
      </c>
      <c r="P78" t="inlineStr">
        <is>
          <t>nyu</t>
        </is>
      </c>
      <c r="R78" t="inlineStr">
        <is>
          <t xml:space="preserve">E  </t>
        </is>
      </c>
      <c r="S78" t="n">
        <v>2</v>
      </c>
      <c r="T78" t="n">
        <v>2</v>
      </c>
      <c r="U78" t="inlineStr">
        <is>
          <t>2005-11-08</t>
        </is>
      </c>
      <c r="V78" t="inlineStr">
        <is>
          <t>2005-11-08</t>
        </is>
      </c>
      <c r="W78" t="inlineStr">
        <is>
          <t>1997-04-02</t>
        </is>
      </c>
      <c r="X78" t="inlineStr">
        <is>
          <t>1997-04-02</t>
        </is>
      </c>
      <c r="Y78" t="n">
        <v>1179</v>
      </c>
      <c r="Z78" t="n">
        <v>1052</v>
      </c>
      <c r="AA78" t="n">
        <v>1064</v>
      </c>
      <c r="AB78" t="n">
        <v>6</v>
      </c>
      <c r="AC78" t="n">
        <v>6</v>
      </c>
      <c r="AD78" t="n">
        <v>41</v>
      </c>
      <c r="AE78" t="n">
        <v>41</v>
      </c>
      <c r="AF78" t="n">
        <v>15</v>
      </c>
      <c r="AG78" t="n">
        <v>15</v>
      </c>
      <c r="AH78" t="n">
        <v>9</v>
      </c>
      <c r="AI78" t="n">
        <v>9</v>
      </c>
      <c r="AJ78" t="n">
        <v>20</v>
      </c>
      <c r="AK78" t="n">
        <v>20</v>
      </c>
      <c r="AL78" t="n">
        <v>5</v>
      </c>
      <c r="AM78" t="n">
        <v>5</v>
      </c>
      <c r="AN78" t="n">
        <v>2</v>
      </c>
      <c r="AO78" t="n">
        <v>2</v>
      </c>
      <c r="AP78" t="inlineStr">
        <is>
          <t>No</t>
        </is>
      </c>
      <c r="AQ78" t="inlineStr">
        <is>
          <t>No</t>
        </is>
      </c>
      <c r="AS78">
        <f>HYPERLINK("https://creighton-primo.hosted.exlibrisgroup.com/primo-explore/search?tab=default_tab&amp;search_scope=EVERYTHING&amp;vid=01CRU&amp;lang=en_US&amp;offset=0&amp;query=any,contains,991003483749702656","Catalog Record")</f>
        <v/>
      </c>
      <c r="AT78">
        <f>HYPERLINK("http://www.worldcat.org/oclc/1031158","WorldCat Record")</f>
        <v/>
      </c>
      <c r="AU78" t="inlineStr">
        <is>
          <t>419671:eng</t>
        </is>
      </c>
      <c r="AV78" t="inlineStr">
        <is>
          <t>1031158</t>
        </is>
      </c>
      <c r="AW78" t="inlineStr">
        <is>
          <t>991003483749702656</t>
        </is>
      </c>
      <c r="AX78" t="inlineStr">
        <is>
          <t>991003483749702656</t>
        </is>
      </c>
      <c r="AY78" t="inlineStr">
        <is>
          <t>2265510100002656</t>
        </is>
      </c>
      <c r="AZ78" t="inlineStr">
        <is>
          <t>BOOK</t>
        </is>
      </c>
      <c r="BB78" t="inlineStr">
        <is>
          <t>9780231029636</t>
        </is>
      </c>
      <c r="BC78" t="inlineStr">
        <is>
          <t>32285002489846</t>
        </is>
      </c>
      <c r="BD78" t="inlineStr">
        <is>
          <t>893793646</t>
        </is>
      </c>
    </row>
    <row r="79">
      <c r="A79" t="inlineStr">
        <is>
          <t>No</t>
        </is>
      </c>
      <c r="B79" t="inlineStr">
        <is>
          <t>E166 .B635 1983</t>
        </is>
      </c>
      <c r="C79" t="inlineStr">
        <is>
          <t>0                      E  0166000B  635         1983</t>
        </is>
      </c>
      <c r="D79" t="inlineStr">
        <is>
          <t>The anatomy of American popular culture, 1840-1861 / by Carl Bode.</t>
        </is>
      </c>
      <c r="F79" t="inlineStr">
        <is>
          <t>No</t>
        </is>
      </c>
      <c r="G79" t="inlineStr">
        <is>
          <t>1</t>
        </is>
      </c>
      <c r="H79" t="inlineStr">
        <is>
          <t>No</t>
        </is>
      </c>
      <c r="I79" t="inlineStr">
        <is>
          <t>No</t>
        </is>
      </c>
      <c r="J79" t="inlineStr">
        <is>
          <t>0</t>
        </is>
      </c>
      <c r="K79" t="inlineStr">
        <is>
          <t>Bode, Carl, 1911-1993.</t>
        </is>
      </c>
      <c r="L79" t="inlineStr">
        <is>
          <t>Westport, Conn. : Greenwood Press, 1983, c1959.</t>
        </is>
      </c>
      <c r="M79" t="inlineStr">
        <is>
          <t>1983</t>
        </is>
      </c>
      <c r="O79" t="inlineStr">
        <is>
          <t>eng</t>
        </is>
      </c>
      <c r="P79" t="inlineStr">
        <is>
          <t>ctu</t>
        </is>
      </c>
      <c r="R79" t="inlineStr">
        <is>
          <t xml:space="preserve">E  </t>
        </is>
      </c>
      <c r="S79" t="n">
        <v>12</v>
      </c>
      <c r="T79" t="n">
        <v>12</v>
      </c>
      <c r="U79" t="inlineStr">
        <is>
          <t>2005-11-08</t>
        </is>
      </c>
      <c r="V79" t="inlineStr">
        <is>
          <t>2005-11-08</t>
        </is>
      </c>
      <c r="W79" t="inlineStr">
        <is>
          <t>1990-12-13</t>
        </is>
      </c>
      <c r="X79" t="inlineStr">
        <is>
          <t>1990-12-13</t>
        </is>
      </c>
      <c r="Y79" t="n">
        <v>63</v>
      </c>
      <c r="Z79" t="n">
        <v>58</v>
      </c>
      <c r="AA79" t="n">
        <v>965</v>
      </c>
      <c r="AB79" t="n">
        <v>1</v>
      </c>
      <c r="AC79" t="n">
        <v>7</v>
      </c>
      <c r="AD79" t="n">
        <v>0</v>
      </c>
      <c r="AE79" t="n">
        <v>41</v>
      </c>
      <c r="AF79" t="n">
        <v>0</v>
      </c>
      <c r="AG79" t="n">
        <v>17</v>
      </c>
      <c r="AH79" t="n">
        <v>0</v>
      </c>
      <c r="AI79" t="n">
        <v>9</v>
      </c>
      <c r="AJ79" t="n">
        <v>0</v>
      </c>
      <c r="AK79" t="n">
        <v>19</v>
      </c>
      <c r="AL79" t="n">
        <v>0</v>
      </c>
      <c r="AM79" t="n">
        <v>6</v>
      </c>
      <c r="AN79" t="n">
        <v>0</v>
      </c>
      <c r="AO79" t="n">
        <v>0</v>
      </c>
      <c r="AP79" t="inlineStr">
        <is>
          <t>No</t>
        </is>
      </c>
      <c r="AQ79" t="inlineStr">
        <is>
          <t>No</t>
        </is>
      </c>
      <c r="AS79">
        <f>HYPERLINK("https://creighton-primo.hosted.exlibrisgroup.com/primo-explore/search?tab=default_tab&amp;search_scope=EVERYTHING&amp;vid=01CRU&amp;lang=en_US&amp;offset=0&amp;query=any,contains,991000182549702656","Catalog Record")</f>
        <v/>
      </c>
      <c r="AT79">
        <f>HYPERLINK("http://www.worldcat.org/oclc/9392456","WorldCat Record")</f>
        <v/>
      </c>
      <c r="AU79" t="inlineStr">
        <is>
          <t>118165253:eng</t>
        </is>
      </c>
      <c r="AV79" t="inlineStr">
        <is>
          <t>9392456</t>
        </is>
      </c>
      <c r="AW79" t="inlineStr">
        <is>
          <t>991000182549702656</t>
        </is>
      </c>
      <c r="AX79" t="inlineStr">
        <is>
          <t>991000182549702656</t>
        </is>
      </c>
      <c r="AY79" t="inlineStr">
        <is>
          <t>2268653510002656</t>
        </is>
      </c>
      <c r="AZ79" t="inlineStr">
        <is>
          <t>BOOK</t>
        </is>
      </c>
      <c r="BB79" t="inlineStr">
        <is>
          <t>9780313240058</t>
        </is>
      </c>
      <c r="BC79" t="inlineStr">
        <is>
          <t>32285000422831</t>
        </is>
      </c>
      <c r="BD79" t="inlineStr">
        <is>
          <t>893508586</t>
        </is>
      </c>
    </row>
    <row r="80">
      <c r="A80" t="inlineStr">
        <is>
          <t>No</t>
        </is>
      </c>
      <c r="B80" t="inlineStr">
        <is>
          <t>E166 .G83 1997</t>
        </is>
      </c>
      <c r="C80" t="inlineStr">
        <is>
          <t>0                      E  0166000G  83          1997</t>
        </is>
      </c>
      <c r="D80" t="inlineStr">
        <is>
          <t>Culture &amp; comfort : parlor making and middle-class identity, 1850-1930 / Katherine C. Grier.</t>
        </is>
      </c>
      <c r="F80" t="inlineStr">
        <is>
          <t>No</t>
        </is>
      </c>
      <c r="G80" t="inlineStr">
        <is>
          <t>1</t>
        </is>
      </c>
      <c r="H80" t="inlineStr">
        <is>
          <t>No</t>
        </is>
      </c>
      <c r="I80" t="inlineStr">
        <is>
          <t>No</t>
        </is>
      </c>
      <c r="J80" t="inlineStr">
        <is>
          <t>0</t>
        </is>
      </c>
      <c r="K80" t="inlineStr">
        <is>
          <t>Grier, Katherine C., 1953-</t>
        </is>
      </c>
      <c r="L80" t="inlineStr">
        <is>
          <t>Washington, DC : Smithsonian Institution Press, [1997].</t>
        </is>
      </c>
      <c r="M80" t="inlineStr">
        <is>
          <t>1997</t>
        </is>
      </c>
      <c r="O80" t="inlineStr">
        <is>
          <t>eng</t>
        </is>
      </c>
      <c r="P80" t="inlineStr">
        <is>
          <t>dcu</t>
        </is>
      </c>
      <c r="R80" t="inlineStr">
        <is>
          <t xml:space="preserve">E  </t>
        </is>
      </c>
      <c r="S80" t="n">
        <v>4</v>
      </c>
      <c r="T80" t="n">
        <v>4</v>
      </c>
      <c r="U80" t="inlineStr">
        <is>
          <t>2000-03-23</t>
        </is>
      </c>
      <c r="V80" t="inlineStr">
        <is>
          <t>2000-03-23</t>
        </is>
      </c>
      <c r="W80" t="inlineStr">
        <is>
          <t>1997-08-11</t>
        </is>
      </c>
      <c r="X80" t="inlineStr">
        <is>
          <t>1997-08-11</t>
        </is>
      </c>
      <c r="Y80" t="n">
        <v>353</v>
      </c>
      <c r="Z80" t="n">
        <v>311</v>
      </c>
      <c r="AA80" t="n">
        <v>339</v>
      </c>
      <c r="AB80" t="n">
        <v>2</v>
      </c>
      <c r="AC80" t="n">
        <v>2</v>
      </c>
      <c r="AD80" t="n">
        <v>11</v>
      </c>
      <c r="AE80" t="n">
        <v>11</v>
      </c>
      <c r="AF80" t="n">
        <v>4</v>
      </c>
      <c r="AG80" t="n">
        <v>4</v>
      </c>
      <c r="AH80" t="n">
        <v>3</v>
      </c>
      <c r="AI80" t="n">
        <v>3</v>
      </c>
      <c r="AJ80" t="n">
        <v>6</v>
      </c>
      <c r="AK80" t="n">
        <v>6</v>
      </c>
      <c r="AL80" t="n">
        <v>1</v>
      </c>
      <c r="AM80" t="n">
        <v>1</v>
      </c>
      <c r="AN80" t="n">
        <v>0</v>
      </c>
      <c r="AO80" t="n">
        <v>0</v>
      </c>
      <c r="AP80" t="inlineStr">
        <is>
          <t>No</t>
        </is>
      </c>
      <c r="AQ80" t="inlineStr">
        <is>
          <t>Yes</t>
        </is>
      </c>
      <c r="AR80">
        <f>HYPERLINK("http://catalog.hathitrust.org/Record/003953605","HathiTrust Record")</f>
        <v/>
      </c>
      <c r="AS80">
        <f>HYPERLINK("https://creighton-primo.hosted.exlibrisgroup.com/primo-explore/search?tab=default_tab&amp;search_scope=EVERYTHING&amp;vid=01CRU&amp;lang=en_US&amp;offset=0&amp;query=any,contains,991002717719702656","Catalog Record")</f>
        <v/>
      </c>
      <c r="AT80">
        <f>HYPERLINK("http://www.worldcat.org/oclc/35638755","WorldCat Record")</f>
        <v/>
      </c>
      <c r="AU80" t="inlineStr">
        <is>
          <t>837018744:eng</t>
        </is>
      </c>
      <c r="AV80" t="inlineStr">
        <is>
          <t>35638755</t>
        </is>
      </c>
      <c r="AW80" t="inlineStr">
        <is>
          <t>991002717719702656</t>
        </is>
      </c>
      <c r="AX80" t="inlineStr">
        <is>
          <t>991002717719702656</t>
        </is>
      </c>
      <c r="AY80" t="inlineStr">
        <is>
          <t>2270775120002656</t>
        </is>
      </c>
      <c r="AZ80" t="inlineStr">
        <is>
          <t>BOOK</t>
        </is>
      </c>
      <c r="BB80" t="inlineStr">
        <is>
          <t>9781560987154</t>
        </is>
      </c>
      <c r="BC80" t="inlineStr">
        <is>
          <t>32285003000824</t>
        </is>
      </c>
      <c r="BD80" t="inlineStr">
        <is>
          <t>893798922</t>
        </is>
      </c>
    </row>
    <row r="81">
      <c r="A81" t="inlineStr">
        <is>
          <t>No</t>
        </is>
      </c>
      <c r="B81" t="inlineStr">
        <is>
          <t>E166 .N93</t>
        </is>
      </c>
      <c r="C81" t="inlineStr">
        <is>
          <t>0                      E  0166000N  93</t>
        </is>
      </c>
      <c r="D81" t="inlineStr">
        <is>
          <t>Society and culture in America, 1830-1860.</t>
        </is>
      </c>
      <c r="F81" t="inlineStr">
        <is>
          <t>No</t>
        </is>
      </c>
      <c r="G81" t="inlineStr">
        <is>
          <t>1</t>
        </is>
      </c>
      <c r="H81" t="inlineStr">
        <is>
          <t>No</t>
        </is>
      </c>
      <c r="I81" t="inlineStr">
        <is>
          <t>No</t>
        </is>
      </c>
      <c r="J81" t="inlineStr">
        <is>
          <t>0</t>
        </is>
      </c>
      <c r="K81" t="inlineStr">
        <is>
          <t>Nye, Russel B. (Russel Blaine), 1913-1993.</t>
        </is>
      </c>
      <c r="L81" t="inlineStr">
        <is>
          <t>New York, Harper &amp; Row [1974]</t>
        </is>
      </c>
      <c r="M81" t="inlineStr">
        <is>
          <t>1974</t>
        </is>
      </c>
      <c r="N81" t="inlineStr">
        <is>
          <t>[1st ed.]</t>
        </is>
      </c>
      <c r="O81" t="inlineStr">
        <is>
          <t>eng</t>
        </is>
      </c>
      <c r="P81" t="inlineStr">
        <is>
          <t>nyu</t>
        </is>
      </c>
      <c r="Q81" t="inlineStr">
        <is>
          <t>The New American nation series</t>
        </is>
      </c>
      <c r="R81" t="inlineStr">
        <is>
          <t xml:space="preserve">E  </t>
        </is>
      </c>
      <c r="S81" t="n">
        <v>4</v>
      </c>
      <c r="T81" t="n">
        <v>4</v>
      </c>
      <c r="U81" t="inlineStr">
        <is>
          <t>1999-04-15</t>
        </is>
      </c>
      <c r="V81" t="inlineStr">
        <is>
          <t>1999-04-15</t>
        </is>
      </c>
      <c r="W81" t="inlineStr">
        <is>
          <t>1997-04-02</t>
        </is>
      </c>
      <c r="X81" t="inlineStr">
        <is>
          <t>1997-04-02</t>
        </is>
      </c>
      <c r="Y81" t="n">
        <v>1547</v>
      </c>
      <c r="Z81" t="n">
        <v>1394</v>
      </c>
      <c r="AA81" t="n">
        <v>1403</v>
      </c>
      <c r="AB81" t="n">
        <v>14</v>
      </c>
      <c r="AC81" t="n">
        <v>14</v>
      </c>
      <c r="AD81" t="n">
        <v>50</v>
      </c>
      <c r="AE81" t="n">
        <v>50</v>
      </c>
      <c r="AF81" t="n">
        <v>22</v>
      </c>
      <c r="AG81" t="n">
        <v>22</v>
      </c>
      <c r="AH81" t="n">
        <v>9</v>
      </c>
      <c r="AI81" t="n">
        <v>9</v>
      </c>
      <c r="AJ81" t="n">
        <v>20</v>
      </c>
      <c r="AK81" t="n">
        <v>20</v>
      </c>
      <c r="AL81" t="n">
        <v>10</v>
      </c>
      <c r="AM81" t="n">
        <v>10</v>
      </c>
      <c r="AN81" t="n">
        <v>0</v>
      </c>
      <c r="AO81" t="n">
        <v>0</v>
      </c>
      <c r="AP81" t="inlineStr">
        <is>
          <t>No</t>
        </is>
      </c>
      <c r="AQ81" t="inlineStr">
        <is>
          <t>Yes</t>
        </is>
      </c>
      <c r="AR81">
        <f>HYPERLINK("http://catalog.hathitrust.org/Record/000010751","HathiTrust Record")</f>
        <v/>
      </c>
      <c r="AS81">
        <f>HYPERLINK("https://creighton-primo.hosted.exlibrisgroup.com/primo-explore/search?tab=default_tab&amp;search_scope=EVERYTHING&amp;vid=01CRU&amp;lang=en_US&amp;offset=0&amp;query=any,contains,991003214669702656","Catalog Record")</f>
        <v/>
      </c>
      <c r="AT81">
        <f>HYPERLINK("http://www.worldcat.org/oclc/740913","WorldCat Record")</f>
        <v/>
      </c>
      <c r="AU81" t="inlineStr">
        <is>
          <t>138913611:eng</t>
        </is>
      </c>
      <c r="AV81" t="inlineStr">
        <is>
          <t>740913</t>
        </is>
      </c>
      <c r="AW81" t="inlineStr">
        <is>
          <t>991003214669702656</t>
        </is>
      </c>
      <c r="AX81" t="inlineStr">
        <is>
          <t>991003214669702656</t>
        </is>
      </c>
      <c r="AY81" t="inlineStr">
        <is>
          <t>2272703800002656</t>
        </is>
      </c>
      <c r="AZ81" t="inlineStr">
        <is>
          <t>BOOK</t>
        </is>
      </c>
      <c r="BB81" t="inlineStr">
        <is>
          <t>9780060132293</t>
        </is>
      </c>
      <c r="BC81" t="inlineStr">
        <is>
          <t>32285002489952</t>
        </is>
      </c>
      <c r="BD81" t="inlineStr">
        <is>
          <t>893428548</t>
        </is>
      </c>
    </row>
    <row r="82">
      <c r="A82" t="inlineStr">
        <is>
          <t>No</t>
        </is>
      </c>
      <c r="B82" t="inlineStr">
        <is>
          <t>E168 .M84</t>
        </is>
      </c>
      <c r="C82" t="inlineStr">
        <is>
          <t>0                      E  0168000M  84</t>
        </is>
      </c>
      <c r="D82" t="inlineStr">
        <is>
          <t>The gilded age : a reappraisal.</t>
        </is>
      </c>
      <c r="F82" t="inlineStr">
        <is>
          <t>No</t>
        </is>
      </c>
      <c r="G82" t="inlineStr">
        <is>
          <t>1</t>
        </is>
      </c>
      <c r="H82" t="inlineStr">
        <is>
          <t>No</t>
        </is>
      </c>
      <c r="I82" t="inlineStr">
        <is>
          <t>No</t>
        </is>
      </c>
      <c r="J82" t="inlineStr">
        <is>
          <t>0</t>
        </is>
      </c>
      <c r="K82" t="inlineStr">
        <is>
          <t>Morgan, H. Wayne (Howard Wayne) editor.</t>
        </is>
      </c>
      <c r="L82" t="inlineStr">
        <is>
          <t>[Syracuse, N.Y.] : Syracuse University Press, 1963.</t>
        </is>
      </c>
      <c r="M82" t="inlineStr">
        <is>
          <t>1963</t>
        </is>
      </c>
      <c r="O82" t="inlineStr">
        <is>
          <t>eng</t>
        </is>
      </c>
      <c r="P82" t="inlineStr">
        <is>
          <t>nyu</t>
        </is>
      </c>
      <c r="R82" t="inlineStr">
        <is>
          <t xml:space="preserve">E  </t>
        </is>
      </c>
      <c r="S82" t="n">
        <v>3</v>
      </c>
      <c r="T82" t="n">
        <v>3</v>
      </c>
      <c r="U82" t="inlineStr">
        <is>
          <t>1998-04-08</t>
        </is>
      </c>
      <c r="V82" t="inlineStr">
        <is>
          <t>1998-04-08</t>
        </is>
      </c>
      <c r="W82" t="inlineStr">
        <is>
          <t>1992-04-28</t>
        </is>
      </c>
      <c r="X82" t="inlineStr">
        <is>
          <t>1992-04-28</t>
        </is>
      </c>
      <c r="Y82" t="n">
        <v>1001</v>
      </c>
      <c r="Z82" t="n">
        <v>938</v>
      </c>
      <c r="AA82" t="n">
        <v>958</v>
      </c>
      <c r="AB82" t="n">
        <v>10</v>
      </c>
      <c r="AC82" t="n">
        <v>10</v>
      </c>
      <c r="AD82" t="n">
        <v>33</v>
      </c>
      <c r="AE82" t="n">
        <v>34</v>
      </c>
      <c r="AF82" t="n">
        <v>10</v>
      </c>
      <c r="AG82" t="n">
        <v>11</v>
      </c>
      <c r="AH82" t="n">
        <v>8</v>
      </c>
      <c r="AI82" t="n">
        <v>8</v>
      </c>
      <c r="AJ82" t="n">
        <v>15</v>
      </c>
      <c r="AK82" t="n">
        <v>15</v>
      </c>
      <c r="AL82" t="n">
        <v>8</v>
      </c>
      <c r="AM82" t="n">
        <v>8</v>
      </c>
      <c r="AN82" t="n">
        <v>0</v>
      </c>
      <c r="AO82" t="n">
        <v>0</v>
      </c>
      <c r="AP82" t="inlineStr">
        <is>
          <t>No</t>
        </is>
      </c>
      <c r="AQ82" t="inlineStr">
        <is>
          <t>No</t>
        </is>
      </c>
      <c r="AR82">
        <f>HYPERLINK("http://catalog.hathitrust.org/Record/000327304","HathiTrust Record")</f>
        <v/>
      </c>
      <c r="AS82">
        <f>HYPERLINK("https://creighton-primo.hosted.exlibrisgroup.com/primo-explore/search?tab=default_tab&amp;search_scope=EVERYTHING&amp;vid=01CRU&amp;lang=en_US&amp;offset=0&amp;query=any,contains,991002736449702656","Catalog Record")</f>
        <v/>
      </c>
      <c r="AT82">
        <f>HYPERLINK("http://www.worldcat.org/oclc/419478","WorldCat Record")</f>
        <v/>
      </c>
      <c r="AU82" t="inlineStr">
        <is>
          <t>3943579593:eng</t>
        </is>
      </c>
      <c r="AV82" t="inlineStr">
        <is>
          <t>419478</t>
        </is>
      </c>
      <c r="AW82" t="inlineStr">
        <is>
          <t>991002736449702656</t>
        </is>
      </c>
      <c r="AX82" t="inlineStr">
        <is>
          <t>991002736449702656</t>
        </is>
      </c>
      <c r="AY82" t="inlineStr">
        <is>
          <t>2261567950002656</t>
        </is>
      </c>
      <c r="AZ82" t="inlineStr">
        <is>
          <t>BOOK</t>
        </is>
      </c>
      <c r="BC82" t="inlineStr">
        <is>
          <t>32285001089860</t>
        </is>
      </c>
      <c r="BD82" t="inlineStr">
        <is>
          <t>893421735</t>
        </is>
      </c>
    </row>
    <row r="83">
      <c r="A83" t="inlineStr">
        <is>
          <t>No</t>
        </is>
      </c>
      <c r="B83" t="inlineStr">
        <is>
          <t>E169 .B274</t>
        </is>
      </c>
      <c r="C83" t="inlineStr">
        <is>
          <t>0                      E  0169000B  274</t>
        </is>
      </c>
      <c r="D83" t="inlineStr">
        <is>
          <t>The home front: U. S. A. / by Ronald H. Bailey, and the editors of Time-Life Books.</t>
        </is>
      </c>
      <c r="F83" t="inlineStr">
        <is>
          <t>No</t>
        </is>
      </c>
      <c r="G83" t="inlineStr">
        <is>
          <t>1</t>
        </is>
      </c>
      <c r="H83" t="inlineStr">
        <is>
          <t>No</t>
        </is>
      </c>
      <c r="I83" t="inlineStr">
        <is>
          <t>No</t>
        </is>
      </c>
      <c r="J83" t="inlineStr">
        <is>
          <t>0</t>
        </is>
      </c>
      <c r="K83" t="inlineStr">
        <is>
          <t>Bailey, Ronald H.</t>
        </is>
      </c>
      <c r="L83" t="inlineStr">
        <is>
          <t>Alexandria, Va. : Time-Life Books, c1977.</t>
        </is>
      </c>
      <c r="M83" t="inlineStr">
        <is>
          <t>1977</t>
        </is>
      </c>
      <c r="O83" t="inlineStr">
        <is>
          <t>eng</t>
        </is>
      </c>
      <c r="P83" t="inlineStr">
        <is>
          <t>vau</t>
        </is>
      </c>
      <c r="Q83" t="inlineStr">
        <is>
          <t>World War II</t>
        </is>
      </c>
      <c r="R83" t="inlineStr">
        <is>
          <t xml:space="preserve">E  </t>
        </is>
      </c>
      <c r="S83" t="n">
        <v>8</v>
      </c>
      <c r="T83" t="n">
        <v>8</v>
      </c>
      <c r="U83" t="inlineStr">
        <is>
          <t>1999-04-18</t>
        </is>
      </c>
      <c r="V83" t="inlineStr">
        <is>
          <t>1999-04-18</t>
        </is>
      </c>
      <c r="W83" t="inlineStr">
        <is>
          <t>1990-12-13</t>
        </is>
      </c>
      <c r="X83" t="inlineStr">
        <is>
          <t>1990-12-13</t>
        </is>
      </c>
      <c r="Y83" t="n">
        <v>2101</v>
      </c>
      <c r="Z83" t="n">
        <v>2019</v>
      </c>
      <c r="AA83" t="n">
        <v>2414</v>
      </c>
      <c r="AB83" t="n">
        <v>21</v>
      </c>
      <c r="AC83" t="n">
        <v>23</v>
      </c>
      <c r="AD83" t="n">
        <v>17</v>
      </c>
      <c r="AE83" t="n">
        <v>23</v>
      </c>
      <c r="AF83" t="n">
        <v>6</v>
      </c>
      <c r="AG83" t="n">
        <v>9</v>
      </c>
      <c r="AH83" t="n">
        <v>3</v>
      </c>
      <c r="AI83" t="n">
        <v>3</v>
      </c>
      <c r="AJ83" t="n">
        <v>8</v>
      </c>
      <c r="AK83" t="n">
        <v>11</v>
      </c>
      <c r="AL83" t="n">
        <v>3</v>
      </c>
      <c r="AM83" t="n">
        <v>4</v>
      </c>
      <c r="AN83" t="n">
        <v>0</v>
      </c>
      <c r="AO83" t="n">
        <v>0</v>
      </c>
      <c r="AP83" t="inlineStr">
        <is>
          <t>No</t>
        </is>
      </c>
      <c r="AQ83" t="inlineStr">
        <is>
          <t>Yes</t>
        </is>
      </c>
      <c r="AR83">
        <f>HYPERLINK("http://catalog.hathitrust.org/Record/006003747","HathiTrust Record")</f>
        <v/>
      </c>
      <c r="AS83">
        <f>HYPERLINK("https://creighton-primo.hosted.exlibrisgroup.com/primo-explore/search?tab=default_tab&amp;search_scope=EVERYTHING&amp;vid=01CRU&amp;lang=en_US&amp;offset=0&amp;query=any,contains,991004557789702656","Catalog Record")</f>
        <v/>
      </c>
      <c r="AT83">
        <f>HYPERLINK("http://www.worldcat.org/oclc/3975282","WorldCat Record")</f>
        <v/>
      </c>
      <c r="AU83" t="inlineStr">
        <is>
          <t>448956:eng</t>
        </is>
      </c>
      <c r="AV83" t="inlineStr">
        <is>
          <t>3975282</t>
        </is>
      </c>
      <c r="AW83" t="inlineStr">
        <is>
          <t>991004557789702656</t>
        </is>
      </c>
      <c r="AX83" t="inlineStr">
        <is>
          <t>991004557789702656</t>
        </is>
      </c>
      <c r="AY83" t="inlineStr">
        <is>
          <t>2266853570002656</t>
        </is>
      </c>
      <c r="AZ83" t="inlineStr">
        <is>
          <t>BOOK</t>
        </is>
      </c>
      <c r="BC83" t="inlineStr">
        <is>
          <t>32285000422963</t>
        </is>
      </c>
      <c r="BD83" t="inlineStr">
        <is>
          <t>893876248</t>
        </is>
      </c>
    </row>
    <row r="84">
      <c r="A84" t="inlineStr">
        <is>
          <t>No</t>
        </is>
      </c>
      <c r="B84" t="inlineStr">
        <is>
          <t>E169 .G83 1993</t>
        </is>
      </c>
      <c r="C84" t="inlineStr">
        <is>
          <t>0                      E  0169000G  83          1993</t>
        </is>
      </c>
      <c r="D84" t="inlineStr">
        <is>
          <t>The uncertainty of everyday life, 1915-1945 / Harvey Green.</t>
        </is>
      </c>
      <c r="F84" t="inlineStr">
        <is>
          <t>No</t>
        </is>
      </c>
      <c r="G84" t="inlineStr">
        <is>
          <t>1</t>
        </is>
      </c>
      <c r="H84" t="inlineStr">
        <is>
          <t>No</t>
        </is>
      </c>
      <c r="I84" t="inlineStr">
        <is>
          <t>No</t>
        </is>
      </c>
      <c r="J84" t="inlineStr">
        <is>
          <t>0</t>
        </is>
      </c>
      <c r="K84" t="inlineStr">
        <is>
          <t>Green, Harvey, 1946-</t>
        </is>
      </c>
      <c r="L84" t="inlineStr">
        <is>
          <t>New York : HarperPerennial, 1993.</t>
        </is>
      </c>
      <c r="M84" t="inlineStr">
        <is>
          <t>1993</t>
        </is>
      </c>
      <c r="N84" t="inlineStr">
        <is>
          <t>1st HarperPerennial ed.</t>
        </is>
      </c>
      <c r="O84" t="inlineStr">
        <is>
          <t>eng</t>
        </is>
      </c>
      <c r="P84" t="inlineStr">
        <is>
          <t>nyu</t>
        </is>
      </c>
      <c r="Q84" t="inlineStr">
        <is>
          <t>Everyday life in America</t>
        </is>
      </c>
      <c r="R84" t="inlineStr">
        <is>
          <t xml:space="preserve">E  </t>
        </is>
      </c>
      <c r="S84" t="n">
        <v>2</v>
      </c>
      <c r="T84" t="n">
        <v>2</v>
      </c>
      <c r="U84" t="inlineStr">
        <is>
          <t>2001-02-23</t>
        </is>
      </c>
      <c r="V84" t="inlineStr">
        <is>
          <t>2001-02-23</t>
        </is>
      </c>
      <c r="W84" t="inlineStr">
        <is>
          <t>1994-12-21</t>
        </is>
      </c>
      <c r="X84" t="inlineStr">
        <is>
          <t>1994-12-21</t>
        </is>
      </c>
      <c r="Y84" t="n">
        <v>140</v>
      </c>
      <c r="Z84" t="n">
        <v>136</v>
      </c>
      <c r="AA84" t="n">
        <v>889</v>
      </c>
      <c r="AB84" t="n">
        <v>1</v>
      </c>
      <c r="AC84" t="n">
        <v>7</v>
      </c>
      <c r="AD84" t="n">
        <v>5</v>
      </c>
      <c r="AE84" t="n">
        <v>26</v>
      </c>
      <c r="AF84" t="n">
        <v>3</v>
      </c>
      <c r="AG84" t="n">
        <v>10</v>
      </c>
      <c r="AH84" t="n">
        <v>1</v>
      </c>
      <c r="AI84" t="n">
        <v>7</v>
      </c>
      <c r="AJ84" t="n">
        <v>4</v>
      </c>
      <c r="AK84" t="n">
        <v>15</v>
      </c>
      <c r="AL84" t="n">
        <v>0</v>
      </c>
      <c r="AM84" t="n">
        <v>4</v>
      </c>
      <c r="AN84" t="n">
        <v>0</v>
      </c>
      <c r="AO84" t="n">
        <v>0</v>
      </c>
      <c r="AP84" t="inlineStr">
        <is>
          <t>No</t>
        </is>
      </c>
      <c r="AQ84" t="inlineStr">
        <is>
          <t>Yes</t>
        </is>
      </c>
      <c r="AR84">
        <f>HYPERLINK("http://catalog.hathitrust.org/Record/009804739","HathiTrust Record")</f>
        <v/>
      </c>
      <c r="AS84">
        <f>HYPERLINK("https://creighton-primo.hosted.exlibrisgroup.com/primo-explore/search?tab=default_tab&amp;search_scope=EVERYTHING&amp;vid=01CRU&amp;lang=en_US&amp;offset=0&amp;query=any,contains,991002253819702656","Catalog Record")</f>
        <v/>
      </c>
      <c r="AT84">
        <f>HYPERLINK("http://www.worldcat.org/oclc/29196148","WorldCat Record")</f>
        <v/>
      </c>
      <c r="AU84" t="inlineStr">
        <is>
          <t>325570:eng</t>
        </is>
      </c>
      <c r="AV84" t="inlineStr">
        <is>
          <t>29196148</t>
        </is>
      </c>
      <c r="AW84" t="inlineStr">
        <is>
          <t>991002253819702656</t>
        </is>
      </c>
      <c r="AX84" t="inlineStr">
        <is>
          <t>991002253819702656</t>
        </is>
      </c>
      <c r="AY84" t="inlineStr">
        <is>
          <t>2255100630002656</t>
        </is>
      </c>
      <c r="AZ84" t="inlineStr">
        <is>
          <t>BOOK</t>
        </is>
      </c>
      <c r="BB84" t="inlineStr">
        <is>
          <t>9780060924140</t>
        </is>
      </c>
      <c r="BC84" t="inlineStr">
        <is>
          <t>32285001977940</t>
        </is>
      </c>
      <c r="BD84" t="inlineStr">
        <is>
          <t>893886027</t>
        </is>
      </c>
    </row>
    <row r="85">
      <c r="A85" t="inlineStr">
        <is>
          <t>No</t>
        </is>
      </c>
      <c r="B85" t="inlineStr">
        <is>
          <t>E169.02 .B49</t>
        </is>
      </c>
      <c r="C85" t="inlineStr">
        <is>
          <t>0                      E  0169020B  49</t>
        </is>
      </c>
      <c r="D85" t="inlineStr">
        <is>
          <t>A Bicentennial portrait of the American people / [writers, Russell Bourne ... et al. ; directing editor, Joseph Newman ; art director, Donald McCarten ; text editor, Linda Glisson].</t>
        </is>
      </c>
      <c r="F85" t="inlineStr">
        <is>
          <t>No</t>
        </is>
      </c>
      <c r="G85" t="inlineStr">
        <is>
          <t>1</t>
        </is>
      </c>
      <c r="H85" t="inlineStr">
        <is>
          <t>No</t>
        </is>
      </c>
      <c r="I85" t="inlineStr">
        <is>
          <t>No</t>
        </is>
      </c>
      <c r="J85" t="inlineStr">
        <is>
          <t>0</t>
        </is>
      </c>
      <c r="L85" t="inlineStr">
        <is>
          <t>Washington : U.S. News &amp; World Report Books ; [New York] : trade distribution by Simon and Schuster, c1975.</t>
        </is>
      </c>
      <c r="M85" t="inlineStr">
        <is>
          <t>1975</t>
        </is>
      </c>
      <c r="O85" t="inlineStr">
        <is>
          <t>eng</t>
        </is>
      </c>
      <c r="P85" t="inlineStr">
        <is>
          <t>dcu</t>
        </is>
      </c>
      <c r="R85" t="inlineStr">
        <is>
          <t xml:space="preserve">E  </t>
        </is>
      </c>
      <c r="S85" t="n">
        <v>2</v>
      </c>
      <c r="T85" t="n">
        <v>2</v>
      </c>
      <c r="U85" t="inlineStr">
        <is>
          <t>2001-01-29</t>
        </is>
      </c>
      <c r="V85" t="inlineStr">
        <is>
          <t>2001-01-29</t>
        </is>
      </c>
      <c r="W85" t="inlineStr">
        <is>
          <t>1993-03-04</t>
        </is>
      </c>
      <c r="X85" t="inlineStr">
        <is>
          <t>1993-03-04</t>
        </is>
      </c>
      <c r="Y85" t="n">
        <v>606</v>
      </c>
      <c r="Z85" t="n">
        <v>586</v>
      </c>
      <c r="AA85" t="n">
        <v>592</v>
      </c>
      <c r="AB85" t="n">
        <v>2</v>
      </c>
      <c r="AC85" t="n">
        <v>2</v>
      </c>
      <c r="AD85" t="n">
        <v>7</v>
      </c>
      <c r="AE85" t="n">
        <v>7</v>
      </c>
      <c r="AF85" t="n">
        <v>2</v>
      </c>
      <c r="AG85" t="n">
        <v>2</v>
      </c>
      <c r="AH85" t="n">
        <v>3</v>
      </c>
      <c r="AI85" t="n">
        <v>3</v>
      </c>
      <c r="AJ85" t="n">
        <v>4</v>
      </c>
      <c r="AK85" t="n">
        <v>4</v>
      </c>
      <c r="AL85" t="n">
        <v>1</v>
      </c>
      <c r="AM85" t="n">
        <v>1</v>
      </c>
      <c r="AN85" t="n">
        <v>0</v>
      </c>
      <c r="AO85" t="n">
        <v>0</v>
      </c>
      <c r="AP85" t="inlineStr">
        <is>
          <t>No</t>
        </is>
      </c>
      <c r="AQ85" t="inlineStr">
        <is>
          <t>Yes</t>
        </is>
      </c>
      <c r="AR85">
        <f>HYPERLINK("http://catalog.hathitrust.org/Record/007964593","HathiTrust Record")</f>
        <v/>
      </c>
      <c r="AS85">
        <f>HYPERLINK("https://creighton-primo.hosted.exlibrisgroup.com/primo-explore/search?tab=default_tab&amp;search_scope=EVERYTHING&amp;vid=01CRU&amp;lang=en_US&amp;offset=0&amp;query=any,contains,991003950939702656","Catalog Record")</f>
        <v/>
      </c>
      <c r="AT85">
        <f>HYPERLINK("http://www.worldcat.org/oclc/1958104","WorldCat Record")</f>
        <v/>
      </c>
      <c r="AU85" t="inlineStr">
        <is>
          <t>2622848:eng</t>
        </is>
      </c>
      <c r="AV85" t="inlineStr">
        <is>
          <t>1958104</t>
        </is>
      </c>
      <c r="AW85" t="inlineStr">
        <is>
          <t>991003950939702656</t>
        </is>
      </c>
      <c r="AX85" t="inlineStr">
        <is>
          <t>991003950939702656</t>
        </is>
      </c>
      <c r="AY85" t="inlineStr">
        <is>
          <t>2262951820002656</t>
        </is>
      </c>
      <c r="AZ85" t="inlineStr">
        <is>
          <t>BOOK</t>
        </is>
      </c>
      <c r="BB85" t="inlineStr">
        <is>
          <t>9780891932215</t>
        </is>
      </c>
      <c r="BC85" t="inlineStr">
        <is>
          <t>32285001543734</t>
        </is>
      </c>
      <c r="BD85" t="inlineStr">
        <is>
          <t>893593097</t>
        </is>
      </c>
    </row>
    <row r="86">
      <c r="A86" t="inlineStr">
        <is>
          <t>No</t>
        </is>
      </c>
      <c r="B86" t="inlineStr">
        <is>
          <t>E169.02 .G32</t>
        </is>
      </c>
      <c r="C86" t="inlineStr">
        <is>
          <t>0                      E  0169020G  32</t>
        </is>
      </c>
      <c r="D86" t="inlineStr">
        <is>
          <t>Cultural regions of the United States / by Raymond D. Gastil ; foreword by Nathan Glazer.</t>
        </is>
      </c>
      <c r="F86" t="inlineStr">
        <is>
          <t>No</t>
        </is>
      </c>
      <c r="G86" t="inlineStr">
        <is>
          <t>1</t>
        </is>
      </c>
      <c r="H86" t="inlineStr">
        <is>
          <t>No</t>
        </is>
      </c>
      <c r="I86" t="inlineStr">
        <is>
          <t>No</t>
        </is>
      </c>
      <c r="J86" t="inlineStr">
        <is>
          <t>0</t>
        </is>
      </c>
      <c r="K86" t="inlineStr">
        <is>
          <t>Gastil, Raymond D.</t>
        </is>
      </c>
      <c r="L86" t="inlineStr">
        <is>
          <t>Seattle : University of Washington Press, [1975]</t>
        </is>
      </c>
      <c r="M86" t="inlineStr">
        <is>
          <t>1975</t>
        </is>
      </c>
      <c r="O86" t="inlineStr">
        <is>
          <t>eng</t>
        </is>
      </c>
      <c r="P86" t="inlineStr">
        <is>
          <t>wau</t>
        </is>
      </c>
      <c r="R86" t="inlineStr">
        <is>
          <t xml:space="preserve">E  </t>
        </is>
      </c>
      <c r="S86" t="n">
        <v>3</v>
      </c>
      <c r="T86" t="n">
        <v>3</v>
      </c>
      <c r="U86" t="inlineStr">
        <is>
          <t>2004-09-16</t>
        </is>
      </c>
      <c r="V86" t="inlineStr">
        <is>
          <t>2004-09-16</t>
        </is>
      </c>
      <c r="W86" t="inlineStr">
        <is>
          <t>1990-12-13</t>
        </is>
      </c>
      <c r="X86" t="inlineStr">
        <is>
          <t>1990-12-13</t>
        </is>
      </c>
      <c r="Y86" t="n">
        <v>813</v>
      </c>
      <c r="Z86" t="n">
        <v>715</v>
      </c>
      <c r="AA86" t="n">
        <v>716</v>
      </c>
      <c r="AB86" t="n">
        <v>5</v>
      </c>
      <c r="AC86" t="n">
        <v>5</v>
      </c>
      <c r="AD86" t="n">
        <v>25</v>
      </c>
      <c r="AE86" t="n">
        <v>26</v>
      </c>
      <c r="AF86" t="n">
        <v>5</v>
      </c>
      <c r="AG86" t="n">
        <v>6</v>
      </c>
      <c r="AH86" t="n">
        <v>7</v>
      </c>
      <c r="AI86" t="n">
        <v>7</v>
      </c>
      <c r="AJ86" t="n">
        <v>13</v>
      </c>
      <c r="AK86" t="n">
        <v>13</v>
      </c>
      <c r="AL86" t="n">
        <v>4</v>
      </c>
      <c r="AM86" t="n">
        <v>4</v>
      </c>
      <c r="AN86" t="n">
        <v>0</v>
      </c>
      <c r="AO86" t="n">
        <v>0</v>
      </c>
      <c r="AP86" t="inlineStr">
        <is>
          <t>No</t>
        </is>
      </c>
      <c r="AQ86" t="inlineStr">
        <is>
          <t>No</t>
        </is>
      </c>
      <c r="AS86">
        <f>HYPERLINK("https://creighton-primo.hosted.exlibrisgroup.com/primo-explore/search?tab=default_tab&amp;search_scope=EVERYTHING&amp;vid=01CRU&amp;lang=en_US&amp;offset=0&amp;query=any,contains,991003670769702656","Catalog Record")</f>
        <v/>
      </c>
      <c r="AT86">
        <f>HYPERLINK("http://www.worldcat.org/oclc/1288319","WorldCat Record")</f>
        <v/>
      </c>
      <c r="AU86" t="inlineStr">
        <is>
          <t>2223654:eng</t>
        </is>
      </c>
      <c r="AV86" t="inlineStr">
        <is>
          <t>1288319</t>
        </is>
      </c>
      <c r="AW86" t="inlineStr">
        <is>
          <t>991003670769702656</t>
        </is>
      </c>
      <c r="AX86" t="inlineStr">
        <is>
          <t>991003670769702656</t>
        </is>
      </c>
      <c r="AY86" t="inlineStr">
        <is>
          <t>2266887750002656</t>
        </is>
      </c>
      <c r="AZ86" t="inlineStr">
        <is>
          <t>BOOK</t>
        </is>
      </c>
      <c r="BB86" t="inlineStr">
        <is>
          <t>9780295954264</t>
        </is>
      </c>
      <c r="BC86" t="inlineStr">
        <is>
          <t>32285000423060</t>
        </is>
      </c>
      <c r="BD86" t="inlineStr">
        <is>
          <t>893598826</t>
        </is>
      </c>
    </row>
    <row r="87">
      <c r="A87" t="inlineStr">
        <is>
          <t>No</t>
        </is>
      </c>
      <c r="B87" t="inlineStr">
        <is>
          <t>E169.02 .K76</t>
        </is>
      </c>
      <c r="C87" t="inlineStr">
        <is>
          <t>0                      E  0169020K  76</t>
        </is>
      </c>
      <c r="D87" t="inlineStr">
        <is>
          <t>What so proudly we hail; all about our American flag, monuments, and symbols [by] Maymie R. Krythe.</t>
        </is>
      </c>
      <c r="F87" t="inlineStr">
        <is>
          <t>No</t>
        </is>
      </c>
      <c r="G87" t="inlineStr">
        <is>
          <t>1</t>
        </is>
      </c>
      <c r="H87" t="inlineStr">
        <is>
          <t>No</t>
        </is>
      </c>
      <c r="I87" t="inlineStr">
        <is>
          <t>No</t>
        </is>
      </c>
      <c r="J87" t="inlineStr">
        <is>
          <t>0</t>
        </is>
      </c>
      <c r="K87" t="inlineStr">
        <is>
          <t>Krythe, Maymie R. (Maymie Richardson)</t>
        </is>
      </c>
      <c r="L87" t="inlineStr">
        <is>
          <t>New York, Harper &amp; Row [1968]</t>
        </is>
      </c>
      <c r="M87" t="inlineStr">
        <is>
          <t>1968</t>
        </is>
      </c>
      <c r="N87" t="inlineStr">
        <is>
          <t>[1st ed.]</t>
        </is>
      </c>
      <c r="O87" t="inlineStr">
        <is>
          <t>eng</t>
        </is>
      </c>
      <c r="P87" t="inlineStr">
        <is>
          <t>nyu</t>
        </is>
      </c>
      <c r="R87" t="inlineStr">
        <is>
          <t xml:space="preserve">E  </t>
        </is>
      </c>
      <c r="S87" t="n">
        <v>5</v>
      </c>
      <c r="T87" t="n">
        <v>5</v>
      </c>
      <c r="U87" t="inlineStr">
        <is>
          <t>1998-03-20</t>
        </is>
      </c>
      <c r="V87" t="inlineStr">
        <is>
          <t>1998-03-20</t>
        </is>
      </c>
      <c r="W87" t="inlineStr">
        <is>
          <t>1997-04-02</t>
        </is>
      </c>
      <c r="X87" t="inlineStr">
        <is>
          <t>1997-04-02</t>
        </is>
      </c>
      <c r="Y87" t="n">
        <v>1172</v>
      </c>
      <c r="Z87" t="n">
        <v>1141</v>
      </c>
      <c r="AA87" t="n">
        <v>1152</v>
      </c>
      <c r="AB87" t="n">
        <v>10</v>
      </c>
      <c r="AC87" t="n">
        <v>10</v>
      </c>
      <c r="AD87" t="n">
        <v>25</v>
      </c>
      <c r="AE87" t="n">
        <v>25</v>
      </c>
      <c r="AF87" t="n">
        <v>11</v>
      </c>
      <c r="AG87" t="n">
        <v>11</v>
      </c>
      <c r="AH87" t="n">
        <v>4</v>
      </c>
      <c r="AI87" t="n">
        <v>4</v>
      </c>
      <c r="AJ87" t="n">
        <v>6</v>
      </c>
      <c r="AK87" t="n">
        <v>6</v>
      </c>
      <c r="AL87" t="n">
        <v>7</v>
      </c>
      <c r="AM87" t="n">
        <v>7</v>
      </c>
      <c r="AN87" t="n">
        <v>1</v>
      </c>
      <c r="AO87" t="n">
        <v>1</v>
      </c>
      <c r="AP87" t="inlineStr">
        <is>
          <t>No</t>
        </is>
      </c>
      <c r="AQ87" t="inlineStr">
        <is>
          <t>Yes</t>
        </is>
      </c>
      <c r="AR87">
        <f>HYPERLINK("http://catalog.hathitrust.org/Record/000326879","HathiTrust Record")</f>
        <v/>
      </c>
      <c r="AS87">
        <f>HYPERLINK("https://creighton-primo.hosted.exlibrisgroup.com/primo-explore/search?tab=default_tab&amp;search_scope=EVERYTHING&amp;vid=01CRU&amp;lang=en_US&amp;offset=0&amp;query=any,contains,991002777779702656","Catalog Record")</f>
        <v/>
      </c>
      <c r="AT87">
        <f>HYPERLINK("http://www.worldcat.org/oclc/439233","WorldCat Record")</f>
        <v/>
      </c>
      <c r="AU87" t="inlineStr">
        <is>
          <t>402387:eng</t>
        </is>
      </c>
      <c r="AV87" t="inlineStr">
        <is>
          <t>439233</t>
        </is>
      </c>
      <c r="AW87" t="inlineStr">
        <is>
          <t>991002777779702656</t>
        </is>
      </c>
      <c r="AX87" t="inlineStr">
        <is>
          <t>991002777779702656</t>
        </is>
      </c>
      <c r="AY87" t="inlineStr">
        <is>
          <t>2266627800002656</t>
        </is>
      </c>
      <c r="AZ87" t="inlineStr">
        <is>
          <t>BOOK</t>
        </is>
      </c>
      <c r="BC87" t="inlineStr">
        <is>
          <t>32285002500279</t>
        </is>
      </c>
      <c r="BD87" t="inlineStr">
        <is>
          <t>893517733</t>
        </is>
      </c>
    </row>
    <row r="88">
      <c r="A88" t="inlineStr">
        <is>
          <t>No</t>
        </is>
      </c>
      <c r="B88" t="inlineStr">
        <is>
          <t>E169.02 .L26 1988</t>
        </is>
      </c>
      <c r="C88" t="inlineStr">
        <is>
          <t>0                      E  0169020L  26          1988</t>
        </is>
      </c>
      <c r="D88" t="inlineStr">
        <is>
          <t>Living in the U.S.A. / Alison R. Lanier.</t>
        </is>
      </c>
      <c r="F88" t="inlineStr">
        <is>
          <t>No</t>
        </is>
      </c>
      <c r="G88" t="inlineStr">
        <is>
          <t>1</t>
        </is>
      </c>
      <c r="H88" t="inlineStr">
        <is>
          <t>No</t>
        </is>
      </c>
      <c r="I88" t="inlineStr">
        <is>
          <t>No</t>
        </is>
      </c>
      <c r="J88" t="inlineStr">
        <is>
          <t>0</t>
        </is>
      </c>
      <c r="K88" t="inlineStr">
        <is>
          <t>Lanier, Alison Raymond.</t>
        </is>
      </c>
      <c r="L88" t="inlineStr">
        <is>
          <t>Yarmouth, Me. : Intercultural Press, c1988.</t>
        </is>
      </c>
      <c r="M88" t="inlineStr">
        <is>
          <t>1988</t>
        </is>
      </c>
      <c r="N88" t="inlineStr">
        <is>
          <t>4th ed.</t>
        </is>
      </c>
      <c r="O88" t="inlineStr">
        <is>
          <t>eng</t>
        </is>
      </c>
      <c r="P88" t="inlineStr">
        <is>
          <t>meu</t>
        </is>
      </c>
      <c r="R88" t="inlineStr">
        <is>
          <t xml:space="preserve">E  </t>
        </is>
      </c>
      <c r="S88" t="n">
        <v>2</v>
      </c>
      <c r="T88" t="n">
        <v>2</v>
      </c>
      <c r="U88" t="inlineStr">
        <is>
          <t>1994-06-01</t>
        </is>
      </c>
      <c r="V88" t="inlineStr">
        <is>
          <t>1994-06-01</t>
        </is>
      </c>
      <c r="W88" t="inlineStr">
        <is>
          <t>1992-11-09</t>
        </is>
      </c>
      <c r="X88" t="inlineStr">
        <is>
          <t>1992-11-09</t>
        </is>
      </c>
      <c r="Y88" t="n">
        <v>322</v>
      </c>
      <c r="Z88" t="n">
        <v>283</v>
      </c>
      <c r="AA88" t="n">
        <v>1815</v>
      </c>
      <c r="AB88" t="n">
        <v>3</v>
      </c>
      <c r="AC88" t="n">
        <v>34</v>
      </c>
      <c r="AD88" t="n">
        <v>6</v>
      </c>
      <c r="AE88" t="n">
        <v>43</v>
      </c>
      <c r="AF88" t="n">
        <v>2</v>
      </c>
      <c r="AG88" t="n">
        <v>14</v>
      </c>
      <c r="AH88" t="n">
        <v>1</v>
      </c>
      <c r="AI88" t="n">
        <v>8</v>
      </c>
      <c r="AJ88" t="n">
        <v>1</v>
      </c>
      <c r="AK88" t="n">
        <v>13</v>
      </c>
      <c r="AL88" t="n">
        <v>2</v>
      </c>
      <c r="AM88" t="n">
        <v>15</v>
      </c>
      <c r="AN88" t="n">
        <v>1</v>
      </c>
      <c r="AO88" t="n">
        <v>1</v>
      </c>
      <c r="AP88" t="inlineStr">
        <is>
          <t>No</t>
        </is>
      </c>
      <c r="AQ88" t="inlineStr">
        <is>
          <t>Yes</t>
        </is>
      </c>
      <c r="AR88">
        <f>HYPERLINK("http://catalog.hathitrust.org/Record/004437258","HathiTrust Record")</f>
        <v/>
      </c>
      <c r="AS88">
        <f>HYPERLINK("https://creighton-primo.hosted.exlibrisgroup.com/primo-explore/search?tab=default_tab&amp;search_scope=EVERYTHING&amp;vid=01CRU&amp;lang=en_US&amp;offset=0&amp;query=any,contains,991001263019702656","Catalog Record")</f>
        <v/>
      </c>
      <c r="AT88">
        <f>HYPERLINK("http://www.worldcat.org/oclc/17775907","WorldCat Record")</f>
        <v/>
      </c>
      <c r="AU88" t="inlineStr">
        <is>
          <t>1594511:eng</t>
        </is>
      </c>
      <c r="AV88" t="inlineStr">
        <is>
          <t>17775907</t>
        </is>
      </c>
      <c r="AW88" t="inlineStr">
        <is>
          <t>991001263019702656</t>
        </is>
      </c>
      <c r="AX88" t="inlineStr">
        <is>
          <t>991001263019702656</t>
        </is>
      </c>
      <c r="AY88" t="inlineStr">
        <is>
          <t>2271262600002656</t>
        </is>
      </c>
      <c r="AZ88" t="inlineStr">
        <is>
          <t>BOOK</t>
        </is>
      </c>
      <c r="BB88" t="inlineStr">
        <is>
          <t>9780933662698</t>
        </is>
      </c>
      <c r="BC88" t="inlineStr">
        <is>
          <t>32285001360931</t>
        </is>
      </c>
      <c r="BD88" t="inlineStr">
        <is>
          <t>893878774</t>
        </is>
      </c>
    </row>
    <row r="89">
      <c r="A89" t="inlineStr">
        <is>
          <t>No</t>
        </is>
      </c>
      <c r="B89" t="inlineStr">
        <is>
          <t>E169.02 .M3534 1994</t>
        </is>
      </c>
      <c r="C89" t="inlineStr">
        <is>
          <t>0                      E  0169020M  3534        1994</t>
        </is>
      </c>
      <c r="D89" t="inlineStr">
        <is>
          <t>As seen on TV : the visual culture of everyday life in the 1950s / Karal Ann Marling.</t>
        </is>
      </c>
      <c r="F89" t="inlineStr">
        <is>
          <t>No</t>
        </is>
      </c>
      <c r="G89" t="inlineStr">
        <is>
          <t>1</t>
        </is>
      </c>
      <c r="H89" t="inlineStr">
        <is>
          <t>No</t>
        </is>
      </c>
      <c r="I89" t="inlineStr">
        <is>
          <t>No</t>
        </is>
      </c>
      <c r="J89" t="inlineStr">
        <is>
          <t>0</t>
        </is>
      </c>
      <c r="K89" t="inlineStr">
        <is>
          <t>Marling, Karal Ann.</t>
        </is>
      </c>
      <c r="L89" t="inlineStr">
        <is>
          <t>Cambridge, Mass. : Harvard University Press, 1994.</t>
        </is>
      </c>
      <c r="M89" t="inlineStr">
        <is>
          <t>1994</t>
        </is>
      </c>
      <c r="O89" t="inlineStr">
        <is>
          <t>eng</t>
        </is>
      </c>
      <c r="P89" t="inlineStr">
        <is>
          <t>mau</t>
        </is>
      </c>
      <c r="R89" t="inlineStr">
        <is>
          <t xml:space="preserve">E  </t>
        </is>
      </c>
      <c r="S89" t="n">
        <v>6</v>
      </c>
      <c r="T89" t="n">
        <v>6</v>
      </c>
      <c r="U89" t="inlineStr">
        <is>
          <t>2003-04-15</t>
        </is>
      </c>
      <c r="V89" t="inlineStr">
        <is>
          <t>2003-04-15</t>
        </is>
      </c>
      <c r="W89" t="inlineStr">
        <is>
          <t>1995-03-01</t>
        </is>
      </c>
      <c r="X89" t="inlineStr">
        <is>
          <t>1995-03-01</t>
        </is>
      </c>
      <c r="Y89" t="n">
        <v>1312</v>
      </c>
      <c r="Z89" t="n">
        <v>1140</v>
      </c>
      <c r="AA89" t="n">
        <v>1261</v>
      </c>
      <c r="AB89" t="n">
        <v>8</v>
      </c>
      <c r="AC89" t="n">
        <v>11</v>
      </c>
      <c r="AD89" t="n">
        <v>45</v>
      </c>
      <c r="AE89" t="n">
        <v>50</v>
      </c>
      <c r="AF89" t="n">
        <v>19</v>
      </c>
      <c r="AG89" t="n">
        <v>22</v>
      </c>
      <c r="AH89" t="n">
        <v>10</v>
      </c>
      <c r="AI89" t="n">
        <v>11</v>
      </c>
      <c r="AJ89" t="n">
        <v>22</v>
      </c>
      <c r="AK89" t="n">
        <v>22</v>
      </c>
      <c r="AL89" t="n">
        <v>6</v>
      </c>
      <c r="AM89" t="n">
        <v>8</v>
      </c>
      <c r="AN89" t="n">
        <v>0</v>
      </c>
      <c r="AO89" t="n">
        <v>0</v>
      </c>
      <c r="AP89" t="inlineStr">
        <is>
          <t>No</t>
        </is>
      </c>
      <c r="AQ89" t="inlineStr">
        <is>
          <t>Yes</t>
        </is>
      </c>
      <c r="AR89">
        <f>HYPERLINK("http://catalog.hathitrust.org/Record/002889587","HathiTrust Record")</f>
        <v/>
      </c>
      <c r="AS89">
        <f>HYPERLINK("https://creighton-primo.hosted.exlibrisgroup.com/primo-explore/search?tab=default_tab&amp;search_scope=EVERYTHING&amp;vid=01CRU&amp;lang=en_US&amp;offset=0&amp;query=any,contains,991002297169702656","Catalog Record")</f>
        <v/>
      </c>
      <c r="AT89">
        <f>HYPERLINK("http://www.worldcat.org/oclc/29796953","WorldCat Record")</f>
        <v/>
      </c>
      <c r="AU89" t="inlineStr">
        <is>
          <t>2677995:eng</t>
        </is>
      </c>
      <c r="AV89" t="inlineStr">
        <is>
          <t>29796953</t>
        </is>
      </c>
      <c r="AW89" t="inlineStr">
        <is>
          <t>991002297169702656</t>
        </is>
      </c>
      <c r="AX89" t="inlineStr">
        <is>
          <t>991002297169702656</t>
        </is>
      </c>
      <c r="AY89" t="inlineStr">
        <is>
          <t>2256499850002656</t>
        </is>
      </c>
      <c r="AZ89" t="inlineStr">
        <is>
          <t>BOOK</t>
        </is>
      </c>
      <c r="BB89" t="inlineStr">
        <is>
          <t>9780674048829</t>
        </is>
      </c>
      <c r="BC89" t="inlineStr">
        <is>
          <t>32285002001021</t>
        </is>
      </c>
      <c r="BD89" t="inlineStr">
        <is>
          <t>893898589</t>
        </is>
      </c>
    </row>
    <row r="90">
      <c r="A90" t="inlineStr">
        <is>
          <t>No</t>
        </is>
      </c>
      <c r="B90" t="inlineStr">
        <is>
          <t>E169.02 .M65 1981</t>
        </is>
      </c>
      <c r="C90" t="inlineStr">
        <is>
          <t>0                      E  0169020M  65          1981</t>
        </is>
      </c>
      <c r="D90" t="inlineStr">
        <is>
          <t>God's country and my people / by Wright Morris.</t>
        </is>
      </c>
      <c r="F90" t="inlineStr">
        <is>
          <t>No</t>
        </is>
      </c>
      <c r="G90" t="inlineStr">
        <is>
          <t>1</t>
        </is>
      </c>
      <c r="H90" t="inlineStr">
        <is>
          <t>No</t>
        </is>
      </c>
      <c r="I90" t="inlineStr">
        <is>
          <t>No</t>
        </is>
      </c>
      <c r="J90" t="inlineStr">
        <is>
          <t>0</t>
        </is>
      </c>
      <c r="K90" t="inlineStr">
        <is>
          <t>Morris, Wright, 1910-1998.</t>
        </is>
      </c>
      <c r="L90" t="inlineStr">
        <is>
          <t>Lincoln : University of Nebraska Press, [1981] c1968.</t>
        </is>
      </c>
      <c r="M90" t="inlineStr">
        <is>
          <t>1981</t>
        </is>
      </c>
      <c r="O90" t="inlineStr">
        <is>
          <t>eng</t>
        </is>
      </c>
      <c r="P90" t="inlineStr">
        <is>
          <t>nbu</t>
        </is>
      </c>
      <c r="R90" t="inlineStr">
        <is>
          <t xml:space="preserve">E  </t>
        </is>
      </c>
      <c r="S90" t="n">
        <v>3</v>
      </c>
      <c r="T90" t="n">
        <v>3</v>
      </c>
      <c r="U90" t="inlineStr">
        <is>
          <t>2003-04-01</t>
        </is>
      </c>
      <c r="V90" t="inlineStr">
        <is>
          <t>2003-04-01</t>
        </is>
      </c>
      <c r="W90" t="inlineStr">
        <is>
          <t>1992-04-13</t>
        </is>
      </c>
      <c r="X90" t="inlineStr">
        <is>
          <t>1992-04-13</t>
        </is>
      </c>
      <c r="Y90" t="n">
        <v>138</v>
      </c>
      <c r="Z90" t="n">
        <v>124</v>
      </c>
      <c r="AA90" t="n">
        <v>569</v>
      </c>
      <c r="AB90" t="n">
        <v>15</v>
      </c>
      <c r="AC90" t="n">
        <v>30</v>
      </c>
      <c r="AD90" t="n">
        <v>9</v>
      </c>
      <c r="AE90" t="n">
        <v>27</v>
      </c>
      <c r="AF90" t="n">
        <v>3</v>
      </c>
      <c r="AG90" t="n">
        <v>4</v>
      </c>
      <c r="AH90" t="n">
        <v>1</v>
      </c>
      <c r="AI90" t="n">
        <v>7</v>
      </c>
      <c r="AJ90" t="n">
        <v>2</v>
      </c>
      <c r="AK90" t="n">
        <v>11</v>
      </c>
      <c r="AL90" t="n">
        <v>5</v>
      </c>
      <c r="AM90" t="n">
        <v>11</v>
      </c>
      <c r="AN90" t="n">
        <v>0</v>
      </c>
      <c r="AO90" t="n">
        <v>0</v>
      </c>
      <c r="AP90" t="inlineStr">
        <is>
          <t>No</t>
        </is>
      </c>
      <c r="AQ90" t="inlineStr">
        <is>
          <t>Yes</t>
        </is>
      </c>
      <c r="AR90">
        <f>HYPERLINK("http://catalog.hathitrust.org/Record/012354404","HathiTrust Record")</f>
        <v/>
      </c>
      <c r="AS90">
        <f>HYPERLINK("https://creighton-primo.hosted.exlibrisgroup.com/primo-explore/search?tab=default_tab&amp;search_scope=EVERYTHING&amp;vid=01CRU&amp;lang=en_US&amp;offset=0&amp;query=any,contains,991005044499702656","Catalog Record")</f>
        <v/>
      </c>
      <c r="AT90">
        <f>HYPERLINK("http://www.worldcat.org/oclc/6815950","WorldCat Record")</f>
        <v/>
      </c>
      <c r="AU90" t="inlineStr">
        <is>
          <t>151991096:eng</t>
        </is>
      </c>
      <c r="AV90" t="inlineStr">
        <is>
          <t>6815950</t>
        </is>
      </c>
      <c r="AW90" t="inlineStr">
        <is>
          <t>991005044499702656</t>
        </is>
      </c>
      <c r="AX90" t="inlineStr">
        <is>
          <t>991005044499702656</t>
        </is>
      </c>
      <c r="AY90" t="inlineStr">
        <is>
          <t>2265354220002656</t>
        </is>
      </c>
      <c r="AZ90" t="inlineStr">
        <is>
          <t>BOOK</t>
        </is>
      </c>
      <c r="BB90" t="inlineStr">
        <is>
          <t>9780803230675</t>
        </is>
      </c>
      <c r="BC90" t="inlineStr">
        <is>
          <t>32285001035053</t>
        </is>
      </c>
      <c r="BD90" t="inlineStr">
        <is>
          <t>893350620</t>
        </is>
      </c>
    </row>
    <row r="91">
      <c r="A91" t="inlineStr">
        <is>
          <t>No</t>
        </is>
      </c>
      <c r="B91" t="inlineStr">
        <is>
          <t>E169.02 .O9</t>
        </is>
      </c>
      <c r="C91" t="inlineStr">
        <is>
          <t>0                      E  0169020O  9</t>
        </is>
      </c>
      <c r="D91" t="inlineStr">
        <is>
          <t>Our country!</t>
        </is>
      </c>
      <c r="F91" t="inlineStr">
        <is>
          <t>No</t>
        </is>
      </c>
      <c r="G91" t="inlineStr">
        <is>
          <t>1</t>
        </is>
      </c>
      <c r="H91" t="inlineStr">
        <is>
          <t>No</t>
        </is>
      </c>
      <c r="I91" t="inlineStr">
        <is>
          <t>No</t>
        </is>
      </c>
      <c r="J91" t="inlineStr">
        <is>
          <t>0</t>
        </is>
      </c>
      <c r="L91" t="inlineStr">
        <is>
          <t>[Washington] Books by U.S. News &amp; World Report [1972]</t>
        </is>
      </c>
      <c r="M91" t="inlineStr">
        <is>
          <t>1972</t>
        </is>
      </c>
      <c r="O91" t="inlineStr">
        <is>
          <t>eng</t>
        </is>
      </c>
      <c r="P91" t="inlineStr">
        <is>
          <t>dcu</t>
        </is>
      </c>
      <c r="R91" t="inlineStr">
        <is>
          <t xml:space="preserve">E  </t>
        </is>
      </c>
      <c r="S91" t="n">
        <v>3</v>
      </c>
      <c r="T91" t="n">
        <v>3</v>
      </c>
      <c r="U91" t="inlineStr">
        <is>
          <t>2004-05-07</t>
        </is>
      </c>
      <c r="V91" t="inlineStr">
        <is>
          <t>2004-05-07</t>
        </is>
      </c>
      <c r="W91" t="inlineStr">
        <is>
          <t>1997-03-31</t>
        </is>
      </c>
      <c r="X91" t="inlineStr">
        <is>
          <t>1997-03-31</t>
        </is>
      </c>
      <c r="Y91" t="n">
        <v>627</v>
      </c>
      <c r="Z91" t="n">
        <v>613</v>
      </c>
      <c r="AA91" t="n">
        <v>613</v>
      </c>
      <c r="AB91" t="n">
        <v>8</v>
      </c>
      <c r="AC91" t="n">
        <v>8</v>
      </c>
      <c r="AD91" t="n">
        <v>15</v>
      </c>
      <c r="AE91" t="n">
        <v>15</v>
      </c>
      <c r="AF91" t="n">
        <v>7</v>
      </c>
      <c r="AG91" t="n">
        <v>7</v>
      </c>
      <c r="AH91" t="n">
        <v>2</v>
      </c>
      <c r="AI91" t="n">
        <v>2</v>
      </c>
      <c r="AJ91" t="n">
        <v>6</v>
      </c>
      <c r="AK91" t="n">
        <v>6</v>
      </c>
      <c r="AL91" t="n">
        <v>3</v>
      </c>
      <c r="AM91" t="n">
        <v>3</v>
      </c>
      <c r="AN91" t="n">
        <v>0</v>
      </c>
      <c r="AO91" t="n">
        <v>0</v>
      </c>
      <c r="AP91" t="inlineStr">
        <is>
          <t>No</t>
        </is>
      </c>
      <c r="AQ91" t="inlineStr">
        <is>
          <t>No</t>
        </is>
      </c>
      <c r="AS91">
        <f>HYPERLINK("https://creighton-primo.hosted.exlibrisgroup.com/primo-explore/search?tab=default_tab&amp;search_scope=EVERYTHING&amp;vid=01CRU&amp;lang=en_US&amp;offset=0&amp;query=any,contains,991002344739702656","Catalog Record")</f>
        <v/>
      </c>
      <c r="AT91">
        <f>HYPERLINK("http://www.worldcat.org/oclc/324452","WorldCat Record")</f>
        <v/>
      </c>
      <c r="AU91" t="inlineStr">
        <is>
          <t>10628194331:eng</t>
        </is>
      </c>
      <c r="AV91" t="inlineStr">
        <is>
          <t>324452</t>
        </is>
      </c>
      <c r="AW91" t="inlineStr">
        <is>
          <t>991002344739702656</t>
        </is>
      </c>
      <c r="AX91" t="inlineStr">
        <is>
          <t>991002344739702656</t>
        </is>
      </c>
      <c r="AY91" t="inlineStr">
        <is>
          <t>2255138510002656</t>
        </is>
      </c>
      <c r="AZ91" t="inlineStr">
        <is>
          <t>BOOK</t>
        </is>
      </c>
      <c r="BC91" t="inlineStr">
        <is>
          <t>32285002484136</t>
        </is>
      </c>
      <c r="BD91" t="inlineStr">
        <is>
          <t>893892439</t>
        </is>
      </c>
    </row>
    <row r="92">
      <c r="A92" t="inlineStr">
        <is>
          <t>No</t>
        </is>
      </c>
      <c r="B92" t="inlineStr">
        <is>
          <t>E169.02 .W6 1968</t>
        </is>
      </c>
      <c r="C92" t="inlineStr">
        <is>
          <t>0                      E  0169020W  6           1968</t>
        </is>
      </c>
      <c r="D92" t="inlineStr">
        <is>
          <t>The pump house gang / [by Tom Wolfe].</t>
        </is>
      </c>
      <c r="F92" t="inlineStr">
        <is>
          <t>No</t>
        </is>
      </c>
      <c r="G92" t="inlineStr">
        <is>
          <t>1</t>
        </is>
      </c>
      <c r="H92" t="inlineStr">
        <is>
          <t>No</t>
        </is>
      </c>
      <c r="I92" t="inlineStr">
        <is>
          <t>No</t>
        </is>
      </c>
      <c r="J92" t="inlineStr">
        <is>
          <t>0</t>
        </is>
      </c>
      <c r="K92" t="inlineStr">
        <is>
          <t>Wolfe, Tom.</t>
        </is>
      </c>
      <c r="L92" t="inlineStr">
        <is>
          <t>New York : Farrar, Straus &amp; Giroux, [1968]</t>
        </is>
      </c>
      <c r="M92" t="inlineStr">
        <is>
          <t>1968</t>
        </is>
      </c>
      <c r="O92" t="inlineStr">
        <is>
          <t>eng</t>
        </is>
      </c>
      <c r="P92" t="inlineStr">
        <is>
          <t>nyu</t>
        </is>
      </c>
      <c r="R92" t="inlineStr">
        <is>
          <t xml:space="preserve">E  </t>
        </is>
      </c>
      <c r="S92" t="n">
        <v>1</v>
      </c>
      <c r="T92" t="n">
        <v>1</v>
      </c>
      <c r="U92" t="inlineStr">
        <is>
          <t>1992-04-30</t>
        </is>
      </c>
      <c r="V92" t="inlineStr">
        <is>
          <t>1992-04-30</t>
        </is>
      </c>
      <c r="W92" t="inlineStr">
        <is>
          <t>1990-12-13</t>
        </is>
      </c>
      <c r="X92" t="inlineStr">
        <is>
          <t>1990-12-13</t>
        </is>
      </c>
      <c r="Y92" t="n">
        <v>1328</v>
      </c>
      <c r="Z92" t="n">
        <v>1230</v>
      </c>
      <c r="AA92" t="n">
        <v>1418</v>
      </c>
      <c r="AB92" t="n">
        <v>10</v>
      </c>
      <c r="AC92" t="n">
        <v>13</v>
      </c>
      <c r="AD92" t="n">
        <v>44</v>
      </c>
      <c r="AE92" t="n">
        <v>50</v>
      </c>
      <c r="AF92" t="n">
        <v>17</v>
      </c>
      <c r="AG92" t="n">
        <v>18</v>
      </c>
      <c r="AH92" t="n">
        <v>8</v>
      </c>
      <c r="AI92" t="n">
        <v>9</v>
      </c>
      <c r="AJ92" t="n">
        <v>18</v>
      </c>
      <c r="AK92" t="n">
        <v>21</v>
      </c>
      <c r="AL92" t="n">
        <v>8</v>
      </c>
      <c r="AM92" t="n">
        <v>11</v>
      </c>
      <c r="AN92" t="n">
        <v>0</v>
      </c>
      <c r="AO92" t="n">
        <v>0</v>
      </c>
      <c r="AP92" t="inlineStr">
        <is>
          <t>No</t>
        </is>
      </c>
      <c r="AQ92" t="inlineStr">
        <is>
          <t>Yes</t>
        </is>
      </c>
      <c r="AR92">
        <f>HYPERLINK("http://catalog.hathitrust.org/Record/000239547","HathiTrust Record")</f>
        <v/>
      </c>
      <c r="AS92">
        <f>HYPERLINK("https://creighton-primo.hosted.exlibrisgroup.com/primo-explore/search?tab=default_tab&amp;search_scope=EVERYTHING&amp;vid=01CRU&amp;lang=en_US&amp;offset=0&amp;query=any,contains,991002736039702656","Catalog Record")</f>
        <v/>
      </c>
      <c r="AT92">
        <f>HYPERLINK("http://www.worldcat.org/oclc/419312","WorldCat Record")</f>
        <v/>
      </c>
      <c r="AU92" t="inlineStr">
        <is>
          <t>1493326:eng</t>
        </is>
      </c>
      <c r="AV92" t="inlineStr">
        <is>
          <t>419312</t>
        </is>
      </c>
      <c r="AW92" t="inlineStr">
        <is>
          <t>991002736039702656</t>
        </is>
      </c>
      <c r="AX92" t="inlineStr">
        <is>
          <t>991002736039702656</t>
        </is>
      </c>
      <c r="AY92" t="inlineStr">
        <is>
          <t>2261611680002656</t>
        </is>
      </c>
      <c r="AZ92" t="inlineStr">
        <is>
          <t>BOOK</t>
        </is>
      </c>
      <c r="BC92" t="inlineStr">
        <is>
          <t>32285000423128</t>
        </is>
      </c>
      <c r="BD92" t="inlineStr">
        <is>
          <t>893710616</t>
        </is>
      </c>
    </row>
    <row r="93">
      <c r="A93" t="inlineStr">
        <is>
          <t>No</t>
        </is>
      </c>
      <c r="B93" t="inlineStr">
        <is>
          <t>E169.04 .A518 1992</t>
        </is>
      </c>
      <c r="C93" t="inlineStr">
        <is>
          <t>0                      E  0169040A  518         1992</t>
        </is>
      </c>
      <c r="D93" t="inlineStr">
        <is>
          <t>America, land of beauty and splendor.</t>
        </is>
      </c>
      <c r="F93" t="inlineStr">
        <is>
          <t>No</t>
        </is>
      </c>
      <c r="G93" t="inlineStr">
        <is>
          <t>1</t>
        </is>
      </c>
      <c r="H93" t="inlineStr">
        <is>
          <t>No</t>
        </is>
      </c>
      <c r="I93" t="inlineStr">
        <is>
          <t>No</t>
        </is>
      </c>
      <c r="J93" t="inlineStr">
        <is>
          <t>0</t>
        </is>
      </c>
      <c r="L93" t="inlineStr">
        <is>
          <t>Pleasantville, N.Y. : Reader's Digest Association, c1992.</t>
        </is>
      </c>
      <c r="M93" t="inlineStr">
        <is>
          <t>1992</t>
        </is>
      </c>
      <c r="O93" t="inlineStr">
        <is>
          <t>eng</t>
        </is>
      </c>
      <c r="P93" t="inlineStr">
        <is>
          <t>nyu</t>
        </is>
      </c>
      <c r="R93" t="inlineStr">
        <is>
          <t xml:space="preserve">E  </t>
        </is>
      </c>
      <c r="S93" t="n">
        <v>2</v>
      </c>
      <c r="T93" t="n">
        <v>2</v>
      </c>
      <c r="U93" t="inlineStr">
        <is>
          <t>1994-07-15</t>
        </is>
      </c>
      <c r="V93" t="inlineStr">
        <is>
          <t>1994-07-15</t>
        </is>
      </c>
      <c r="W93" t="inlineStr">
        <is>
          <t>1994-06-20</t>
        </is>
      </c>
      <c r="X93" t="inlineStr">
        <is>
          <t>1994-06-20</t>
        </is>
      </c>
      <c r="Y93" t="n">
        <v>1181</v>
      </c>
      <c r="Z93" t="n">
        <v>1147</v>
      </c>
      <c r="AA93" t="n">
        <v>1156</v>
      </c>
      <c r="AB93" t="n">
        <v>14</v>
      </c>
      <c r="AC93" t="n">
        <v>14</v>
      </c>
      <c r="AD93" t="n">
        <v>4</v>
      </c>
      <c r="AE93" t="n">
        <v>4</v>
      </c>
      <c r="AF93" t="n">
        <v>1</v>
      </c>
      <c r="AG93" t="n">
        <v>1</v>
      </c>
      <c r="AH93" t="n">
        <v>2</v>
      </c>
      <c r="AI93" t="n">
        <v>2</v>
      </c>
      <c r="AJ93" t="n">
        <v>3</v>
      </c>
      <c r="AK93" t="n">
        <v>3</v>
      </c>
      <c r="AL93" t="n">
        <v>0</v>
      </c>
      <c r="AM93" t="n">
        <v>0</v>
      </c>
      <c r="AN93" t="n">
        <v>0</v>
      </c>
      <c r="AO93" t="n">
        <v>0</v>
      </c>
      <c r="AP93" t="inlineStr">
        <is>
          <t>No</t>
        </is>
      </c>
      <c r="AQ93" t="inlineStr">
        <is>
          <t>No</t>
        </is>
      </c>
      <c r="AS93">
        <f>HYPERLINK("https://creighton-primo.hosted.exlibrisgroup.com/primo-explore/search?tab=default_tab&amp;search_scope=EVERYTHING&amp;vid=01CRU&amp;lang=en_US&amp;offset=0&amp;query=any,contains,991001913949702656","Catalog Record")</f>
        <v/>
      </c>
      <c r="AT93">
        <f>HYPERLINK("http://www.worldcat.org/oclc/24173667","WorldCat Record")</f>
        <v/>
      </c>
      <c r="AU93" t="inlineStr">
        <is>
          <t>984855:eng</t>
        </is>
      </c>
      <c r="AV93" t="inlineStr">
        <is>
          <t>24173667</t>
        </is>
      </c>
      <c r="AW93" t="inlineStr">
        <is>
          <t>991001913949702656</t>
        </is>
      </c>
      <c r="AX93" t="inlineStr">
        <is>
          <t>991001913949702656</t>
        </is>
      </c>
      <c r="AY93" t="inlineStr">
        <is>
          <t>2268981550002656</t>
        </is>
      </c>
      <c r="AZ93" t="inlineStr">
        <is>
          <t>BOOK</t>
        </is>
      </c>
      <c r="BB93" t="inlineStr">
        <is>
          <t>9780895774040</t>
        </is>
      </c>
      <c r="BC93" t="inlineStr">
        <is>
          <t>32285001916450</t>
        </is>
      </c>
      <c r="BD93" t="inlineStr">
        <is>
          <t>893516669</t>
        </is>
      </c>
    </row>
    <row r="94">
      <c r="A94" t="inlineStr">
        <is>
          <t>No</t>
        </is>
      </c>
      <c r="B94" t="inlineStr">
        <is>
          <t>E169.04 .A53 1983</t>
        </is>
      </c>
      <c r="C94" t="inlineStr">
        <is>
          <t>0                      E  0169040A  53          1983</t>
        </is>
      </c>
      <c r="D94" t="inlineStr">
        <is>
          <t>America's hidden corners : places off the beaten path / prepared by the Special Publications Division, National Geographic Society.</t>
        </is>
      </c>
      <c r="F94" t="inlineStr">
        <is>
          <t>No</t>
        </is>
      </c>
      <c r="G94" t="inlineStr">
        <is>
          <t>1</t>
        </is>
      </c>
      <c r="H94" t="inlineStr">
        <is>
          <t>No</t>
        </is>
      </c>
      <c r="I94" t="inlineStr">
        <is>
          <t>No</t>
        </is>
      </c>
      <c r="J94" t="inlineStr">
        <is>
          <t>0</t>
        </is>
      </c>
      <c r="L94" t="inlineStr">
        <is>
          <t>Washington, D.C. : National Geographic Society, c1983.</t>
        </is>
      </c>
      <c r="M94" t="inlineStr">
        <is>
          <t>1983</t>
        </is>
      </c>
      <c r="O94" t="inlineStr">
        <is>
          <t>eng</t>
        </is>
      </c>
      <c r="P94" t="inlineStr">
        <is>
          <t>dcu</t>
        </is>
      </c>
      <c r="R94" t="inlineStr">
        <is>
          <t xml:space="preserve">E  </t>
        </is>
      </c>
      <c r="S94" t="n">
        <v>1</v>
      </c>
      <c r="T94" t="n">
        <v>1</v>
      </c>
      <c r="U94" t="inlineStr">
        <is>
          <t>1992-03-31</t>
        </is>
      </c>
      <c r="V94" t="inlineStr">
        <is>
          <t>1992-03-31</t>
        </is>
      </c>
      <c r="W94" t="inlineStr">
        <is>
          <t>1990-12-13</t>
        </is>
      </c>
      <c r="X94" t="inlineStr">
        <is>
          <t>1990-12-13</t>
        </is>
      </c>
      <c r="Y94" t="n">
        <v>1044</v>
      </c>
      <c r="Z94" t="n">
        <v>1019</v>
      </c>
      <c r="AA94" t="n">
        <v>1038</v>
      </c>
      <c r="AB94" t="n">
        <v>11</v>
      </c>
      <c r="AC94" t="n">
        <v>11</v>
      </c>
      <c r="AD94" t="n">
        <v>9</v>
      </c>
      <c r="AE94" t="n">
        <v>10</v>
      </c>
      <c r="AF94" t="n">
        <v>5</v>
      </c>
      <c r="AG94" t="n">
        <v>5</v>
      </c>
      <c r="AH94" t="n">
        <v>1</v>
      </c>
      <c r="AI94" t="n">
        <v>2</v>
      </c>
      <c r="AJ94" t="n">
        <v>3</v>
      </c>
      <c r="AK94" t="n">
        <v>3</v>
      </c>
      <c r="AL94" t="n">
        <v>2</v>
      </c>
      <c r="AM94" t="n">
        <v>2</v>
      </c>
      <c r="AN94" t="n">
        <v>0</v>
      </c>
      <c r="AO94" t="n">
        <v>0</v>
      </c>
      <c r="AP94" t="inlineStr">
        <is>
          <t>No</t>
        </is>
      </c>
      <c r="AQ94" t="inlineStr">
        <is>
          <t>Yes</t>
        </is>
      </c>
      <c r="AR94">
        <f>HYPERLINK("http://catalog.hathitrust.org/Record/003821314","HathiTrust Record")</f>
        <v/>
      </c>
      <c r="AS94">
        <f>HYPERLINK("https://creighton-primo.hosted.exlibrisgroup.com/primo-explore/search?tab=default_tab&amp;search_scope=EVERYTHING&amp;vid=01CRU&amp;lang=en_US&amp;offset=0&amp;query=any,contains,991000258359702656","Catalog Record")</f>
        <v/>
      </c>
      <c r="AT94">
        <f>HYPERLINK("http://www.worldcat.org/oclc/9785184","WorldCat Record")</f>
        <v/>
      </c>
      <c r="AU94" t="inlineStr">
        <is>
          <t>973136:eng</t>
        </is>
      </c>
      <c r="AV94" t="inlineStr">
        <is>
          <t>9785184</t>
        </is>
      </c>
      <c r="AW94" t="inlineStr">
        <is>
          <t>991000258359702656</t>
        </is>
      </c>
      <c r="AX94" t="inlineStr">
        <is>
          <t>991000258359702656</t>
        </is>
      </c>
      <c r="AY94" t="inlineStr">
        <is>
          <t>2259835740002656</t>
        </is>
      </c>
      <c r="AZ94" t="inlineStr">
        <is>
          <t>BOOK</t>
        </is>
      </c>
      <c r="BB94" t="inlineStr">
        <is>
          <t>9780870444463</t>
        </is>
      </c>
      <c r="BC94" t="inlineStr">
        <is>
          <t>32285000423136</t>
        </is>
      </c>
      <c r="BD94" t="inlineStr">
        <is>
          <t>893802634</t>
        </is>
      </c>
    </row>
    <row r="95">
      <c r="A95" t="inlineStr">
        <is>
          <t>No</t>
        </is>
      </c>
      <c r="B95" t="inlineStr">
        <is>
          <t>E169.04 .C646 2001</t>
        </is>
      </c>
      <c r="C95" t="inlineStr">
        <is>
          <t>0                      E  0169040C  646         2001</t>
        </is>
      </c>
      <c r="D95" t="inlineStr">
        <is>
          <t>Chasing the red, white, and blue : a journey in Tocqueville's footsteps through contemporary America / David Cohen.</t>
        </is>
      </c>
      <c r="F95" t="inlineStr">
        <is>
          <t>No</t>
        </is>
      </c>
      <c r="G95" t="inlineStr">
        <is>
          <t>1</t>
        </is>
      </c>
      <c r="H95" t="inlineStr">
        <is>
          <t>No</t>
        </is>
      </c>
      <c r="I95" t="inlineStr">
        <is>
          <t>No</t>
        </is>
      </c>
      <c r="J95" t="inlineStr">
        <is>
          <t>0</t>
        </is>
      </c>
      <c r="K95" t="inlineStr">
        <is>
          <t>Cohen, David (Journalist)</t>
        </is>
      </c>
      <c r="L95" t="inlineStr">
        <is>
          <t>New York : Picador USA, 2001.</t>
        </is>
      </c>
      <c r="M95" t="inlineStr">
        <is>
          <t>2001</t>
        </is>
      </c>
      <c r="N95" t="inlineStr">
        <is>
          <t>1st ed.</t>
        </is>
      </c>
      <c r="O95" t="inlineStr">
        <is>
          <t>eng</t>
        </is>
      </c>
      <c r="P95" t="inlineStr">
        <is>
          <t>nyu</t>
        </is>
      </c>
      <c r="R95" t="inlineStr">
        <is>
          <t xml:space="preserve">E  </t>
        </is>
      </c>
      <c r="S95" t="n">
        <v>1</v>
      </c>
      <c r="T95" t="n">
        <v>1</v>
      </c>
      <c r="U95" t="inlineStr">
        <is>
          <t>2001-11-28</t>
        </is>
      </c>
      <c r="V95" t="inlineStr">
        <is>
          <t>2001-11-28</t>
        </is>
      </c>
      <c r="W95" t="inlineStr">
        <is>
          <t>2001-11-28</t>
        </is>
      </c>
      <c r="X95" t="inlineStr">
        <is>
          <t>2001-11-28</t>
        </is>
      </c>
      <c r="Y95" t="n">
        <v>360</v>
      </c>
      <c r="Z95" t="n">
        <v>335</v>
      </c>
      <c r="AA95" t="n">
        <v>358</v>
      </c>
      <c r="AB95" t="n">
        <v>5</v>
      </c>
      <c r="AC95" t="n">
        <v>5</v>
      </c>
      <c r="AD95" t="n">
        <v>15</v>
      </c>
      <c r="AE95" t="n">
        <v>15</v>
      </c>
      <c r="AF95" t="n">
        <v>4</v>
      </c>
      <c r="AG95" t="n">
        <v>4</v>
      </c>
      <c r="AH95" t="n">
        <v>4</v>
      </c>
      <c r="AI95" t="n">
        <v>4</v>
      </c>
      <c r="AJ95" t="n">
        <v>8</v>
      </c>
      <c r="AK95" t="n">
        <v>8</v>
      </c>
      <c r="AL95" t="n">
        <v>3</v>
      </c>
      <c r="AM95" t="n">
        <v>3</v>
      </c>
      <c r="AN95" t="n">
        <v>0</v>
      </c>
      <c r="AO95" t="n">
        <v>0</v>
      </c>
      <c r="AP95" t="inlineStr">
        <is>
          <t>No</t>
        </is>
      </c>
      <c r="AQ95" t="inlineStr">
        <is>
          <t>No</t>
        </is>
      </c>
      <c r="AS95">
        <f>HYPERLINK("https://creighton-primo.hosted.exlibrisgroup.com/primo-explore/search?tab=default_tab&amp;search_scope=EVERYTHING&amp;vid=01CRU&amp;lang=en_US&amp;offset=0&amp;query=any,contains,991003685399702656","Catalog Record")</f>
        <v/>
      </c>
      <c r="AT95">
        <f>HYPERLINK("http://www.worldcat.org/oclc/47208465","WorldCat Record")</f>
        <v/>
      </c>
      <c r="AU95" t="inlineStr">
        <is>
          <t>131332:eng</t>
        </is>
      </c>
      <c r="AV95" t="inlineStr">
        <is>
          <t>47208465</t>
        </is>
      </c>
      <c r="AW95" t="inlineStr">
        <is>
          <t>991003685399702656</t>
        </is>
      </c>
      <c r="AX95" t="inlineStr">
        <is>
          <t>991003685399702656</t>
        </is>
      </c>
      <c r="AY95" t="inlineStr">
        <is>
          <t>2271224070002656</t>
        </is>
      </c>
      <c r="AZ95" t="inlineStr">
        <is>
          <t>BOOK</t>
        </is>
      </c>
      <c r="BB95" t="inlineStr">
        <is>
          <t>9780312261542</t>
        </is>
      </c>
      <c r="BC95" t="inlineStr">
        <is>
          <t>32285004414412</t>
        </is>
      </c>
      <c r="BD95" t="inlineStr">
        <is>
          <t>893330654</t>
        </is>
      </c>
    </row>
    <row r="96">
      <c r="A96" t="inlineStr">
        <is>
          <t>No</t>
        </is>
      </c>
      <c r="B96" t="inlineStr">
        <is>
          <t>E169.04 .C65 1998</t>
        </is>
      </c>
      <c r="C96" t="inlineStr">
        <is>
          <t>0                      E  0169040C  65          1998</t>
        </is>
      </c>
      <c r="D96" t="inlineStr">
        <is>
          <t>Common culture : reading and writing about American popular culture / edited by Michael Petracca, Madeleine Sorapure.</t>
        </is>
      </c>
      <c r="F96" t="inlineStr">
        <is>
          <t>No</t>
        </is>
      </c>
      <c r="G96" t="inlineStr">
        <is>
          <t>1</t>
        </is>
      </c>
      <c r="H96" t="inlineStr">
        <is>
          <t>No</t>
        </is>
      </c>
      <c r="I96" t="inlineStr">
        <is>
          <t>No</t>
        </is>
      </c>
      <c r="J96" t="inlineStr">
        <is>
          <t>0</t>
        </is>
      </c>
      <c r="L96" t="inlineStr">
        <is>
          <t>Upper Saddle River, NJ : Prentice Hall, c1998.</t>
        </is>
      </c>
      <c r="M96" t="inlineStr">
        <is>
          <t>1998</t>
        </is>
      </c>
      <c r="N96" t="inlineStr">
        <is>
          <t>2nd ed.</t>
        </is>
      </c>
      <c r="O96" t="inlineStr">
        <is>
          <t>eng</t>
        </is>
      </c>
      <c r="P96" t="inlineStr">
        <is>
          <t>nyu</t>
        </is>
      </c>
      <c r="R96" t="inlineStr">
        <is>
          <t xml:space="preserve">E  </t>
        </is>
      </c>
      <c r="S96" t="n">
        <v>2</v>
      </c>
      <c r="T96" t="n">
        <v>2</v>
      </c>
      <c r="U96" t="inlineStr">
        <is>
          <t>2005-04-26</t>
        </is>
      </c>
      <c r="V96" t="inlineStr">
        <is>
          <t>2005-04-26</t>
        </is>
      </c>
      <c r="W96" t="inlineStr">
        <is>
          <t>2005-04-26</t>
        </is>
      </c>
      <c r="X96" t="inlineStr">
        <is>
          <t>2005-04-26</t>
        </is>
      </c>
      <c r="Y96" t="n">
        <v>120</v>
      </c>
      <c r="Z96" t="n">
        <v>99</v>
      </c>
      <c r="AA96" t="n">
        <v>370</v>
      </c>
      <c r="AB96" t="n">
        <v>1</v>
      </c>
      <c r="AC96" t="n">
        <v>2</v>
      </c>
      <c r="AD96" t="n">
        <v>3</v>
      </c>
      <c r="AE96" t="n">
        <v>11</v>
      </c>
      <c r="AF96" t="n">
        <v>1</v>
      </c>
      <c r="AG96" t="n">
        <v>4</v>
      </c>
      <c r="AH96" t="n">
        <v>1</v>
      </c>
      <c r="AI96" t="n">
        <v>3</v>
      </c>
      <c r="AJ96" t="n">
        <v>2</v>
      </c>
      <c r="AK96" t="n">
        <v>7</v>
      </c>
      <c r="AL96" t="n">
        <v>0</v>
      </c>
      <c r="AM96" t="n">
        <v>1</v>
      </c>
      <c r="AN96" t="n">
        <v>0</v>
      </c>
      <c r="AO96" t="n">
        <v>0</v>
      </c>
      <c r="AP96" t="inlineStr">
        <is>
          <t>No</t>
        </is>
      </c>
      <c r="AQ96" t="inlineStr">
        <is>
          <t>No</t>
        </is>
      </c>
      <c r="AS96">
        <f>HYPERLINK("https://creighton-primo.hosted.exlibrisgroup.com/primo-explore/search?tab=default_tab&amp;search_scope=EVERYTHING&amp;vid=01CRU&amp;lang=en_US&amp;offset=0&amp;query=any,contains,991004542509702656","Catalog Record")</f>
        <v/>
      </c>
      <c r="AT96">
        <f>HYPERLINK("http://www.worldcat.org/oclc/37261082","WorldCat Record")</f>
        <v/>
      </c>
      <c r="AU96" t="inlineStr">
        <is>
          <t>796419275:eng</t>
        </is>
      </c>
      <c r="AV96" t="inlineStr">
        <is>
          <t>37261082</t>
        </is>
      </c>
      <c r="AW96" t="inlineStr">
        <is>
          <t>991004542509702656</t>
        </is>
      </c>
      <c r="AX96" t="inlineStr">
        <is>
          <t>991004542509702656</t>
        </is>
      </c>
      <c r="AY96" t="inlineStr">
        <is>
          <t>2271765660002656</t>
        </is>
      </c>
      <c r="AZ96" t="inlineStr">
        <is>
          <t>BOOK</t>
        </is>
      </c>
      <c r="BB96" t="inlineStr">
        <is>
          <t>9780137548880</t>
        </is>
      </c>
      <c r="BC96" t="inlineStr">
        <is>
          <t>32285005033336</t>
        </is>
      </c>
      <c r="BD96" t="inlineStr">
        <is>
          <t>893241562</t>
        </is>
      </c>
    </row>
    <row r="97">
      <c r="A97" t="inlineStr">
        <is>
          <t>No</t>
        </is>
      </c>
      <c r="B97" t="inlineStr">
        <is>
          <t>E169.04 .D57 1989</t>
        </is>
      </c>
      <c r="C97" t="inlineStr">
        <is>
          <t>0                      E  0169040D  57          1989</t>
        </is>
      </c>
      <c r="D97" t="inlineStr">
        <is>
          <t>Discover America! : a scenic tour of the fifty states.</t>
        </is>
      </c>
      <c r="F97" t="inlineStr">
        <is>
          <t>No</t>
        </is>
      </c>
      <c r="G97" t="inlineStr">
        <is>
          <t>1</t>
        </is>
      </c>
      <c r="H97" t="inlineStr">
        <is>
          <t>No</t>
        </is>
      </c>
      <c r="I97" t="inlineStr">
        <is>
          <t>No</t>
        </is>
      </c>
      <c r="J97" t="inlineStr">
        <is>
          <t>0</t>
        </is>
      </c>
      <c r="L97" t="inlineStr">
        <is>
          <t>Washington, D.C. : National Geographic Society, c1989.</t>
        </is>
      </c>
      <c r="M97" t="inlineStr">
        <is>
          <t>1989</t>
        </is>
      </c>
      <c r="N97" t="inlineStr">
        <is>
          <t>1st ed.</t>
        </is>
      </c>
      <c r="O97" t="inlineStr">
        <is>
          <t>eng</t>
        </is>
      </c>
      <c r="P97" t="inlineStr">
        <is>
          <t>dcu</t>
        </is>
      </c>
      <c r="R97" t="inlineStr">
        <is>
          <t xml:space="preserve">E  </t>
        </is>
      </c>
      <c r="S97" t="n">
        <v>4</v>
      </c>
      <c r="T97" t="n">
        <v>4</v>
      </c>
      <c r="U97" t="inlineStr">
        <is>
          <t>2004-05-07</t>
        </is>
      </c>
      <c r="V97" t="inlineStr">
        <is>
          <t>2004-05-07</t>
        </is>
      </c>
      <c r="W97" t="inlineStr">
        <is>
          <t>1990-02-13</t>
        </is>
      </c>
      <c r="X97" t="inlineStr">
        <is>
          <t>1990-02-13</t>
        </is>
      </c>
      <c r="Y97" t="n">
        <v>748</v>
      </c>
      <c r="Z97" t="n">
        <v>712</v>
      </c>
      <c r="AA97" t="n">
        <v>719</v>
      </c>
      <c r="AB97" t="n">
        <v>8</v>
      </c>
      <c r="AC97" t="n">
        <v>8</v>
      </c>
      <c r="AD97" t="n">
        <v>6</v>
      </c>
      <c r="AE97" t="n">
        <v>6</v>
      </c>
      <c r="AF97" t="n">
        <v>2</v>
      </c>
      <c r="AG97" t="n">
        <v>2</v>
      </c>
      <c r="AH97" t="n">
        <v>2</v>
      </c>
      <c r="AI97" t="n">
        <v>2</v>
      </c>
      <c r="AJ97" t="n">
        <v>0</v>
      </c>
      <c r="AK97" t="n">
        <v>0</v>
      </c>
      <c r="AL97" t="n">
        <v>2</v>
      </c>
      <c r="AM97" t="n">
        <v>2</v>
      </c>
      <c r="AN97" t="n">
        <v>0</v>
      </c>
      <c r="AO97" t="n">
        <v>0</v>
      </c>
      <c r="AP97" t="inlineStr">
        <is>
          <t>No</t>
        </is>
      </c>
      <c r="AQ97" t="inlineStr">
        <is>
          <t>Yes</t>
        </is>
      </c>
      <c r="AR97">
        <f>HYPERLINK("http://catalog.hathitrust.org/Record/007967048","HathiTrust Record")</f>
        <v/>
      </c>
      <c r="AS97">
        <f>HYPERLINK("https://creighton-primo.hosted.exlibrisgroup.com/primo-explore/search?tab=default_tab&amp;search_scope=EVERYTHING&amp;vid=01CRU&amp;lang=en_US&amp;offset=0&amp;query=any,contains,991001521879702656","Catalog Record")</f>
        <v/>
      </c>
      <c r="AT97">
        <f>HYPERLINK("http://www.worldcat.org/oclc/19981283","WorldCat Record")</f>
        <v/>
      </c>
      <c r="AU97" t="inlineStr">
        <is>
          <t>905997087:eng</t>
        </is>
      </c>
      <c r="AV97" t="inlineStr">
        <is>
          <t>19981283</t>
        </is>
      </c>
      <c r="AW97" t="inlineStr">
        <is>
          <t>991001521879702656</t>
        </is>
      </c>
      <c r="AX97" t="inlineStr">
        <is>
          <t>991001521879702656</t>
        </is>
      </c>
      <c r="AY97" t="inlineStr">
        <is>
          <t>2259865980002656</t>
        </is>
      </c>
      <c r="AZ97" t="inlineStr">
        <is>
          <t>BOOK</t>
        </is>
      </c>
      <c r="BB97" t="inlineStr">
        <is>
          <t>9780870448072</t>
        </is>
      </c>
      <c r="BC97" t="inlineStr">
        <is>
          <t>32285000037472</t>
        </is>
      </c>
      <c r="BD97" t="inlineStr">
        <is>
          <t>893528975</t>
        </is>
      </c>
    </row>
    <row r="98">
      <c r="A98" t="inlineStr">
        <is>
          <t>No</t>
        </is>
      </c>
      <c r="B98" t="inlineStr">
        <is>
          <t>E169.04 .E46 1994</t>
        </is>
      </c>
      <c r="C98" t="inlineStr">
        <is>
          <t>0                      E  0169040E  46          1994</t>
        </is>
      </c>
      <c r="D98" t="inlineStr">
        <is>
          <t>Eloquent obsessions : writing cultural criticism / edited by Marianna Torgovnick.</t>
        </is>
      </c>
      <c r="F98" t="inlineStr">
        <is>
          <t>No</t>
        </is>
      </c>
      <c r="G98" t="inlineStr">
        <is>
          <t>1</t>
        </is>
      </c>
      <c r="H98" t="inlineStr">
        <is>
          <t>No</t>
        </is>
      </c>
      <c r="I98" t="inlineStr">
        <is>
          <t>No</t>
        </is>
      </c>
      <c r="J98" t="inlineStr">
        <is>
          <t>0</t>
        </is>
      </c>
      <c r="L98" t="inlineStr">
        <is>
          <t>Durham : Duke University Press, 1994.</t>
        </is>
      </c>
      <c r="M98" t="inlineStr">
        <is>
          <t>1994</t>
        </is>
      </c>
      <c r="O98" t="inlineStr">
        <is>
          <t>eng</t>
        </is>
      </c>
      <c r="P98" t="inlineStr">
        <is>
          <t>ncu</t>
        </is>
      </c>
      <c r="R98" t="inlineStr">
        <is>
          <t xml:space="preserve">E  </t>
        </is>
      </c>
      <c r="S98" t="n">
        <v>1</v>
      </c>
      <c r="T98" t="n">
        <v>1</v>
      </c>
      <c r="U98" t="inlineStr">
        <is>
          <t>2005-04-28</t>
        </is>
      </c>
      <c r="V98" t="inlineStr">
        <is>
          <t>2005-04-28</t>
        </is>
      </c>
      <c r="W98" t="inlineStr">
        <is>
          <t>2005-04-28</t>
        </is>
      </c>
      <c r="X98" t="inlineStr">
        <is>
          <t>2005-04-28</t>
        </is>
      </c>
      <c r="Y98" t="n">
        <v>284</v>
      </c>
      <c r="Z98" t="n">
        <v>227</v>
      </c>
      <c r="AA98" t="n">
        <v>234</v>
      </c>
      <c r="AB98" t="n">
        <v>2</v>
      </c>
      <c r="AC98" t="n">
        <v>2</v>
      </c>
      <c r="AD98" t="n">
        <v>8</v>
      </c>
      <c r="AE98" t="n">
        <v>8</v>
      </c>
      <c r="AF98" t="n">
        <v>2</v>
      </c>
      <c r="AG98" t="n">
        <v>2</v>
      </c>
      <c r="AH98" t="n">
        <v>2</v>
      </c>
      <c r="AI98" t="n">
        <v>2</v>
      </c>
      <c r="AJ98" t="n">
        <v>6</v>
      </c>
      <c r="AK98" t="n">
        <v>6</v>
      </c>
      <c r="AL98" t="n">
        <v>1</v>
      </c>
      <c r="AM98" t="n">
        <v>1</v>
      </c>
      <c r="AN98" t="n">
        <v>0</v>
      </c>
      <c r="AO98" t="n">
        <v>0</v>
      </c>
      <c r="AP98" t="inlineStr">
        <is>
          <t>No</t>
        </is>
      </c>
      <c r="AQ98" t="inlineStr">
        <is>
          <t>Yes</t>
        </is>
      </c>
      <c r="AR98">
        <f>HYPERLINK("http://catalog.hathitrust.org/Record/002868980","HathiTrust Record")</f>
        <v/>
      </c>
      <c r="AS98">
        <f>HYPERLINK("https://creighton-primo.hosted.exlibrisgroup.com/primo-explore/search?tab=default_tab&amp;search_scope=EVERYTHING&amp;vid=01CRU&amp;lang=en_US&amp;offset=0&amp;query=any,contains,991004546529702656","Catalog Record")</f>
        <v/>
      </c>
      <c r="AT98">
        <f>HYPERLINK("http://www.worldcat.org/oclc/29517507","WorldCat Record")</f>
        <v/>
      </c>
      <c r="AU98" t="inlineStr">
        <is>
          <t>836975021:eng</t>
        </is>
      </c>
      <c r="AV98" t="inlineStr">
        <is>
          <t>29517507</t>
        </is>
      </c>
      <c r="AW98" t="inlineStr">
        <is>
          <t>991004546529702656</t>
        </is>
      </c>
      <c r="AX98" t="inlineStr">
        <is>
          <t>991004546529702656</t>
        </is>
      </c>
      <c r="AY98" t="inlineStr">
        <is>
          <t>2269828510002656</t>
        </is>
      </c>
      <c r="AZ98" t="inlineStr">
        <is>
          <t>BOOK</t>
        </is>
      </c>
      <c r="BB98" t="inlineStr">
        <is>
          <t>9780822314554</t>
        </is>
      </c>
      <c r="BC98" t="inlineStr">
        <is>
          <t>32285005033997</t>
        </is>
      </c>
      <c r="BD98" t="inlineStr">
        <is>
          <t>893712749</t>
        </is>
      </c>
    </row>
    <row r="99">
      <c r="A99" t="inlineStr">
        <is>
          <t>No</t>
        </is>
      </c>
      <c r="B99" t="inlineStr">
        <is>
          <t>E169.04 .G53 1994</t>
        </is>
      </c>
      <c r="C99" t="inlineStr">
        <is>
          <t>0                      E  0169040G  53          1994</t>
        </is>
      </c>
      <c r="D99" t="inlineStr">
        <is>
          <t>Warrior dreams : paramilitary culture in post-Vietnam America / James William Gibson.</t>
        </is>
      </c>
      <c r="F99" t="inlineStr">
        <is>
          <t>No</t>
        </is>
      </c>
      <c r="G99" t="inlineStr">
        <is>
          <t>1</t>
        </is>
      </c>
      <c r="H99" t="inlineStr">
        <is>
          <t>No</t>
        </is>
      </c>
      <c r="I99" t="inlineStr">
        <is>
          <t>No</t>
        </is>
      </c>
      <c r="J99" t="inlineStr">
        <is>
          <t>0</t>
        </is>
      </c>
      <c r="K99" t="inlineStr">
        <is>
          <t>Gibson, James William.</t>
        </is>
      </c>
      <c r="L99" t="inlineStr">
        <is>
          <t>New York : Hill and Wang, 1994.</t>
        </is>
      </c>
      <c r="M99" t="inlineStr">
        <is>
          <t>1994</t>
        </is>
      </c>
      <c r="N99" t="inlineStr">
        <is>
          <t>1st ed.</t>
        </is>
      </c>
      <c r="O99" t="inlineStr">
        <is>
          <t>eng</t>
        </is>
      </c>
      <c r="P99" t="inlineStr">
        <is>
          <t>nyu</t>
        </is>
      </c>
      <c r="R99" t="inlineStr">
        <is>
          <t xml:space="preserve">E  </t>
        </is>
      </c>
      <c r="S99" t="n">
        <v>11</v>
      </c>
      <c r="T99" t="n">
        <v>11</v>
      </c>
      <c r="U99" t="inlineStr">
        <is>
          <t>2004-12-18</t>
        </is>
      </c>
      <c r="V99" t="inlineStr">
        <is>
          <t>2004-12-18</t>
        </is>
      </c>
      <c r="W99" t="inlineStr">
        <is>
          <t>1995-02-02</t>
        </is>
      </c>
      <c r="X99" t="inlineStr">
        <is>
          <t>1995-02-02</t>
        </is>
      </c>
      <c r="Y99" t="n">
        <v>867</v>
      </c>
      <c r="Z99" t="n">
        <v>765</v>
      </c>
      <c r="AA99" t="n">
        <v>770</v>
      </c>
      <c r="AB99" t="n">
        <v>7</v>
      </c>
      <c r="AC99" t="n">
        <v>7</v>
      </c>
      <c r="AD99" t="n">
        <v>35</v>
      </c>
      <c r="AE99" t="n">
        <v>35</v>
      </c>
      <c r="AF99" t="n">
        <v>14</v>
      </c>
      <c r="AG99" t="n">
        <v>14</v>
      </c>
      <c r="AH99" t="n">
        <v>9</v>
      </c>
      <c r="AI99" t="n">
        <v>9</v>
      </c>
      <c r="AJ99" t="n">
        <v>16</v>
      </c>
      <c r="AK99" t="n">
        <v>16</v>
      </c>
      <c r="AL99" t="n">
        <v>3</v>
      </c>
      <c r="AM99" t="n">
        <v>3</v>
      </c>
      <c r="AN99" t="n">
        <v>1</v>
      </c>
      <c r="AO99" t="n">
        <v>1</v>
      </c>
      <c r="AP99" t="inlineStr">
        <is>
          <t>No</t>
        </is>
      </c>
      <c r="AQ99" t="inlineStr">
        <is>
          <t>No</t>
        </is>
      </c>
      <c r="AS99">
        <f>HYPERLINK("https://creighton-primo.hosted.exlibrisgroup.com/primo-explore/search?tab=default_tab&amp;search_scope=EVERYTHING&amp;vid=01CRU&amp;lang=en_US&amp;offset=0&amp;query=any,contains,991002222889702656","Catalog Record")</f>
        <v/>
      </c>
      <c r="AT99">
        <f>HYPERLINK("http://www.worldcat.org/oclc/28632939","WorldCat Record")</f>
        <v/>
      </c>
      <c r="AU99" t="inlineStr">
        <is>
          <t>354187254:eng</t>
        </is>
      </c>
      <c r="AV99" t="inlineStr">
        <is>
          <t>28632939</t>
        </is>
      </c>
      <c r="AW99" t="inlineStr">
        <is>
          <t>991002222889702656</t>
        </is>
      </c>
      <c r="AX99" t="inlineStr">
        <is>
          <t>991002222889702656</t>
        </is>
      </c>
      <c r="AY99" t="inlineStr">
        <is>
          <t>2269681900002656</t>
        </is>
      </c>
      <c r="AZ99" t="inlineStr">
        <is>
          <t>BOOK</t>
        </is>
      </c>
      <c r="BB99" t="inlineStr">
        <is>
          <t>9780809096664</t>
        </is>
      </c>
      <c r="BC99" t="inlineStr">
        <is>
          <t>32285001996700</t>
        </is>
      </c>
      <c r="BD99" t="inlineStr">
        <is>
          <t>893615857</t>
        </is>
      </c>
    </row>
    <row r="100">
      <c r="A100" t="inlineStr">
        <is>
          <t>No</t>
        </is>
      </c>
      <c r="B100" t="inlineStr">
        <is>
          <t>E169.04 .H4 1982</t>
        </is>
      </c>
      <c r="C100" t="inlineStr">
        <is>
          <t>0                      E  0169040H  4           1982</t>
        </is>
      </c>
      <c r="D100" t="inlineStr">
        <is>
          <t>Blue highways : a journey into America / William Least Heat Moon (William Trogdon) ; photographs by the author.</t>
        </is>
      </c>
      <c r="F100" t="inlineStr">
        <is>
          <t>No</t>
        </is>
      </c>
      <c r="G100" t="inlineStr">
        <is>
          <t>1</t>
        </is>
      </c>
      <c r="H100" t="inlineStr">
        <is>
          <t>No</t>
        </is>
      </c>
      <c r="I100" t="inlineStr">
        <is>
          <t>Yes</t>
        </is>
      </c>
      <c r="J100" t="inlineStr">
        <is>
          <t>0</t>
        </is>
      </c>
      <c r="K100" t="inlineStr">
        <is>
          <t>Heat Moon, William Least.</t>
        </is>
      </c>
      <c r="L100" t="inlineStr">
        <is>
          <t>Boston : Little, Brown, c1982.</t>
        </is>
      </c>
      <c r="M100" t="inlineStr">
        <is>
          <t>1982</t>
        </is>
      </c>
      <c r="N100" t="inlineStr">
        <is>
          <t>1st ed.</t>
        </is>
      </c>
      <c r="O100" t="inlineStr">
        <is>
          <t>eng</t>
        </is>
      </c>
      <c r="P100" t="inlineStr">
        <is>
          <t>mau</t>
        </is>
      </c>
      <c r="R100" t="inlineStr">
        <is>
          <t xml:space="preserve">E  </t>
        </is>
      </c>
      <c r="S100" t="n">
        <v>13</v>
      </c>
      <c r="T100" t="n">
        <v>13</v>
      </c>
      <c r="U100" t="inlineStr">
        <is>
          <t>2005-05-10</t>
        </is>
      </c>
      <c r="V100" t="inlineStr">
        <is>
          <t>2005-05-10</t>
        </is>
      </c>
      <c r="W100" t="inlineStr">
        <is>
          <t>1990-12-13</t>
        </is>
      </c>
      <c r="X100" t="inlineStr">
        <is>
          <t>1990-12-13</t>
        </is>
      </c>
      <c r="Y100" t="n">
        <v>2474</v>
      </c>
      <c r="Z100" t="n">
        <v>2392</v>
      </c>
      <c r="AA100" t="n">
        <v>3317</v>
      </c>
      <c r="AB100" t="n">
        <v>30</v>
      </c>
      <c r="AC100" t="n">
        <v>38</v>
      </c>
      <c r="AD100" t="n">
        <v>41</v>
      </c>
      <c r="AE100" t="n">
        <v>55</v>
      </c>
      <c r="AF100" t="n">
        <v>15</v>
      </c>
      <c r="AG100" t="n">
        <v>20</v>
      </c>
      <c r="AH100" t="n">
        <v>4</v>
      </c>
      <c r="AI100" t="n">
        <v>7</v>
      </c>
      <c r="AJ100" t="n">
        <v>17</v>
      </c>
      <c r="AK100" t="n">
        <v>22</v>
      </c>
      <c r="AL100" t="n">
        <v>10</v>
      </c>
      <c r="AM100" t="n">
        <v>15</v>
      </c>
      <c r="AN100" t="n">
        <v>1</v>
      </c>
      <c r="AO100" t="n">
        <v>1</v>
      </c>
      <c r="AP100" t="inlineStr">
        <is>
          <t>No</t>
        </is>
      </c>
      <c r="AQ100" t="inlineStr">
        <is>
          <t>No</t>
        </is>
      </c>
      <c r="AS100">
        <f>HYPERLINK("https://creighton-primo.hosted.exlibrisgroup.com/primo-explore/search?tab=default_tab&amp;search_scope=EVERYTHING&amp;vid=01CRU&amp;lang=en_US&amp;offset=0&amp;query=any,contains,991000054489702656","Catalog Record")</f>
        <v/>
      </c>
      <c r="AT100">
        <f>HYPERLINK("http://www.worldcat.org/oclc/8708229","WorldCat Record")</f>
        <v/>
      </c>
      <c r="AU100" t="inlineStr">
        <is>
          <t>447403:eng</t>
        </is>
      </c>
      <c r="AV100" t="inlineStr">
        <is>
          <t>8708229</t>
        </is>
      </c>
      <c r="AW100" t="inlineStr">
        <is>
          <t>991000054489702656</t>
        </is>
      </c>
      <c r="AX100" t="inlineStr">
        <is>
          <t>991000054489702656</t>
        </is>
      </c>
      <c r="AY100" t="inlineStr">
        <is>
          <t>2255537550002656</t>
        </is>
      </c>
      <c r="AZ100" t="inlineStr">
        <is>
          <t>BOOK</t>
        </is>
      </c>
      <c r="BB100" t="inlineStr">
        <is>
          <t>9780316140638</t>
        </is>
      </c>
      <c r="BC100" t="inlineStr">
        <is>
          <t>32285000423185</t>
        </is>
      </c>
      <c r="BD100" t="inlineStr">
        <is>
          <t>893595224</t>
        </is>
      </c>
    </row>
    <row r="101">
      <c r="A101" t="inlineStr">
        <is>
          <t>No</t>
        </is>
      </c>
      <c r="B101" t="inlineStr">
        <is>
          <t>E169.04 .K35 1999</t>
        </is>
      </c>
      <c r="C101" t="inlineStr">
        <is>
          <t>0                      E  0169040K  35          1999</t>
        </is>
      </c>
      <c r="D101" t="inlineStr">
        <is>
          <t>American culture, American tastes : social change and the 20th century / Michael Kammen.</t>
        </is>
      </c>
      <c r="F101" t="inlineStr">
        <is>
          <t>No</t>
        </is>
      </c>
      <c r="G101" t="inlineStr">
        <is>
          <t>1</t>
        </is>
      </c>
      <c r="H101" t="inlineStr">
        <is>
          <t>No</t>
        </is>
      </c>
      <c r="I101" t="inlineStr">
        <is>
          <t>No</t>
        </is>
      </c>
      <c r="J101" t="inlineStr">
        <is>
          <t>0</t>
        </is>
      </c>
      <c r="K101" t="inlineStr">
        <is>
          <t>Kammen, Michael G.</t>
        </is>
      </c>
      <c r="L101" t="inlineStr">
        <is>
          <t>New York : Alfred A. Knopf : Distributed by Random House, 1999.</t>
        </is>
      </c>
      <c r="M101" t="inlineStr">
        <is>
          <t>1999</t>
        </is>
      </c>
      <c r="N101" t="inlineStr">
        <is>
          <t>1st ed.</t>
        </is>
      </c>
      <c r="O101" t="inlineStr">
        <is>
          <t>eng</t>
        </is>
      </c>
      <c r="P101" t="inlineStr">
        <is>
          <t>nyu</t>
        </is>
      </c>
      <c r="R101" t="inlineStr">
        <is>
          <t xml:space="preserve">E  </t>
        </is>
      </c>
      <c r="S101" t="n">
        <v>3</v>
      </c>
      <c r="T101" t="n">
        <v>3</v>
      </c>
      <c r="U101" t="inlineStr">
        <is>
          <t>2002-02-25</t>
        </is>
      </c>
      <c r="V101" t="inlineStr">
        <is>
          <t>2002-02-25</t>
        </is>
      </c>
      <c r="W101" t="inlineStr">
        <is>
          <t>1999-09-23</t>
        </is>
      </c>
      <c r="X101" t="inlineStr">
        <is>
          <t>1999-09-23</t>
        </is>
      </c>
      <c r="Y101" t="n">
        <v>1069</v>
      </c>
      <c r="Z101" t="n">
        <v>995</v>
      </c>
      <c r="AA101" t="n">
        <v>1133</v>
      </c>
      <c r="AB101" t="n">
        <v>8</v>
      </c>
      <c r="AC101" t="n">
        <v>9</v>
      </c>
      <c r="AD101" t="n">
        <v>40</v>
      </c>
      <c r="AE101" t="n">
        <v>41</v>
      </c>
      <c r="AF101" t="n">
        <v>17</v>
      </c>
      <c r="AG101" t="n">
        <v>17</v>
      </c>
      <c r="AH101" t="n">
        <v>9</v>
      </c>
      <c r="AI101" t="n">
        <v>9</v>
      </c>
      <c r="AJ101" t="n">
        <v>18</v>
      </c>
      <c r="AK101" t="n">
        <v>18</v>
      </c>
      <c r="AL101" t="n">
        <v>6</v>
      </c>
      <c r="AM101" t="n">
        <v>7</v>
      </c>
      <c r="AN101" t="n">
        <v>0</v>
      </c>
      <c r="AO101" t="n">
        <v>0</v>
      </c>
      <c r="AP101" t="inlineStr">
        <is>
          <t>No</t>
        </is>
      </c>
      <c r="AQ101" t="inlineStr">
        <is>
          <t>Yes</t>
        </is>
      </c>
      <c r="AR101">
        <f>HYPERLINK("http://catalog.hathitrust.org/Record/004047608","HathiTrust Record")</f>
        <v/>
      </c>
      <c r="AS101">
        <f>HYPERLINK("https://creighton-primo.hosted.exlibrisgroup.com/primo-explore/search?tab=default_tab&amp;search_scope=EVERYTHING&amp;vid=01CRU&amp;lang=en_US&amp;offset=0&amp;query=any,contains,991002976339702656","Catalog Record")</f>
        <v/>
      </c>
      <c r="AT101">
        <f>HYPERLINK("http://www.worldcat.org/oclc/39913129","WorldCat Record")</f>
        <v/>
      </c>
      <c r="AU101" t="inlineStr">
        <is>
          <t>46501:eng</t>
        </is>
      </c>
      <c r="AV101" t="inlineStr">
        <is>
          <t>39913129</t>
        </is>
      </c>
      <c r="AW101" t="inlineStr">
        <is>
          <t>991002976339702656</t>
        </is>
      </c>
      <c r="AX101" t="inlineStr">
        <is>
          <t>991002976339702656</t>
        </is>
      </c>
      <c r="AY101" t="inlineStr">
        <is>
          <t>2266573610002656</t>
        </is>
      </c>
      <c r="AZ101" t="inlineStr">
        <is>
          <t>BOOK</t>
        </is>
      </c>
      <c r="BB101" t="inlineStr">
        <is>
          <t>9780679427407</t>
        </is>
      </c>
      <c r="BC101" t="inlineStr">
        <is>
          <t>32285003590527</t>
        </is>
      </c>
      <c r="BD101" t="inlineStr">
        <is>
          <t>893780474</t>
        </is>
      </c>
    </row>
    <row r="102">
      <c r="A102" t="inlineStr">
        <is>
          <t>No</t>
        </is>
      </c>
      <c r="B102" t="inlineStr">
        <is>
          <t>E169.04 .M663 1999</t>
        </is>
      </c>
      <c r="C102" t="inlineStr">
        <is>
          <t>0                      E  0169040M  663         1999</t>
        </is>
      </c>
      <c r="D102" t="inlineStr">
        <is>
          <t>The distance to the moon : a road trip into the American dream / James Morgan.</t>
        </is>
      </c>
      <c r="F102" t="inlineStr">
        <is>
          <t>No</t>
        </is>
      </c>
      <c r="G102" t="inlineStr">
        <is>
          <t>1</t>
        </is>
      </c>
      <c r="H102" t="inlineStr">
        <is>
          <t>No</t>
        </is>
      </c>
      <c r="I102" t="inlineStr">
        <is>
          <t>No</t>
        </is>
      </c>
      <c r="J102" t="inlineStr">
        <is>
          <t>0</t>
        </is>
      </c>
      <c r="K102" t="inlineStr">
        <is>
          <t>Morgan, James, 1944-</t>
        </is>
      </c>
      <c r="L102" t="inlineStr">
        <is>
          <t>New York : Riverhead Books, c1999.</t>
        </is>
      </c>
      <c r="M102" t="inlineStr">
        <is>
          <t>1999</t>
        </is>
      </c>
      <c r="O102" t="inlineStr">
        <is>
          <t>eng</t>
        </is>
      </c>
      <c r="P102" t="inlineStr">
        <is>
          <t>nyu</t>
        </is>
      </c>
      <c r="R102" t="inlineStr">
        <is>
          <t xml:space="preserve">E  </t>
        </is>
      </c>
      <c r="S102" t="n">
        <v>4</v>
      </c>
      <c r="T102" t="n">
        <v>4</v>
      </c>
      <c r="U102" t="inlineStr">
        <is>
          <t>2001-12-02</t>
        </is>
      </c>
      <c r="V102" t="inlineStr">
        <is>
          <t>2001-12-02</t>
        </is>
      </c>
      <c r="W102" t="inlineStr">
        <is>
          <t>1999-08-19</t>
        </is>
      </c>
      <c r="X102" t="inlineStr">
        <is>
          <t>1999-08-19</t>
        </is>
      </c>
      <c r="Y102" t="n">
        <v>285</v>
      </c>
      <c r="Z102" t="n">
        <v>269</v>
      </c>
      <c r="AA102" t="n">
        <v>291</v>
      </c>
      <c r="AB102" t="n">
        <v>3</v>
      </c>
      <c r="AC102" t="n">
        <v>3</v>
      </c>
      <c r="AD102" t="n">
        <v>11</v>
      </c>
      <c r="AE102" t="n">
        <v>11</v>
      </c>
      <c r="AF102" t="n">
        <v>4</v>
      </c>
      <c r="AG102" t="n">
        <v>4</v>
      </c>
      <c r="AH102" t="n">
        <v>2</v>
      </c>
      <c r="AI102" t="n">
        <v>2</v>
      </c>
      <c r="AJ102" t="n">
        <v>5</v>
      </c>
      <c r="AK102" t="n">
        <v>5</v>
      </c>
      <c r="AL102" t="n">
        <v>2</v>
      </c>
      <c r="AM102" t="n">
        <v>2</v>
      </c>
      <c r="AN102" t="n">
        <v>0</v>
      </c>
      <c r="AO102" t="n">
        <v>0</v>
      </c>
      <c r="AP102" t="inlineStr">
        <is>
          <t>No</t>
        </is>
      </c>
      <c r="AQ102" t="inlineStr">
        <is>
          <t>Yes</t>
        </is>
      </c>
      <c r="AR102">
        <f>HYPERLINK("http://catalog.hathitrust.org/Record/004033835","HathiTrust Record")</f>
        <v/>
      </c>
      <c r="AS102">
        <f>HYPERLINK("https://creighton-primo.hosted.exlibrisgroup.com/primo-explore/search?tab=default_tab&amp;search_scope=EVERYTHING&amp;vid=01CRU&amp;lang=en_US&amp;offset=0&amp;query=any,contains,991002995729702656","Catalog Record")</f>
        <v/>
      </c>
      <c r="AT102">
        <f>HYPERLINK("http://www.worldcat.org/oclc/40501327","WorldCat Record")</f>
        <v/>
      </c>
      <c r="AU102" t="inlineStr">
        <is>
          <t>937657:eng</t>
        </is>
      </c>
      <c r="AV102" t="inlineStr">
        <is>
          <t>40501327</t>
        </is>
      </c>
      <c r="AW102" t="inlineStr">
        <is>
          <t>991002995729702656</t>
        </is>
      </c>
      <c r="AX102" t="inlineStr">
        <is>
          <t>991002995729702656</t>
        </is>
      </c>
      <c r="AY102" t="inlineStr">
        <is>
          <t>2256781130002656</t>
        </is>
      </c>
      <c r="AZ102" t="inlineStr">
        <is>
          <t>BOOK</t>
        </is>
      </c>
      <c r="BB102" t="inlineStr">
        <is>
          <t>9781573221351</t>
        </is>
      </c>
      <c r="BC102" t="inlineStr">
        <is>
          <t>32285003582888</t>
        </is>
      </c>
      <c r="BD102" t="inlineStr">
        <is>
          <t>893598140</t>
        </is>
      </c>
    </row>
    <row r="103">
      <c r="A103" t="inlineStr">
        <is>
          <t>No</t>
        </is>
      </c>
      <c r="B103" t="inlineStr">
        <is>
          <t>E169.04 .S825 1999</t>
        </is>
      </c>
      <c r="C103" t="inlineStr">
        <is>
          <t>0                      E  0169040S  825         1999</t>
        </is>
      </c>
      <c r="D103" t="inlineStr">
        <is>
          <t>Outside lies magic : regaining history and awareness in everyday places / John R. Stilgoe.</t>
        </is>
      </c>
      <c r="F103" t="inlineStr">
        <is>
          <t>No</t>
        </is>
      </c>
      <c r="G103" t="inlineStr">
        <is>
          <t>1</t>
        </is>
      </c>
      <c r="H103" t="inlineStr">
        <is>
          <t>No</t>
        </is>
      </c>
      <c r="I103" t="inlineStr">
        <is>
          <t>No</t>
        </is>
      </c>
      <c r="J103" t="inlineStr">
        <is>
          <t>0</t>
        </is>
      </c>
      <c r="K103" t="inlineStr">
        <is>
          <t>Stilgoe, John R., 1949-</t>
        </is>
      </c>
      <c r="L103" t="inlineStr">
        <is>
          <t>New York : Walker and Co., 1999, c1998.</t>
        </is>
      </c>
      <c r="M103" t="inlineStr">
        <is>
          <t>1999</t>
        </is>
      </c>
      <c r="N103" t="inlineStr">
        <is>
          <t>1st pbk. ed.</t>
        </is>
      </c>
      <c r="O103" t="inlineStr">
        <is>
          <t>eng</t>
        </is>
      </c>
      <c r="P103" t="inlineStr">
        <is>
          <t>nyu</t>
        </is>
      </c>
      <c r="R103" t="inlineStr">
        <is>
          <t xml:space="preserve">E  </t>
        </is>
      </c>
      <c r="S103" t="n">
        <v>4</v>
      </c>
      <c r="T103" t="n">
        <v>4</v>
      </c>
      <c r="U103" t="inlineStr">
        <is>
          <t>2003-05-30</t>
        </is>
      </c>
      <c r="V103" t="inlineStr">
        <is>
          <t>2003-05-30</t>
        </is>
      </c>
      <c r="W103" t="inlineStr">
        <is>
          <t>1999-05-05</t>
        </is>
      </c>
      <c r="X103" t="inlineStr">
        <is>
          <t>1999-05-05</t>
        </is>
      </c>
      <c r="Y103" t="n">
        <v>502</v>
      </c>
      <c r="Z103" t="n">
        <v>471</v>
      </c>
      <c r="AA103" t="n">
        <v>561</v>
      </c>
      <c r="AB103" t="n">
        <v>4</v>
      </c>
      <c r="AC103" t="n">
        <v>5</v>
      </c>
      <c r="AD103" t="n">
        <v>16</v>
      </c>
      <c r="AE103" t="n">
        <v>17</v>
      </c>
      <c r="AF103" t="n">
        <v>3</v>
      </c>
      <c r="AG103" t="n">
        <v>3</v>
      </c>
      <c r="AH103" t="n">
        <v>5</v>
      </c>
      <c r="AI103" t="n">
        <v>5</v>
      </c>
      <c r="AJ103" t="n">
        <v>8</v>
      </c>
      <c r="AK103" t="n">
        <v>8</v>
      </c>
      <c r="AL103" t="n">
        <v>3</v>
      </c>
      <c r="AM103" t="n">
        <v>4</v>
      </c>
      <c r="AN103" t="n">
        <v>0</v>
      </c>
      <c r="AO103" t="n">
        <v>0</v>
      </c>
      <c r="AP103" t="inlineStr">
        <is>
          <t>No</t>
        </is>
      </c>
      <c r="AQ103" t="inlineStr">
        <is>
          <t>No</t>
        </is>
      </c>
      <c r="AS103">
        <f>HYPERLINK("https://creighton-primo.hosted.exlibrisgroup.com/primo-explore/search?tab=default_tab&amp;search_scope=EVERYTHING&amp;vid=01CRU&amp;lang=en_US&amp;offset=0&amp;query=any,contains,991005428119702656","Catalog Record")</f>
        <v/>
      </c>
      <c r="AT103">
        <f>HYPERLINK("http://www.worldcat.org/oclc/38890714","WorldCat Record")</f>
        <v/>
      </c>
      <c r="AU103" t="inlineStr">
        <is>
          <t>892686005:eng</t>
        </is>
      </c>
      <c r="AV103" t="inlineStr">
        <is>
          <t>38890714</t>
        </is>
      </c>
      <c r="AW103" t="inlineStr">
        <is>
          <t>991005428119702656</t>
        </is>
      </c>
      <c r="AX103" t="inlineStr">
        <is>
          <t>991005428119702656</t>
        </is>
      </c>
      <c r="AY103" t="inlineStr">
        <is>
          <t>2265356890002656</t>
        </is>
      </c>
      <c r="AZ103" t="inlineStr">
        <is>
          <t>BOOK</t>
        </is>
      </c>
      <c r="BB103" t="inlineStr">
        <is>
          <t>9780802713407</t>
        </is>
      </c>
      <c r="BC103" t="inlineStr">
        <is>
          <t>32285003559209</t>
        </is>
      </c>
      <c r="BD103" t="inlineStr">
        <is>
          <t>893533845</t>
        </is>
      </c>
    </row>
    <row r="104">
      <c r="A104" t="inlineStr">
        <is>
          <t>No</t>
        </is>
      </c>
      <c r="B104" t="inlineStr">
        <is>
          <t>E169.04 .W35 1987</t>
        </is>
      </c>
      <c r="C104" t="inlineStr">
        <is>
          <t>0                      E  0169040W  35          1987</t>
        </is>
      </c>
      <c r="D104" t="inlineStr">
        <is>
          <t>Brit-think, Ameri-think : a transatlantic survival guide / Jane Walmsley ; with cartoons by Gray Jolliffe.</t>
        </is>
      </c>
      <c r="F104" t="inlineStr">
        <is>
          <t>No</t>
        </is>
      </c>
      <c r="G104" t="inlineStr">
        <is>
          <t>1</t>
        </is>
      </c>
      <c r="H104" t="inlineStr">
        <is>
          <t>No</t>
        </is>
      </c>
      <c r="I104" t="inlineStr">
        <is>
          <t>No</t>
        </is>
      </c>
      <c r="J104" t="inlineStr">
        <is>
          <t>0</t>
        </is>
      </c>
      <c r="K104" t="inlineStr">
        <is>
          <t>Walmsley, Jane.</t>
        </is>
      </c>
      <c r="L104" t="inlineStr">
        <is>
          <t>New York, NY : Penguin Books, 1987.</t>
        </is>
      </c>
      <c r="M104" t="inlineStr">
        <is>
          <t>1987</t>
        </is>
      </c>
      <c r="O104" t="inlineStr">
        <is>
          <t>eng</t>
        </is>
      </c>
      <c r="P104" t="inlineStr">
        <is>
          <t>nyu</t>
        </is>
      </c>
      <c r="R104" t="inlineStr">
        <is>
          <t xml:space="preserve">E  </t>
        </is>
      </c>
      <c r="S104" t="n">
        <v>1</v>
      </c>
      <c r="T104" t="n">
        <v>1</v>
      </c>
      <c r="U104" t="inlineStr">
        <is>
          <t>2004-11-18</t>
        </is>
      </c>
      <c r="V104" t="inlineStr">
        <is>
          <t>2004-11-18</t>
        </is>
      </c>
      <c r="W104" t="inlineStr">
        <is>
          <t>2004-11-18</t>
        </is>
      </c>
      <c r="X104" t="inlineStr">
        <is>
          <t>2004-11-18</t>
        </is>
      </c>
      <c r="Y104" t="n">
        <v>171</v>
      </c>
      <c r="Z104" t="n">
        <v>160</v>
      </c>
      <c r="AA104" t="n">
        <v>236</v>
      </c>
      <c r="AB104" t="n">
        <v>1</v>
      </c>
      <c r="AC104" t="n">
        <v>2</v>
      </c>
      <c r="AD104" t="n">
        <v>5</v>
      </c>
      <c r="AE104" t="n">
        <v>6</v>
      </c>
      <c r="AF104" t="n">
        <v>2</v>
      </c>
      <c r="AG104" t="n">
        <v>2</v>
      </c>
      <c r="AH104" t="n">
        <v>1</v>
      </c>
      <c r="AI104" t="n">
        <v>1</v>
      </c>
      <c r="AJ104" t="n">
        <v>3</v>
      </c>
      <c r="AK104" t="n">
        <v>3</v>
      </c>
      <c r="AL104" t="n">
        <v>0</v>
      </c>
      <c r="AM104" t="n">
        <v>1</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HYPERLINK("https://creighton-primo.hosted.exlibrisgroup.com/primo-explore/search?tab=default_tab&amp;search_scope=EVERYTHING&amp;vid=01CRU&amp;lang=en_US&amp;offset=0&amp;query=any,contains,991004426059702656","Catalog Record")</f>
        <v/>
      </c>
      <c r="AT104">
        <f>HYPERLINK("http://www.worldcat.org/oclc/13945088","WorldCat Record")</f>
        <v/>
      </c>
      <c r="AU104" t="inlineStr">
        <is>
          <t>2246350:eng</t>
        </is>
      </c>
      <c r="AV104" t="inlineStr">
        <is>
          <t>13945088</t>
        </is>
      </c>
      <c r="AW104" t="inlineStr">
        <is>
          <t>991004426059702656</t>
        </is>
      </c>
      <c r="AX104" t="inlineStr">
        <is>
          <t>991004426059702656</t>
        </is>
      </c>
      <c r="AY104" t="inlineStr">
        <is>
          <t>2259055630002656</t>
        </is>
      </c>
      <c r="AZ104" t="inlineStr">
        <is>
          <t>BOOK</t>
        </is>
      </c>
      <c r="BB104" t="inlineStr">
        <is>
          <t>9780140093674</t>
        </is>
      </c>
      <c r="BC104" t="inlineStr">
        <is>
          <t>32285005012132</t>
        </is>
      </c>
      <c r="BD104" t="inlineStr">
        <is>
          <t>893712572</t>
        </is>
      </c>
    </row>
    <row r="105">
      <c r="A105" t="inlineStr">
        <is>
          <t>No</t>
        </is>
      </c>
      <c r="B105" t="inlineStr">
        <is>
          <t>E169.1 .A471987 1988</t>
        </is>
      </c>
      <c r="C105" t="inlineStr">
        <is>
          <t>0                      E  0169100A  471987      1988</t>
        </is>
      </c>
      <c r="D105" t="inlineStr">
        <is>
          <t>American ground : vistas, visions, &amp; revisions / edited by Robert H. Fossum and John K. Roth.</t>
        </is>
      </c>
      <c r="F105" t="inlineStr">
        <is>
          <t>No</t>
        </is>
      </c>
      <c r="G105" t="inlineStr">
        <is>
          <t>1</t>
        </is>
      </c>
      <c r="H105" t="inlineStr">
        <is>
          <t>No</t>
        </is>
      </c>
      <c r="I105" t="inlineStr">
        <is>
          <t>No</t>
        </is>
      </c>
      <c r="J105" t="inlineStr">
        <is>
          <t>0</t>
        </is>
      </c>
      <c r="L105" t="inlineStr">
        <is>
          <t>New York : Paragon House, c1988.</t>
        </is>
      </c>
      <c r="M105" t="inlineStr">
        <is>
          <t>1988</t>
        </is>
      </c>
      <c r="N105" t="inlineStr">
        <is>
          <t>1st ed.</t>
        </is>
      </c>
      <c r="O105" t="inlineStr">
        <is>
          <t>eng</t>
        </is>
      </c>
      <c r="P105" t="inlineStr">
        <is>
          <t>nyu</t>
        </is>
      </c>
      <c r="R105" t="inlineStr">
        <is>
          <t xml:space="preserve">E  </t>
        </is>
      </c>
      <c r="S105" t="n">
        <v>3</v>
      </c>
      <c r="T105" t="n">
        <v>3</v>
      </c>
      <c r="U105" t="inlineStr">
        <is>
          <t>1993-12-16</t>
        </is>
      </c>
      <c r="V105" t="inlineStr">
        <is>
          <t>1993-12-16</t>
        </is>
      </c>
      <c r="W105" t="inlineStr">
        <is>
          <t>1992-02-21</t>
        </is>
      </c>
      <c r="X105" t="inlineStr">
        <is>
          <t>1992-02-21</t>
        </is>
      </c>
      <c r="Y105" t="n">
        <v>213</v>
      </c>
      <c r="Z105" t="n">
        <v>195</v>
      </c>
      <c r="AA105" t="n">
        <v>199</v>
      </c>
      <c r="AB105" t="n">
        <v>2</v>
      </c>
      <c r="AC105" t="n">
        <v>2</v>
      </c>
      <c r="AD105" t="n">
        <v>8</v>
      </c>
      <c r="AE105" t="n">
        <v>9</v>
      </c>
      <c r="AF105" t="n">
        <v>2</v>
      </c>
      <c r="AG105" t="n">
        <v>3</v>
      </c>
      <c r="AH105" t="n">
        <v>0</v>
      </c>
      <c r="AI105" t="n">
        <v>0</v>
      </c>
      <c r="AJ105" t="n">
        <v>6</v>
      </c>
      <c r="AK105" t="n">
        <v>6</v>
      </c>
      <c r="AL105" t="n">
        <v>1</v>
      </c>
      <c r="AM105" t="n">
        <v>1</v>
      </c>
      <c r="AN105" t="n">
        <v>0</v>
      </c>
      <c r="AO105" t="n">
        <v>0</v>
      </c>
      <c r="AP105" t="inlineStr">
        <is>
          <t>No</t>
        </is>
      </c>
      <c r="AQ105" t="inlineStr">
        <is>
          <t>Yes</t>
        </is>
      </c>
      <c r="AR105">
        <f>HYPERLINK("http://catalog.hathitrust.org/Record/009491452","HathiTrust Record")</f>
        <v/>
      </c>
      <c r="AS105">
        <f>HYPERLINK("https://creighton-primo.hosted.exlibrisgroup.com/primo-explore/search?tab=default_tab&amp;search_scope=EVERYTHING&amp;vid=01CRU&amp;lang=en_US&amp;offset=0&amp;query=any,contains,991001100309702656","Catalog Record")</f>
        <v/>
      </c>
      <c r="AT105">
        <f>HYPERLINK("http://www.worldcat.org/oclc/16352127","WorldCat Record")</f>
        <v/>
      </c>
      <c r="AU105" t="inlineStr">
        <is>
          <t>889556423:eng</t>
        </is>
      </c>
      <c r="AV105" t="inlineStr">
        <is>
          <t>16352127</t>
        </is>
      </c>
      <c r="AW105" t="inlineStr">
        <is>
          <t>991001100309702656</t>
        </is>
      </c>
      <c r="AX105" t="inlineStr">
        <is>
          <t>991001100309702656</t>
        </is>
      </c>
      <c r="AY105" t="inlineStr">
        <is>
          <t>2270129780002656</t>
        </is>
      </c>
      <c r="AZ105" t="inlineStr">
        <is>
          <t>BOOK</t>
        </is>
      </c>
      <c r="BB105" t="inlineStr">
        <is>
          <t>9781557781147</t>
        </is>
      </c>
      <c r="BC105" t="inlineStr">
        <is>
          <t>32285000935923</t>
        </is>
      </c>
      <c r="BD105" t="inlineStr">
        <is>
          <t>893438879</t>
        </is>
      </c>
    </row>
    <row r="106">
      <c r="A106" t="inlineStr">
        <is>
          <t>No</t>
        </is>
      </c>
      <c r="B106" t="inlineStr">
        <is>
          <t>E169.1 .A47218 2001</t>
        </is>
      </c>
      <c r="C106" t="inlineStr">
        <is>
          <t>0                      E  0169100A  47218       2001</t>
        </is>
      </c>
      <c r="D106" t="inlineStr">
        <is>
          <t>The American intellectual tradition : a sourcebook / edited by David A. Hollinger and Charles Capper.</t>
        </is>
      </c>
      <c r="E106" t="inlineStr">
        <is>
          <t>V. 2</t>
        </is>
      </c>
      <c r="F106" t="inlineStr">
        <is>
          <t>Yes</t>
        </is>
      </c>
      <c r="G106" t="inlineStr">
        <is>
          <t>1</t>
        </is>
      </c>
      <c r="H106" t="inlineStr">
        <is>
          <t>No</t>
        </is>
      </c>
      <c r="I106" t="inlineStr">
        <is>
          <t>No</t>
        </is>
      </c>
      <c r="J106" t="inlineStr">
        <is>
          <t>0</t>
        </is>
      </c>
      <c r="L106" t="inlineStr">
        <is>
          <t>New York, NY : Oxford University Press, 2001.</t>
        </is>
      </c>
      <c r="M106" t="inlineStr">
        <is>
          <t>2001</t>
        </is>
      </c>
      <c r="N106" t="inlineStr">
        <is>
          <t>4th ed.</t>
        </is>
      </c>
      <c r="O106" t="inlineStr">
        <is>
          <t>eng</t>
        </is>
      </c>
      <c r="P106" t="inlineStr">
        <is>
          <t>nyu</t>
        </is>
      </c>
      <c r="R106" t="inlineStr">
        <is>
          <t xml:space="preserve">E  </t>
        </is>
      </c>
      <c r="S106" t="n">
        <v>3</v>
      </c>
      <c r="T106" t="n">
        <v>6</v>
      </c>
      <c r="U106" t="inlineStr">
        <is>
          <t>2001-08-28</t>
        </is>
      </c>
      <c r="V106" t="inlineStr">
        <is>
          <t>2001-08-28</t>
        </is>
      </c>
      <c r="W106" t="inlineStr">
        <is>
          <t>2001-08-27</t>
        </is>
      </c>
      <c r="X106" t="inlineStr">
        <is>
          <t>2001-08-27</t>
        </is>
      </c>
      <c r="Y106" t="n">
        <v>300</v>
      </c>
      <c r="Z106" t="n">
        <v>272</v>
      </c>
      <c r="AA106" t="n">
        <v>1064</v>
      </c>
      <c r="AB106" t="n">
        <v>5</v>
      </c>
      <c r="AC106" t="n">
        <v>10</v>
      </c>
      <c r="AD106" t="n">
        <v>15</v>
      </c>
      <c r="AE106" t="n">
        <v>56</v>
      </c>
      <c r="AF106" t="n">
        <v>7</v>
      </c>
      <c r="AG106" t="n">
        <v>21</v>
      </c>
      <c r="AH106" t="n">
        <v>2</v>
      </c>
      <c r="AI106" t="n">
        <v>11</v>
      </c>
      <c r="AJ106" t="n">
        <v>6</v>
      </c>
      <c r="AK106" t="n">
        <v>20</v>
      </c>
      <c r="AL106" t="n">
        <v>4</v>
      </c>
      <c r="AM106" t="n">
        <v>9</v>
      </c>
      <c r="AN106" t="n">
        <v>0</v>
      </c>
      <c r="AO106" t="n">
        <v>6</v>
      </c>
      <c r="AP106" t="inlineStr">
        <is>
          <t>No</t>
        </is>
      </c>
      <c r="AQ106" t="inlineStr">
        <is>
          <t>No</t>
        </is>
      </c>
      <c r="AS106">
        <f>HYPERLINK("https://creighton-primo.hosted.exlibrisgroup.com/primo-explore/search?tab=default_tab&amp;search_scope=EVERYTHING&amp;vid=01CRU&amp;lang=en_US&amp;offset=0&amp;query=any,contains,991003576689702656","Catalog Record")</f>
        <v/>
      </c>
      <c r="AT106">
        <f>HYPERLINK("http://www.worldcat.org/oclc/45307054","WorldCat Record")</f>
        <v/>
      </c>
      <c r="AU106" t="inlineStr">
        <is>
          <t>4653687139:eng</t>
        </is>
      </c>
      <c r="AV106" t="inlineStr">
        <is>
          <t>45307054</t>
        </is>
      </c>
      <c r="AW106" t="inlineStr">
        <is>
          <t>991003576689702656</t>
        </is>
      </c>
      <c r="AX106" t="inlineStr">
        <is>
          <t>991003576689702656</t>
        </is>
      </c>
      <c r="AY106" t="inlineStr">
        <is>
          <t>2265944930002656</t>
        </is>
      </c>
      <c r="AZ106" t="inlineStr">
        <is>
          <t>BOOK</t>
        </is>
      </c>
      <c r="BB106" t="inlineStr">
        <is>
          <t>9780195137200</t>
        </is>
      </c>
      <c r="BC106" t="inlineStr">
        <is>
          <t>32285004381090</t>
        </is>
      </c>
      <c r="BD106" t="inlineStr">
        <is>
          <t>893881311</t>
        </is>
      </c>
    </row>
    <row r="107">
      <c r="A107" t="inlineStr">
        <is>
          <t>No</t>
        </is>
      </c>
      <c r="B107" t="inlineStr">
        <is>
          <t>E169.1 .A47218 2001</t>
        </is>
      </c>
      <c r="C107" t="inlineStr">
        <is>
          <t>0                      E  0169100A  47218       2001</t>
        </is>
      </c>
      <c r="D107" t="inlineStr">
        <is>
          <t>The American intellectual tradition : a sourcebook / edited by David A. Hollinger and Charles Capper.</t>
        </is>
      </c>
      <c r="E107" t="inlineStr">
        <is>
          <t>V. 1</t>
        </is>
      </c>
      <c r="F107" t="inlineStr">
        <is>
          <t>Yes</t>
        </is>
      </c>
      <c r="G107" t="inlineStr">
        <is>
          <t>1</t>
        </is>
      </c>
      <c r="H107" t="inlineStr">
        <is>
          <t>No</t>
        </is>
      </c>
      <c r="I107" t="inlineStr">
        <is>
          <t>No</t>
        </is>
      </c>
      <c r="J107" t="inlineStr">
        <is>
          <t>0</t>
        </is>
      </c>
      <c r="L107" t="inlineStr">
        <is>
          <t>New York, NY : Oxford University Press, 2001.</t>
        </is>
      </c>
      <c r="M107" t="inlineStr">
        <is>
          <t>2001</t>
        </is>
      </c>
      <c r="N107" t="inlineStr">
        <is>
          <t>4th ed.</t>
        </is>
      </c>
      <c r="O107" t="inlineStr">
        <is>
          <t>eng</t>
        </is>
      </c>
      <c r="P107" t="inlineStr">
        <is>
          <t>nyu</t>
        </is>
      </c>
      <c r="R107" t="inlineStr">
        <is>
          <t xml:space="preserve">E  </t>
        </is>
      </c>
      <c r="S107" t="n">
        <v>3</v>
      </c>
      <c r="T107" t="n">
        <v>6</v>
      </c>
      <c r="U107" t="inlineStr">
        <is>
          <t>2001-08-28</t>
        </is>
      </c>
      <c r="V107" t="inlineStr">
        <is>
          <t>2001-08-28</t>
        </is>
      </c>
      <c r="W107" t="inlineStr">
        <is>
          <t>2001-08-27</t>
        </is>
      </c>
      <c r="X107" t="inlineStr">
        <is>
          <t>2001-08-27</t>
        </is>
      </c>
      <c r="Y107" t="n">
        <v>300</v>
      </c>
      <c r="Z107" t="n">
        <v>272</v>
      </c>
      <c r="AA107" t="n">
        <v>1064</v>
      </c>
      <c r="AB107" t="n">
        <v>5</v>
      </c>
      <c r="AC107" t="n">
        <v>10</v>
      </c>
      <c r="AD107" t="n">
        <v>15</v>
      </c>
      <c r="AE107" t="n">
        <v>56</v>
      </c>
      <c r="AF107" t="n">
        <v>7</v>
      </c>
      <c r="AG107" t="n">
        <v>21</v>
      </c>
      <c r="AH107" t="n">
        <v>2</v>
      </c>
      <c r="AI107" t="n">
        <v>11</v>
      </c>
      <c r="AJ107" t="n">
        <v>6</v>
      </c>
      <c r="AK107" t="n">
        <v>20</v>
      </c>
      <c r="AL107" t="n">
        <v>4</v>
      </c>
      <c r="AM107" t="n">
        <v>9</v>
      </c>
      <c r="AN107" t="n">
        <v>0</v>
      </c>
      <c r="AO107" t="n">
        <v>6</v>
      </c>
      <c r="AP107" t="inlineStr">
        <is>
          <t>No</t>
        </is>
      </c>
      <c r="AQ107" t="inlineStr">
        <is>
          <t>No</t>
        </is>
      </c>
      <c r="AS107">
        <f>HYPERLINK("https://creighton-primo.hosted.exlibrisgroup.com/primo-explore/search?tab=default_tab&amp;search_scope=EVERYTHING&amp;vid=01CRU&amp;lang=en_US&amp;offset=0&amp;query=any,contains,991003576689702656","Catalog Record")</f>
        <v/>
      </c>
      <c r="AT107">
        <f>HYPERLINK("http://www.worldcat.org/oclc/45307054","WorldCat Record")</f>
        <v/>
      </c>
      <c r="AU107" t="inlineStr">
        <is>
          <t>4653687139:eng</t>
        </is>
      </c>
      <c r="AV107" t="inlineStr">
        <is>
          <t>45307054</t>
        </is>
      </c>
      <c r="AW107" t="inlineStr">
        <is>
          <t>991003576689702656</t>
        </is>
      </c>
      <c r="AX107" t="inlineStr">
        <is>
          <t>991003576689702656</t>
        </is>
      </c>
      <c r="AY107" t="inlineStr">
        <is>
          <t>2265944930002656</t>
        </is>
      </c>
      <c r="AZ107" t="inlineStr">
        <is>
          <t>BOOK</t>
        </is>
      </c>
      <c r="BB107" t="inlineStr">
        <is>
          <t>9780195137200</t>
        </is>
      </c>
      <c r="BC107" t="inlineStr">
        <is>
          <t>32285004377841</t>
        </is>
      </c>
      <c r="BD107" t="inlineStr">
        <is>
          <t>893868582</t>
        </is>
      </c>
    </row>
    <row r="108">
      <c r="A108" t="inlineStr">
        <is>
          <t>No</t>
        </is>
      </c>
      <c r="B108" t="inlineStr">
        <is>
          <t>E169.1 .A473</t>
        </is>
      </c>
      <c r="C108" t="inlineStr">
        <is>
          <t>0                      E  0169100A  473</t>
        </is>
      </c>
      <c r="D108" t="inlineStr">
        <is>
          <t>American issues : understanding who we are / edited by William T. Alderson.</t>
        </is>
      </c>
      <c r="F108" t="inlineStr">
        <is>
          <t>No</t>
        </is>
      </c>
      <c r="G108" t="inlineStr">
        <is>
          <t>1</t>
        </is>
      </c>
      <c r="H108" t="inlineStr">
        <is>
          <t>No</t>
        </is>
      </c>
      <c r="I108" t="inlineStr">
        <is>
          <t>No</t>
        </is>
      </c>
      <c r="J108" t="inlineStr">
        <is>
          <t>0</t>
        </is>
      </c>
      <c r="L108" t="inlineStr">
        <is>
          <t>Nashville : American Association for State and Local History, c1976.</t>
        </is>
      </c>
      <c r="M108" t="inlineStr">
        <is>
          <t>1976</t>
        </is>
      </c>
      <c r="O108" t="inlineStr">
        <is>
          <t>eng</t>
        </is>
      </c>
      <c r="P108" t="inlineStr">
        <is>
          <t>tnu</t>
        </is>
      </c>
      <c r="R108" t="inlineStr">
        <is>
          <t xml:space="preserve">E  </t>
        </is>
      </c>
      <c r="S108" t="n">
        <v>3</v>
      </c>
      <c r="T108" t="n">
        <v>3</v>
      </c>
      <c r="U108" t="inlineStr">
        <is>
          <t>1994-05-22</t>
        </is>
      </c>
      <c r="V108" t="inlineStr">
        <is>
          <t>1994-05-22</t>
        </is>
      </c>
      <c r="W108" t="inlineStr">
        <is>
          <t>1990-12-13</t>
        </is>
      </c>
      <c r="X108" t="inlineStr">
        <is>
          <t>1990-12-13</t>
        </is>
      </c>
      <c r="Y108" t="n">
        <v>566</v>
      </c>
      <c r="Z108" t="n">
        <v>543</v>
      </c>
      <c r="AA108" t="n">
        <v>550</v>
      </c>
      <c r="AB108" t="n">
        <v>4</v>
      </c>
      <c r="AC108" t="n">
        <v>4</v>
      </c>
      <c r="AD108" t="n">
        <v>21</v>
      </c>
      <c r="AE108" t="n">
        <v>21</v>
      </c>
      <c r="AF108" t="n">
        <v>8</v>
      </c>
      <c r="AG108" t="n">
        <v>8</v>
      </c>
      <c r="AH108" t="n">
        <v>9</v>
      </c>
      <c r="AI108" t="n">
        <v>9</v>
      </c>
      <c r="AJ108" t="n">
        <v>7</v>
      </c>
      <c r="AK108" t="n">
        <v>7</v>
      </c>
      <c r="AL108" t="n">
        <v>3</v>
      </c>
      <c r="AM108" t="n">
        <v>3</v>
      </c>
      <c r="AN108" t="n">
        <v>0</v>
      </c>
      <c r="AO108" t="n">
        <v>0</v>
      </c>
      <c r="AP108" t="inlineStr">
        <is>
          <t>No</t>
        </is>
      </c>
      <c r="AQ108" t="inlineStr">
        <is>
          <t>Yes</t>
        </is>
      </c>
      <c r="AR108">
        <f>HYPERLINK("http://catalog.hathitrust.org/Record/000250644","HathiTrust Record")</f>
        <v/>
      </c>
      <c r="AS108">
        <f>HYPERLINK("https://creighton-primo.hosted.exlibrisgroup.com/primo-explore/search?tab=default_tab&amp;search_scope=EVERYTHING&amp;vid=01CRU&amp;lang=en_US&amp;offset=0&amp;query=any,contains,991004262989702656","Catalog Record")</f>
        <v/>
      </c>
      <c r="AT108">
        <f>HYPERLINK("http://www.worldcat.org/oclc/2853485","WorldCat Record")</f>
        <v/>
      </c>
      <c r="AU108" t="inlineStr">
        <is>
          <t>6098389:eng</t>
        </is>
      </c>
      <c r="AV108" t="inlineStr">
        <is>
          <t>2853485</t>
        </is>
      </c>
      <c r="AW108" t="inlineStr">
        <is>
          <t>991004262989702656</t>
        </is>
      </c>
      <c r="AX108" t="inlineStr">
        <is>
          <t>991004262989702656</t>
        </is>
      </c>
      <c r="AY108" t="inlineStr">
        <is>
          <t>2264730310002656</t>
        </is>
      </c>
      <c r="AZ108" t="inlineStr">
        <is>
          <t>BOOK</t>
        </is>
      </c>
      <c r="BB108" t="inlineStr">
        <is>
          <t>9780910050258</t>
        </is>
      </c>
      <c r="BC108" t="inlineStr">
        <is>
          <t>32285000423201</t>
        </is>
      </c>
      <c r="BD108" t="inlineStr">
        <is>
          <t>893894770</t>
        </is>
      </c>
    </row>
    <row r="109">
      <c r="A109" t="inlineStr">
        <is>
          <t>No</t>
        </is>
      </c>
      <c r="B109" t="inlineStr">
        <is>
          <t>E169.1 .A4825 1992</t>
        </is>
      </c>
      <c r="C109" t="inlineStr">
        <is>
          <t>0                      E  0169100A  4825        1992</t>
        </is>
      </c>
      <c r="D109" t="inlineStr">
        <is>
          <t>American social character : modern interpretations from the 40's to the present / edited with introductions and commentaries by Rupert Wilkinson.</t>
        </is>
      </c>
      <c r="F109" t="inlineStr">
        <is>
          <t>No</t>
        </is>
      </c>
      <c r="G109" t="inlineStr">
        <is>
          <t>1</t>
        </is>
      </c>
      <c r="H109" t="inlineStr">
        <is>
          <t>No</t>
        </is>
      </c>
      <c r="I109" t="inlineStr">
        <is>
          <t>No</t>
        </is>
      </c>
      <c r="J109" t="inlineStr">
        <is>
          <t>0</t>
        </is>
      </c>
      <c r="L109" t="inlineStr">
        <is>
          <t>New York, N.Y. : Icon Editions, c1992.</t>
        </is>
      </c>
      <c r="M109" t="inlineStr">
        <is>
          <t>1992</t>
        </is>
      </c>
      <c r="N109" t="inlineStr">
        <is>
          <t>1st ed.</t>
        </is>
      </c>
      <c r="O109" t="inlineStr">
        <is>
          <t>eng</t>
        </is>
      </c>
      <c r="P109" t="inlineStr">
        <is>
          <t>nyu</t>
        </is>
      </c>
      <c r="R109" t="inlineStr">
        <is>
          <t xml:space="preserve">E  </t>
        </is>
      </c>
      <c r="S109" t="n">
        <v>11</v>
      </c>
      <c r="T109" t="n">
        <v>11</v>
      </c>
      <c r="U109" t="inlineStr">
        <is>
          <t>1998-03-20</t>
        </is>
      </c>
      <c r="V109" t="inlineStr">
        <is>
          <t>1998-03-20</t>
        </is>
      </c>
      <c r="W109" t="inlineStr">
        <is>
          <t>1992-10-27</t>
        </is>
      </c>
      <c r="X109" t="inlineStr">
        <is>
          <t>1992-10-27</t>
        </is>
      </c>
      <c r="Y109" t="n">
        <v>316</v>
      </c>
      <c r="Z109" t="n">
        <v>280</v>
      </c>
      <c r="AA109" t="n">
        <v>308</v>
      </c>
      <c r="AB109" t="n">
        <v>2</v>
      </c>
      <c r="AC109" t="n">
        <v>2</v>
      </c>
      <c r="AD109" t="n">
        <v>16</v>
      </c>
      <c r="AE109" t="n">
        <v>17</v>
      </c>
      <c r="AF109" t="n">
        <v>8</v>
      </c>
      <c r="AG109" t="n">
        <v>9</v>
      </c>
      <c r="AH109" t="n">
        <v>4</v>
      </c>
      <c r="AI109" t="n">
        <v>4</v>
      </c>
      <c r="AJ109" t="n">
        <v>7</v>
      </c>
      <c r="AK109" t="n">
        <v>7</v>
      </c>
      <c r="AL109" t="n">
        <v>1</v>
      </c>
      <c r="AM109" t="n">
        <v>1</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HYPERLINK("https://creighton-primo.hosted.exlibrisgroup.com/primo-explore/search?tab=default_tab&amp;search_scope=EVERYTHING&amp;vid=01CRU&amp;lang=en_US&amp;offset=0&amp;query=any,contains,991001854289702656","Catalog Record")</f>
        <v/>
      </c>
      <c r="AT109">
        <f>HYPERLINK("http://www.worldcat.org/oclc/23255073","WorldCat Record")</f>
        <v/>
      </c>
      <c r="AU109" t="inlineStr">
        <is>
          <t>24743339:eng</t>
        </is>
      </c>
      <c r="AV109" t="inlineStr">
        <is>
          <t>23255073</t>
        </is>
      </c>
      <c r="AW109" t="inlineStr">
        <is>
          <t>991001854289702656</t>
        </is>
      </c>
      <c r="AX109" t="inlineStr">
        <is>
          <t>991001854289702656</t>
        </is>
      </c>
      <c r="AY109" t="inlineStr">
        <is>
          <t>2266462130002656</t>
        </is>
      </c>
      <c r="AZ109" t="inlineStr">
        <is>
          <t>BOOK</t>
        </is>
      </c>
      <c r="BB109" t="inlineStr">
        <is>
          <t>9780064388771</t>
        </is>
      </c>
      <c r="BC109" t="inlineStr">
        <is>
          <t>32285001319622</t>
        </is>
      </c>
      <c r="BD109" t="inlineStr">
        <is>
          <t>893684702</t>
        </is>
      </c>
    </row>
    <row r="110">
      <c r="A110" t="inlineStr">
        <is>
          <t>No</t>
        </is>
      </c>
      <c r="B110" t="inlineStr">
        <is>
          <t>E169.1 .B217 2005</t>
        </is>
      </c>
      <c r="C110" t="inlineStr">
        <is>
          <t>0                      E  0169100B  217         2005</t>
        </is>
      </c>
      <c r="D110" t="inlineStr">
        <is>
          <t>The American revelation : ten ideals that shaped our country from the Puritans to the Cold War / Neil Baldwin.</t>
        </is>
      </c>
      <c r="F110" t="inlineStr">
        <is>
          <t>No</t>
        </is>
      </c>
      <c r="G110" t="inlineStr">
        <is>
          <t>1</t>
        </is>
      </c>
      <c r="H110" t="inlineStr">
        <is>
          <t>No</t>
        </is>
      </c>
      <c r="I110" t="inlineStr">
        <is>
          <t>No</t>
        </is>
      </c>
      <c r="J110" t="inlineStr">
        <is>
          <t>0</t>
        </is>
      </c>
      <c r="K110" t="inlineStr">
        <is>
          <t>Baldwin, Neil, 1947-</t>
        </is>
      </c>
      <c r="L110" t="inlineStr">
        <is>
          <t>New York : St. Martin's Press, 2005.</t>
        </is>
      </c>
      <c r="M110" t="inlineStr">
        <is>
          <t>2005</t>
        </is>
      </c>
      <c r="N110" t="inlineStr">
        <is>
          <t>1st ed.</t>
        </is>
      </c>
      <c r="O110" t="inlineStr">
        <is>
          <t>eng</t>
        </is>
      </c>
      <c r="P110" t="inlineStr">
        <is>
          <t>nyu</t>
        </is>
      </c>
      <c r="R110" t="inlineStr">
        <is>
          <t xml:space="preserve">E  </t>
        </is>
      </c>
      <c r="S110" t="n">
        <v>2</v>
      </c>
      <c r="T110" t="n">
        <v>2</v>
      </c>
      <c r="U110" t="inlineStr">
        <is>
          <t>2005-07-07</t>
        </is>
      </c>
      <c r="V110" t="inlineStr">
        <is>
          <t>2005-07-07</t>
        </is>
      </c>
      <c r="W110" t="inlineStr">
        <is>
          <t>2005-07-07</t>
        </is>
      </c>
      <c r="X110" t="inlineStr">
        <is>
          <t>2005-07-07</t>
        </is>
      </c>
      <c r="Y110" t="n">
        <v>1121</v>
      </c>
      <c r="Z110" t="n">
        <v>1091</v>
      </c>
      <c r="AA110" t="n">
        <v>1145</v>
      </c>
      <c r="AB110" t="n">
        <v>13</v>
      </c>
      <c r="AC110" t="n">
        <v>13</v>
      </c>
      <c r="AD110" t="n">
        <v>28</v>
      </c>
      <c r="AE110" t="n">
        <v>29</v>
      </c>
      <c r="AF110" t="n">
        <v>6</v>
      </c>
      <c r="AG110" t="n">
        <v>7</v>
      </c>
      <c r="AH110" t="n">
        <v>8</v>
      </c>
      <c r="AI110" t="n">
        <v>8</v>
      </c>
      <c r="AJ110" t="n">
        <v>9</v>
      </c>
      <c r="AK110" t="n">
        <v>10</v>
      </c>
      <c r="AL110" t="n">
        <v>10</v>
      </c>
      <c r="AM110" t="n">
        <v>10</v>
      </c>
      <c r="AN110" t="n">
        <v>0</v>
      </c>
      <c r="AO110" t="n">
        <v>0</v>
      </c>
      <c r="AP110" t="inlineStr">
        <is>
          <t>No</t>
        </is>
      </c>
      <c r="AQ110" t="inlineStr">
        <is>
          <t>No</t>
        </is>
      </c>
      <c r="AS110">
        <f>HYPERLINK("https://creighton-primo.hosted.exlibrisgroup.com/primo-explore/search?tab=default_tab&amp;search_scope=EVERYTHING&amp;vid=01CRU&amp;lang=en_US&amp;offset=0&amp;query=any,contains,991004581839702656","Catalog Record")</f>
        <v/>
      </c>
      <c r="AT110">
        <f>HYPERLINK("http://www.worldcat.org/oclc/57391910","WorldCat Record")</f>
        <v/>
      </c>
      <c r="AU110" t="inlineStr">
        <is>
          <t>875869:eng</t>
        </is>
      </c>
      <c r="AV110" t="inlineStr">
        <is>
          <t>57391910</t>
        </is>
      </c>
      <c r="AW110" t="inlineStr">
        <is>
          <t>991004581839702656</t>
        </is>
      </c>
      <c r="AX110" t="inlineStr">
        <is>
          <t>991004581839702656</t>
        </is>
      </c>
      <c r="AY110" t="inlineStr">
        <is>
          <t>2267081590002656</t>
        </is>
      </c>
      <c r="AZ110" t="inlineStr">
        <is>
          <t>BOOK</t>
        </is>
      </c>
      <c r="BB110" t="inlineStr">
        <is>
          <t>9780312325435</t>
        </is>
      </c>
      <c r="BC110" t="inlineStr">
        <is>
          <t>32285005095319</t>
        </is>
      </c>
      <c r="BD110" t="inlineStr">
        <is>
          <t>893904924</t>
        </is>
      </c>
    </row>
    <row r="111">
      <c r="A111" t="inlineStr">
        <is>
          <t>No</t>
        </is>
      </c>
      <c r="B111" t="inlineStr">
        <is>
          <t>E169.1 .B226</t>
        </is>
      </c>
      <c r="C111" t="inlineStr">
        <is>
          <t>0                      E  0169100B  226</t>
        </is>
      </c>
      <c r="D111" t="inlineStr">
        <is>
          <t>The culture of the twenties.</t>
        </is>
      </c>
      <c r="F111" t="inlineStr">
        <is>
          <t>No</t>
        </is>
      </c>
      <c r="G111" t="inlineStr">
        <is>
          <t>1</t>
        </is>
      </c>
      <c r="H111" t="inlineStr">
        <is>
          <t>No</t>
        </is>
      </c>
      <c r="I111" t="inlineStr">
        <is>
          <t>No</t>
        </is>
      </c>
      <c r="J111" t="inlineStr">
        <is>
          <t>0</t>
        </is>
      </c>
      <c r="K111" t="inlineStr">
        <is>
          <t>Baritz, Loren, 1928- compiler.</t>
        </is>
      </c>
      <c r="L111" t="inlineStr">
        <is>
          <t>Indianapolis, Bobbs-Merrill [1970]</t>
        </is>
      </c>
      <c r="M111" t="inlineStr">
        <is>
          <t>1970</t>
        </is>
      </c>
      <c r="O111" t="inlineStr">
        <is>
          <t>eng</t>
        </is>
      </c>
      <c r="P111" t="inlineStr">
        <is>
          <t>inu</t>
        </is>
      </c>
      <c r="Q111" t="inlineStr">
        <is>
          <t>The American heritage series, 83</t>
        </is>
      </c>
      <c r="R111" t="inlineStr">
        <is>
          <t xml:space="preserve">E  </t>
        </is>
      </c>
      <c r="S111" t="n">
        <v>4</v>
      </c>
      <c r="T111" t="n">
        <v>4</v>
      </c>
      <c r="U111" t="inlineStr">
        <is>
          <t>1997-12-10</t>
        </is>
      </c>
      <c r="V111" t="inlineStr">
        <is>
          <t>1997-12-10</t>
        </is>
      </c>
      <c r="W111" t="inlineStr">
        <is>
          <t>1990-12-18</t>
        </is>
      </c>
      <c r="X111" t="inlineStr">
        <is>
          <t>1990-12-18</t>
        </is>
      </c>
      <c r="Y111" t="n">
        <v>983</v>
      </c>
      <c r="Z111" t="n">
        <v>900</v>
      </c>
      <c r="AA111" t="n">
        <v>921</v>
      </c>
      <c r="AB111" t="n">
        <v>7</v>
      </c>
      <c r="AC111" t="n">
        <v>7</v>
      </c>
      <c r="AD111" t="n">
        <v>31</v>
      </c>
      <c r="AE111" t="n">
        <v>31</v>
      </c>
      <c r="AF111" t="n">
        <v>12</v>
      </c>
      <c r="AG111" t="n">
        <v>12</v>
      </c>
      <c r="AH111" t="n">
        <v>6</v>
      </c>
      <c r="AI111" t="n">
        <v>6</v>
      </c>
      <c r="AJ111" t="n">
        <v>14</v>
      </c>
      <c r="AK111" t="n">
        <v>14</v>
      </c>
      <c r="AL111" t="n">
        <v>6</v>
      </c>
      <c r="AM111" t="n">
        <v>6</v>
      </c>
      <c r="AN111" t="n">
        <v>0</v>
      </c>
      <c r="AO111" t="n">
        <v>0</v>
      </c>
      <c r="AP111" t="inlineStr">
        <is>
          <t>No</t>
        </is>
      </c>
      <c r="AQ111" t="inlineStr">
        <is>
          <t>Yes</t>
        </is>
      </c>
      <c r="AR111">
        <f>HYPERLINK("http://catalog.hathitrust.org/Record/000327188","HathiTrust Record")</f>
        <v/>
      </c>
      <c r="AS111">
        <f>HYPERLINK("https://creighton-primo.hosted.exlibrisgroup.com/primo-explore/search?tab=default_tab&amp;search_scope=EVERYTHING&amp;vid=01CRU&amp;lang=en_US&amp;offset=0&amp;query=any,contains,991000219359702656","Catalog Record")</f>
        <v/>
      </c>
      <c r="AT111">
        <f>HYPERLINK("http://www.worldcat.org/oclc/67551","WorldCat Record")</f>
        <v/>
      </c>
      <c r="AU111" t="inlineStr">
        <is>
          <t>398333:eng</t>
        </is>
      </c>
      <c r="AV111" t="inlineStr">
        <is>
          <t>67551</t>
        </is>
      </c>
      <c r="AW111" t="inlineStr">
        <is>
          <t>991000219359702656</t>
        </is>
      </c>
      <c r="AX111" t="inlineStr">
        <is>
          <t>991000219359702656</t>
        </is>
      </c>
      <c r="AY111" t="inlineStr">
        <is>
          <t>2258115280002656</t>
        </is>
      </c>
      <c r="AZ111" t="inlineStr">
        <is>
          <t>BOOK</t>
        </is>
      </c>
      <c r="BC111" t="inlineStr">
        <is>
          <t>32285000423227</t>
        </is>
      </c>
      <c r="BD111" t="inlineStr">
        <is>
          <t>893502350</t>
        </is>
      </c>
    </row>
    <row r="112">
      <c r="A112" t="inlineStr">
        <is>
          <t>No</t>
        </is>
      </c>
      <c r="B112" t="inlineStr">
        <is>
          <t>E169.1 .B274</t>
        </is>
      </c>
      <c r="C112" t="inlineStr">
        <is>
          <t>0                      E  0169100B  274</t>
        </is>
      </c>
      <c r="D112" t="inlineStr">
        <is>
          <t>America in midpassage, by Charles A. Beard &amp; Mary R. Beard; drawings by Wilfred Jones.</t>
        </is>
      </c>
      <c r="F112" t="inlineStr">
        <is>
          <t>No</t>
        </is>
      </c>
      <c r="G112" t="inlineStr">
        <is>
          <t>1</t>
        </is>
      </c>
      <c r="H112" t="inlineStr">
        <is>
          <t>Yes</t>
        </is>
      </c>
      <c r="I112" t="inlineStr">
        <is>
          <t>No</t>
        </is>
      </c>
      <c r="J112" t="inlineStr">
        <is>
          <t>0</t>
        </is>
      </c>
      <c r="K112" t="inlineStr">
        <is>
          <t>Beard, Charles A. (Charles Austin), 1874-1948.</t>
        </is>
      </c>
      <c r="L112" t="inlineStr">
        <is>
          <t>New York, The Macmillan company, 1939.</t>
        </is>
      </c>
      <c r="M112" t="inlineStr">
        <is>
          <t>1939</t>
        </is>
      </c>
      <c r="O112" t="inlineStr">
        <is>
          <t>eng</t>
        </is>
      </c>
      <c r="P112" t="inlineStr">
        <is>
          <t>nyu</t>
        </is>
      </c>
      <c r="R112" t="inlineStr">
        <is>
          <t xml:space="preserve">E  </t>
        </is>
      </c>
      <c r="S112" t="n">
        <v>0</v>
      </c>
      <c r="T112" t="n">
        <v>2</v>
      </c>
      <c r="V112" t="inlineStr">
        <is>
          <t>1993-08-05</t>
        </is>
      </c>
      <c r="W112" t="inlineStr">
        <is>
          <t>1997-04-02</t>
        </is>
      </c>
      <c r="X112" t="inlineStr">
        <is>
          <t>1997-04-02</t>
        </is>
      </c>
      <c r="Y112" t="n">
        <v>929</v>
      </c>
      <c r="Z112" t="n">
        <v>879</v>
      </c>
      <c r="AA112" t="n">
        <v>881</v>
      </c>
      <c r="AB112" t="n">
        <v>9</v>
      </c>
      <c r="AC112" t="n">
        <v>9</v>
      </c>
      <c r="AD112" t="n">
        <v>28</v>
      </c>
      <c r="AE112" t="n">
        <v>28</v>
      </c>
      <c r="AF112" t="n">
        <v>7</v>
      </c>
      <c r="AG112" t="n">
        <v>7</v>
      </c>
      <c r="AH112" t="n">
        <v>5</v>
      </c>
      <c r="AI112" t="n">
        <v>5</v>
      </c>
      <c r="AJ112" t="n">
        <v>14</v>
      </c>
      <c r="AK112" t="n">
        <v>14</v>
      </c>
      <c r="AL112" t="n">
        <v>6</v>
      </c>
      <c r="AM112" t="n">
        <v>6</v>
      </c>
      <c r="AN112" t="n">
        <v>1</v>
      </c>
      <c r="AO112" t="n">
        <v>1</v>
      </c>
      <c r="AP112" t="inlineStr">
        <is>
          <t>No</t>
        </is>
      </c>
      <c r="AQ112" t="inlineStr">
        <is>
          <t>Yes</t>
        </is>
      </c>
      <c r="AR112">
        <f>HYPERLINK("http://catalog.hathitrust.org/Record/000331823","HathiTrust Record")</f>
        <v/>
      </c>
      <c r="AS112">
        <f>HYPERLINK("https://creighton-primo.hosted.exlibrisgroup.com/primo-explore/search?tab=default_tab&amp;search_scope=EVERYTHING&amp;vid=01CRU&amp;lang=en_US&amp;offset=0&amp;query=any,contains,991001618899702656","Catalog Record")</f>
        <v/>
      </c>
      <c r="AT112">
        <f>HYPERLINK("http://www.worldcat.org/oclc/7005230","WorldCat Record")</f>
        <v/>
      </c>
      <c r="AU112" t="inlineStr">
        <is>
          <t>8910852504:eng</t>
        </is>
      </c>
      <c r="AV112" t="inlineStr">
        <is>
          <t>7005230</t>
        </is>
      </c>
      <c r="AW112" t="inlineStr">
        <is>
          <t>991001618899702656</t>
        </is>
      </c>
      <c r="AX112" t="inlineStr">
        <is>
          <t>991001618899702656</t>
        </is>
      </c>
      <c r="AY112" t="inlineStr">
        <is>
          <t>2265306180002656</t>
        </is>
      </c>
      <c r="AZ112" t="inlineStr">
        <is>
          <t>BOOK</t>
        </is>
      </c>
      <c r="BC112" t="inlineStr">
        <is>
          <t>32285002500378</t>
        </is>
      </c>
      <c r="BD112" t="inlineStr">
        <is>
          <t>893420426</t>
        </is>
      </c>
    </row>
    <row r="113">
      <c r="A113" t="inlineStr">
        <is>
          <t>No</t>
        </is>
      </c>
      <c r="B113" t="inlineStr">
        <is>
          <t>E169.1 .B33</t>
        </is>
      </c>
      <c r="C113" t="inlineStr">
        <is>
          <t>0                      E  0169100B  33</t>
        </is>
      </c>
      <c r="D113" t="inlineStr">
        <is>
          <t>The rise of American civilization, by Charles A. Beard &amp; Mary R. Beard; decorations by Wilfred Jones.</t>
        </is>
      </c>
      <c r="F113" t="inlineStr">
        <is>
          <t>No</t>
        </is>
      </c>
      <c r="G113" t="inlineStr">
        <is>
          <t>1</t>
        </is>
      </c>
      <c r="H113" t="inlineStr">
        <is>
          <t>No</t>
        </is>
      </c>
      <c r="I113" t="inlineStr">
        <is>
          <t>Yes</t>
        </is>
      </c>
      <c r="J113" t="inlineStr">
        <is>
          <t>0</t>
        </is>
      </c>
      <c r="K113" t="inlineStr">
        <is>
          <t>Beard, Charles A. (Charles Austin), 1874-1948.</t>
        </is>
      </c>
      <c r="L113" t="inlineStr">
        <is>
          <t>New York, Macmillan, 1930.</t>
        </is>
      </c>
      <c r="M113" t="inlineStr">
        <is>
          <t>1930</t>
        </is>
      </c>
      <c r="N113" t="inlineStr">
        <is>
          <t>One volume ed.</t>
        </is>
      </c>
      <c r="O113" t="inlineStr">
        <is>
          <t>eng</t>
        </is>
      </c>
      <c r="P113" t="inlineStr">
        <is>
          <t>nyu</t>
        </is>
      </c>
      <c r="R113" t="inlineStr">
        <is>
          <t xml:space="preserve">E  </t>
        </is>
      </c>
      <c r="S113" t="n">
        <v>3</v>
      </c>
      <c r="T113" t="n">
        <v>3</v>
      </c>
      <c r="U113" t="inlineStr">
        <is>
          <t>1997-10-29</t>
        </is>
      </c>
      <c r="V113" t="inlineStr">
        <is>
          <t>1997-10-29</t>
        </is>
      </c>
      <c r="W113" t="inlineStr">
        <is>
          <t>1997-04-02</t>
        </is>
      </c>
      <c r="X113" t="inlineStr">
        <is>
          <t>1997-04-02</t>
        </is>
      </c>
      <c r="Y113" t="n">
        <v>861</v>
      </c>
      <c r="Z113" t="n">
        <v>808</v>
      </c>
      <c r="AA113" t="n">
        <v>2106</v>
      </c>
      <c r="AB113" t="n">
        <v>6</v>
      </c>
      <c r="AC113" t="n">
        <v>18</v>
      </c>
      <c r="AD113" t="n">
        <v>32</v>
      </c>
      <c r="AE113" t="n">
        <v>71</v>
      </c>
      <c r="AF113" t="n">
        <v>11</v>
      </c>
      <c r="AG113" t="n">
        <v>27</v>
      </c>
      <c r="AH113" t="n">
        <v>5</v>
      </c>
      <c r="AI113" t="n">
        <v>11</v>
      </c>
      <c r="AJ113" t="n">
        <v>18</v>
      </c>
      <c r="AK113" t="n">
        <v>28</v>
      </c>
      <c r="AL113" t="n">
        <v>2</v>
      </c>
      <c r="AM113" t="n">
        <v>12</v>
      </c>
      <c r="AN113" t="n">
        <v>4</v>
      </c>
      <c r="AO113" t="n">
        <v>7</v>
      </c>
      <c r="AP113" t="inlineStr">
        <is>
          <t>No</t>
        </is>
      </c>
      <c r="AQ113" t="inlineStr">
        <is>
          <t>Yes</t>
        </is>
      </c>
      <c r="AR113">
        <f>HYPERLINK("http://catalog.hathitrust.org/Record/000331818","HathiTrust Record")</f>
        <v/>
      </c>
      <c r="AS113">
        <f>HYPERLINK("https://creighton-primo.hosted.exlibrisgroup.com/primo-explore/search?tab=default_tab&amp;search_scope=EVERYTHING&amp;vid=01CRU&amp;lang=en_US&amp;offset=0&amp;query=any,contains,991002737399702656","Catalog Record")</f>
        <v/>
      </c>
      <c r="AT113">
        <f>HYPERLINK("http://www.worldcat.org/oclc/419798","WorldCat Record")</f>
        <v/>
      </c>
      <c r="AU113" t="inlineStr">
        <is>
          <t>104217330:eng</t>
        </is>
      </c>
      <c r="AV113" t="inlineStr">
        <is>
          <t>419798</t>
        </is>
      </c>
      <c r="AW113" t="inlineStr">
        <is>
          <t>991002737399702656</t>
        </is>
      </c>
      <c r="AX113" t="inlineStr">
        <is>
          <t>991002737399702656</t>
        </is>
      </c>
      <c r="AY113" t="inlineStr">
        <is>
          <t>2261810160002656</t>
        </is>
      </c>
      <c r="AZ113" t="inlineStr">
        <is>
          <t>BOOK</t>
        </is>
      </c>
      <c r="BC113" t="inlineStr">
        <is>
          <t>32285002500402</t>
        </is>
      </c>
      <c r="BD113" t="inlineStr">
        <is>
          <t>893329468</t>
        </is>
      </c>
    </row>
    <row r="114">
      <c r="A114" t="inlineStr">
        <is>
          <t>No</t>
        </is>
      </c>
      <c r="B114" t="inlineStr">
        <is>
          <t>E169.1 .B435 1975</t>
        </is>
      </c>
      <c r="C114" t="inlineStr">
        <is>
          <t>0                      E  0169100B  435         1975</t>
        </is>
      </c>
      <c r="D114" t="inlineStr">
        <is>
          <t>The broken covenant : American civil religion in time of trial / Robert N. Bellah.</t>
        </is>
      </c>
      <c r="F114" t="inlineStr">
        <is>
          <t>No</t>
        </is>
      </c>
      <c r="G114" t="inlineStr">
        <is>
          <t>1</t>
        </is>
      </c>
      <c r="H114" t="inlineStr">
        <is>
          <t>No</t>
        </is>
      </c>
      <c r="I114" t="inlineStr">
        <is>
          <t>No</t>
        </is>
      </c>
      <c r="J114" t="inlineStr">
        <is>
          <t>0</t>
        </is>
      </c>
      <c r="K114" t="inlineStr">
        <is>
          <t>Bellah, Robert N. (Robert Neelly), 1927-2013.</t>
        </is>
      </c>
      <c r="L114" t="inlineStr">
        <is>
          <t>New York : Seabury Press, [1975]</t>
        </is>
      </c>
      <c r="M114" t="inlineStr">
        <is>
          <t>1975</t>
        </is>
      </c>
      <c r="O114" t="inlineStr">
        <is>
          <t>eng</t>
        </is>
      </c>
      <c r="P114" t="inlineStr">
        <is>
          <t>nyu</t>
        </is>
      </c>
      <c r="R114" t="inlineStr">
        <is>
          <t xml:space="preserve">E  </t>
        </is>
      </c>
      <c r="S114" t="n">
        <v>20</v>
      </c>
      <c r="T114" t="n">
        <v>20</v>
      </c>
      <c r="U114" t="inlineStr">
        <is>
          <t>2003-04-06</t>
        </is>
      </c>
      <c r="V114" t="inlineStr">
        <is>
          <t>2003-04-06</t>
        </is>
      </c>
      <c r="W114" t="inlineStr">
        <is>
          <t>1993-06-24</t>
        </is>
      </c>
      <c r="X114" t="inlineStr">
        <is>
          <t>1993-06-24</t>
        </is>
      </c>
      <c r="Y114" t="n">
        <v>1133</v>
      </c>
      <c r="Z114" t="n">
        <v>1028</v>
      </c>
      <c r="AA114" t="n">
        <v>1207</v>
      </c>
      <c r="AB114" t="n">
        <v>8</v>
      </c>
      <c r="AC114" t="n">
        <v>10</v>
      </c>
      <c r="AD114" t="n">
        <v>47</v>
      </c>
      <c r="AE114" t="n">
        <v>57</v>
      </c>
      <c r="AF114" t="n">
        <v>21</v>
      </c>
      <c r="AG114" t="n">
        <v>25</v>
      </c>
      <c r="AH114" t="n">
        <v>8</v>
      </c>
      <c r="AI114" t="n">
        <v>9</v>
      </c>
      <c r="AJ114" t="n">
        <v>21</v>
      </c>
      <c r="AK114" t="n">
        <v>26</v>
      </c>
      <c r="AL114" t="n">
        <v>7</v>
      </c>
      <c r="AM114" t="n">
        <v>9</v>
      </c>
      <c r="AN114" t="n">
        <v>0</v>
      </c>
      <c r="AO114" t="n">
        <v>1</v>
      </c>
      <c r="AP114" t="inlineStr">
        <is>
          <t>No</t>
        </is>
      </c>
      <c r="AQ114" t="inlineStr">
        <is>
          <t>Yes</t>
        </is>
      </c>
      <c r="AR114">
        <f>HYPERLINK("http://catalog.hathitrust.org/Record/000022968","HathiTrust Record")</f>
        <v/>
      </c>
      <c r="AS114">
        <f>HYPERLINK("https://creighton-primo.hosted.exlibrisgroup.com/primo-explore/search?tab=default_tab&amp;search_scope=EVERYTHING&amp;vid=01CRU&amp;lang=en_US&amp;offset=0&amp;query=any,contains,991003503509702656","Catalog Record")</f>
        <v/>
      </c>
      <c r="AT114">
        <f>HYPERLINK("http://www.worldcat.org/oclc/1055496","WorldCat Record")</f>
        <v/>
      </c>
      <c r="AU114" t="inlineStr">
        <is>
          <t>806696826:eng</t>
        </is>
      </c>
      <c r="AV114" t="inlineStr">
        <is>
          <t>1055496</t>
        </is>
      </c>
      <c r="AW114" t="inlineStr">
        <is>
          <t>991003503509702656</t>
        </is>
      </c>
      <c r="AX114" t="inlineStr">
        <is>
          <t>991003503509702656</t>
        </is>
      </c>
      <c r="AY114" t="inlineStr">
        <is>
          <t>2269615940002656</t>
        </is>
      </c>
      <c r="AZ114" t="inlineStr">
        <is>
          <t>BOOK</t>
        </is>
      </c>
      <c r="BB114" t="inlineStr">
        <is>
          <t>9780816411610</t>
        </is>
      </c>
      <c r="BC114" t="inlineStr">
        <is>
          <t>32285001731891</t>
        </is>
      </c>
      <c r="BD114" t="inlineStr">
        <is>
          <t>893318044</t>
        </is>
      </c>
    </row>
    <row r="115">
      <c r="A115" t="inlineStr">
        <is>
          <t>No</t>
        </is>
      </c>
      <c r="B115" t="inlineStr">
        <is>
          <t>E169.1 .B634 2002</t>
        </is>
      </c>
      <c r="C115" t="inlineStr">
        <is>
          <t>0                      E  0169100B  634         2002</t>
        </is>
      </c>
      <c r="D115" t="inlineStr">
        <is>
          <t>The 1910s / David Blanke.</t>
        </is>
      </c>
      <c r="F115" t="inlineStr">
        <is>
          <t>No</t>
        </is>
      </c>
      <c r="G115" t="inlineStr">
        <is>
          <t>1</t>
        </is>
      </c>
      <c r="H115" t="inlineStr">
        <is>
          <t>No</t>
        </is>
      </c>
      <c r="I115" t="inlineStr">
        <is>
          <t>No</t>
        </is>
      </c>
      <c r="J115" t="inlineStr">
        <is>
          <t>0</t>
        </is>
      </c>
      <c r="K115" t="inlineStr">
        <is>
          <t>Blanke, David, 1961-</t>
        </is>
      </c>
      <c r="L115" t="inlineStr">
        <is>
          <t>Westport, Conn. : Greenwood Press, 2002.</t>
        </is>
      </c>
      <c r="M115" t="inlineStr">
        <is>
          <t>2002</t>
        </is>
      </c>
      <c r="O115" t="inlineStr">
        <is>
          <t>eng</t>
        </is>
      </c>
      <c r="P115" t="inlineStr">
        <is>
          <t>ctu</t>
        </is>
      </c>
      <c r="Q115" t="inlineStr">
        <is>
          <t>American popular culture through history</t>
        </is>
      </c>
      <c r="R115" t="inlineStr">
        <is>
          <t xml:space="preserve">E  </t>
        </is>
      </c>
      <c r="S115" t="n">
        <v>1</v>
      </c>
      <c r="T115" t="n">
        <v>1</v>
      </c>
      <c r="U115" t="inlineStr">
        <is>
          <t>2003-11-18</t>
        </is>
      </c>
      <c r="V115" t="inlineStr">
        <is>
          <t>2003-11-18</t>
        </is>
      </c>
      <c r="W115" t="inlineStr">
        <is>
          <t>2003-09-26</t>
        </is>
      </c>
      <c r="X115" t="inlineStr">
        <is>
          <t>2003-09-26</t>
        </is>
      </c>
      <c r="Y115" t="n">
        <v>804</v>
      </c>
      <c r="Z115" t="n">
        <v>762</v>
      </c>
      <c r="AA115" t="n">
        <v>770</v>
      </c>
      <c r="AB115" t="n">
        <v>4</v>
      </c>
      <c r="AC115" t="n">
        <v>4</v>
      </c>
      <c r="AD115" t="n">
        <v>24</v>
      </c>
      <c r="AE115" t="n">
        <v>24</v>
      </c>
      <c r="AF115" t="n">
        <v>12</v>
      </c>
      <c r="AG115" t="n">
        <v>12</v>
      </c>
      <c r="AH115" t="n">
        <v>6</v>
      </c>
      <c r="AI115" t="n">
        <v>6</v>
      </c>
      <c r="AJ115" t="n">
        <v>12</v>
      </c>
      <c r="AK115" t="n">
        <v>12</v>
      </c>
      <c r="AL115" t="n">
        <v>2</v>
      </c>
      <c r="AM115" t="n">
        <v>2</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HYPERLINK("https://creighton-primo.hosted.exlibrisgroup.com/primo-explore/search?tab=default_tab&amp;search_scope=EVERYTHING&amp;vid=01CRU&amp;lang=en_US&amp;offset=0&amp;query=any,contains,991004138389702656","Catalog Record")</f>
        <v/>
      </c>
      <c r="AT115">
        <f>HYPERLINK("http://www.worldcat.org/oclc/47756317","WorldCat Record")</f>
        <v/>
      </c>
      <c r="AU115" t="inlineStr">
        <is>
          <t>2633149:eng</t>
        </is>
      </c>
      <c r="AV115" t="inlineStr">
        <is>
          <t>47756317</t>
        </is>
      </c>
      <c r="AW115" t="inlineStr">
        <is>
          <t>991004138389702656</t>
        </is>
      </c>
      <c r="AX115" t="inlineStr">
        <is>
          <t>991004138389702656</t>
        </is>
      </c>
      <c r="AY115" t="inlineStr">
        <is>
          <t>2258287980002656</t>
        </is>
      </c>
      <c r="AZ115" t="inlineStr">
        <is>
          <t>BOOK</t>
        </is>
      </c>
      <c r="BB115" t="inlineStr">
        <is>
          <t>9780313312519</t>
        </is>
      </c>
      <c r="BC115" t="inlineStr">
        <is>
          <t>32285004796263</t>
        </is>
      </c>
      <c r="BD115" t="inlineStr">
        <is>
          <t>893349650</t>
        </is>
      </c>
    </row>
    <row r="116">
      <c r="A116" t="inlineStr">
        <is>
          <t>No</t>
        </is>
      </c>
      <c r="B116" t="inlineStr">
        <is>
          <t>E169.1 .B65332 1992</t>
        </is>
      </c>
      <c r="C116" t="inlineStr">
        <is>
          <t>0                      E  0169100B  65332       1992</t>
        </is>
      </c>
      <c r="D116" t="inlineStr">
        <is>
          <t>Beyond cheering and bashing : new perspectives on The closing of the American mind / edited by William K. Buckley and James Seaton.</t>
        </is>
      </c>
      <c r="F116" t="inlineStr">
        <is>
          <t>No</t>
        </is>
      </c>
      <c r="G116" t="inlineStr">
        <is>
          <t>1</t>
        </is>
      </c>
      <c r="H116" t="inlineStr">
        <is>
          <t>No</t>
        </is>
      </c>
      <c r="I116" t="inlineStr">
        <is>
          <t>No</t>
        </is>
      </c>
      <c r="J116" t="inlineStr">
        <is>
          <t>0</t>
        </is>
      </c>
      <c r="L116" t="inlineStr">
        <is>
          <t>Bowling Green, Ohio : Bowling Green State University Popular Press, c1992.</t>
        </is>
      </c>
      <c r="M116" t="inlineStr">
        <is>
          <t>1992</t>
        </is>
      </c>
      <c r="O116" t="inlineStr">
        <is>
          <t>eng</t>
        </is>
      </c>
      <c r="P116" t="inlineStr">
        <is>
          <t>ohu</t>
        </is>
      </c>
      <c r="R116" t="inlineStr">
        <is>
          <t xml:space="preserve">E  </t>
        </is>
      </c>
      <c r="S116" t="n">
        <v>11</v>
      </c>
      <c r="T116" t="n">
        <v>11</v>
      </c>
      <c r="U116" t="inlineStr">
        <is>
          <t>2002-03-25</t>
        </is>
      </c>
      <c r="V116" t="inlineStr">
        <is>
          <t>2002-03-25</t>
        </is>
      </c>
      <c r="W116" t="inlineStr">
        <is>
          <t>1992-05-21</t>
        </is>
      </c>
      <c r="X116" t="inlineStr">
        <is>
          <t>1992-05-21</t>
        </is>
      </c>
      <c r="Y116" t="n">
        <v>285</v>
      </c>
      <c r="Z116" t="n">
        <v>253</v>
      </c>
      <c r="AA116" t="n">
        <v>255</v>
      </c>
      <c r="AB116" t="n">
        <v>1</v>
      </c>
      <c r="AC116" t="n">
        <v>1</v>
      </c>
      <c r="AD116" t="n">
        <v>11</v>
      </c>
      <c r="AE116" t="n">
        <v>11</v>
      </c>
      <c r="AF116" t="n">
        <v>4</v>
      </c>
      <c r="AG116" t="n">
        <v>4</v>
      </c>
      <c r="AH116" t="n">
        <v>3</v>
      </c>
      <c r="AI116" t="n">
        <v>3</v>
      </c>
      <c r="AJ116" t="n">
        <v>7</v>
      </c>
      <c r="AK116" t="n">
        <v>7</v>
      </c>
      <c r="AL116" t="n">
        <v>0</v>
      </c>
      <c r="AM116" t="n">
        <v>0</v>
      </c>
      <c r="AN116" t="n">
        <v>0</v>
      </c>
      <c r="AO116" t="n">
        <v>0</v>
      </c>
      <c r="AP116" t="inlineStr">
        <is>
          <t>No</t>
        </is>
      </c>
      <c r="AQ116" t="inlineStr">
        <is>
          <t>Yes</t>
        </is>
      </c>
      <c r="AR116">
        <f>HYPERLINK("http://catalog.hathitrust.org/Record/002530730","HathiTrust Record")</f>
        <v/>
      </c>
      <c r="AS116">
        <f>HYPERLINK("https://creighton-primo.hosted.exlibrisgroup.com/primo-explore/search?tab=default_tab&amp;search_scope=EVERYTHING&amp;vid=01CRU&amp;lang=en_US&amp;offset=0&amp;query=any,contains,991001997359702656","Catalog Record")</f>
        <v/>
      </c>
      <c r="AT116">
        <f>HYPERLINK("http://www.worldcat.org/oclc/25376017","WorldCat Record")</f>
        <v/>
      </c>
      <c r="AU116" t="inlineStr">
        <is>
          <t>372409045:eng</t>
        </is>
      </c>
      <c r="AV116" t="inlineStr">
        <is>
          <t>25376017</t>
        </is>
      </c>
      <c r="AW116" t="inlineStr">
        <is>
          <t>991001997359702656</t>
        </is>
      </c>
      <c r="AX116" t="inlineStr">
        <is>
          <t>991001997359702656</t>
        </is>
      </c>
      <c r="AY116" t="inlineStr">
        <is>
          <t>2257266160002656</t>
        </is>
      </c>
      <c r="AZ116" t="inlineStr">
        <is>
          <t>BOOK</t>
        </is>
      </c>
      <c r="BB116" t="inlineStr">
        <is>
          <t>9780879725471</t>
        </is>
      </c>
      <c r="BC116" t="inlineStr">
        <is>
          <t>32285001117323</t>
        </is>
      </c>
      <c r="BD116" t="inlineStr">
        <is>
          <t>893709746</t>
        </is>
      </c>
    </row>
    <row r="117">
      <c r="A117" t="inlineStr">
        <is>
          <t>No</t>
        </is>
      </c>
      <c r="B117" t="inlineStr">
        <is>
          <t>E169.1 .B695 1996</t>
        </is>
      </c>
      <c r="C117" t="inlineStr">
        <is>
          <t>0                      E  0169100B  695         1996</t>
        </is>
      </c>
      <c r="D117" t="inlineStr">
        <is>
          <t>Bonds of affection : Americans define their patriotism / edited by John Bodnar.</t>
        </is>
      </c>
      <c r="F117" t="inlineStr">
        <is>
          <t>No</t>
        </is>
      </c>
      <c r="G117" t="inlineStr">
        <is>
          <t>1</t>
        </is>
      </c>
      <c r="H117" t="inlineStr">
        <is>
          <t>No</t>
        </is>
      </c>
      <c r="I117" t="inlineStr">
        <is>
          <t>No</t>
        </is>
      </c>
      <c r="J117" t="inlineStr">
        <is>
          <t>0</t>
        </is>
      </c>
      <c r="L117" t="inlineStr">
        <is>
          <t>Princeton, N.J. : Princeton University Press, c1996.</t>
        </is>
      </c>
      <c r="M117" t="inlineStr">
        <is>
          <t>1996</t>
        </is>
      </c>
      <c r="O117" t="inlineStr">
        <is>
          <t>eng</t>
        </is>
      </c>
      <c r="P117" t="inlineStr">
        <is>
          <t>nju</t>
        </is>
      </c>
      <c r="R117" t="inlineStr">
        <is>
          <t xml:space="preserve">E  </t>
        </is>
      </c>
      <c r="S117" t="n">
        <v>8</v>
      </c>
      <c r="T117" t="n">
        <v>8</v>
      </c>
      <c r="U117" t="inlineStr">
        <is>
          <t>2005-05-17</t>
        </is>
      </c>
      <c r="V117" t="inlineStr">
        <is>
          <t>2005-05-17</t>
        </is>
      </c>
      <c r="W117" t="inlineStr">
        <is>
          <t>1997-10-28</t>
        </is>
      </c>
      <c r="X117" t="inlineStr">
        <is>
          <t>1997-10-28</t>
        </is>
      </c>
      <c r="Y117" t="n">
        <v>408</v>
      </c>
      <c r="Z117" t="n">
        <v>344</v>
      </c>
      <c r="AA117" t="n">
        <v>506</v>
      </c>
      <c r="AB117" t="n">
        <v>4</v>
      </c>
      <c r="AC117" t="n">
        <v>4</v>
      </c>
      <c r="AD117" t="n">
        <v>21</v>
      </c>
      <c r="AE117" t="n">
        <v>29</v>
      </c>
      <c r="AF117" t="n">
        <v>4</v>
      </c>
      <c r="AG117" t="n">
        <v>10</v>
      </c>
      <c r="AH117" t="n">
        <v>7</v>
      </c>
      <c r="AI117" t="n">
        <v>10</v>
      </c>
      <c r="AJ117" t="n">
        <v>13</v>
      </c>
      <c r="AK117" t="n">
        <v>15</v>
      </c>
      <c r="AL117" t="n">
        <v>3</v>
      </c>
      <c r="AM117" t="n">
        <v>3</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HYPERLINK("https://creighton-primo.hosted.exlibrisgroup.com/primo-explore/search?tab=default_tab&amp;search_scope=EVERYTHING&amp;vid=01CRU&amp;lang=en_US&amp;offset=0&amp;query=any,contains,991002587969702656","Catalog Record")</f>
        <v/>
      </c>
      <c r="AT117">
        <f>HYPERLINK("http://www.worldcat.org/oclc/33900137","WorldCat Record")</f>
        <v/>
      </c>
      <c r="AU117" t="inlineStr">
        <is>
          <t>905409545:eng</t>
        </is>
      </c>
      <c r="AV117" t="inlineStr">
        <is>
          <t>33900137</t>
        </is>
      </c>
      <c r="AW117" t="inlineStr">
        <is>
          <t>991002587969702656</t>
        </is>
      </c>
      <c r="AX117" t="inlineStr">
        <is>
          <t>991002587969702656</t>
        </is>
      </c>
      <c r="AY117" t="inlineStr">
        <is>
          <t>2271535040002656</t>
        </is>
      </c>
      <c r="AZ117" t="inlineStr">
        <is>
          <t>BOOK</t>
        </is>
      </c>
      <c r="BB117" t="inlineStr">
        <is>
          <t>9780691043968</t>
        </is>
      </c>
      <c r="BC117" t="inlineStr">
        <is>
          <t>32285003258273</t>
        </is>
      </c>
      <c r="BD117" t="inlineStr">
        <is>
          <t>893886472</t>
        </is>
      </c>
    </row>
    <row r="118">
      <c r="A118" t="inlineStr">
        <is>
          <t>No</t>
        </is>
      </c>
      <c r="B118" t="inlineStr">
        <is>
          <t>E169.1 .B74 2004</t>
        </is>
      </c>
      <c r="C118" t="inlineStr">
        <is>
          <t>0                      E  0169100B  74          2004</t>
        </is>
      </c>
      <c r="D118" t="inlineStr">
        <is>
          <t>Booknotes : on American character / [compiled by] Brian Lamb.</t>
        </is>
      </c>
      <c r="F118" t="inlineStr">
        <is>
          <t>No</t>
        </is>
      </c>
      <c r="G118" t="inlineStr">
        <is>
          <t>1</t>
        </is>
      </c>
      <c r="H118" t="inlineStr">
        <is>
          <t>No</t>
        </is>
      </c>
      <c r="I118" t="inlineStr">
        <is>
          <t>No</t>
        </is>
      </c>
      <c r="J118" t="inlineStr">
        <is>
          <t>0</t>
        </is>
      </c>
      <c r="L118" t="inlineStr">
        <is>
          <t>New York : PublicAffairs, c2004.</t>
        </is>
      </c>
      <c r="M118" t="inlineStr">
        <is>
          <t>2004</t>
        </is>
      </c>
      <c r="N118" t="inlineStr">
        <is>
          <t>1st ed.</t>
        </is>
      </c>
      <c r="O118" t="inlineStr">
        <is>
          <t>eng</t>
        </is>
      </c>
      <c r="P118" t="inlineStr">
        <is>
          <t>nyu</t>
        </is>
      </c>
      <c r="R118" t="inlineStr">
        <is>
          <t xml:space="preserve">E  </t>
        </is>
      </c>
      <c r="S118" t="n">
        <v>1</v>
      </c>
      <c r="T118" t="n">
        <v>1</v>
      </c>
      <c r="U118" t="inlineStr">
        <is>
          <t>2004-06-07</t>
        </is>
      </c>
      <c r="V118" t="inlineStr">
        <is>
          <t>2004-06-07</t>
        </is>
      </c>
      <c r="W118" t="inlineStr">
        <is>
          <t>2004-06-07</t>
        </is>
      </c>
      <c r="X118" t="inlineStr">
        <is>
          <t>2004-06-07</t>
        </is>
      </c>
      <c r="Y118" t="n">
        <v>491</v>
      </c>
      <c r="Z118" t="n">
        <v>480</v>
      </c>
      <c r="AA118" t="n">
        <v>489</v>
      </c>
      <c r="AB118" t="n">
        <v>3</v>
      </c>
      <c r="AC118" t="n">
        <v>3</v>
      </c>
      <c r="AD118" t="n">
        <v>16</v>
      </c>
      <c r="AE118" t="n">
        <v>16</v>
      </c>
      <c r="AF118" t="n">
        <v>6</v>
      </c>
      <c r="AG118" t="n">
        <v>6</v>
      </c>
      <c r="AH118" t="n">
        <v>4</v>
      </c>
      <c r="AI118" t="n">
        <v>4</v>
      </c>
      <c r="AJ118" t="n">
        <v>9</v>
      </c>
      <c r="AK118" t="n">
        <v>9</v>
      </c>
      <c r="AL118" t="n">
        <v>0</v>
      </c>
      <c r="AM118" t="n">
        <v>0</v>
      </c>
      <c r="AN118" t="n">
        <v>1</v>
      </c>
      <c r="AO118" t="n">
        <v>1</v>
      </c>
      <c r="AP118" t="inlineStr">
        <is>
          <t>No</t>
        </is>
      </c>
      <c r="AQ118" t="inlineStr">
        <is>
          <t>Yes</t>
        </is>
      </c>
      <c r="AR118">
        <f>HYPERLINK("http://catalog.hathitrust.org/Record/004375447","HathiTrust Record")</f>
        <v/>
      </c>
      <c r="AS118">
        <f>HYPERLINK("https://creighton-primo.hosted.exlibrisgroup.com/primo-explore/search?tab=default_tab&amp;search_scope=EVERYTHING&amp;vid=01CRU&amp;lang=en_US&amp;offset=0&amp;query=any,contains,991004289939702656","Catalog Record")</f>
        <v/>
      </c>
      <c r="AT118">
        <f>HYPERLINK("http://www.worldcat.org/oclc/54046585","WorldCat Record")</f>
        <v/>
      </c>
      <c r="AU118" t="inlineStr">
        <is>
          <t>57010016:eng</t>
        </is>
      </c>
      <c r="AV118" t="inlineStr">
        <is>
          <t>54046585</t>
        </is>
      </c>
      <c r="AW118" t="inlineStr">
        <is>
          <t>991004289939702656</t>
        </is>
      </c>
      <c r="AX118" t="inlineStr">
        <is>
          <t>991004289939702656</t>
        </is>
      </c>
      <c r="AY118" t="inlineStr">
        <is>
          <t>2259697120002656</t>
        </is>
      </c>
      <c r="AZ118" t="inlineStr">
        <is>
          <t>BOOK</t>
        </is>
      </c>
      <c r="BB118" t="inlineStr">
        <is>
          <t>9781586482329</t>
        </is>
      </c>
      <c r="BC118" t="inlineStr">
        <is>
          <t>32285004907902</t>
        </is>
      </c>
      <c r="BD118" t="inlineStr">
        <is>
          <t>893888523</t>
        </is>
      </c>
    </row>
    <row r="119">
      <c r="A119" t="inlineStr">
        <is>
          <t>No</t>
        </is>
      </c>
      <c r="B119" t="inlineStr">
        <is>
          <t>E169.1 .B75125 1972</t>
        </is>
      </c>
      <c r="C119" t="inlineStr">
        <is>
          <t>0                      E  0169100B  75125       1972</t>
        </is>
      </c>
      <c r="D119" t="inlineStr">
        <is>
          <t>American civilization : a portrait from the twentieth century / texts by William H. Goetzmann [and others] ; edited by Daniel J. Boorstin.</t>
        </is>
      </c>
      <c r="F119" t="inlineStr">
        <is>
          <t>No</t>
        </is>
      </c>
      <c r="G119" t="inlineStr">
        <is>
          <t>1</t>
        </is>
      </c>
      <c r="H119" t="inlineStr">
        <is>
          <t>No</t>
        </is>
      </c>
      <c r="I119" t="inlineStr">
        <is>
          <t>No</t>
        </is>
      </c>
      <c r="J119" t="inlineStr">
        <is>
          <t>0</t>
        </is>
      </c>
      <c r="K119" t="inlineStr">
        <is>
          <t>Boorstin, Daniel J. (Daniel Joseph), 1914-2004.</t>
        </is>
      </c>
      <c r="L119" t="inlineStr">
        <is>
          <t>New York : McGraw-Hill, [1972]</t>
        </is>
      </c>
      <c r="M119" t="inlineStr">
        <is>
          <t>1972</t>
        </is>
      </c>
      <c r="O119" t="inlineStr">
        <is>
          <t>eng</t>
        </is>
      </c>
      <c r="P119" t="inlineStr">
        <is>
          <t>nyu</t>
        </is>
      </c>
      <c r="R119" t="inlineStr">
        <is>
          <t xml:space="preserve">E  </t>
        </is>
      </c>
      <c r="S119" t="n">
        <v>2</v>
      </c>
      <c r="T119" t="n">
        <v>2</v>
      </c>
      <c r="U119" t="inlineStr">
        <is>
          <t>2004-05-07</t>
        </is>
      </c>
      <c r="V119" t="inlineStr">
        <is>
          <t>2004-05-07</t>
        </is>
      </c>
      <c r="W119" t="inlineStr">
        <is>
          <t>1991-02-20</t>
        </is>
      </c>
      <c r="X119" t="inlineStr">
        <is>
          <t>1991-02-20</t>
        </is>
      </c>
      <c r="Y119" t="n">
        <v>996</v>
      </c>
      <c r="Z119" t="n">
        <v>956</v>
      </c>
      <c r="AA119" t="n">
        <v>996</v>
      </c>
      <c r="AB119" t="n">
        <v>10</v>
      </c>
      <c r="AC119" t="n">
        <v>11</v>
      </c>
      <c r="AD119" t="n">
        <v>29</v>
      </c>
      <c r="AE119" t="n">
        <v>31</v>
      </c>
      <c r="AF119" t="n">
        <v>11</v>
      </c>
      <c r="AG119" t="n">
        <v>12</v>
      </c>
      <c r="AH119" t="n">
        <v>4</v>
      </c>
      <c r="AI119" t="n">
        <v>4</v>
      </c>
      <c r="AJ119" t="n">
        <v>13</v>
      </c>
      <c r="AK119" t="n">
        <v>14</v>
      </c>
      <c r="AL119" t="n">
        <v>5</v>
      </c>
      <c r="AM119" t="n">
        <v>6</v>
      </c>
      <c r="AN119" t="n">
        <v>0</v>
      </c>
      <c r="AO119" t="n">
        <v>0</v>
      </c>
      <c r="AP119" t="inlineStr">
        <is>
          <t>No</t>
        </is>
      </c>
      <c r="AQ119" t="inlineStr">
        <is>
          <t>Yes</t>
        </is>
      </c>
      <c r="AR119">
        <f>HYPERLINK("http://catalog.hathitrust.org/Record/000328180","HathiTrust Record")</f>
        <v/>
      </c>
      <c r="AS119">
        <f>HYPERLINK("https://creighton-primo.hosted.exlibrisgroup.com/primo-explore/search?tab=default_tab&amp;search_scope=EVERYTHING&amp;vid=01CRU&amp;lang=en_US&amp;offset=0&amp;query=any,contains,991002864089702656","Catalog Record")</f>
        <v/>
      </c>
      <c r="AT119">
        <f>HYPERLINK("http://www.worldcat.org/oclc/495048","WorldCat Record")</f>
        <v/>
      </c>
      <c r="AU119" t="inlineStr">
        <is>
          <t>9248463759:eng</t>
        </is>
      </c>
      <c r="AV119" t="inlineStr">
        <is>
          <t>495048</t>
        </is>
      </c>
      <c r="AW119" t="inlineStr">
        <is>
          <t>991002864089702656</t>
        </is>
      </c>
      <c r="AX119" t="inlineStr">
        <is>
          <t>991002864089702656</t>
        </is>
      </c>
      <c r="AY119" t="inlineStr">
        <is>
          <t>2255678680002656</t>
        </is>
      </c>
      <c r="AZ119" t="inlineStr">
        <is>
          <t>BOOK</t>
        </is>
      </c>
      <c r="BB119" t="inlineStr">
        <is>
          <t>9780070064973</t>
        </is>
      </c>
      <c r="BC119" t="inlineStr">
        <is>
          <t>32285000299460</t>
        </is>
      </c>
      <c r="BD119" t="inlineStr">
        <is>
          <t>893774127</t>
        </is>
      </c>
    </row>
    <row r="120">
      <c r="A120" t="inlineStr">
        <is>
          <t>No</t>
        </is>
      </c>
      <c r="B120" t="inlineStr">
        <is>
          <t>E169.1 .B7513</t>
        </is>
      </c>
      <c r="C120" t="inlineStr">
        <is>
          <t>0                      E  0169100B  7513</t>
        </is>
      </c>
      <c r="D120" t="inlineStr">
        <is>
          <t>The Americans, the democratic experience [by] Daniel J. Boorstin.</t>
        </is>
      </c>
      <c r="F120" t="inlineStr">
        <is>
          <t>No</t>
        </is>
      </c>
      <c r="G120" t="inlineStr">
        <is>
          <t>1</t>
        </is>
      </c>
      <c r="H120" t="inlineStr">
        <is>
          <t>No</t>
        </is>
      </c>
      <c r="I120" t="inlineStr">
        <is>
          <t>No</t>
        </is>
      </c>
      <c r="J120" t="inlineStr">
        <is>
          <t>0</t>
        </is>
      </c>
      <c r="K120" t="inlineStr">
        <is>
          <t>Boorstin, Daniel J. (Daniel Joseph), 1914-2004.</t>
        </is>
      </c>
      <c r="L120" t="inlineStr">
        <is>
          <t>New York, Random House [1973]</t>
        </is>
      </c>
      <c r="M120" t="inlineStr">
        <is>
          <t>1973</t>
        </is>
      </c>
      <c r="N120" t="inlineStr">
        <is>
          <t>[1st ed.]</t>
        </is>
      </c>
      <c r="O120" t="inlineStr">
        <is>
          <t>eng</t>
        </is>
      </c>
      <c r="P120" t="inlineStr">
        <is>
          <t>nyu</t>
        </is>
      </c>
      <c r="R120" t="inlineStr">
        <is>
          <t xml:space="preserve">E  </t>
        </is>
      </c>
      <c r="S120" t="n">
        <v>2</v>
      </c>
      <c r="T120" t="n">
        <v>2</v>
      </c>
      <c r="U120" t="inlineStr">
        <is>
          <t>2001-09-27</t>
        </is>
      </c>
      <c r="V120" t="inlineStr">
        <is>
          <t>2001-09-27</t>
        </is>
      </c>
      <c r="W120" t="inlineStr">
        <is>
          <t>1997-04-02</t>
        </is>
      </c>
      <c r="X120" t="inlineStr">
        <is>
          <t>1997-04-02</t>
        </is>
      </c>
      <c r="Y120" t="n">
        <v>2471</v>
      </c>
      <c r="Z120" t="n">
        <v>2307</v>
      </c>
      <c r="AA120" t="n">
        <v>2715</v>
      </c>
      <c r="AB120" t="n">
        <v>21</v>
      </c>
      <c r="AC120" t="n">
        <v>21</v>
      </c>
      <c r="AD120" t="n">
        <v>58</v>
      </c>
      <c r="AE120" t="n">
        <v>61</v>
      </c>
      <c r="AF120" t="n">
        <v>24</v>
      </c>
      <c r="AG120" t="n">
        <v>26</v>
      </c>
      <c r="AH120" t="n">
        <v>10</v>
      </c>
      <c r="AI120" t="n">
        <v>10</v>
      </c>
      <c r="AJ120" t="n">
        <v>24</v>
      </c>
      <c r="AK120" t="n">
        <v>25</v>
      </c>
      <c r="AL120" t="n">
        <v>12</v>
      </c>
      <c r="AM120" t="n">
        <v>12</v>
      </c>
      <c r="AN120" t="n">
        <v>1</v>
      </c>
      <c r="AO120" t="n">
        <v>2</v>
      </c>
      <c r="AP120" t="inlineStr">
        <is>
          <t>No</t>
        </is>
      </c>
      <c r="AQ120" t="inlineStr">
        <is>
          <t>Yes</t>
        </is>
      </c>
      <c r="AR120">
        <f>HYPERLINK("http://catalog.hathitrust.org/Record/002906189","HathiTrust Record")</f>
        <v/>
      </c>
      <c r="AS120">
        <f>HYPERLINK("https://creighton-primo.hosted.exlibrisgroup.com/primo-explore/search?tab=default_tab&amp;search_scope=EVERYTHING&amp;vid=01CRU&amp;lang=en_US&amp;offset=0&amp;query=any,contains,991003028139702656","Catalog Record")</f>
        <v/>
      </c>
      <c r="AT120">
        <f>HYPERLINK("http://www.worldcat.org/oclc/591527","WorldCat Record")</f>
        <v/>
      </c>
      <c r="AU120" t="inlineStr">
        <is>
          <t>10227054599:eng</t>
        </is>
      </c>
      <c r="AV120" t="inlineStr">
        <is>
          <t>591527</t>
        </is>
      </c>
      <c r="AW120" t="inlineStr">
        <is>
          <t>991003028139702656</t>
        </is>
      </c>
      <c r="AX120" t="inlineStr">
        <is>
          <t>991003028139702656</t>
        </is>
      </c>
      <c r="AY120" t="inlineStr">
        <is>
          <t>2265889440002656</t>
        </is>
      </c>
      <c r="AZ120" t="inlineStr">
        <is>
          <t>BOOK</t>
        </is>
      </c>
      <c r="BB120" t="inlineStr">
        <is>
          <t>9780394487243</t>
        </is>
      </c>
      <c r="BC120" t="inlineStr">
        <is>
          <t>32285002500469</t>
        </is>
      </c>
      <c r="BD120" t="inlineStr">
        <is>
          <t>893899542</t>
        </is>
      </c>
    </row>
    <row r="121">
      <c r="A121" t="inlineStr">
        <is>
          <t>No</t>
        </is>
      </c>
      <c r="B121" t="inlineStr">
        <is>
          <t>E169.1 .B797</t>
        </is>
      </c>
      <c r="C121" t="inlineStr">
        <is>
          <t>0                      E  0169100B  797</t>
        </is>
      </c>
      <c r="D121" t="inlineStr">
        <is>
          <t>The American character / by D. W. Brogan.</t>
        </is>
      </c>
      <c r="F121" t="inlineStr">
        <is>
          <t>No</t>
        </is>
      </c>
      <c r="G121" t="inlineStr">
        <is>
          <t>1</t>
        </is>
      </c>
      <c r="H121" t="inlineStr">
        <is>
          <t>No</t>
        </is>
      </c>
      <c r="I121" t="inlineStr">
        <is>
          <t>No</t>
        </is>
      </c>
      <c r="J121" t="inlineStr">
        <is>
          <t>0</t>
        </is>
      </c>
      <c r="K121" t="inlineStr">
        <is>
          <t>Brogan, D. W. (Denis William), 1900-1974.</t>
        </is>
      </c>
      <c r="L121" t="inlineStr">
        <is>
          <t>New York : A. A. Knopf, 1944.</t>
        </is>
      </c>
      <c r="M121" t="inlineStr">
        <is>
          <t>1944</t>
        </is>
      </c>
      <c r="O121" t="inlineStr">
        <is>
          <t>eng</t>
        </is>
      </c>
      <c r="P121" t="inlineStr">
        <is>
          <t>nyu</t>
        </is>
      </c>
      <c r="R121" t="inlineStr">
        <is>
          <t xml:space="preserve">E  </t>
        </is>
      </c>
      <c r="S121" t="n">
        <v>3</v>
      </c>
      <c r="T121" t="n">
        <v>3</v>
      </c>
      <c r="U121" t="inlineStr">
        <is>
          <t>1996-09-20</t>
        </is>
      </c>
      <c r="V121" t="inlineStr">
        <is>
          <t>1996-09-20</t>
        </is>
      </c>
      <c r="W121" t="inlineStr">
        <is>
          <t>1995-03-27</t>
        </is>
      </c>
      <c r="X121" t="inlineStr">
        <is>
          <t>1995-03-27</t>
        </is>
      </c>
      <c r="Y121" t="n">
        <v>1184</v>
      </c>
      <c r="Z121" t="n">
        <v>1071</v>
      </c>
      <c r="AA121" t="n">
        <v>1521</v>
      </c>
      <c r="AB121" t="n">
        <v>10</v>
      </c>
      <c r="AC121" t="n">
        <v>13</v>
      </c>
      <c r="AD121" t="n">
        <v>39</v>
      </c>
      <c r="AE121" t="n">
        <v>51</v>
      </c>
      <c r="AF121" t="n">
        <v>12</v>
      </c>
      <c r="AG121" t="n">
        <v>18</v>
      </c>
      <c r="AH121" t="n">
        <v>9</v>
      </c>
      <c r="AI121" t="n">
        <v>9</v>
      </c>
      <c r="AJ121" t="n">
        <v>17</v>
      </c>
      <c r="AK121" t="n">
        <v>24</v>
      </c>
      <c r="AL121" t="n">
        <v>8</v>
      </c>
      <c r="AM121" t="n">
        <v>10</v>
      </c>
      <c r="AN121" t="n">
        <v>1</v>
      </c>
      <c r="AO121" t="n">
        <v>2</v>
      </c>
      <c r="AP121" t="inlineStr">
        <is>
          <t>No</t>
        </is>
      </c>
      <c r="AQ121" t="inlineStr">
        <is>
          <t>No</t>
        </is>
      </c>
      <c r="AR121">
        <f>HYPERLINK("http://catalog.hathitrust.org/Record/000601010","HathiTrust Record")</f>
        <v/>
      </c>
      <c r="AS121">
        <f>HYPERLINK("https://creighton-primo.hosted.exlibrisgroup.com/primo-explore/search?tab=default_tab&amp;search_scope=EVERYTHING&amp;vid=01CRU&amp;lang=en_US&amp;offset=0&amp;query=any,contains,991002736789702656","Catalog Record")</f>
        <v/>
      </c>
      <c r="AT121">
        <f>HYPERLINK("http://www.worldcat.org/oclc/419554","WorldCat Record")</f>
        <v/>
      </c>
      <c r="AU121" t="inlineStr">
        <is>
          <t>507331:eng</t>
        </is>
      </c>
      <c r="AV121" t="inlineStr">
        <is>
          <t>419554</t>
        </is>
      </c>
      <c r="AW121" t="inlineStr">
        <is>
          <t>991002736789702656</t>
        </is>
      </c>
      <c r="AX121" t="inlineStr">
        <is>
          <t>991002736789702656</t>
        </is>
      </c>
      <c r="AY121" t="inlineStr">
        <is>
          <t>2261484010002656</t>
        </is>
      </c>
      <c r="AZ121" t="inlineStr">
        <is>
          <t>BOOK</t>
        </is>
      </c>
      <c r="BC121" t="inlineStr">
        <is>
          <t>32285002013984</t>
        </is>
      </c>
      <c r="BD121" t="inlineStr">
        <is>
          <t>893698197</t>
        </is>
      </c>
    </row>
    <row r="122">
      <c r="A122" t="inlineStr">
        <is>
          <t>No</t>
        </is>
      </c>
      <c r="B122" t="inlineStr">
        <is>
          <t>E169.1 .B79825 1984</t>
        </is>
      </c>
      <c r="C122" t="inlineStr">
        <is>
          <t>0                      E  0169100B  79825       1984</t>
        </is>
      </c>
      <c r="D122" t="inlineStr">
        <is>
          <t>American culture and society since the 1930s / Christopher Brookeman.</t>
        </is>
      </c>
      <c r="F122" t="inlineStr">
        <is>
          <t>No</t>
        </is>
      </c>
      <c r="G122" t="inlineStr">
        <is>
          <t>1</t>
        </is>
      </c>
      <c r="H122" t="inlineStr">
        <is>
          <t>No</t>
        </is>
      </c>
      <c r="I122" t="inlineStr">
        <is>
          <t>No</t>
        </is>
      </c>
      <c r="J122" t="inlineStr">
        <is>
          <t>0</t>
        </is>
      </c>
      <c r="K122" t="inlineStr">
        <is>
          <t>Brookeman, Christopher.</t>
        </is>
      </c>
      <c r="L122" t="inlineStr">
        <is>
          <t>New York : Schocken Books, 1984.</t>
        </is>
      </c>
      <c r="M122" t="inlineStr">
        <is>
          <t>1984</t>
        </is>
      </c>
      <c r="N122" t="inlineStr">
        <is>
          <t>1st American ed.</t>
        </is>
      </c>
      <c r="O122" t="inlineStr">
        <is>
          <t>eng</t>
        </is>
      </c>
      <c r="P122" t="inlineStr">
        <is>
          <t>nyu</t>
        </is>
      </c>
      <c r="R122" t="inlineStr">
        <is>
          <t xml:space="preserve">E  </t>
        </is>
      </c>
      <c r="S122" t="n">
        <v>7</v>
      </c>
      <c r="T122" t="n">
        <v>7</v>
      </c>
      <c r="U122" t="inlineStr">
        <is>
          <t>1998-03-10</t>
        </is>
      </c>
      <c r="V122" t="inlineStr">
        <is>
          <t>1998-03-10</t>
        </is>
      </c>
      <c r="W122" t="inlineStr">
        <is>
          <t>1990-05-03</t>
        </is>
      </c>
      <c r="X122" t="inlineStr">
        <is>
          <t>1990-05-03</t>
        </is>
      </c>
      <c r="Y122" t="n">
        <v>409</v>
      </c>
      <c r="Z122" t="n">
        <v>381</v>
      </c>
      <c r="AA122" t="n">
        <v>448</v>
      </c>
      <c r="AB122" t="n">
        <v>1</v>
      </c>
      <c r="AC122" t="n">
        <v>3</v>
      </c>
      <c r="AD122" t="n">
        <v>16</v>
      </c>
      <c r="AE122" t="n">
        <v>19</v>
      </c>
      <c r="AF122" t="n">
        <v>5</v>
      </c>
      <c r="AG122" t="n">
        <v>5</v>
      </c>
      <c r="AH122" t="n">
        <v>5</v>
      </c>
      <c r="AI122" t="n">
        <v>5</v>
      </c>
      <c r="AJ122" t="n">
        <v>12</v>
      </c>
      <c r="AK122" t="n">
        <v>13</v>
      </c>
      <c r="AL122" t="n">
        <v>0</v>
      </c>
      <c r="AM122" t="n">
        <v>2</v>
      </c>
      <c r="AN122" t="n">
        <v>0</v>
      </c>
      <c r="AO122" t="n">
        <v>0</v>
      </c>
      <c r="AP122" t="inlineStr">
        <is>
          <t>No</t>
        </is>
      </c>
      <c r="AQ122" t="inlineStr">
        <is>
          <t>Yes</t>
        </is>
      </c>
      <c r="AR122">
        <f>HYPERLINK("http://catalog.hathitrust.org/Record/000407364","HathiTrust Record")</f>
        <v/>
      </c>
      <c r="AS122">
        <f>HYPERLINK("https://creighton-primo.hosted.exlibrisgroup.com/primo-explore/search?tab=default_tab&amp;search_scope=EVERYTHING&amp;vid=01CRU&amp;lang=en_US&amp;offset=0&amp;query=any,contains,991000432779702656","Catalog Record")</f>
        <v/>
      </c>
      <c r="AT122">
        <f>HYPERLINK("http://www.worldcat.org/oclc/10779977","WorldCat Record")</f>
        <v/>
      </c>
      <c r="AU122" t="inlineStr">
        <is>
          <t>3538623:eng</t>
        </is>
      </c>
      <c r="AV122" t="inlineStr">
        <is>
          <t>10779977</t>
        </is>
      </c>
      <c r="AW122" t="inlineStr">
        <is>
          <t>991000432779702656</t>
        </is>
      </c>
      <c r="AX122" t="inlineStr">
        <is>
          <t>991000432779702656</t>
        </is>
      </c>
      <c r="AY122" t="inlineStr">
        <is>
          <t>2268522480002656</t>
        </is>
      </c>
      <c r="AZ122" t="inlineStr">
        <is>
          <t>BOOK</t>
        </is>
      </c>
      <c r="BB122" t="inlineStr">
        <is>
          <t>9780805239393</t>
        </is>
      </c>
      <c r="BC122" t="inlineStr">
        <is>
          <t>32285000147560</t>
        </is>
      </c>
      <c r="BD122" t="inlineStr">
        <is>
          <t>893890673</t>
        </is>
      </c>
    </row>
    <row r="123">
      <c r="A123" t="inlineStr">
        <is>
          <t>No</t>
        </is>
      </c>
      <c r="B123" t="inlineStr">
        <is>
          <t>E169.1 .B8843</t>
        </is>
      </c>
      <c r="C123" t="inlineStr">
        <is>
          <t>0                      E  0169100B  8843</t>
        </is>
      </c>
      <c r="D123" t="inlineStr">
        <is>
          <t>Image of America. Translated from the French by C. G. Paulding and Virgilia Peterson.</t>
        </is>
      </c>
      <c r="F123" t="inlineStr">
        <is>
          <t>No</t>
        </is>
      </c>
      <c r="G123" t="inlineStr">
        <is>
          <t>1</t>
        </is>
      </c>
      <c r="H123" t="inlineStr">
        <is>
          <t>No</t>
        </is>
      </c>
      <c r="I123" t="inlineStr">
        <is>
          <t>No</t>
        </is>
      </c>
      <c r="J123" t="inlineStr">
        <is>
          <t>0</t>
        </is>
      </c>
      <c r="K123" t="inlineStr">
        <is>
          <t>Bruckberger, R.-L. (Raymond-Léopold), 1907-1998.</t>
        </is>
      </c>
      <c r="L123" t="inlineStr">
        <is>
          <t>New York, Viking Press, 1959.</t>
        </is>
      </c>
      <c r="M123" t="inlineStr">
        <is>
          <t>1959</t>
        </is>
      </c>
      <c r="O123" t="inlineStr">
        <is>
          <t>eng</t>
        </is>
      </c>
      <c r="P123" t="inlineStr">
        <is>
          <t>nyu</t>
        </is>
      </c>
      <c r="R123" t="inlineStr">
        <is>
          <t xml:space="preserve">E  </t>
        </is>
      </c>
      <c r="S123" t="n">
        <v>2</v>
      </c>
      <c r="T123" t="n">
        <v>2</v>
      </c>
      <c r="U123" t="inlineStr">
        <is>
          <t>1998-03-31</t>
        </is>
      </c>
      <c r="V123" t="inlineStr">
        <is>
          <t>1998-03-31</t>
        </is>
      </c>
      <c r="W123" t="inlineStr">
        <is>
          <t>1997-04-02</t>
        </is>
      </c>
      <c r="X123" t="inlineStr">
        <is>
          <t>1997-04-02</t>
        </is>
      </c>
      <c r="Y123" t="n">
        <v>1308</v>
      </c>
      <c r="Z123" t="n">
        <v>1199</v>
      </c>
      <c r="AA123" t="n">
        <v>1256</v>
      </c>
      <c r="AB123" t="n">
        <v>6</v>
      </c>
      <c r="AC123" t="n">
        <v>7</v>
      </c>
      <c r="AD123" t="n">
        <v>43</v>
      </c>
      <c r="AE123" t="n">
        <v>44</v>
      </c>
      <c r="AF123" t="n">
        <v>18</v>
      </c>
      <c r="AG123" t="n">
        <v>18</v>
      </c>
      <c r="AH123" t="n">
        <v>7</v>
      </c>
      <c r="AI123" t="n">
        <v>8</v>
      </c>
      <c r="AJ123" t="n">
        <v>20</v>
      </c>
      <c r="AK123" t="n">
        <v>21</v>
      </c>
      <c r="AL123" t="n">
        <v>4</v>
      </c>
      <c r="AM123" t="n">
        <v>4</v>
      </c>
      <c r="AN123" t="n">
        <v>3</v>
      </c>
      <c r="AO123" t="n">
        <v>3</v>
      </c>
      <c r="AP123" t="inlineStr">
        <is>
          <t>No</t>
        </is>
      </c>
      <c r="AQ123" t="inlineStr">
        <is>
          <t>Yes</t>
        </is>
      </c>
      <c r="AR123">
        <f>HYPERLINK("http://catalog.hathitrust.org/Record/000601029","HathiTrust Record")</f>
        <v/>
      </c>
      <c r="AS123">
        <f>HYPERLINK("https://creighton-primo.hosted.exlibrisgroup.com/primo-explore/search?tab=default_tab&amp;search_scope=EVERYTHING&amp;vid=01CRU&amp;lang=en_US&amp;offset=0&amp;query=any,contains,991002736139702656","Catalog Record")</f>
        <v/>
      </c>
      <c r="AT123">
        <f>HYPERLINK("http://www.worldcat.org/oclc/419323","WorldCat Record")</f>
        <v/>
      </c>
      <c r="AU123" t="inlineStr">
        <is>
          <t>1090754586:eng</t>
        </is>
      </c>
      <c r="AV123" t="inlineStr">
        <is>
          <t>419323</t>
        </is>
      </c>
      <c r="AW123" t="inlineStr">
        <is>
          <t>991002736139702656</t>
        </is>
      </c>
      <c r="AX123" t="inlineStr">
        <is>
          <t>991002736139702656</t>
        </is>
      </c>
      <c r="AY123" t="inlineStr">
        <is>
          <t>2261626040002656</t>
        </is>
      </c>
      <c r="AZ123" t="inlineStr">
        <is>
          <t>BOOK</t>
        </is>
      </c>
      <c r="BC123" t="inlineStr">
        <is>
          <t>32285002500501</t>
        </is>
      </c>
      <c r="BD123" t="inlineStr">
        <is>
          <t>893622648</t>
        </is>
      </c>
    </row>
    <row r="124">
      <c r="A124" t="inlineStr">
        <is>
          <t>No</t>
        </is>
      </c>
      <c r="B124" t="inlineStr">
        <is>
          <t>E169.1 .C284</t>
        </is>
      </c>
      <c r="C124" t="inlineStr">
        <is>
          <t>0                      E  0169100C  284</t>
        </is>
      </c>
      <c r="D124" t="inlineStr">
        <is>
          <t>Another part of the twenties / Paul A. Carter.</t>
        </is>
      </c>
      <c r="F124" t="inlineStr">
        <is>
          <t>No</t>
        </is>
      </c>
      <c r="G124" t="inlineStr">
        <is>
          <t>1</t>
        </is>
      </c>
      <c r="H124" t="inlineStr">
        <is>
          <t>No</t>
        </is>
      </c>
      <c r="I124" t="inlineStr">
        <is>
          <t>No</t>
        </is>
      </c>
      <c r="J124" t="inlineStr">
        <is>
          <t>0</t>
        </is>
      </c>
      <c r="K124" t="inlineStr">
        <is>
          <t>Carter, Paul A. (Paul Allen), 1926-2016.</t>
        </is>
      </c>
      <c r="L124" t="inlineStr">
        <is>
          <t>New York : Columbia University Press, 1977.</t>
        </is>
      </c>
      <c r="M124" t="inlineStr">
        <is>
          <t>1977</t>
        </is>
      </c>
      <c r="O124" t="inlineStr">
        <is>
          <t>eng</t>
        </is>
      </c>
      <c r="P124" t="inlineStr">
        <is>
          <t>nyu</t>
        </is>
      </c>
      <c r="R124" t="inlineStr">
        <is>
          <t xml:space="preserve">E  </t>
        </is>
      </c>
      <c r="S124" t="n">
        <v>1</v>
      </c>
      <c r="T124" t="n">
        <v>1</v>
      </c>
      <c r="U124" t="inlineStr">
        <is>
          <t>2003-12-11</t>
        </is>
      </c>
      <c r="V124" t="inlineStr">
        <is>
          <t>2003-12-11</t>
        </is>
      </c>
      <c r="W124" t="inlineStr">
        <is>
          <t>1997-04-02</t>
        </is>
      </c>
      <c r="X124" t="inlineStr">
        <is>
          <t>1997-04-02</t>
        </is>
      </c>
      <c r="Y124" t="n">
        <v>1206</v>
      </c>
      <c r="Z124" t="n">
        <v>1078</v>
      </c>
      <c r="AA124" t="n">
        <v>1092</v>
      </c>
      <c r="AB124" t="n">
        <v>8</v>
      </c>
      <c r="AC124" t="n">
        <v>8</v>
      </c>
      <c r="AD124" t="n">
        <v>38</v>
      </c>
      <c r="AE124" t="n">
        <v>38</v>
      </c>
      <c r="AF124" t="n">
        <v>14</v>
      </c>
      <c r="AG124" t="n">
        <v>14</v>
      </c>
      <c r="AH124" t="n">
        <v>10</v>
      </c>
      <c r="AI124" t="n">
        <v>10</v>
      </c>
      <c r="AJ124" t="n">
        <v>20</v>
      </c>
      <c r="AK124" t="n">
        <v>20</v>
      </c>
      <c r="AL124" t="n">
        <v>6</v>
      </c>
      <c r="AM124" t="n">
        <v>6</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HYPERLINK("https://creighton-primo.hosted.exlibrisgroup.com/primo-explore/search?tab=default_tab&amp;search_scope=EVERYTHING&amp;vid=01CRU&amp;lang=en_US&amp;offset=0&amp;query=any,contains,991004102409702656","Catalog Record")</f>
        <v/>
      </c>
      <c r="AT124">
        <f>HYPERLINK("http://www.worldcat.org/oclc/2373004","WorldCat Record")</f>
        <v/>
      </c>
      <c r="AU124" t="inlineStr">
        <is>
          <t>419993:eng</t>
        </is>
      </c>
      <c r="AV124" t="inlineStr">
        <is>
          <t>2373004</t>
        </is>
      </c>
      <c r="AW124" t="inlineStr">
        <is>
          <t>991004102409702656</t>
        </is>
      </c>
      <c r="AX124" t="inlineStr">
        <is>
          <t>991004102409702656</t>
        </is>
      </c>
      <c r="AY124" t="inlineStr">
        <is>
          <t>2257301920002656</t>
        </is>
      </c>
      <c r="AZ124" t="inlineStr">
        <is>
          <t>BOOK</t>
        </is>
      </c>
      <c r="BB124" t="inlineStr">
        <is>
          <t>9780231041348</t>
        </is>
      </c>
      <c r="BC124" t="inlineStr">
        <is>
          <t>32285002500543</t>
        </is>
      </c>
      <c r="BD124" t="inlineStr">
        <is>
          <t>893253240</t>
        </is>
      </c>
    </row>
    <row r="125">
      <c r="A125" t="inlineStr">
        <is>
          <t>No</t>
        </is>
      </c>
      <c r="B125" t="inlineStr">
        <is>
          <t>E169.1 .C617</t>
        </is>
      </c>
      <c r="C125" t="inlineStr">
        <is>
          <t>0                      E  0169100C  617</t>
        </is>
      </c>
      <c r="D125" t="inlineStr">
        <is>
          <t>The American culture; approaches to the study of the United States.</t>
        </is>
      </c>
      <c r="F125" t="inlineStr">
        <is>
          <t>No</t>
        </is>
      </c>
      <c r="G125" t="inlineStr">
        <is>
          <t>1</t>
        </is>
      </c>
      <c r="H125" t="inlineStr">
        <is>
          <t>No</t>
        </is>
      </c>
      <c r="I125" t="inlineStr">
        <is>
          <t>No</t>
        </is>
      </c>
      <c r="J125" t="inlineStr">
        <is>
          <t>0</t>
        </is>
      </c>
      <c r="K125" t="inlineStr">
        <is>
          <t>Cohen, Hennig compiler.</t>
        </is>
      </c>
      <c r="L125" t="inlineStr">
        <is>
          <t>Boston, Houghton Mifflin [1968]</t>
        </is>
      </c>
      <c r="M125" t="inlineStr">
        <is>
          <t>1968</t>
        </is>
      </c>
      <c r="O125" t="inlineStr">
        <is>
          <t>eng</t>
        </is>
      </c>
      <c r="P125" t="inlineStr">
        <is>
          <t>mau</t>
        </is>
      </c>
      <c r="R125" t="inlineStr">
        <is>
          <t xml:space="preserve">E  </t>
        </is>
      </c>
      <c r="S125" t="n">
        <v>4</v>
      </c>
      <c r="T125" t="n">
        <v>4</v>
      </c>
      <c r="U125" t="inlineStr">
        <is>
          <t>2005-04-12</t>
        </is>
      </c>
      <c r="V125" t="inlineStr">
        <is>
          <t>2005-04-12</t>
        </is>
      </c>
      <c r="W125" t="inlineStr">
        <is>
          <t>1997-04-03</t>
        </is>
      </c>
      <c r="X125" t="inlineStr">
        <is>
          <t>1997-04-03</t>
        </is>
      </c>
      <c r="Y125" t="n">
        <v>638</v>
      </c>
      <c r="Z125" t="n">
        <v>564</v>
      </c>
      <c r="AA125" t="n">
        <v>567</v>
      </c>
      <c r="AB125" t="n">
        <v>6</v>
      </c>
      <c r="AC125" t="n">
        <v>6</v>
      </c>
      <c r="AD125" t="n">
        <v>27</v>
      </c>
      <c r="AE125" t="n">
        <v>27</v>
      </c>
      <c r="AF125" t="n">
        <v>10</v>
      </c>
      <c r="AG125" t="n">
        <v>10</v>
      </c>
      <c r="AH125" t="n">
        <v>7</v>
      </c>
      <c r="AI125" t="n">
        <v>7</v>
      </c>
      <c r="AJ125" t="n">
        <v>12</v>
      </c>
      <c r="AK125" t="n">
        <v>12</v>
      </c>
      <c r="AL125" t="n">
        <v>5</v>
      </c>
      <c r="AM125" t="n">
        <v>5</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HYPERLINK("https://creighton-primo.hosted.exlibrisgroup.com/primo-explore/search?tab=default_tab&amp;search_scope=EVERYTHING&amp;vid=01CRU&amp;lang=en_US&amp;offset=0&amp;query=any,contains,991002746239702656","Catalog Record")</f>
        <v/>
      </c>
      <c r="AT125">
        <f>HYPERLINK("http://www.worldcat.org/oclc/422872","WorldCat Record")</f>
        <v/>
      </c>
      <c r="AU125" t="inlineStr">
        <is>
          <t>3857929008:eng</t>
        </is>
      </c>
      <c r="AV125" t="inlineStr">
        <is>
          <t>422872</t>
        </is>
      </c>
      <c r="AW125" t="inlineStr">
        <is>
          <t>991002746239702656</t>
        </is>
      </c>
      <c r="AX125" t="inlineStr">
        <is>
          <t>991002746239702656</t>
        </is>
      </c>
      <c r="AY125" t="inlineStr">
        <is>
          <t>2267027520002656</t>
        </is>
      </c>
      <c r="AZ125" t="inlineStr">
        <is>
          <t>BOOK</t>
        </is>
      </c>
      <c r="BC125" t="inlineStr">
        <is>
          <t>32285002500634</t>
        </is>
      </c>
      <c r="BD125" t="inlineStr">
        <is>
          <t>893622664</t>
        </is>
      </c>
    </row>
    <row r="126">
      <c r="A126" t="inlineStr">
        <is>
          <t>No</t>
        </is>
      </c>
      <c r="B126" t="inlineStr">
        <is>
          <t>E169.1 .C64</t>
        </is>
      </c>
      <c r="C126" t="inlineStr">
        <is>
          <t>0                      E  0169100C  64</t>
        </is>
      </c>
      <c r="D126" t="inlineStr">
        <is>
          <t>American culture in the sixties.</t>
        </is>
      </c>
      <c r="F126" t="inlineStr">
        <is>
          <t>No</t>
        </is>
      </c>
      <c r="G126" t="inlineStr">
        <is>
          <t>1</t>
        </is>
      </c>
      <c r="H126" t="inlineStr">
        <is>
          <t>No</t>
        </is>
      </c>
      <c r="I126" t="inlineStr">
        <is>
          <t>No</t>
        </is>
      </c>
      <c r="J126" t="inlineStr">
        <is>
          <t>0</t>
        </is>
      </c>
      <c r="K126" t="inlineStr">
        <is>
          <t>Colby, Vineta editor.</t>
        </is>
      </c>
      <c r="L126" t="inlineStr">
        <is>
          <t>New York, Wilson, 1964.</t>
        </is>
      </c>
      <c r="M126" t="inlineStr">
        <is>
          <t>1964</t>
        </is>
      </c>
      <c r="O126" t="inlineStr">
        <is>
          <t>eng</t>
        </is>
      </c>
      <c r="P126" t="inlineStr">
        <is>
          <t>nyu</t>
        </is>
      </c>
      <c r="Q126" t="inlineStr">
        <is>
          <t>The Reference shelf, v. 36, no. 1</t>
        </is>
      </c>
      <c r="R126" t="inlineStr">
        <is>
          <t xml:space="preserve">E  </t>
        </is>
      </c>
      <c r="S126" t="n">
        <v>6</v>
      </c>
      <c r="T126" t="n">
        <v>6</v>
      </c>
      <c r="U126" t="inlineStr">
        <is>
          <t>1999-03-02</t>
        </is>
      </c>
      <c r="V126" t="inlineStr">
        <is>
          <t>1999-03-02</t>
        </is>
      </c>
      <c r="W126" t="inlineStr">
        <is>
          <t>1997-04-03</t>
        </is>
      </c>
      <c r="X126" t="inlineStr">
        <is>
          <t>1997-04-03</t>
        </is>
      </c>
      <c r="Y126" t="n">
        <v>1238</v>
      </c>
      <c r="Z126" t="n">
        <v>1172</v>
      </c>
      <c r="AA126" t="n">
        <v>1185</v>
      </c>
      <c r="AB126" t="n">
        <v>11</v>
      </c>
      <c r="AC126" t="n">
        <v>11</v>
      </c>
      <c r="AD126" t="n">
        <v>41</v>
      </c>
      <c r="AE126" t="n">
        <v>41</v>
      </c>
      <c r="AF126" t="n">
        <v>14</v>
      </c>
      <c r="AG126" t="n">
        <v>14</v>
      </c>
      <c r="AH126" t="n">
        <v>6</v>
      </c>
      <c r="AI126" t="n">
        <v>6</v>
      </c>
      <c r="AJ126" t="n">
        <v>20</v>
      </c>
      <c r="AK126" t="n">
        <v>20</v>
      </c>
      <c r="AL126" t="n">
        <v>9</v>
      </c>
      <c r="AM126" t="n">
        <v>9</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HYPERLINK("https://creighton-primo.hosted.exlibrisgroup.com/primo-explore/search?tab=default_tab&amp;search_scope=EVERYTHING&amp;vid=01CRU&amp;lang=en_US&amp;offset=0&amp;query=any,contains,991003177699702656","Catalog Record")</f>
        <v/>
      </c>
      <c r="AT126">
        <f>HYPERLINK("http://www.worldcat.org/oclc/711083","WorldCat Record")</f>
        <v/>
      </c>
      <c r="AU126" t="inlineStr">
        <is>
          <t>1655775:eng</t>
        </is>
      </c>
      <c r="AV126" t="inlineStr">
        <is>
          <t>711083</t>
        </is>
      </c>
      <c r="AW126" t="inlineStr">
        <is>
          <t>991003177699702656</t>
        </is>
      </c>
      <c r="AX126" t="inlineStr">
        <is>
          <t>991003177699702656</t>
        </is>
      </c>
      <c r="AY126" t="inlineStr">
        <is>
          <t>2264077460002656</t>
        </is>
      </c>
      <c r="AZ126" t="inlineStr">
        <is>
          <t>BOOK</t>
        </is>
      </c>
      <c r="BC126" t="inlineStr">
        <is>
          <t>32285002500642</t>
        </is>
      </c>
      <c r="BD126" t="inlineStr">
        <is>
          <t>893233895</t>
        </is>
      </c>
    </row>
    <row r="127">
      <c r="A127" t="inlineStr">
        <is>
          <t>No</t>
        </is>
      </c>
      <c r="B127" t="inlineStr">
        <is>
          <t>E169.1 .C6668</t>
        </is>
      </c>
      <c r="C127" t="inlineStr">
        <is>
          <t>0                      E  0169100C  6668</t>
        </is>
      </c>
      <c r="D127" t="inlineStr">
        <is>
          <t>Concise histories of American popular culture / edited by M. Thomas Inge.</t>
        </is>
      </c>
      <c r="F127" t="inlineStr">
        <is>
          <t>No</t>
        </is>
      </c>
      <c r="G127" t="inlineStr">
        <is>
          <t>1</t>
        </is>
      </c>
      <c r="H127" t="inlineStr">
        <is>
          <t>No</t>
        </is>
      </c>
      <c r="I127" t="inlineStr">
        <is>
          <t>No</t>
        </is>
      </c>
      <c r="J127" t="inlineStr">
        <is>
          <t>0</t>
        </is>
      </c>
      <c r="L127" t="inlineStr">
        <is>
          <t>Westport, Conn. : Greenwood Press, c1982.</t>
        </is>
      </c>
      <c r="M127" t="inlineStr">
        <is>
          <t>1982</t>
        </is>
      </c>
      <c r="O127" t="inlineStr">
        <is>
          <t>eng</t>
        </is>
      </c>
      <c r="P127" t="inlineStr">
        <is>
          <t>ctu</t>
        </is>
      </c>
      <c r="R127" t="inlineStr">
        <is>
          <t xml:space="preserve">E  </t>
        </is>
      </c>
      <c r="S127" t="n">
        <v>3</v>
      </c>
      <c r="T127" t="n">
        <v>3</v>
      </c>
      <c r="U127" t="inlineStr">
        <is>
          <t>1995-03-27</t>
        </is>
      </c>
      <c r="V127" t="inlineStr">
        <is>
          <t>1995-03-27</t>
        </is>
      </c>
      <c r="W127" t="inlineStr">
        <is>
          <t>1990-12-18</t>
        </is>
      </c>
      <c r="X127" t="inlineStr">
        <is>
          <t>1990-12-18</t>
        </is>
      </c>
      <c r="Y127" t="n">
        <v>490</v>
      </c>
      <c r="Z127" t="n">
        <v>394</v>
      </c>
      <c r="AA127" t="n">
        <v>400</v>
      </c>
      <c r="AB127" t="n">
        <v>4</v>
      </c>
      <c r="AC127" t="n">
        <v>4</v>
      </c>
      <c r="AD127" t="n">
        <v>19</v>
      </c>
      <c r="AE127" t="n">
        <v>19</v>
      </c>
      <c r="AF127" t="n">
        <v>8</v>
      </c>
      <c r="AG127" t="n">
        <v>8</v>
      </c>
      <c r="AH127" t="n">
        <v>4</v>
      </c>
      <c r="AI127" t="n">
        <v>4</v>
      </c>
      <c r="AJ127" t="n">
        <v>10</v>
      </c>
      <c r="AK127" t="n">
        <v>10</v>
      </c>
      <c r="AL127" t="n">
        <v>3</v>
      </c>
      <c r="AM127" t="n">
        <v>3</v>
      </c>
      <c r="AN127" t="n">
        <v>0</v>
      </c>
      <c r="AO127" t="n">
        <v>0</v>
      </c>
      <c r="AP127" t="inlineStr">
        <is>
          <t>No</t>
        </is>
      </c>
      <c r="AQ127" t="inlineStr">
        <is>
          <t>Yes</t>
        </is>
      </c>
      <c r="AR127">
        <f>HYPERLINK("http://catalog.hathitrust.org/Record/006807157","HathiTrust Record")</f>
        <v/>
      </c>
      <c r="AS127">
        <f>HYPERLINK("https://creighton-primo.hosted.exlibrisgroup.com/primo-explore/search?tab=default_tab&amp;search_scope=EVERYTHING&amp;vid=01CRU&amp;lang=en_US&amp;offset=0&amp;query=any,contains,991005240909702656","Catalog Record")</f>
        <v/>
      </c>
      <c r="AT127">
        <f>HYPERLINK("http://www.worldcat.org/oclc/8411174","WorldCat Record")</f>
        <v/>
      </c>
      <c r="AU127" t="inlineStr">
        <is>
          <t>446846:eng</t>
        </is>
      </c>
      <c r="AV127" t="inlineStr">
        <is>
          <t>8411174</t>
        </is>
      </c>
      <c r="AW127" t="inlineStr">
        <is>
          <t>991005240909702656</t>
        </is>
      </c>
      <c r="AX127" t="inlineStr">
        <is>
          <t>991005240909702656</t>
        </is>
      </c>
      <c r="AY127" t="inlineStr">
        <is>
          <t>2257380930002656</t>
        </is>
      </c>
      <c r="AZ127" t="inlineStr">
        <is>
          <t>BOOK</t>
        </is>
      </c>
      <c r="BB127" t="inlineStr">
        <is>
          <t>9780313233029</t>
        </is>
      </c>
      <c r="BC127" t="inlineStr">
        <is>
          <t>32285000423300</t>
        </is>
      </c>
      <c r="BD127" t="inlineStr">
        <is>
          <t>893619680</t>
        </is>
      </c>
    </row>
    <row r="128">
      <c r="A128" t="inlineStr">
        <is>
          <t>No</t>
        </is>
      </c>
      <c r="B128" t="inlineStr">
        <is>
          <t>E169.1 .C673</t>
        </is>
      </c>
      <c r="C128" t="inlineStr">
        <is>
          <t>0                      E  0169100C  673</t>
        </is>
      </c>
      <c r="D128" t="inlineStr">
        <is>
          <t>The American mind : an interpretation of American thought and character since the 1880's.</t>
        </is>
      </c>
      <c r="F128" t="inlineStr">
        <is>
          <t>No</t>
        </is>
      </c>
      <c r="G128" t="inlineStr">
        <is>
          <t>1</t>
        </is>
      </c>
      <c r="H128" t="inlineStr">
        <is>
          <t>No</t>
        </is>
      </c>
      <c r="I128" t="inlineStr">
        <is>
          <t>No</t>
        </is>
      </c>
      <c r="J128" t="inlineStr">
        <is>
          <t>0</t>
        </is>
      </c>
      <c r="K128" t="inlineStr">
        <is>
          <t>Commager, Henry Steele, 1902-1998.</t>
        </is>
      </c>
      <c r="L128" t="inlineStr">
        <is>
          <t>New Haven : Yale University Press, 1950.</t>
        </is>
      </c>
      <c r="M128" t="inlineStr">
        <is>
          <t>1950</t>
        </is>
      </c>
      <c r="O128" t="inlineStr">
        <is>
          <t>eng</t>
        </is>
      </c>
      <c r="P128" t="inlineStr">
        <is>
          <t>ctu</t>
        </is>
      </c>
      <c r="R128" t="inlineStr">
        <is>
          <t xml:space="preserve">E  </t>
        </is>
      </c>
      <c r="S128" t="n">
        <v>5</v>
      </c>
      <c r="T128" t="n">
        <v>5</v>
      </c>
      <c r="U128" t="inlineStr">
        <is>
          <t>2005-04-12</t>
        </is>
      </c>
      <c r="V128" t="inlineStr">
        <is>
          <t>2005-04-12</t>
        </is>
      </c>
      <c r="W128" t="inlineStr">
        <is>
          <t>1991-04-08</t>
        </is>
      </c>
      <c r="X128" t="inlineStr">
        <is>
          <t>1991-04-08</t>
        </is>
      </c>
      <c r="Y128" t="n">
        <v>2105</v>
      </c>
      <c r="Z128" t="n">
        <v>1918</v>
      </c>
      <c r="AA128" t="n">
        <v>2105</v>
      </c>
      <c r="AB128" t="n">
        <v>14</v>
      </c>
      <c r="AC128" t="n">
        <v>15</v>
      </c>
      <c r="AD128" t="n">
        <v>60</v>
      </c>
      <c r="AE128" t="n">
        <v>63</v>
      </c>
      <c r="AF128" t="n">
        <v>25</v>
      </c>
      <c r="AG128" t="n">
        <v>26</v>
      </c>
      <c r="AH128" t="n">
        <v>9</v>
      </c>
      <c r="AI128" t="n">
        <v>10</v>
      </c>
      <c r="AJ128" t="n">
        <v>24</v>
      </c>
      <c r="AK128" t="n">
        <v>24</v>
      </c>
      <c r="AL128" t="n">
        <v>12</v>
      </c>
      <c r="AM128" t="n">
        <v>13</v>
      </c>
      <c r="AN128" t="n">
        <v>3</v>
      </c>
      <c r="AO128" t="n">
        <v>3</v>
      </c>
      <c r="AP128" t="inlineStr">
        <is>
          <t>No</t>
        </is>
      </c>
      <c r="AQ128" t="inlineStr">
        <is>
          <t>Yes</t>
        </is>
      </c>
      <c r="AR128">
        <f>HYPERLINK("http://catalog.hathitrust.org/Record/000601243","HathiTrust Record")</f>
        <v/>
      </c>
      <c r="AS128">
        <f>HYPERLINK("https://creighton-primo.hosted.exlibrisgroup.com/primo-explore/search?tab=default_tab&amp;search_scope=EVERYTHING&amp;vid=01CRU&amp;lang=en_US&amp;offset=0&amp;query=any,contains,991002736209702656","Catalog Record")</f>
        <v/>
      </c>
      <c r="AT128">
        <f>HYPERLINK("http://www.worldcat.org/oclc/419327","WorldCat Record")</f>
        <v/>
      </c>
      <c r="AU128" t="inlineStr">
        <is>
          <t>235180841:eng</t>
        </is>
      </c>
      <c r="AV128" t="inlineStr">
        <is>
          <t>419327</t>
        </is>
      </c>
      <c r="AW128" t="inlineStr">
        <is>
          <t>991002736209702656</t>
        </is>
      </c>
      <c r="AX128" t="inlineStr">
        <is>
          <t>991002736209702656</t>
        </is>
      </c>
      <c r="AY128" t="inlineStr">
        <is>
          <t>2261626330002656</t>
        </is>
      </c>
      <c r="AZ128" t="inlineStr">
        <is>
          <t>BOOK</t>
        </is>
      </c>
      <c r="BC128" t="inlineStr">
        <is>
          <t>32285000550557</t>
        </is>
      </c>
      <c r="BD128" t="inlineStr">
        <is>
          <t>893610221</t>
        </is>
      </c>
    </row>
    <row r="129">
      <c r="A129" t="inlineStr">
        <is>
          <t>No</t>
        </is>
      </c>
      <c r="B129" t="inlineStr">
        <is>
          <t>E169.1 .C785 1992</t>
        </is>
      </c>
      <c r="C129" t="inlineStr">
        <is>
          <t>0                      E  0169100C  785         1992</t>
        </is>
      </c>
      <c r="D129" t="inlineStr">
        <is>
          <t>Reluctant modernism : American thought and culture, 1880-1900 / George Cotkin.</t>
        </is>
      </c>
      <c r="F129" t="inlineStr">
        <is>
          <t>No</t>
        </is>
      </c>
      <c r="G129" t="inlineStr">
        <is>
          <t>1</t>
        </is>
      </c>
      <c r="H129" t="inlineStr">
        <is>
          <t>No</t>
        </is>
      </c>
      <c r="I129" t="inlineStr">
        <is>
          <t>No</t>
        </is>
      </c>
      <c r="J129" t="inlineStr">
        <is>
          <t>0</t>
        </is>
      </c>
      <c r="K129" t="inlineStr">
        <is>
          <t>Cotkin, George, 1950-</t>
        </is>
      </c>
      <c r="L129" t="inlineStr">
        <is>
          <t>Boston : Twayne Publishers, c1992.</t>
        </is>
      </c>
      <c r="M129" t="inlineStr">
        <is>
          <t>1992</t>
        </is>
      </c>
      <c r="O129" t="inlineStr">
        <is>
          <t>eng</t>
        </is>
      </c>
      <c r="P129" t="inlineStr">
        <is>
          <t>mau</t>
        </is>
      </c>
      <c r="Q129" t="inlineStr">
        <is>
          <t>Twayne's American thought and culture series</t>
        </is>
      </c>
      <c r="R129" t="inlineStr">
        <is>
          <t xml:space="preserve">E  </t>
        </is>
      </c>
      <c r="S129" t="n">
        <v>3</v>
      </c>
      <c r="T129" t="n">
        <v>3</v>
      </c>
      <c r="U129" t="inlineStr">
        <is>
          <t>2004-09-27</t>
        </is>
      </c>
      <c r="V129" t="inlineStr">
        <is>
          <t>2004-09-27</t>
        </is>
      </c>
      <c r="W129" t="inlineStr">
        <is>
          <t>1992-05-21</t>
        </is>
      </c>
      <c r="X129" t="inlineStr">
        <is>
          <t>1992-05-21</t>
        </is>
      </c>
      <c r="Y129" t="n">
        <v>713</v>
      </c>
      <c r="Z129" t="n">
        <v>641</v>
      </c>
      <c r="AA129" t="n">
        <v>685</v>
      </c>
      <c r="AB129" t="n">
        <v>7</v>
      </c>
      <c r="AC129" t="n">
        <v>7</v>
      </c>
      <c r="AD129" t="n">
        <v>31</v>
      </c>
      <c r="AE129" t="n">
        <v>32</v>
      </c>
      <c r="AF129" t="n">
        <v>11</v>
      </c>
      <c r="AG129" t="n">
        <v>12</v>
      </c>
      <c r="AH129" t="n">
        <v>6</v>
      </c>
      <c r="AI129" t="n">
        <v>7</v>
      </c>
      <c r="AJ129" t="n">
        <v>15</v>
      </c>
      <c r="AK129" t="n">
        <v>15</v>
      </c>
      <c r="AL129" t="n">
        <v>6</v>
      </c>
      <c r="AM129" t="n">
        <v>6</v>
      </c>
      <c r="AN129" t="n">
        <v>0</v>
      </c>
      <c r="AO129" t="n">
        <v>0</v>
      </c>
      <c r="AP129" t="inlineStr">
        <is>
          <t>No</t>
        </is>
      </c>
      <c r="AQ129" t="inlineStr">
        <is>
          <t>Yes</t>
        </is>
      </c>
      <c r="AR129">
        <f>HYPERLINK("http://catalog.hathitrust.org/Record/002545214","HathiTrust Record")</f>
        <v/>
      </c>
      <c r="AS129">
        <f>HYPERLINK("https://creighton-primo.hosted.exlibrisgroup.com/primo-explore/search?tab=default_tab&amp;search_scope=EVERYTHING&amp;vid=01CRU&amp;lang=en_US&amp;offset=0&amp;query=any,contains,991001934029702656","Catalog Record")</f>
        <v/>
      </c>
      <c r="AT129">
        <f>HYPERLINK("http://www.worldcat.org/oclc/24429967","WorldCat Record")</f>
        <v/>
      </c>
      <c r="AU129" t="inlineStr">
        <is>
          <t>942864:eng</t>
        </is>
      </c>
      <c r="AV129" t="inlineStr">
        <is>
          <t>24429967</t>
        </is>
      </c>
      <c r="AW129" t="inlineStr">
        <is>
          <t>991001934029702656</t>
        </is>
      </c>
      <c r="AX129" t="inlineStr">
        <is>
          <t>991001934029702656</t>
        </is>
      </c>
      <c r="AY129" t="inlineStr">
        <is>
          <t>2258451600002656</t>
        </is>
      </c>
      <c r="AZ129" t="inlineStr">
        <is>
          <t>BOOK</t>
        </is>
      </c>
      <c r="BB129" t="inlineStr">
        <is>
          <t>9780805790542</t>
        </is>
      </c>
      <c r="BC129" t="inlineStr">
        <is>
          <t>32285001117885</t>
        </is>
      </c>
      <c r="BD129" t="inlineStr">
        <is>
          <t>893804028</t>
        </is>
      </c>
    </row>
    <row r="130">
      <c r="A130" t="inlineStr">
        <is>
          <t>No</t>
        </is>
      </c>
      <c r="B130" t="inlineStr">
        <is>
          <t>E169.1 .C792 1996</t>
        </is>
      </c>
      <c r="C130" t="inlineStr">
        <is>
          <t>0                      E  0169100C  792         1996</t>
        </is>
      </c>
      <c r="D130" t="inlineStr">
        <is>
          <t>Americans, a collision of histories / Edward Countryman.</t>
        </is>
      </c>
      <c r="F130" t="inlineStr">
        <is>
          <t>No</t>
        </is>
      </c>
      <c r="G130" t="inlineStr">
        <is>
          <t>1</t>
        </is>
      </c>
      <c r="H130" t="inlineStr">
        <is>
          <t>No</t>
        </is>
      </c>
      <c r="I130" t="inlineStr">
        <is>
          <t>No</t>
        </is>
      </c>
      <c r="J130" t="inlineStr">
        <is>
          <t>0</t>
        </is>
      </c>
      <c r="K130" t="inlineStr">
        <is>
          <t>Countryman, Edward.</t>
        </is>
      </c>
      <c r="L130" t="inlineStr">
        <is>
          <t>New York : Hill and Wang, 1996.</t>
        </is>
      </c>
      <c r="M130" t="inlineStr">
        <is>
          <t>1996</t>
        </is>
      </c>
      <c r="N130" t="inlineStr">
        <is>
          <t>1st ed.</t>
        </is>
      </c>
      <c r="O130" t="inlineStr">
        <is>
          <t>eng</t>
        </is>
      </c>
      <c r="P130" t="inlineStr">
        <is>
          <t>nyu</t>
        </is>
      </c>
      <c r="R130" t="inlineStr">
        <is>
          <t xml:space="preserve">E  </t>
        </is>
      </c>
      <c r="S130" t="n">
        <v>4</v>
      </c>
      <c r="T130" t="n">
        <v>4</v>
      </c>
      <c r="U130" t="inlineStr">
        <is>
          <t>1996-11-11</t>
        </is>
      </c>
      <c r="V130" t="inlineStr">
        <is>
          <t>1996-11-11</t>
        </is>
      </c>
      <c r="W130" t="inlineStr">
        <is>
          <t>1996-06-25</t>
        </is>
      </c>
      <c r="X130" t="inlineStr">
        <is>
          <t>1996-06-25</t>
        </is>
      </c>
      <c r="Y130" t="n">
        <v>954</v>
      </c>
      <c r="Z130" t="n">
        <v>884</v>
      </c>
      <c r="AA130" t="n">
        <v>930</v>
      </c>
      <c r="AB130" t="n">
        <v>6</v>
      </c>
      <c r="AC130" t="n">
        <v>6</v>
      </c>
      <c r="AD130" t="n">
        <v>35</v>
      </c>
      <c r="AE130" t="n">
        <v>35</v>
      </c>
      <c r="AF130" t="n">
        <v>15</v>
      </c>
      <c r="AG130" t="n">
        <v>15</v>
      </c>
      <c r="AH130" t="n">
        <v>7</v>
      </c>
      <c r="AI130" t="n">
        <v>7</v>
      </c>
      <c r="AJ130" t="n">
        <v>18</v>
      </c>
      <c r="AK130" t="n">
        <v>18</v>
      </c>
      <c r="AL130" t="n">
        <v>4</v>
      </c>
      <c r="AM130" t="n">
        <v>4</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HYPERLINK("https://creighton-primo.hosted.exlibrisgroup.com/primo-explore/search?tab=default_tab&amp;search_scope=EVERYTHING&amp;vid=01CRU&amp;lang=en_US&amp;offset=0&amp;query=any,contains,991002579869702656","Catalog Record")</f>
        <v/>
      </c>
      <c r="AT130">
        <f>HYPERLINK("http://www.worldcat.org/oclc/33817789","WorldCat Record")</f>
        <v/>
      </c>
      <c r="AU130" t="inlineStr">
        <is>
          <t>33782325:eng</t>
        </is>
      </c>
      <c r="AV130" t="inlineStr">
        <is>
          <t>33817789</t>
        </is>
      </c>
      <c r="AW130" t="inlineStr">
        <is>
          <t>991002579869702656</t>
        </is>
      </c>
      <c r="AX130" t="inlineStr">
        <is>
          <t>991002579869702656</t>
        </is>
      </c>
      <c r="AY130" t="inlineStr">
        <is>
          <t>2270042640002656</t>
        </is>
      </c>
      <c r="AZ130" t="inlineStr">
        <is>
          <t>BOOK</t>
        </is>
      </c>
      <c r="BB130" t="inlineStr">
        <is>
          <t>9780809025930</t>
        </is>
      </c>
      <c r="BC130" t="inlineStr">
        <is>
          <t>32285002173325</t>
        </is>
      </c>
      <c r="BD130" t="inlineStr">
        <is>
          <t>893239240</t>
        </is>
      </c>
    </row>
    <row r="131">
      <c r="A131" t="inlineStr">
        <is>
          <t>No</t>
        </is>
      </c>
      <c r="B131" t="inlineStr">
        <is>
          <t>E169.1 .C87 1951</t>
        </is>
      </c>
      <c r="C131" t="inlineStr">
        <is>
          <t>0                      E  0169100C  87          1951</t>
        </is>
      </c>
      <c r="D131" t="inlineStr">
        <is>
          <t>The growth of American thought.</t>
        </is>
      </c>
      <c r="F131" t="inlineStr">
        <is>
          <t>No</t>
        </is>
      </c>
      <c r="G131" t="inlineStr">
        <is>
          <t>1</t>
        </is>
      </c>
      <c r="H131" t="inlineStr">
        <is>
          <t>No</t>
        </is>
      </c>
      <c r="I131" t="inlineStr">
        <is>
          <t>Yes</t>
        </is>
      </c>
      <c r="J131" t="inlineStr">
        <is>
          <t>0</t>
        </is>
      </c>
      <c r="K131" t="inlineStr">
        <is>
          <t>Curti, Merle (Merle Eugene), 1897-1996.</t>
        </is>
      </c>
      <c r="L131" t="inlineStr">
        <is>
          <t>New York, Harper [1951]</t>
        </is>
      </c>
      <c r="M131" t="inlineStr">
        <is>
          <t>1951</t>
        </is>
      </c>
      <c r="N131" t="inlineStr">
        <is>
          <t>2d ed.</t>
        </is>
      </c>
      <c r="O131" t="inlineStr">
        <is>
          <t>eng</t>
        </is>
      </c>
      <c r="P131" t="inlineStr">
        <is>
          <t>nyu</t>
        </is>
      </c>
      <c r="R131" t="inlineStr">
        <is>
          <t xml:space="preserve">E  </t>
        </is>
      </c>
      <c r="S131" t="n">
        <v>2</v>
      </c>
      <c r="T131" t="n">
        <v>2</v>
      </c>
      <c r="U131" t="inlineStr">
        <is>
          <t>1999-07-27</t>
        </is>
      </c>
      <c r="V131" t="inlineStr">
        <is>
          <t>1999-07-27</t>
        </is>
      </c>
      <c r="W131" t="inlineStr">
        <is>
          <t>1992-03-18</t>
        </is>
      </c>
      <c r="X131" t="inlineStr">
        <is>
          <t>1992-03-18</t>
        </is>
      </c>
      <c r="Y131" t="n">
        <v>617</v>
      </c>
      <c r="Z131" t="n">
        <v>534</v>
      </c>
      <c r="AA131" t="n">
        <v>1797</v>
      </c>
      <c r="AB131" t="n">
        <v>5</v>
      </c>
      <c r="AC131" t="n">
        <v>16</v>
      </c>
      <c r="AD131" t="n">
        <v>20</v>
      </c>
      <c r="AE131" t="n">
        <v>62</v>
      </c>
      <c r="AF131" t="n">
        <v>6</v>
      </c>
      <c r="AG131" t="n">
        <v>25</v>
      </c>
      <c r="AH131" t="n">
        <v>5</v>
      </c>
      <c r="AI131" t="n">
        <v>10</v>
      </c>
      <c r="AJ131" t="n">
        <v>9</v>
      </c>
      <c r="AK131" t="n">
        <v>25</v>
      </c>
      <c r="AL131" t="n">
        <v>4</v>
      </c>
      <c r="AM131" t="n">
        <v>14</v>
      </c>
      <c r="AN131" t="n">
        <v>0</v>
      </c>
      <c r="AO131" t="n">
        <v>2</v>
      </c>
      <c r="AP131" t="inlineStr">
        <is>
          <t>No</t>
        </is>
      </c>
      <c r="AQ131" t="inlineStr">
        <is>
          <t>Yes</t>
        </is>
      </c>
      <c r="AR131">
        <f>HYPERLINK("http://catalog.hathitrust.org/Record/000326922","HathiTrust Record")</f>
        <v/>
      </c>
      <c r="AS131">
        <f>HYPERLINK("https://creighton-primo.hosted.exlibrisgroup.com/primo-explore/search?tab=default_tab&amp;search_scope=EVERYTHING&amp;vid=01CRU&amp;lang=en_US&amp;offset=0&amp;query=any,contains,991002852239702656","Catalog Record")</f>
        <v/>
      </c>
      <c r="AT131">
        <f>HYPERLINK("http://www.worldcat.org/oclc/487717","WorldCat Record")</f>
        <v/>
      </c>
      <c r="AU131" t="inlineStr">
        <is>
          <t>357361745:eng</t>
        </is>
      </c>
      <c r="AV131" t="inlineStr">
        <is>
          <t>487717</t>
        </is>
      </c>
      <c r="AW131" t="inlineStr">
        <is>
          <t>991002852239702656</t>
        </is>
      </c>
      <c r="AX131" t="inlineStr">
        <is>
          <t>991002852239702656</t>
        </is>
      </c>
      <c r="AY131" t="inlineStr">
        <is>
          <t>2255132670002656</t>
        </is>
      </c>
      <c r="AZ131" t="inlineStr">
        <is>
          <t>BOOK</t>
        </is>
      </c>
      <c r="BC131" t="inlineStr">
        <is>
          <t>32285000529312</t>
        </is>
      </c>
      <c r="BD131" t="inlineStr">
        <is>
          <t>893517836</t>
        </is>
      </c>
    </row>
    <row r="132">
      <c r="A132" t="inlineStr">
        <is>
          <t>No</t>
        </is>
      </c>
      <c r="B132" t="inlineStr">
        <is>
          <t>E169.1 .D25 1990</t>
        </is>
      </c>
      <c r="C132" t="inlineStr">
        <is>
          <t>0                      E  0169100D  25          1990</t>
        </is>
      </c>
      <c r="D132" t="inlineStr">
        <is>
          <t>Dancing fools and weary blues : the great escape of the twenties / edited by Lawrence R. Broer and John D. Walther.</t>
        </is>
      </c>
      <c r="F132" t="inlineStr">
        <is>
          <t>No</t>
        </is>
      </c>
      <c r="G132" t="inlineStr">
        <is>
          <t>1</t>
        </is>
      </c>
      <c r="H132" t="inlineStr">
        <is>
          <t>No</t>
        </is>
      </c>
      <c r="I132" t="inlineStr">
        <is>
          <t>No</t>
        </is>
      </c>
      <c r="J132" t="inlineStr">
        <is>
          <t>0</t>
        </is>
      </c>
      <c r="L132" t="inlineStr">
        <is>
          <t>Bowling Green, Ohio : Bowling Green State University Popular Press, c1990.</t>
        </is>
      </c>
      <c r="M132" t="inlineStr">
        <is>
          <t>1990</t>
        </is>
      </c>
      <c r="O132" t="inlineStr">
        <is>
          <t>eng</t>
        </is>
      </c>
      <c r="P132" t="inlineStr">
        <is>
          <t>ohu</t>
        </is>
      </c>
      <c r="R132" t="inlineStr">
        <is>
          <t xml:space="preserve">E  </t>
        </is>
      </c>
      <c r="S132" t="n">
        <v>4</v>
      </c>
      <c r="T132" t="n">
        <v>4</v>
      </c>
      <c r="U132" t="inlineStr">
        <is>
          <t>1997-11-25</t>
        </is>
      </c>
      <c r="V132" t="inlineStr">
        <is>
          <t>1997-11-25</t>
        </is>
      </c>
      <c r="W132" t="inlineStr">
        <is>
          <t>1991-03-14</t>
        </is>
      </c>
      <c r="X132" t="inlineStr">
        <is>
          <t>1991-03-14</t>
        </is>
      </c>
      <c r="Y132" t="n">
        <v>259</v>
      </c>
      <c r="Z132" t="n">
        <v>220</v>
      </c>
      <c r="AA132" t="n">
        <v>221</v>
      </c>
      <c r="AB132" t="n">
        <v>2</v>
      </c>
      <c r="AC132" t="n">
        <v>2</v>
      </c>
      <c r="AD132" t="n">
        <v>9</v>
      </c>
      <c r="AE132" t="n">
        <v>9</v>
      </c>
      <c r="AF132" t="n">
        <v>0</v>
      </c>
      <c r="AG132" t="n">
        <v>0</v>
      </c>
      <c r="AH132" t="n">
        <v>5</v>
      </c>
      <c r="AI132" t="n">
        <v>5</v>
      </c>
      <c r="AJ132" t="n">
        <v>5</v>
      </c>
      <c r="AK132" t="n">
        <v>5</v>
      </c>
      <c r="AL132" t="n">
        <v>1</v>
      </c>
      <c r="AM132" t="n">
        <v>1</v>
      </c>
      <c r="AN132" t="n">
        <v>0</v>
      </c>
      <c r="AO132" t="n">
        <v>0</v>
      </c>
      <c r="AP132" t="inlineStr">
        <is>
          <t>No</t>
        </is>
      </c>
      <c r="AQ132" t="inlineStr">
        <is>
          <t>Yes</t>
        </is>
      </c>
      <c r="AR132">
        <f>HYPERLINK("http://catalog.hathitrust.org/Record/001949710","HathiTrust Record")</f>
        <v/>
      </c>
      <c r="AS132">
        <f>HYPERLINK("https://creighton-primo.hosted.exlibrisgroup.com/primo-explore/search?tab=default_tab&amp;search_scope=EVERYTHING&amp;vid=01CRU&amp;lang=en_US&amp;offset=0&amp;query=any,contains,991001683879702656","Catalog Record")</f>
        <v/>
      </c>
      <c r="AT132">
        <f>HYPERLINK("http://www.worldcat.org/oclc/21376496","WorldCat Record")</f>
        <v/>
      </c>
      <c r="AU132" t="inlineStr">
        <is>
          <t>909704934:eng</t>
        </is>
      </c>
      <c r="AV132" t="inlineStr">
        <is>
          <t>21376496</t>
        </is>
      </c>
      <c r="AW132" t="inlineStr">
        <is>
          <t>991001683879702656</t>
        </is>
      </c>
      <c r="AX132" t="inlineStr">
        <is>
          <t>991001683879702656</t>
        </is>
      </c>
      <c r="AY132" t="inlineStr">
        <is>
          <t>2264497610002656</t>
        </is>
      </c>
      <c r="AZ132" t="inlineStr">
        <is>
          <t>BOOK</t>
        </is>
      </c>
      <c r="BB132" t="inlineStr">
        <is>
          <t>9780879724580</t>
        </is>
      </c>
      <c r="BC132" t="inlineStr">
        <is>
          <t>32285000511534</t>
        </is>
      </c>
      <c r="BD132" t="inlineStr">
        <is>
          <t>893615304</t>
        </is>
      </c>
    </row>
    <row r="133">
      <c r="A133" t="inlineStr">
        <is>
          <t>No</t>
        </is>
      </c>
      <c r="B133" t="inlineStr">
        <is>
          <t>E169.1 .D398 2003</t>
        </is>
      </c>
      <c r="C133" t="inlineStr">
        <is>
          <t>0                      E  0169100D  398         2003</t>
        </is>
      </c>
      <c r="D133" t="inlineStr">
        <is>
          <t>Defining a nation : our America and the sources of its strength David Halberstam, general editor.</t>
        </is>
      </c>
      <c r="F133" t="inlineStr">
        <is>
          <t>No</t>
        </is>
      </c>
      <c r="G133" t="inlineStr">
        <is>
          <t>1</t>
        </is>
      </c>
      <c r="H133" t="inlineStr">
        <is>
          <t>No</t>
        </is>
      </c>
      <c r="I133" t="inlineStr">
        <is>
          <t>No</t>
        </is>
      </c>
      <c r="J133" t="inlineStr">
        <is>
          <t>0</t>
        </is>
      </c>
      <c r="L133" t="inlineStr">
        <is>
          <t>Washington, D.C. : National Geographic, 2003.</t>
        </is>
      </c>
      <c r="M133" t="inlineStr">
        <is>
          <t>2003</t>
        </is>
      </c>
      <c r="N133" t="inlineStr">
        <is>
          <t>1st ed.</t>
        </is>
      </c>
      <c r="O133" t="inlineStr">
        <is>
          <t>eng</t>
        </is>
      </c>
      <c r="P133" t="inlineStr">
        <is>
          <t>dcu</t>
        </is>
      </c>
      <c r="R133" t="inlineStr">
        <is>
          <t xml:space="preserve">E  </t>
        </is>
      </c>
      <c r="S133" t="n">
        <v>6</v>
      </c>
      <c r="T133" t="n">
        <v>6</v>
      </c>
      <c r="U133" t="inlineStr">
        <is>
          <t>2004-05-07</t>
        </is>
      </c>
      <c r="V133" t="inlineStr">
        <is>
          <t>2004-05-07</t>
        </is>
      </c>
      <c r="W133" t="inlineStr">
        <is>
          <t>2004-01-14</t>
        </is>
      </c>
      <c r="X133" t="inlineStr">
        <is>
          <t>2004-01-14</t>
        </is>
      </c>
      <c r="Y133" t="n">
        <v>438</v>
      </c>
      <c r="Z133" t="n">
        <v>419</v>
      </c>
      <c r="AA133" t="n">
        <v>447</v>
      </c>
      <c r="AB133" t="n">
        <v>5</v>
      </c>
      <c r="AC133" t="n">
        <v>5</v>
      </c>
      <c r="AD133" t="n">
        <v>6</v>
      </c>
      <c r="AE133" t="n">
        <v>6</v>
      </c>
      <c r="AF133" t="n">
        <v>2</v>
      </c>
      <c r="AG133" t="n">
        <v>2</v>
      </c>
      <c r="AH133" t="n">
        <v>1</v>
      </c>
      <c r="AI133" t="n">
        <v>1</v>
      </c>
      <c r="AJ133" t="n">
        <v>1</v>
      </c>
      <c r="AK133" t="n">
        <v>1</v>
      </c>
      <c r="AL133" t="n">
        <v>2</v>
      </c>
      <c r="AM133" t="n">
        <v>2</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HYPERLINK("https://creighton-primo.hosted.exlibrisgroup.com/primo-explore/search?tab=default_tab&amp;search_scope=EVERYTHING&amp;vid=01CRU&amp;lang=en_US&amp;offset=0&amp;query=any,contains,991004206159702656","Catalog Record")</f>
        <v/>
      </c>
      <c r="AT133">
        <f>HYPERLINK("http://www.worldcat.org/oclc/52714697","WorldCat Record")</f>
        <v/>
      </c>
      <c r="AU133" t="inlineStr">
        <is>
          <t>777165:eng</t>
        </is>
      </c>
      <c r="AV133" t="inlineStr">
        <is>
          <t>52714697</t>
        </is>
      </c>
      <c r="AW133" t="inlineStr">
        <is>
          <t>991004206159702656</t>
        </is>
      </c>
      <c r="AX133" t="inlineStr">
        <is>
          <t>991004206159702656</t>
        </is>
      </c>
      <c r="AY133" t="inlineStr">
        <is>
          <t>2255086810002656</t>
        </is>
      </c>
      <c r="AZ133" t="inlineStr">
        <is>
          <t>BOOK</t>
        </is>
      </c>
      <c r="BB133" t="inlineStr">
        <is>
          <t>9780792261445</t>
        </is>
      </c>
      <c r="BC133" t="inlineStr">
        <is>
          <t>32285004634415</t>
        </is>
      </c>
      <c r="BD133" t="inlineStr">
        <is>
          <t>893235189</t>
        </is>
      </c>
    </row>
    <row r="134">
      <c r="A134" t="inlineStr">
        <is>
          <t>No</t>
        </is>
      </c>
      <c r="B134" t="inlineStr">
        <is>
          <t>E169.1 .D416 1999</t>
        </is>
      </c>
      <c r="C134" t="inlineStr">
        <is>
          <t>0                      E  0169100D  416         1999</t>
        </is>
      </c>
      <c r="D134" t="inlineStr">
        <is>
          <t>The real American dream : a meditation on hope / Andrew Delbanco.</t>
        </is>
      </c>
      <c r="F134" t="inlineStr">
        <is>
          <t>No</t>
        </is>
      </c>
      <c r="G134" t="inlineStr">
        <is>
          <t>1</t>
        </is>
      </c>
      <c r="H134" t="inlineStr">
        <is>
          <t>No</t>
        </is>
      </c>
      <c r="I134" t="inlineStr">
        <is>
          <t>No</t>
        </is>
      </c>
      <c r="J134" t="inlineStr">
        <is>
          <t>0</t>
        </is>
      </c>
      <c r="K134" t="inlineStr">
        <is>
          <t>Delbanco, Andrew, 1952-</t>
        </is>
      </c>
      <c r="L134" t="inlineStr">
        <is>
          <t>Cambridge, Mass. : Harvard University Press, c1999.</t>
        </is>
      </c>
      <c r="M134" t="inlineStr">
        <is>
          <t>1999</t>
        </is>
      </c>
      <c r="O134" t="inlineStr">
        <is>
          <t>eng</t>
        </is>
      </c>
      <c r="P134" t="inlineStr">
        <is>
          <t>mau</t>
        </is>
      </c>
      <c r="Q134" t="inlineStr">
        <is>
          <t>The William E. Massey, Sr. lectures in the history of American civilization ; 1998</t>
        </is>
      </c>
      <c r="R134" t="inlineStr">
        <is>
          <t xml:space="preserve">E  </t>
        </is>
      </c>
      <c r="S134" t="n">
        <v>1</v>
      </c>
      <c r="T134" t="n">
        <v>1</v>
      </c>
      <c r="U134" t="inlineStr">
        <is>
          <t>2001-02-14</t>
        </is>
      </c>
      <c r="V134" t="inlineStr">
        <is>
          <t>2001-02-14</t>
        </is>
      </c>
      <c r="W134" t="inlineStr">
        <is>
          <t>2001-02-14</t>
        </is>
      </c>
      <c r="X134" t="inlineStr">
        <is>
          <t>2001-02-14</t>
        </is>
      </c>
      <c r="Y134" t="n">
        <v>748</v>
      </c>
      <c r="Z134" t="n">
        <v>661</v>
      </c>
      <c r="AA134" t="n">
        <v>1093</v>
      </c>
      <c r="AB134" t="n">
        <v>5</v>
      </c>
      <c r="AC134" t="n">
        <v>10</v>
      </c>
      <c r="AD134" t="n">
        <v>28</v>
      </c>
      <c r="AE134" t="n">
        <v>46</v>
      </c>
      <c r="AF134" t="n">
        <v>13</v>
      </c>
      <c r="AG134" t="n">
        <v>19</v>
      </c>
      <c r="AH134" t="n">
        <v>5</v>
      </c>
      <c r="AI134" t="n">
        <v>10</v>
      </c>
      <c r="AJ134" t="n">
        <v>15</v>
      </c>
      <c r="AK134" t="n">
        <v>19</v>
      </c>
      <c r="AL134" t="n">
        <v>4</v>
      </c>
      <c r="AM134" t="n">
        <v>8</v>
      </c>
      <c r="AN134" t="n">
        <v>0</v>
      </c>
      <c r="AO134" t="n">
        <v>1</v>
      </c>
      <c r="AP134" t="inlineStr">
        <is>
          <t>No</t>
        </is>
      </c>
      <c r="AQ134" t="inlineStr">
        <is>
          <t>Yes</t>
        </is>
      </c>
      <c r="AR134">
        <f>HYPERLINK("http://catalog.hathitrust.org/Record/004047595","HathiTrust Record")</f>
        <v/>
      </c>
      <c r="AS134">
        <f>HYPERLINK("https://creighton-primo.hosted.exlibrisgroup.com/primo-explore/search?tab=default_tab&amp;search_scope=EVERYTHING&amp;vid=01CRU&amp;lang=en_US&amp;offset=0&amp;query=any,contains,991003479649702656","Catalog Record")</f>
        <v/>
      </c>
      <c r="AT134">
        <f>HYPERLINK("http://www.worldcat.org/oclc/40901143","WorldCat Record")</f>
        <v/>
      </c>
      <c r="AU134" t="inlineStr">
        <is>
          <t>802276830:eng</t>
        </is>
      </c>
      <c r="AV134" t="inlineStr">
        <is>
          <t>40901143</t>
        </is>
      </c>
      <c r="AW134" t="inlineStr">
        <is>
          <t>991003479649702656</t>
        </is>
      </c>
      <c r="AX134" t="inlineStr">
        <is>
          <t>991003479649702656</t>
        </is>
      </c>
      <c r="AY134" t="inlineStr">
        <is>
          <t>2258134140002656</t>
        </is>
      </c>
      <c r="AZ134" t="inlineStr">
        <is>
          <t>BOOK</t>
        </is>
      </c>
      <c r="BB134" t="inlineStr">
        <is>
          <t>9780674749252</t>
        </is>
      </c>
      <c r="BC134" t="inlineStr">
        <is>
          <t>32285004295027</t>
        </is>
      </c>
      <c r="BD134" t="inlineStr">
        <is>
          <t>893717696</t>
        </is>
      </c>
    </row>
    <row r="135">
      <c r="A135" t="inlineStr">
        <is>
          <t>No</t>
        </is>
      </c>
      <c r="B135" t="inlineStr">
        <is>
          <t>E169.1 .F32 1993</t>
        </is>
      </c>
      <c r="C135" t="inlineStr">
        <is>
          <t>0                      E  0169100F  32          1993</t>
        </is>
      </c>
      <c r="D135" t="inlineStr">
        <is>
          <t>The Chicago pragmatists and American progressivism / Andrew Feffer.</t>
        </is>
      </c>
      <c r="F135" t="inlineStr">
        <is>
          <t>No</t>
        </is>
      </c>
      <c r="G135" t="inlineStr">
        <is>
          <t>1</t>
        </is>
      </c>
      <c r="H135" t="inlineStr">
        <is>
          <t>No</t>
        </is>
      </c>
      <c r="I135" t="inlineStr">
        <is>
          <t>No</t>
        </is>
      </c>
      <c r="J135" t="inlineStr">
        <is>
          <t>0</t>
        </is>
      </c>
      <c r="K135" t="inlineStr">
        <is>
          <t>Feffer, Andrew, 1954-</t>
        </is>
      </c>
      <c r="L135" t="inlineStr">
        <is>
          <t>Ithaca : Cornell University Press, 1993.</t>
        </is>
      </c>
      <c r="M135" t="inlineStr">
        <is>
          <t>1993</t>
        </is>
      </c>
      <c r="O135" t="inlineStr">
        <is>
          <t>eng</t>
        </is>
      </c>
      <c r="P135" t="inlineStr">
        <is>
          <t>nyu</t>
        </is>
      </c>
      <c r="R135" t="inlineStr">
        <is>
          <t xml:space="preserve">E  </t>
        </is>
      </c>
      <c r="S135" t="n">
        <v>4</v>
      </c>
      <c r="T135" t="n">
        <v>4</v>
      </c>
      <c r="U135" t="inlineStr">
        <is>
          <t>2000-06-20</t>
        </is>
      </c>
      <c r="V135" t="inlineStr">
        <is>
          <t>2000-06-20</t>
        </is>
      </c>
      <c r="W135" t="inlineStr">
        <is>
          <t>1995-02-08</t>
        </is>
      </c>
      <c r="X135" t="inlineStr">
        <is>
          <t>1995-02-08</t>
        </is>
      </c>
      <c r="Y135" t="n">
        <v>417</v>
      </c>
      <c r="Z135" t="n">
        <v>365</v>
      </c>
      <c r="AA135" t="n">
        <v>377</v>
      </c>
      <c r="AB135" t="n">
        <v>4</v>
      </c>
      <c r="AC135" t="n">
        <v>4</v>
      </c>
      <c r="AD135" t="n">
        <v>28</v>
      </c>
      <c r="AE135" t="n">
        <v>28</v>
      </c>
      <c r="AF135" t="n">
        <v>9</v>
      </c>
      <c r="AG135" t="n">
        <v>9</v>
      </c>
      <c r="AH135" t="n">
        <v>8</v>
      </c>
      <c r="AI135" t="n">
        <v>8</v>
      </c>
      <c r="AJ135" t="n">
        <v>16</v>
      </c>
      <c r="AK135" t="n">
        <v>16</v>
      </c>
      <c r="AL135" t="n">
        <v>3</v>
      </c>
      <c r="AM135" t="n">
        <v>3</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HYPERLINK("https://creighton-primo.hosted.exlibrisgroup.com/primo-explore/search?tab=default_tab&amp;search_scope=EVERYTHING&amp;vid=01CRU&amp;lang=en_US&amp;offset=0&amp;query=any,contains,991002109169702656","Catalog Record")</f>
        <v/>
      </c>
      <c r="AT135">
        <f>HYPERLINK("http://www.worldcat.org/oclc/27035303","WorldCat Record")</f>
        <v/>
      </c>
      <c r="AU135" t="inlineStr">
        <is>
          <t>351301:eng</t>
        </is>
      </c>
      <c r="AV135" t="inlineStr">
        <is>
          <t>27035303</t>
        </is>
      </c>
      <c r="AW135" t="inlineStr">
        <is>
          <t>991002109169702656</t>
        </is>
      </c>
      <c r="AX135" t="inlineStr">
        <is>
          <t>991002109169702656</t>
        </is>
      </c>
      <c r="AY135" t="inlineStr">
        <is>
          <t>2270369660002656</t>
        </is>
      </c>
      <c r="AZ135" t="inlineStr">
        <is>
          <t>BOOK</t>
        </is>
      </c>
      <c r="BB135" t="inlineStr">
        <is>
          <t>9780801425028</t>
        </is>
      </c>
      <c r="BC135" t="inlineStr">
        <is>
          <t>32285001997864</t>
        </is>
      </c>
      <c r="BD135" t="inlineStr">
        <is>
          <t>893444971</t>
        </is>
      </c>
    </row>
    <row r="136">
      <c r="A136" t="inlineStr">
        <is>
          <t>No</t>
        </is>
      </c>
      <c r="B136" t="inlineStr">
        <is>
          <t>E169.1 .F5</t>
        </is>
      </c>
      <c r="C136" t="inlineStr">
        <is>
          <t>0                      E  0169100F  5</t>
        </is>
      </c>
      <c r="D136" t="inlineStr">
        <is>
          <t>An end to innocence; essays on culture and politics.</t>
        </is>
      </c>
      <c r="F136" t="inlineStr">
        <is>
          <t>No</t>
        </is>
      </c>
      <c r="G136" t="inlineStr">
        <is>
          <t>1</t>
        </is>
      </c>
      <c r="H136" t="inlineStr">
        <is>
          <t>No</t>
        </is>
      </c>
      <c r="I136" t="inlineStr">
        <is>
          <t>No</t>
        </is>
      </c>
      <c r="J136" t="inlineStr">
        <is>
          <t>0</t>
        </is>
      </c>
      <c r="K136" t="inlineStr">
        <is>
          <t>Fiedler, Leslie A.</t>
        </is>
      </c>
      <c r="L136" t="inlineStr">
        <is>
          <t>Boston, Beacon Press [1955]</t>
        </is>
      </c>
      <c r="M136" t="inlineStr">
        <is>
          <t>1955</t>
        </is>
      </c>
      <c r="O136" t="inlineStr">
        <is>
          <t>eng</t>
        </is>
      </c>
      <c r="P136" t="inlineStr">
        <is>
          <t>mau</t>
        </is>
      </c>
      <c r="R136" t="inlineStr">
        <is>
          <t xml:space="preserve">E  </t>
        </is>
      </c>
      <c r="S136" t="n">
        <v>5</v>
      </c>
      <c r="T136" t="n">
        <v>5</v>
      </c>
      <c r="U136" t="inlineStr">
        <is>
          <t>2001-04-27</t>
        </is>
      </c>
      <c r="V136" t="inlineStr">
        <is>
          <t>2001-04-27</t>
        </is>
      </c>
      <c r="W136" t="inlineStr">
        <is>
          <t>1997-04-03</t>
        </is>
      </c>
      <c r="X136" t="inlineStr">
        <is>
          <t>1997-04-03</t>
        </is>
      </c>
      <c r="Y136" t="n">
        <v>888</v>
      </c>
      <c r="Z136" t="n">
        <v>778</v>
      </c>
      <c r="AA136" t="n">
        <v>904</v>
      </c>
      <c r="AB136" t="n">
        <v>6</v>
      </c>
      <c r="AC136" t="n">
        <v>6</v>
      </c>
      <c r="AD136" t="n">
        <v>36</v>
      </c>
      <c r="AE136" t="n">
        <v>41</v>
      </c>
      <c r="AF136" t="n">
        <v>12</v>
      </c>
      <c r="AG136" t="n">
        <v>17</v>
      </c>
      <c r="AH136" t="n">
        <v>7</v>
      </c>
      <c r="AI136" t="n">
        <v>7</v>
      </c>
      <c r="AJ136" t="n">
        <v>21</v>
      </c>
      <c r="AK136" t="n">
        <v>24</v>
      </c>
      <c r="AL136" t="n">
        <v>5</v>
      </c>
      <c r="AM136" t="n">
        <v>5</v>
      </c>
      <c r="AN136" t="n">
        <v>1</v>
      </c>
      <c r="AO136" t="n">
        <v>1</v>
      </c>
      <c r="AP136" t="inlineStr">
        <is>
          <t>No</t>
        </is>
      </c>
      <c r="AQ136" t="inlineStr">
        <is>
          <t>No</t>
        </is>
      </c>
      <c r="AR136">
        <f>HYPERLINK("http://catalog.hathitrust.org/Record/000327184","HathiTrust Record")</f>
        <v/>
      </c>
      <c r="AS136">
        <f>HYPERLINK("https://creighton-primo.hosted.exlibrisgroup.com/primo-explore/search?tab=default_tab&amp;search_scope=EVERYTHING&amp;vid=01CRU&amp;lang=en_US&amp;offset=0&amp;query=any,contains,991005356559702656","Catalog Record")</f>
        <v/>
      </c>
      <c r="AT136">
        <f>HYPERLINK("http://www.worldcat.org/oclc/710647","WorldCat Record")</f>
        <v/>
      </c>
      <c r="AU136" t="inlineStr">
        <is>
          <t>38088765:eng</t>
        </is>
      </c>
      <c r="AV136" t="inlineStr">
        <is>
          <t>710647</t>
        </is>
      </c>
      <c r="AW136" t="inlineStr">
        <is>
          <t>991005356559702656</t>
        </is>
      </c>
      <c r="AX136" t="inlineStr">
        <is>
          <t>991005356559702656</t>
        </is>
      </c>
      <c r="AY136" t="inlineStr">
        <is>
          <t>2262493050002656</t>
        </is>
      </c>
      <c r="AZ136" t="inlineStr">
        <is>
          <t>BOOK</t>
        </is>
      </c>
      <c r="BC136" t="inlineStr">
        <is>
          <t>32285002500808</t>
        </is>
      </c>
      <c r="BD136" t="inlineStr">
        <is>
          <t>893418807</t>
        </is>
      </c>
    </row>
    <row r="137">
      <c r="A137" t="inlineStr">
        <is>
          <t>No</t>
        </is>
      </c>
      <c r="B137" t="inlineStr">
        <is>
          <t>E169.1 .F544 1982</t>
        </is>
      </c>
      <c r="C137" t="inlineStr">
        <is>
          <t>0                      E  0169100F  544         1982</t>
        </is>
      </c>
      <c r="D137" t="inlineStr">
        <is>
          <t>Common culture and the great tradition : the case for renewal / Marshall W. Fishwick.</t>
        </is>
      </c>
      <c r="F137" t="inlineStr">
        <is>
          <t>No</t>
        </is>
      </c>
      <c r="G137" t="inlineStr">
        <is>
          <t>1</t>
        </is>
      </c>
      <c r="H137" t="inlineStr">
        <is>
          <t>No</t>
        </is>
      </c>
      <c r="I137" t="inlineStr">
        <is>
          <t>No</t>
        </is>
      </c>
      <c r="J137" t="inlineStr">
        <is>
          <t>0</t>
        </is>
      </c>
      <c r="K137" t="inlineStr">
        <is>
          <t>Fishwick, Marshall W. (Marshall William), 1923-2006.</t>
        </is>
      </c>
      <c r="L137" t="inlineStr">
        <is>
          <t>Westport, Conn. : Greenwood Press, 1982.</t>
        </is>
      </c>
      <c r="M137" t="inlineStr">
        <is>
          <t>1982</t>
        </is>
      </c>
      <c r="O137" t="inlineStr">
        <is>
          <t>eng</t>
        </is>
      </c>
      <c r="P137" t="inlineStr">
        <is>
          <t>ctu</t>
        </is>
      </c>
      <c r="Q137" t="inlineStr">
        <is>
          <t>Contributions to the study of popular culture, 0198-9871 ; no. 2</t>
        </is>
      </c>
      <c r="R137" t="inlineStr">
        <is>
          <t xml:space="preserve">E  </t>
        </is>
      </c>
      <c r="S137" t="n">
        <v>7</v>
      </c>
      <c r="T137" t="n">
        <v>7</v>
      </c>
      <c r="U137" t="inlineStr">
        <is>
          <t>1999-04-11</t>
        </is>
      </c>
      <c r="V137" t="inlineStr">
        <is>
          <t>1999-04-11</t>
        </is>
      </c>
      <c r="W137" t="inlineStr">
        <is>
          <t>1990-12-18</t>
        </is>
      </c>
      <c r="X137" t="inlineStr">
        <is>
          <t>1990-12-18</t>
        </is>
      </c>
      <c r="Y137" t="n">
        <v>331</v>
      </c>
      <c r="Z137" t="n">
        <v>287</v>
      </c>
      <c r="AA137" t="n">
        <v>294</v>
      </c>
      <c r="AB137" t="n">
        <v>3</v>
      </c>
      <c r="AC137" t="n">
        <v>3</v>
      </c>
      <c r="AD137" t="n">
        <v>14</v>
      </c>
      <c r="AE137" t="n">
        <v>14</v>
      </c>
      <c r="AF137" t="n">
        <v>6</v>
      </c>
      <c r="AG137" t="n">
        <v>6</v>
      </c>
      <c r="AH137" t="n">
        <v>1</v>
      </c>
      <c r="AI137" t="n">
        <v>1</v>
      </c>
      <c r="AJ137" t="n">
        <v>8</v>
      </c>
      <c r="AK137" t="n">
        <v>8</v>
      </c>
      <c r="AL137" t="n">
        <v>2</v>
      </c>
      <c r="AM137" t="n">
        <v>2</v>
      </c>
      <c r="AN137" t="n">
        <v>0</v>
      </c>
      <c r="AO137" t="n">
        <v>0</v>
      </c>
      <c r="AP137" t="inlineStr">
        <is>
          <t>No</t>
        </is>
      </c>
      <c r="AQ137" t="inlineStr">
        <is>
          <t>Yes</t>
        </is>
      </c>
      <c r="AR137">
        <f>HYPERLINK("http://catalog.hathitrust.org/Record/000105728","HathiTrust Record")</f>
        <v/>
      </c>
      <c r="AS137">
        <f>HYPERLINK("https://creighton-primo.hosted.exlibrisgroup.com/primo-explore/search?tab=default_tab&amp;search_scope=EVERYTHING&amp;vid=01CRU&amp;lang=en_US&amp;offset=0&amp;query=any,contains,991005126409702656","Catalog Record")</f>
        <v/>
      </c>
      <c r="AT137">
        <f>HYPERLINK("http://www.worldcat.org/oclc/7553843","WorldCat Record")</f>
        <v/>
      </c>
      <c r="AU137" t="inlineStr">
        <is>
          <t>427059321:eng</t>
        </is>
      </c>
      <c r="AV137" t="inlineStr">
        <is>
          <t>7553843</t>
        </is>
      </c>
      <c r="AW137" t="inlineStr">
        <is>
          <t>991005126409702656</t>
        </is>
      </c>
      <c r="AX137" t="inlineStr">
        <is>
          <t>991005126409702656</t>
        </is>
      </c>
      <c r="AY137" t="inlineStr">
        <is>
          <t>2265125270002656</t>
        </is>
      </c>
      <c r="AZ137" t="inlineStr">
        <is>
          <t>BOOK</t>
        </is>
      </c>
      <c r="BB137" t="inlineStr">
        <is>
          <t>9780313230424</t>
        </is>
      </c>
      <c r="BC137" t="inlineStr">
        <is>
          <t>32285000423326</t>
        </is>
      </c>
      <c r="BD137" t="inlineStr">
        <is>
          <t>893350761</t>
        </is>
      </c>
    </row>
    <row r="138">
      <c r="A138" t="inlineStr">
        <is>
          <t>No</t>
        </is>
      </c>
      <c r="B138" t="inlineStr">
        <is>
          <t>E169.1 .G57</t>
        </is>
      </c>
      <c r="C138" t="inlineStr">
        <is>
          <t>0                      E  0169100G  57</t>
        </is>
      </c>
      <c r="D138" t="inlineStr">
        <is>
          <t>The best of Harry Golden. Foreword by William O. Douglas.</t>
        </is>
      </c>
      <c r="F138" t="inlineStr">
        <is>
          <t>No</t>
        </is>
      </c>
      <c r="G138" t="inlineStr">
        <is>
          <t>1</t>
        </is>
      </c>
      <c r="H138" t="inlineStr">
        <is>
          <t>No</t>
        </is>
      </c>
      <c r="I138" t="inlineStr">
        <is>
          <t>No</t>
        </is>
      </c>
      <c r="J138" t="inlineStr">
        <is>
          <t>0</t>
        </is>
      </c>
      <c r="K138" t="inlineStr">
        <is>
          <t>Golden, Harry, 1902-1981.</t>
        </is>
      </c>
      <c r="L138" t="inlineStr">
        <is>
          <t>Cleveland, World Pub. Co. [1967]</t>
        </is>
      </c>
      <c r="M138" t="inlineStr">
        <is>
          <t>1967</t>
        </is>
      </c>
      <c r="O138" t="inlineStr">
        <is>
          <t>eng</t>
        </is>
      </c>
      <c r="P138" t="inlineStr">
        <is>
          <t>ohu</t>
        </is>
      </c>
      <c r="R138" t="inlineStr">
        <is>
          <t xml:space="preserve">E  </t>
        </is>
      </c>
      <c r="S138" t="n">
        <v>1</v>
      </c>
      <c r="T138" t="n">
        <v>1</v>
      </c>
      <c r="U138" t="inlineStr">
        <is>
          <t>2004-04-16</t>
        </is>
      </c>
      <c r="V138" t="inlineStr">
        <is>
          <t>2004-04-16</t>
        </is>
      </c>
      <c r="W138" t="inlineStr">
        <is>
          <t>1997-04-03</t>
        </is>
      </c>
      <c r="X138" t="inlineStr">
        <is>
          <t>1997-04-03</t>
        </is>
      </c>
      <c r="Y138" t="n">
        <v>400</v>
      </c>
      <c r="Z138" t="n">
        <v>384</v>
      </c>
      <c r="AA138" t="n">
        <v>386</v>
      </c>
      <c r="AB138" t="n">
        <v>7</v>
      </c>
      <c r="AC138" t="n">
        <v>7</v>
      </c>
      <c r="AD138" t="n">
        <v>10</v>
      </c>
      <c r="AE138" t="n">
        <v>10</v>
      </c>
      <c r="AF138" t="n">
        <v>3</v>
      </c>
      <c r="AG138" t="n">
        <v>3</v>
      </c>
      <c r="AH138" t="n">
        <v>1</v>
      </c>
      <c r="AI138" t="n">
        <v>1</v>
      </c>
      <c r="AJ138" t="n">
        <v>3</v>
      </c>
      <c r="AK138" t="n">
        <v>3</v>
      </c>
      <c r="AL138" t="n">
        <v>5</v>
      </c>
      <c r="AM138" t="n">
        <v>5</v>
      </c>
      <c r="AN138" t="n">
        <v>0</v>
      </c>
      <c r="AO138" t="n">
        <v>0</v>
      </c>
      <c r="AP138" t="inlineStr">
        <is>
          <t>No</t>
        </is>
      </c>
      <c r="AQ138" t="inlineStr">
        <is>
          <t>Yes</t>
        </is>
      </c>
      <c r="AR138">
        <f>HYPERLINK("http://catalog.hathitrust.org/Record/009510352","HathiTrust Record")</f>
        <v/>
      </c>
      <c r="AS138">
        <f>HYPERLINK("https://creighton-primo.hosted.exlibrisgroup.com/primo-explore/search?tab=default_tab&amp;search_scope=EVERYTHING&amp;vid=01CRU&amp;lang=en_US&amp;offset=0&amp;query=any,contains,991003184029702656","Catalog Record")</f>
        <v/>
      </c>
      <c r="AT138">
        <f>HYPERLINK("http://www.worldcat.org/oclc/712391","WorldCat Record")</f>
        <v/>
      </c>
      <c r="AU138" t="inlineStr">
        <is>
          <t>155853496:eng</t>
        </is>
      </c>
      <c r="AV138" t="inlineStr">
        <is>
          <t>712391</t>
        </is>
      </c>
      <c r="AW138" t="inlineStr">
        <is>
          <t>991003184029702656</t>
        </is>
      </c>
      <c r="AX138" t="inlineStr">
        <is>
          <t>991003184029702656</t>
        </is>
      </c>
      <c r="AY138" t="inlineStr">
        <is>
          <t>2256441170002656</t>
        </is>
      </c>
      <c r="AZ138" t="inlineStr">
        <is>
          <t>BOOK</t>
        </is>
      </c>
      <c r="BC138" t="inlineStr">
        <is>
          <t>32285002500865</t>
        </is>
      </c>
      <c r="BD138" t="inlineStr">
        <is>
          <t>893904275</t>
        </is>
      </c>
    </row>
    <row r="139">
      <c r="A139" t="inlineStr">
        <is>
          <t>No</t>
        </is>
      </c>
      <c r="B139" t="inlineStr">
        <is>
          <t>E169.1 .G615 1966</t>
        </is>
      </c>
      <c r="C139" t="inlineStr">
        <is>
          <t>0                      E  0169100G  615         1966</t>
        </is>
      </c>
      <c r="D139" t="inlineStr">
        <is>
          <t>Ess, ess, mein Kindt : (Eat, eat, my child) / [by] Harry Golden.</t>
        </is>
      </c>
      <c r="F139" t="inlineStr">
        <is>
          <t>No</t>
        </is>
      </c>
      <c r="G139" t="inlineStr">
        <is>
          <t>1</t>
        </is>
      </c>
      <c r="H139" t="inlineStr">
        <is>
          <t>No</t>
        </is>
      </c>
      <c r="I139" t="inlineStr">
        <is>
          <t>No</t>
        </is>
      </c>
      <c r="J139" t="inlineStr">
        <is>
          <t>0</t>
        </is>
      </c>
      <c r="K139" t="inlineStr">
        <is>
          <t>Golden, Harry, 1902-1981.</t>
        </is>
      </c>
      <c r="L139" t="inlineStr">
        <is>
          <t>New York : Putnam, [1966]</t>
        </is>
      </c>
      <c r="M139" t="inlineStr">
        <is>
          <t>1966</t>
        </is>
      </c>
      <c r="O139" t="inlineStr">
        <is>
          <t>eng</t>
        </is>
      </c>
      <c r="P139" t="inlineStr">
        <is>
          <t>nyu</t>
        </is>
      </c>
      <c r="R139" t="inlineStr">
        <is>
          <t xml:space="preserve">E  </t>
        </is>
      </c>
      <c r="S139" t="n">
        <v>1</v>
      </c>
      <c r="T139" t="n">
        <v>1</v>
      </c>
      <c r="U139" t="inlineStr">
        <is>
          <t>2004-04-16</t>
        </is>
      </c>
      <c r="V139" t="inlineStr">
        <is>
          <t>2004-04-16</t>
        </is>
      </c>
      <c r="W139" t="inlineStr">
        <is>
          <t>1990-12-18</t>
        </is>
      </c>
      <c r="X139" t="inlineStr">
        <is>
          <t>1990-12-18</t>
        </is>
      </c>
      <c r="Y139" t="n">
        <v>457</v>
      </c>
      <c r="Z139" t="n">
        <v>446</v>
      </c>
      <c r="AA139" t="n">
        <v>468</v>
      </c>
      <c r="AB139" t="n">
        <v>3</v>
      </c>
      <c r="AC139" t="n">
        <v>3</v>
      </c>
      <c r="AD139" t="n">
        <v>6</v>
      </c>
      <c r="AE139" t="n">
        <v>6</v>
      </c>
      <c r="AF139" t="n">
        <v>2</v>
      </c>
      <c r="AG139" t="n">
        <v>2</v>
      </c>
      <c r="AH139" t="n">
        <v>1</v>
      </c>
      <c r="AI139" t="n">
        <v>1</v>
      </c>
      <c r="AJ139" t="n">
        <v>5</v>
      </c>
      <c r="AK139" t="n">
        <v>5</v>
      </c>
      <c r="AL139" t="n">
        <v>1</v>
      </c>
      <c r="AM139" t="n">
        <v>1</v>
      </c>
      <c r="AN139" t="n">
        <v>0</v>
      </c>
      <c r="AO139" t="n">
        <v>0</v>
      </c>
      <c r="AP139" t="inlineStr">
        <is>
          <t>No</t>
        </is>
      </c>
      <c r="AQ139" t="inlineStr">
        <is>
          <t>Yes</t>
        </is>
      </c>
      <c r="AR139">
        <f>HYPERLINK("http://catalog.hathitrust.org/Record/000328509","HathiTrust Record")</f>
        <v/>
      </c>
      <c r="AS139">
        <f>HYPERLINK("https://creighton-primo.hosted.exlibrisgroup.com/primo-explore/search?tab=default_tab&amp;search_scope=EVERYTHING&amp;vid=01CRU&amp;lang=en_US&amp;offset=0&amp;query=any,contains,991003678409702656","Catalog Record")</f>
        <v/>
      </c>
      <c r="AT139">
        <f>HYPERLINK("http://www.worldcat.org/oclc/1301605","WorldCat Record")</f>
        <v/>
      </c>
      <c r="AU139" t="inlineStr">
        <is>
          <t>422902397:eng</t>
        </is>
      </c>
      <c r="AV139" t="inlineStr">
        <is>
          <t>1301605</t>
        </is>
      </c>
      <c r="AW139" t="inlineStr">
        <is>
          <t>991003678409702656</t>
        </is>
      </c>
      <c r="AX139" t="inlineStr">
        <is>
          <t>991003678409702656</t>
        </is>
      </c>
      <c r="AY139" t="inlineStr">
        <is>
          <t>2266596030002656</t>
        </is>
      </c>
      <c r="AZ139" t="inlineStr">
        <is>
          <t>BOOK</t>
        </is>
      </c>
      <c r="BC139" t="inlineStr">
        <is>
          <t>32285000423342</t>
        </is>
      </c>
      <c r="BD139" t="inlineStr">
        <is>
          <t>893787616</t>
        </is>
      </c>
    </row>
    <row r="140">
      <c r="A140" t="inlineStr">
        <is>
          <t>No</t>
        </is>
      </c>
      <c r="B140" t="inlineStr">
        <is>
          <t>E169.1 .G63 1973</t>
        </is>
      </c>
      <c r="C140" t="inlineStr">
        <is>
          <t>0                      E  0169100G  63          1973</t>
        </is>
      </c>
      <c r="D140" t="inlineStr">
        <is>
          <t>Only in America, by Harry Golden. Foreword by Carl Sandburg.</t>
        </is>
      </c>
      <c r="F140" t="inlineStr">
        <is>
          <t>No</t>
        </is>
      </c>
      <c r="G140" t="inlineStr">
        <is>
          <t>1</t>
        </is>
      </c>
      <c r="H140" t="inlineStr">
        <is>
          <t>No</t>
        </is>
      </c>
      <c r="I140" t="inlineStr">
        <is>
          <t>No</t>
        </is>
      </c>
      <c r="J140" t="inlineStr">
        <is>
          <t>0</t>
        </is>
      </c>
      <c r="K140" t="inlineStr">
        <is>
          <t>Golden, Harry, 1902-1981.</t>
        </is>
      </c>
      <c r="L140" t="inlineStr">
        <is>
          <t>Westport, Conn., Greenwood Press [1973, c1958]</t>
        </is>
      </c>
      <c r="M140" t="inlineStr">
        <is>
          <t>1973</t>
        </is>
      </c>
      <c r="O140" t="inlineStr">
        <is>
          <t>eng</t>
        </is>
      </c>
      <c r="P140" t="inlineStr">
        <is>
          <t>ctu</t>
        </is>
      </c>
      <c r="R140" t="inlineStr">
        <is>
          <t xml:space="preserve">E  </t>
        </is>
      </c>
      <c r="S140" t="n">
        <v>1</v>
      </c>
      <c r="T140" t="n">
        <v>1</v>
      </c>
      <c r="U140" t="inlineStr">
        <is>
          <t>2004-04-16</t>
        </is>
      </c>
      <c r="V140" t="inlineStr">
        <is>
          <t>2004-04-16</t>
        </is>
      </c>
      <c r="W140" t="inlineStr">
        <is>
          <t>1997-04-03</t>
        </is>
      </c>
      <c r="X140" t="inlineStr">
        <is>
          <t>1997-04-03</t>
        </is>
      </c>
      <c r="Y140" t="n">
        <v>61</v>
      </c>
      <c r="Z140" t="n">
        <v>54</v>
      </c>
      <c r="AA140" t="n">
        <v>1470</v>
      </c>
      <c r="AB140" t="n">
        <v>1</v>
      </c>
      <c r="AC140" t="n">
        <v>16</v>
      </c>
      <c r="AD140" t="n">
        <v>0</v>
      </c>
      <c r="AE140" t="n">
        <v>42</v>
      </c>
      <c r="AF140" t="n">
        <v>0</v>
      </c>
      <c r="AG140" t="n">
        <v>13</v>
      </c>
      <c r="AH140" t="n">
        <v>0</v>
      </c>
      <c r="AI140" t="n">
        <v>8</v>
      </c>
      <c r="AJ140" t="n">
        <v>0</v>
      </c>
      <c r="AK140" t="n">
        <v>18</v>
      </c>
      <c r="AL140" t="n">
        <v>0</v>
      </c>
      <c r="AM140" t="n">
        <v>11</v>
      </c>
      <c r="AN140" t="n">
        <v>0</v>
      </c>
      <c r="AO140" t="n">
        <v>1</v>
      </c>
      <c r="AP140" t="inlineStr">
        <is>
          <t>No</t>
        </is>
      </c>
      <c r="AQ140" t="inlineStr">
        <is>
          <t>No</t>
        </is>
      </c>
      <c r="AS140">
        <f>HYPERLINK("https://creighton-primo.hosted.exlibrisgroup.com/primo-explore/search?tab=default_tab&amp;search_scope=EVERYTHING&amp;vid=01CRU&amp;lang=en_US&amp;offset=0&amp;query=any,contains,991003004349702656","Catalog Record")</f>
        <v/>
      </c>
      <c r="AT140">
        <f>HYPERLINK("http://www.worldcat.org/oclc/572002","WorldCat Record")</f>
        <v/>
      </c>
      <c r="AU140" t="inlineStr">
        <is>
          <t>155853487:eng</t>
        </is>
      </c>
      <c r="AV140" t="inlineStr">
        <is>
          <t>572002</t>
        </is>
      </c>
      <c r="AW140" t="inlineStr">
        <is>
          <t>991003004349702656</t>
        </is>
      </c>
      <c r="AX140" t="inlineStr">
        <is>
          <t>991003004349702656</t>
        </is>
      </c>
      <c r="AY140" t="inlineStr">
        <is>
          <t>2272432830002656</t>
        </is>
      </c>
      <c r="AZ140" t="inlineStr">
        <is>
          <t>BOOK</t>
        </is>
      </c>
      <c r="BB140" t="inlineStr">
        <is>
          <t>9780837166070</t>
        </is>
      </c>
      <c r="BC140" t="inlineStr">
        <is>
          <t>32285002500881</t>
        </is>
      </c>
      <c r="BD140" t="inlineStr">
        <is>
          <t>893530756</t>
        </is>
      </c>
    </row>
    <row r="141">
      <c r="A141" t="inlineStr">
        <is>
          <t>No</t>
        </is>
      </c>
      <c r="B141" t="inlineStr">
        <is>
          <t>E169.1 .G67 1964</t>
        </is>
      </c>
      <c r="C141" t="inlineStr">
        <is>
          <t>0                      E  0169100G  67          1964</t>
        </is>
      </c>
      <c r="D141" t="inlineStr">
        <is>
          <t>The American people; a study in national character.</t>
        </is>
      </c>
      <c r="F141" t="inlineStr">
        <is>
          <t>No</t>
        </is>
      </c>
      <c r="G141" t="inlineStr">
        <is>
          <t>1</t>
        </is>
      </c>
      <c r="H141" t="inlineStr">
        <is>
          <t>No</t>
        </is>
      </c>
      <c r="I141" t="inlineStr">
        <is>
          <t>No</t>
        </is>
      </c>
      <c r="J141" t="inlineStr">
        <is>
          <t>0</t>
        </is>
      </c>
      <c r="K141" t="inlineStr">
        <is>
          <t>Gorer, Geoffrey, 1905-1985.</t>
        </is>
      </c>
      <c r="L141" t="inlineStr">
        <is>
          <t>New York, Norton [1964]</t>
        </is>
      </c>
      <c r="M141" t="inlineStr">
        <is>
          <t>1964</t>
        </is>
      </c>
      <c r="N141" t="inlineStr">
        <is>
          <t>Rev. ed.</t>
        </is>
      </c>
      <c r="O141" t="inlineStr">
        <is>
          <t>eng</t>
        </is>
      </c>
      <c r="P141" t="inlineStr">
        <is>
          <t>nyu</t>
        </is>
      </c>
      <c r="R141" t="inlineStr">
        <is>
          <t xml:space="preserve">E  </t>
        </is>
      </c>
      <c r="S141" t="n">
        <v>8</v>
      </c>
      <c r="T141" t="n">
        <v>8</v>
      </c>
      <c r="U141" t="inlineStr">
        <is>
          <t>2005-02-21</t>
        </is>
      </c>
      <c r="V141" t="inlineStr">
        <is>
          <t>2005-02-21</t>
        </is>
      </c>
      <c r="W141" t="inlineStr">
        <is>
          <t>1990-12-18</t>
        </is>
      </c>
      <c r="X141" t="inlineStr">
        <is>
          <t>1990-12-18</t>
        </is>
      </c>
      <c r="Y141" t="n">
        <v>493</v>
      </c>
      <c r="Z141" t="n">
        <v>438</v>
      </c>
      <c r="AA141" t="n">
        <v>856</v>
      </c>
      <c r="AB141" t="n">
        <v>4</v>
      </c>
      <c r="AC141" t="n">
        <v>6</v>
      </c>
      <c r="AD141" t="n">
        <v>19</v>
      </c>
      <c r="AE141" t="n">
        <v>38</v>
      </c>
      <c r="AF141" t="n">
        <v>4</v>
      </c>
      <c r="AG141" t="n">
        <v>13</v>
      </c>
      <c r="AH141" t="n">
        <v>4</v>
      </c>
      <c r="AI141" t="n">
        <v>6</v>
      </c>
      <c r="AJ141" t="n">
        <v>9</v>
      </c>
      <c r="AK141" t="n">
        <v>19</v>
      </c>
      <c r="AL141" t="n">
        <v>3</v>
      </c>
      <c r="AM141" t="n">
        <v>5</v>
      </c>
      <c r="AN141" t="n">
        <v>0</v>
      </c>
      <c r="AO141" t="n">
        <v>1</v>
      </c>
      <c r="AP141" t="inlineStr">
        <is>
          <t>No</t>
        </is>
      </c>
      <c r="AQ141" t="inlineStr">
        <is>
          <t>No</t>
        </is>
      </c>
      <c r="AS141">
        <f>HYPERLINK("https://creighton-primo.hosted.exlibrisgroup.com/primo-explore/search?tab=default_tab&amp;search_scope=EVERYTHING&amp;vid=01CRU&amp;lang=en_US&amp;offset=0&amp;query=any,contains,991003177599702656","Catalog Record")</f>
        <v/>
      </c>
      <c r="AT141">
        <f>HYPERLINK("http://www.worldcat.org/oclc/711063","WorldCat Record")</f>
        <v/>
      </c>
      <c r="AU141" t="inlineStr">
        <is>
          <t>3768680068:eng</t>
        </is>
      </c>
      <c r="AV141" t="inlineStr">
        <is>
          <t>711063</t>
        </is>
      </c>
      <c r="AW141" t="inlineStr">
        <is>
          <t>991003177599702656</t>
        </is>
      </c>
      <c r="AX141" t="inlineStr">
        <is>
          <t>991003177599702656</t>
        </is>
      </c>
      <c r="AY141" t="inlineStr">
        <is>
          <t>2264072170002656</t>
        </is>
      </c>
      <c r="AZ141" t="inlineStr">
        <is>
          <t>BOOK</t>
        </is>
      </c>
      <c r="BC141" t="inlineStr">
        <is>
          <t>32285000423359</t>
        </is>
      </c>
      <c r="BD141" t="inlineStr">
        <is>
          <t>893880891</t>
        </is>
      </c>
    </row>
    <row r="142">
      <c r="A142" t="inlineStr">
        <is>
          <t>No</t>
        </is>
      </c>
      <c r="B142" t="inlineStr">
        <is>
          <t>E169.1 .H13</t>
        </is>
      </c>
      <c r="C142" t="inlineStr">
        <is>
          <t>0                      E  0169100H  13</t>
        </is>
      </c>
      <c r="D142" t="inlineStr">
        <is>
          <t>American character and culture : some twentieth century perspectives / edited by John A. Hague.</t>
        </is>
      </c>
      <c r="F142" t="inlineStr">
        <is>
          <t>No</t>
        </is>
      </c>
      <c r="G142" t="inlineStr">
        <is>
          <t>1</t>
        </is>
      </c>
      <c r="H142" t="inlineStr">
        <is>
          <t>No</t>
        </is>
      </c>
      <c r="I142" t="inlineStr">
        <is>
          <t>No</t>
        </is>
      </c>
      <c r="J142" t="inlineStr">
        <is>
          <t>0</t>
        </is>
      </c>
      <c r="K142" t="inlineStr">
        <is>
          <t>Hague, John A. editor.</t>
        </is>
      </c>
      <c r="M142" t="inlineStr">
        <is>
          <t>1964</t>
        </is>
      </c>
      <c r="O142" t="inlineStr">
        <is>
          <t>eng</t>
        </is>
      </c>
      <c r="P142" t="inlineStr">
        <is>
          <t>flu</t>
        </is>
      </c>
      <c r="R142" t="inlineStr">
        <is>
          <t xml:space="preserve">E  </t>
        </is>
      </c>
      <c r="S142" t="n">
        <v>1</v>
      </c>
      <c r="T142" t="n">
        <v>1</v>
      </c>
      <c r="U142" t="inlineStr">
        <is>
          <t>2005-02-21</t>
        </is>
      </c>
      <c r="V142" t="inlineStr">
        <is>
          <t>2005-02-21</t>
        </is>
      </c>
      <c r="W142" t="inlineStr">
        <is>
          <t>1991-12-09</t>
        </is>
      </c>
      <c r="X142" t="inlineStr">
        <is>
          <t>1991-12-09</t>
        </is>
      </c>
      <c r="Y142" t="n">
        <v>783</v>
      </c>
      <c r="Z142" t="n">
        <v>739</v>
      </c>
      <c r="AA142" t="n">
        <v>742</v>
      </c>
      <c r="AB142" t="n">
        <v>6</v>
      </c>
      <c r="AC142" t="n">
        <v>6</v>
      </c>
      <c r="AD142" t="n">
        <v>25</v>
      </c>
      <c r="AE142" t="n">
        <v>25</v>
      </c>
      <c r="AF142" t="n">
        <v>10</v>
      </c>
      <c r="AG142" t="n">
        <v>10</v>
      </c>
      <c r="AH142" t="n">
        <v>4</v>
      </c>
      <c r="AI142" t="n">
        <v>4</v>
      </c>
      <c r="AJ142" t="n">
        <v>8</v>
      </c>
      <c r="AK142" t="n">
        <v>8</v>
      </c>
      <c r="AL142" t="n">
        <v>5</v>
      </c>
      <c r="AM142" t="n">
        <v>5</v>
      </c>
      <c r="AN142" t="n">
        <v>0</v>
      </c>
      <c r="AO142" t="n">
        <v>0</v>
      </c>
      <c r="AP142" t="inlineStr">
        <is>
          <t>No</t>
        </is>
      </c>
      <c r="AQ142" t="inlineStr">
        <is>
          <t>Yes</t>
        </is>
      </c>
      <c r="AR142">
        <f>HYPERLINK("http://catalog.hathitrust.org/Record/000327211","HathiTrust Record")</f>
        <v/>
      </c>
      <c r="AS142">
        <f>HYPERLINK("https://creighton-primo.hosted.exlibrisgroup.com/primo-explore/search?tab=default_tab&amp;search_scope=EVERYTHING&amp;vid=01CRU&amp;lang=en_US&amp;offset=0&amp;query=any,contains,991002735919702656","Catalog Record")</f>
        <v/>
      </c>
      <c r="AT142">
        <f>HYPERLINK("http://www.worldcat.org/oclc/419284","WorldCat Record")</f>
        <v/>
      </c>
      <c r="AU142" t="inlineStr">
        <is>
          <t>894508952:eng</t>
        </is>
      </c>
      <c r="AV142" t="inlineStr">
        <is>
          <t>419284</t>
        </is>
      </c>
      <c r="AW142" t="inlineStr">
        <is>
          <t>991002735919702656</t>
        </is>
      </c>
      <c r="AX142" t="inlineStr">
        <is>
          <t>991002735919702656</t>
        </is>
      </c>
      <c r="AY142" t="inlineStr">
        <is>
          <t>2261524280002656</t>
        </is>
      </c>
      <c r="AZ142" t="inlineStr">
        <is>
          <t>BOOK</t>
        </is>
      </c>
      <c r="BC142" t="inlineStr">
        <is>
          <t>32285000849694</t>
        </is>
      </c>
      <c r="BD142" t="inlineStr">
        <is>
          <t>893511116</t>
        </is>
      </c>
    </row>
    <row r="143">
      <c r="A143" t="inlineStr">
        <is>
          <t>No</t>
        </is>
      </c>
      <c r="B143" t="inlineStr">
        <is>
          <t>E169.1 .H32</t>
        </is>
      </c>
      <c r="C143" t="inlineStr">
        <is>
          <t>0                      E  0169100H  32</t>
        </is>
      </c>
      <c r="D143" t="inlineStr">
        <is>
          <t>The American dream in the Great Depression / Charles R. Hearn.</t>
        </is>
      </c>
      <c r="F143" t="inlineStr">
        <is>
          <t>No</t>
        </is>
      </c>
      <c r="G143" t="inlineStr">
        <is>
          <t>1</t>
        </is>
      </c>
      <c r="H143" t="inlineStr">
        <is>
          <t>No</t>
        </is>
      </c>
      <c r="I143" t="inlineStr">
        <is>
          <t>No</t>
        </is>
      </c>
      <c r="J143" t="inlineStr">
        <is>
          <t>0</t>
        </is>
      </c>
      <c r="K143" t="inlineStr">
        <is>
          <t>Hearn, Charles R.</t>
        </is>
      </c>
      <c r="L143" t="inlineStr">
        <is>
          <t>Westport, Conn. : Greenwood Press, 1977.</t>
        </is>
      </c>
      <c r="M143" t="inlineStr">
        <is>
          <t>1977</t>
        </is>
      </c>
      <c r="O143" t="inlineStr">
        <is>
          <t>eng</t>
        </is>
      </c>
      <c r="P143" t="inlineStr">
        <is>
          <t>ctu</t>
        </is>
      </c>
      <c r="Q143" t="inlineStr">
        <is>
          <t>Contributions in American studies ; no. 28</t>
        </is>
      </c>
      <c r="R143" t="inlineStr">
        <is>
          <t xml:space="preserve">E  </t>
        </is>
      </c>
      <c r="S143" t="n">
        <v>4</v>
      </c>
      <c r="T143" t="n">
        <v>4</v>
      </c>
      <c r="U143" t="inlineStr">
        <is>
          <t>2001-03-31</t>
        </is>
      </c>
      <c r="V143" t="inlineStr">
        <is>
          <t>2001-03-31</t>
        </is>
      </c>
      <c r="W143" t="inlineStr">
        <is>
          <t>1997-04-03</t>
        </is>
      </c>
      <c r="X143" t="inlineStr">
        <is>
          <t>1997-04-03</t>
        </is>
      </c>
      <c r="Y143" t="n">
        <v>902</v>
      </c>
      <c r="Z143" t="n">
        <v>775</v>
      </c>
      <c r="AA143" t="n">
        <v>782</v>
      </c>
      <c r="AB143" t="n">
        <v>8</v>
      </c>
      <c r="AC143" t="n">
        <v>8</v>
      </c>
      <c r="AD143" t="n">
        <v>38</v>
      </c>
      <c r="AE143" t="n">
        <v>38</v>
      </c>
      <c r="AF143" t="n">
        <v>15</v>
      </c>
      <c r="AG143" t="n">
        <v>15</v>
      </c>
      <c r="AH143" t="n">
        <v>9</v>
      </c>
      <c r="AI143" t="n">
        <v>9</v>
      </c>
      <c r="AJ143" t="n">
        <v>18</v>
      </c>
      <c r="AK143" t="n">
        <v>18</v>
      </c>
      <c r="AL143" t="n">
        <v>6</v>
      </c>
      <c r="AM143" t="n">
        <v>6</v>
      </c>
      <c r="AN143" t="n">
        <v>0</v>
      </c>
      <c r="AO143" t="n">
        <v>0</v>
      </c>
      <c r="AP143" t="inlineStr">
        <is>
          <t>No</t>
        </is>
      </c>
      <c r="AQ143" t="inlineStr">
        <is>
          <t>Yes</t>
        </is>
      </c>
      <c r="AR143">
        <f>HYPERLINK("http://catalog.hathitrust.org/Record/000214072","HathiTrust Record")</f>
        <v/>
      </c>
      <c r="AS143">
        <f>HYPERLINK("https://creighton-primo.hosted.exlibrisgroup.com/primo-explore/search?tab=default_tab&amp;search_scope=EVERYTHING&amp;vid=01CRU&amp;lang=en_US&amp;offset=0&amp;query=any,contains,991004300079702656","Catalog Record")</f>
        <v/>
      </c>
      <c r="AT143">
        <f>HYPERLINK("http://www.worldcat.org/oclc/2967819","WorldCat Record")</f>
        <v/>
      </c>
      <c r="AU143" t="inlineStr">
        <is>
          <t>502045:eng</t>
        </is>
      </c>
      <c r="AV143" t="inlineStr">
        <is>
          <t>2967819</t>
        </is>
      </c>
      <c r="AW143" t="inlineStr">
        <is>
          <t>991004300079702656</t>
        </is>
      </c>
      <c r="AX143" t="inlineStr">
        <is>
          <t>991004300079702656</t>
        </is>
      </c>
      <c r="AY143" t="inlineStr">
        <is>
          <t>2269430660002656</t>
        </is>
      </c>
      <c r="AZ143" t="inlineStr">
        <is>
          <t>BOOK</t>
        </is>
      </c>
      <c r="BB143" t="inlineStr">
        <is>
          <t>9780837194783</t>
        </is>
      </c>
      <c r="BC143" t="inlineStr">
        <is>
          <t>32285002500949</t>
        </is>
      </c>
      <c r="BD143" t="inlineStr">
        <is>
          <t>893712413</t>
        </is>
      </c>
    </row>
    <row r="144">
      <c r="A144" t="inlineStr">
        <is>
          <t>No</t>
        </is>
      </c>
      <c r="B144" t="inlineStr">
        <is>
          <t>E169.1 .H76 1997</t>
        </is>
      </c>
      <c r="C144" t="inlineStr">
        <is>
          <t>0                      E  0169100H  76          1997</t>
        </is>
      </c>
      <c r="D144" t="inlineStr">
        <is>
          <t>Making the American self : Jonathan Edwards to Abraham Lincoln / Daniel Walker Howe.</t>
        </is>
      </c>
      <c r="F144" t="inlineStr">
        <is>
          <t>No</t>
        </is>
      </c>
      <c r="G144" t="inlineStr">
        <is>
          <t>1</t>
        </is>
      </c>
      <c r="H144" t="inlineStr">
        <is>
          <t>No</t>
        </is>
      </c>
      <c r="I144" t="inlineStr">
        <is>
          <t>No</t>
        </is>
      </c>
      <c r="J144" t="inlineStr">
        <is>
          <t>0</t>
        </is>
      </c>
      <c r="K144" t="inlineStr">
        <is>
          <t>Howe, Daniel Walker.</t>
        </is>
      </c>
      <c r="L144" t="inlineStr">
        <is>
          <t>Cambridge, Mass. : Harvard University Press, 1997.</t>
        </is>
      </c>
      <c r="M144" t="inlineStr">
        <is>
          <t>1997</t>
        </is>
      </c>
      <c r="O144" t="inlineStr">
        <is>
          <t>eng</t>
        </is>
      </c>
      <c r="P144" t="inlineStr">
        <is>
          <t>mau</t>
        </is>
      </c>
      <c r="Q144" t="inlineStr">
        <is>
          <t>Studies in cultural history</t>
        </is>
      </c>
      <c r="R144" t="inlineStr">
        <is>
          <t xml:space="preserve">E  </t>
        </is>
      </c>
      <c r="S144" t="n">
        <v>2</v>
      </c>
      <c r="T144" t="n">
        <v>2</v>
      </c>
      <c r="U144" t="inlineStr">
        <is>
          <t>2005-04-02</t>
        </is>
      </c>
      <c r="V144" t="inlineStr">
        <is>
          <t>2005-04-02</t>
        </is>
      </c>
      <c r="W144" t="inlineStr">
        <is>
          <t>1997-06-23</t>
        </is>
      </c>
      <c r="X144" t="inlineStr">
        <is>
          <t>1997-06-23</t>
        </is>
      </c>
      <c r="Y144" t="n">
        <v>764</v>
      </c>
      <c r="Z144" t="n">
        <v>680</v>
      </c>
      <c r="AA144" t="n">
        <v>766</v>
      </c>
      <c r="AB144" t="n">
        <v>6</v>
      </c>
      <c r="AC144" t="n">
        <v>6</v>
      </c>
      <c r="AD144" t="n">
        <v>33</v>
      </c>
      <c r="AE144" t="n">
        <v>34</v>
      </c>
      <c r="AF144" t="n">
        <v>11</v>
      </c>
      <c r="AG144" t="n">
        <v>12</v>
      </c>
      <c r="AH144" t="n">
        <v>7</v>
      </c>
      <c r="AI144" t="n">
        <v>7</v>
      </c>
      <c r="AJ144" t="n">
        <v>17</v>
      </c>
      <c r="AK144" t="n">
        <v>17</v>
      </c>
      <c r="AL144" t="n">
        <v>5</v>
      </c>
      <c r="AM144" t="n">
        <v>5</v>
      </c>
      <c r="AN144" t="n">
        <v>1</v>
      </c>
      <c r="AO144" t="n">
        <v>1</v>
      </c>
      <c r="AP144" t="inlineStr">
        <is>
          <t>No</t>
        </is>
      </c>
      <c r="AQ144" t="inlineStr">
        <is>
          <t>No</t>
        </is>
      </c>
      <c r="AS144">
        <f>HYPERLINK("https://creighton-primo.hosted.exlibrisgroup.com/primo-explore/search?tab=default_tab&amp;search_scope=EVERYTHING&amp;vid=01CRU&amp;lang=en_US&amp;offset=0&amp;query=any,contains,991002702159702656","Catalog Record")</f>
        <v/>
      </c>
      <c r="AT144">
        <f>HYPERLINK("http://www.worldcat.org/oclc/35280607","WorldCat Record")</f>
        <v/>
      </c>
      <c r="AU144" t="inlineStr">
        <is>
          <t>795050593:eng</t>
        </is>
      </c>
      <c r="AV144" t="inlineStr">
        <is>
          <t>35280607</t>
        </is>
      </c>
      <c r="AW144" t="inlineStr">
        <is>
          <t>991002702159702656</t>
        </is>
      </c>
      <c r="AX144" t="inlineStr">
        <is>
          <t>991002702159702656</t>
        </is>
      </c>
      <c r="AY144" t="inlineStr">
        <is>
          <t>2255050650002656</t>
        </is>
      </c>
      <c r="AZ144" t="inlineStr">
        <is>
          <t>BOOK</t>
        </is>
      </c>
      <c r="BB144" t="inlineStr">
        <is>
          <t>9780674165557</t>
        </is>
      </c>
      <c r="BC144" t="inlineStr">
        <is>
          <t>32285002752888</t>
        </is>
      </c>
      <c r="BD144" t="inlineStr">
        <is>
          <t>893804915</t>
        </is>
      </c>
    </row>
    <row r="145">
      <c r="A145" t="inlineStr">
        <is>
          <t>No</t>
        </is>
      </c>
      <c r="B145" t="inlineStr">
        <is>
          <t>E169.1 .I68 1989</t>
        </is>
      </c>
      <c r="C145" t="inlineStr">
        <is>
          <t>0                      E  0169100I  68          1989</t>
        </is>
      </c>
      <c r="D145" t="inlineStr">
        <is>
          <t>Introduction to American studies / edited by Malcolm Bradbury and Howard Temperley.</t>
        </is>
      </c>
      <c r="F145" t="inlineStr">
        <is>
          <t>No</t>
        </is>
      </c>
      <c r="G145" t="inlineStr">
        <is>
          <t>1</t>
        </is>
      </c>
      <c r="H145" t="inlineStr">
        <is>
          <t>No</t>
        </is>
      </c>
      <c r="I145" t="inlineStr">
        <is>
          <t>No</t>
        </is>
      </c>
      <c r="J145" t="inlineStr">
        <is>
          <t>0</t>
        </is>
      </c>
      <c r="L145" t="inlineStr">
        <is>
          <t>London ; New York : Longman, 1989.</t>
        </is>
      </c>
      <c r="M145" t="inlineStr">
        <is>
          <t>1989</t>
        </is>
      </c>
      <c r="N145" t="inlineStr">
        <is>
          <t>2nd ed.</t>
        </is>
      </c>
      <c r="O145" t="inlineStr">
        <is>
          <t>eng</t>
        </is>
      </c>
      <c r="P145" t="inlineStr">
        <is>
          <t>enk</t>
        </is>
      </c>
      <c r="R145" t="inlineStr">
        <is>
          <t xml:space="preserve">E  </t>
        </is>
      </c>
      <c r="S145" t="n">
        <v>14</v>
      </c>
      <c r="T145" t="n">
        <v>14</v>
      </c>
      <c r="U145" t="inlineStr">
        <is>
          <t>2002-04-09</t>
        </is>
      </c>
      <c r="V145" t="inlineStr">
        <is>
          <t>2002-04-09</t>
        </is>
      </c>
      <c r="W145" t="inlineStr">
        <is>
          <t>1995-11-20</t>
        </is>
      </c>
      <c r="X145" t="inlineStr">
        <is>
          <t>1995-11-20</t>
        </is>
      </c>
      <c r="Y145" t="n">
        <v>229</v>
      </c>
      <c r="Z145" t="n">
        <v>118</v>
      </c>
      <c r="AA145" t="n">
        <v>319</v>
      </c>
      <c r="AB145" t="n">
        <v>1</v>
      </c>
      <c r="AC145" t="n">
        <v>4</v>
      </c>
      <c r="AD145" t="n">
        <v>10</v>
      </c>
      <c r="AE145" t="n">
        <v>23</v>
      </c>
      <c r="AF145" t="n">
        <v>5</v>
      </c>
      <c r="AG145" t="n">
        <v>9</v>
      </c>
      <c r="AH145" t="n">
        <v>0</v>
      </c>
      <c r="AI145" t="n">
        <v>3</v>
      </c>
      <c r="AJ145" t="n">
        <v>7</v>
      </c>
      <c r="AK145" t="n">
        <v>12</v>
      </c>
      <c r="AL145" t="n">
        <v>0</v>
      </c>
      <c r="AM145" t="n">
        <v>3</v>
      </c>
      <c r="AN145" t="n">
        <v>0</v>
      </c>
      <c r="AO145" t="n">
        <v>0</v>
      </c>
      <c r="AP145" t="inlineStr">
        <is>
          <t>No</t>
        </is>
      </c>
      <c r="AQ145" t="inlineStr">
        <is>
          <t>No</t>
        </is>
      </c>
      <c r="AS145">
        <f>HYPERLINK("https://creighton-primo.hosted.exlibrisgroup.com/primo-explore/search?tab=default_tab&amp;search_scope=EVERYTHING&amp;vid=01CRU&amp;lang=en_US&amp;offset=0&amp;query=any,contains,991001251389702656","Catalog Record")</f>
        <v/>
      </c>
      <c r="AT145">
        <f>HYPERLINK("http://www.worldcat.org/oclc/17676914","WorldCat Record")</f>
        <v/>
      </c>
      <c r="AU145" t="inlineStr">
        <is>
          <t>364034012:eng</t>
        </is>
      </c>
      <c r="AV145" t="inlineStr">
        <is>
          <t>17676914</t>
        </is>
      </c>
      <c r="AW145" t="inlineStr">
        <is>
          <t>991001251389702656</t>
        </is>
      </c>
      <c r="AX145" t="inlineStr">
        <is>
          <t>991001251389702656</t>
        </is>
      </c>
      <c r="AY145" t="inlineStr">
        <is>
          <t>2260421210002656</t>
        </is>
      </c>
      <c r="AZ145" t="inlineStr">
        <is>
          <t>BOOK</t>
        </is>
      </c>
      <c r="BB145" t="inlineStr">
        <is>
          <t>9780582015265</t>
        </is>
      </c>
      <c r="BC145" t="inlineStr">
        <is>
          <t>32285002104031</t>
        </is>
      </c>
      <c r="BD145" t="inlineStr">
        <is>
          <t>893590148</t>
        </is>
      </c>
    </row>
    <row r="146">
      <c r="A146" t="inlineStr">
        <is>
          <t>No</t>
        </is>
      </c>
      <c r="B146" t="inlineStr">
        <is>
          <t>E169.1 .J34 1993</t>
        </is>
      </c>
      <c r="C146" t="inlineStr">
        <is>
          <t>0                      E  0169100J  34          1993</t>
        </is>
      </c>
      <c r="D146" t="inlineStr">
        <is>
          <t>American civilization / by C.L.R. James ; edited and introduced by Anna Grimshaw and Keith Hart with an afterword by Robert A. Hill.</t>
        </is>
      </c>
      <c r="F146" t="inlineStr">
        <is>
          <t>No</t>
        </is>
      </c>
      <c r="G146" t="inlineStr">
        <is>
          <t>1</t>
        </is>
      </c>
      <c r="H146" t="inlineStr">
        <is>
          <t>No</t>
        </is>
      </c>
      <c r="I146" t="inlineStr">
        <is>
          <t>No</t>
        </is>
      </c>
      <c r="J146" t="inlineStr">
        <is>
          <t>0</t>
        </is>
      </c>
      <c r="K146" t="inlineStr">
        <is>
          <t>James, C. L. R. (Cyril Lionel Robert), 1901-1989.</t>
        </is>
      </c>
      <c r="L146" t="inlineStr">
        <is>
          <t>Cambridge, Mass. : Blackwell, 1993.</t>
        </is>
      </c>
      <c r="M146" t="inlineStr">
        <is>
          <t>1993</t>
        </is>
      </c>
      <c r="O146" t="inlineStr">
        <is>
          <t>eng</t>
        </is>
      </c>
      <c r="P146" t="inlineStr">
        <is>
          <t>mau</t>
        </is>
      </c>
      <c r="R146" t="inlineStr">
        <is>
          <t xml:space="preserve">E  </t>
        </is>
      </c>
      <c r="S146" t="n">
        <v>3</v>
      </c>
      <c r="T146" t="n">
        <v>3</v>
      </c>
      <c r="U146" t="inlineStr">
        <is>
          <t>2001-04-22</t>
        </is>
      </c>
      <c r="V146" t="inlineStr">
        <is>
          <t>2001-04-22</t>
        </is>
      </c>
      <c r="W146" t="inlineStr">
        <is>
          <t>1994-04-14</t>
        </is>
      </c>
      <c r="X146" t="inlineStr">
        <is>
          <t>1994-04-14</t>
        </is>
      </c>
      <c r="Y146" t="n">
        <v>488</v>
      </c>
      <c r="Z146" t="n">
        <v>359</v>
      </c>
      <c r="AA146" t="n">
        <v>361</v>
      </c>
      <c r="AB146" t="n">
        <v>3</v>
      </c>
      <c r="AC146" t="n">
        <v>3</v>
      </c>
      <c r="AD146" t="n">
        <v>15</v>
      </c>
      <c r="AE146" t="n">
        <v>15</v>
      </c>
      <c r="AF146" t="n">
        <v>2</v>
      </c>
      <c r="AG146" t="n">
        <v>2</v>
      </c>
      <c r="AH146" t="n">
        <v>7</v>
      </c>
      <c r="AI146" t="n">
        <v>7</v>
      </c>
      <c r="AJ146" t="n">
        <v>7</v>
      </c>
      <c r="AK146" t="n">
        <v>7</v>
      </c>
      <c r="AL146" t="n">
        <v>2</v>
      </c>
      <c r="AM146" t="n">
        <v>2</v>
      </c>
      <c r="AN146" t="n">
        <v>0</v>
      </c>
      <c r="AO146" t="n">
        <v>0</v>
      </c>
      <c r="AP146" t="inlineStr">
        <is>
          <t>No</t>
        </is>
      </c>
      <c r="AQ146" t="inlineStr">
        <is>
          <t>No</t>
        </is>
      </c>
      <c r="AS146">
        <f>HYPERLINK("https://creighton-primo.hosted.exlibrisgroup.com/primo-explore/search?tab=default_tab&amp;search_scope=EVERYTHING&amp;vid=01CRU&amp;lang=en_US&amp;offset=0&amp;query=any,contains,991002227459702656","Catalog Record")</f>
        <v/>
      </c>
      <c r="AT146">
        <f>HYPERLINK("http://www.worldcat.org/oclc/28708463","WorldCat Record")</f>
        <v/>
      </c>
      <c r="AU146" t="inlineStr">
        <is>
          <t>3943614269:eng</t>
        </is>
      </c>
      <c r="AV146" t="inlineStr">
        <is>
          <t>28708463</t>
        </is>
      </c>
      <c r="AW146" t="inlineStr">
        <is>
          <t>991002227459702656</t>
        </is>
      </c>
      <c r="AX146" t="inlineStr">
        <is>
          <t>991002227459702656</t>
        </is>
      </c>
      <c r="AY146" t="inlineStr">
        <is>
          <t>2256891930002656</t>
        </is>
      </c>
      <c r="AZ146" t="inlineStr">
        <is>
          <t>BOOK</t>
        </is>
      </c>
      <c r="BB146" t="inlineStr">
        <is>
          <t>9780631189084</t>
        </is>
      </c>
      <c r="BC146" t="inlineStr">
        <is>
          <t>32285001876001</t>
        </is>
      </c>
      <c r="BD146" t="inlineStr">
        <is>
          <t>893322696</t>
        </is>
      </c>
    </row>
    <row r="147">
      <c r="A147" t="inlineStr">
        <is>
          <t>No</t>
        </is>
      </c>
      <c r="B147" t="inlineStr">
        <is>
          <t>E169.1 .J435 1986</t>
        </is>
      </c>
      <c r="C147" t="inlineStr">
        <is>
          <t>0                      E  0169100J  435         1986</t>
        </is>
      </c>
      <c r="D147" t="inlineStr">
        <is>
          <t>American incarnation : the individual, the nation, and the continent / Myra Jehlen.</t>
        </is>
      </c>
      <c r="F147" t="inlineStr">
        <is>
          <t>No</t>
        </is>
      </c>
      <c r="G147" t="inlineStr">
        <is>
          <t>1</t>
        </is>
      </c>
      <c r="H147" t="inlineStr">
        <is>
          <t>No</t>
        </is>
      </c>
      <c r="I147" t="inlineStr">
        <is>
          <t>No</t>
        </is>
      </c>
      <c r="J147" t="inlineStr">
        <is>
          <t>0</t>
        </is>
      </c>
      <c r="K147" t="inlineStr">
        <is>
          <t>Jehlen, Myra.</t>
        </is>
      </c>
      <c r="L147" t="inlineStr">
        <is>
          <t>Cambridge, Mass. : Harvard University Press, 1986.</t>
        </is>
      </c>
      <c r="M147" t="inlineStr">
        <is>
          <t>1986</t>
        </is>
      </c>
      <c r="O147" t="inlineStr">
        <is>
          <t>eng</t>
        </is>
      </c>
      <c r="P147" t="inlineStr">
        <is>
          <t>mau</t>
        </is>
      </c>
      <c r="R147" t="inlineStr">
        <is>
          <t xml:space="preserve">E  </t>
        </is>
      </c>
      <c r="S147" t="n">
        <v>3</v>
      </c>
      <c r="T147" t="n">
        <v>3</v>
      </c>
      <c r="U147" t="inlineStr">
        <is>
          <t>1997-02-28</t>
        </is>
      </c>
      <c r="V147" t="inlineStr">
        <is>
          <t>1997-02-28</t>
        </is>
      </c>
      <c r="W147" t="inlineStr">
        <is>
          <t>1990-12-18</t>
        </is>
      </c>
      <c r="X147" t="inlineStr">
        <is>
          <t>1990-12-18</t>
        </is>
      </c>
      <c r="Y147" t="n">
        <v>666</v>
      </c>
      <c r="Z147" t="n">
        <v>549</v>
      </c>
      <c r="AA147" t="n">
        <v>558</v>
      </c>
      <c r="AB147" t="n">
        <v>5</v>
      </c>
      <c r="AC147" t="n">
        <v>5</v>
      </c>
      <c r="AD147" t="n">
        <v>31</v>
      </c>
      <c r="AE147" t="n">
        <v>31</v>
      </c>
      <c r="AF147" t="n">
        <v>9</v>
      </c>
      <c r="AG147" t="n">
        <v>9</v>
      </c>
      <c r="AH147" t="n">
        <v>10</v>
      </c>
      <c r="AI147" t="n">
        <v>10</v>
      </c>
      <c r="AJ147" t="n">
        <v>17</v>
      </c>
      <c r="AK147" t="n">
        <v>17</v>
      </c>
      <c r="AL147" t="n">
        <v>4</v>
      </c>
      <c r="AM147" t="n">
        <v>4</v>
      </c>
      <c r="AN147" t="n">
        <v>0</v>
      </c>
      <c r="AO147" t="n">
        <v>0</v>
      </c>
      <c r="AP147" t="inlineStr">
        <is>
          <t>No</t>
        </is>
      </c>
      <c r="AQ147" t="inlineStr">
        <is>
          <t>Yes</t>
        </is>
      </c>
      <c r="AR147">
        <f>HYPERLINK("http://catalog.hathitrust.org/Record/000482883","HathiTrust Record")</f>
        <v/>
      </c>
      <c r="AS147">
        <f>HYPERLINK("https://creighton-primo.hosted.exlibrisgroup.com/primo-explore/search?tab=default_tab&amp;search_scope=EVERYTHING&amp;vid=01CRU&amp;lang=en_US&amp;offset=0&amp;query=any,contains,991000802369702656","Catalog Record")</f>
        <v/>
      </c>
      <c r="AT147">
        <f>HYPERLINK("http://www.worldcat.org/oclc/13268843","WorldCat Record")</f>
        <v/>
      </c>
      <c r="AU147" t="inlineStr">
        <is>
          <t>3199019:eng</t>
        </is>
      </c>
      <c r="AV147" t="inlineStr">
        <is>
          <t>13268843</t>
        </is>
      </c>
      <c r="AW147" t="inlineStr">
        <is>
          <t>991000802369702656</t>
        </is>
      </c>
      <c r="AX147" t="inlineStr">
        <is>
          <t>991000802369702656</t>
        </is>
      </c>
      <c r="AY147" t="inlineStr">
        <is>
          <t>2260154230002656</t>
        </is>
      </c>
      <c r="AZ147" t="inlineStr">
        <is>
          <t>BOOK</t>
        </is>
      </c>
      <c r="BB147" t="inlineStr">
        <is>
          <t>9780674024267</t>
        </is>
      </c>
      <c r="BC147" t="inlineStr">
        <is>
          <t>32285000423409</t>
        </is>
      </c>
      <c r="BD147" t="inlineStr">
        <is>
          <t>893720801</t>
        </is>
      </c>
    </row>
    <row r="148">
      <c r="A148" t="inlineStr">
        <is>
          <t>No</t>
        </is>
      </c>
      <c r="B148" t="inlineStr">
        <is>
          <t>E169.1 .K55 1975</t>
        </is>
      </c>
      <c r="C148" t="inlineStr">
        <is>
          <t>0                      E  0169100K  55          1975</t>
        </is>
      </c>
      <c r="D148" t="inlineStr">
        <is>
          <t>The American cause / Russell Kirk.</t>
        </is>
      </c>
      <c r="F148" t="inlineStr">
        <is>
          <t>No</t>
        </is>
      </c>
      <c r="G148" t="inlineStr">
        <is>
          <t>1</t>
        </is>
      </c>
      <c r="H148" t="inlineStr">
        <is>
          <t>No</t>
        </is>
      </c>
      <c r="I148" t="inlineStr">
        <is>
          <t>No</t>
        </is>
      </c>
      <c r="J148" t="inlineStr">
        <is>
          <t>0</t>
        </is>
      </c>
      <c r="K148" t="inlineStr">
        <is>
          <t>Kirk, Russell.</t>
        </is>
      </c>
      <c r="L148" t="inlineStr">
        <is>
          <t>Westport, Conn. : Greenwood Press, 1975, c1957.</t>
        </is>
      </c>
      <c r="M148" t="inlineStr">
        <is>
          <t>1975</t>
        </is>
      </c>
      <c r="O148" t="inlineStr">
        <is>
          <t>eng</t>
        </is>
      </c>
      <c r="P148" t="inlineStr">
        <is>
          <t>ctu</t>
        </is>
      </c>
      <c r="R148" t="inlineStr">
        <is>
          <t xml:space="preserve">E  </t>
        </is>
      </c>
      <c r="S148" t="n">
        <v>3</v>
      </c>
      <c r="T148" t="n">
        <v>3</v>
      </c>
      <c r="U148" t="inlineStr">
        <is>
          <t>2005-09-23</t>
        </is>
      </c>
      <c r="V148" t="inlineStr">
        <is>
          <t>2005-09-23</t>
        </is>
      </c>
      <c r="W148" t="inlineStr">
        <is>
          <t>1997-04-03</t>
        </is>
      </c>
      <c r="X148" t="inlineStr">
        <is>
          <t>1997-04-03</t>
        </is>
      </c>
      <c r="Y148" t="n">
        <v>106</v>
      </c>
      <c r="Z148" t="n">
        <v>99</v>
      </c>
      <c r="AA148" t="n">
        <v>1042</v>
      </c>
      <c r="AB148" t="n">
        <v>1</v>
      </c>
      <c r="AC148" t="n">
        <v>8</v>
      </c>
      <c r="AD148" t="n">
        <v>5</v>
      </c>
      <c r="AE148" t="n">
        <v>48</v>
      </c>
      <c r="AF148" t="n">
        <v>3</v>
      </c>
      <c r="AG148" t="n">
        <v>18</v>
      </c>
      <c r="AH148" t="n">
        <v>2</v>
      </c>
      <c r="AI148" t="n">
        <v>10</v>
      </c>
      <c r="AJ148" t="n">
        <v>2</v>
      </c>
      <c r="AK148" t="n">
        <v>23</v>
      </c>
      <c r="AL148" t="n">
        <v>0</v>
      </c>
      <c r="AM148" t="n">
        <v>7</v>
      </c>
      <c r="AN148" t="n">
        <v>0</v>
      </c>
      <c r="AO148" t="n">
        <v>1</v>
      </c>
      <c r="AP148" t="inlineStr">
        <is>
          <t>No</t>
        </is>
      </c>
      <c r="AQ148" t="inlineStr">
        <is>
          <t>Yes</t>
        </is>
      </c>
      <c r="AR148">
        <f>HYPERLINK("http://catalog.hathitrust.org/Record/004385585","HathiTrust Record")</f>
        <v/>
      </c>
      <c r="AS148">
        <f>HYPERLINK("https://creighton-primo.hosted.exlibrisgroup.com/primo-explore/search?tab=default_tab&amp;search_scope=EVERYTHING&amp;vid=01CRU&amp;lang=en_US&amp;offset=0&amp;query=any,contains,991003778709702656","Catalog Record")</f>
        <v/>
      </c>
      <c r="AT148">
        <f>HYPERLINK("http://www.worldcat.org/oclc/1489701","WorldCat Record")</f>
        <v/>
      </c>
      <c r="AU148" t="inlineStr">
        <is>
          <t>501248:eng</t>
        </is>
      </c>
      <c r="AV148" t="inlineStr">
        <is>
          <t>1489701</t>
        </is>
      </c>
      <c r="AW148" t="inlineStr">
        <is>
          <t>991003778709702656</t>
        </is>
      </c>
      <c r="AX148" t="inlineStr">
        <is>
          <t>991003778709702656</t>
        </is>
      </c>
      <c r="AY148" t="inlineStr">
        <is>
          <t>2258076940002656</t>
        </is>
      </c>
      <c r="AZ148" t="inlineStr">
        <is>
          <t>BOOK</t>
        </is>
      </c>
      <c r="BB148" t="inlineStr">
        <is>
          <t>9780837179889</t>
        </is>
      </c>
      <c r="BC148" t="inlineStr">
        <is>
          <t>32285002501103</t>
        </is>
      </c>
      <c r="BD148" t="inlineStr">
        <is>
          <t>893531583</t>
        </is>
      </c>
    </row>
    <row r="149">
      <c r="A149" t="inlineStr">
        <is>
          <t>No</t>
        </is>
      </c>
      <c r="B149" t="inlineStr">
        <is>
          <t>E169.1 .K67 2001</t>
        </is>
      </c>
      <c r="C149" t="inlineStr">
        <is>
          <t>0                      E  0169100K  67          2001</t>
        </is>
      </c>
      <c r="D149" t="inlineStr">
        <is>
          <t>Creating an American culture, 1775-1800 : a brief history with documents / Eve Kornfeld.</t>
        </is>
      </c>
      <c r="F149" t="inlineStr">
        <is>
          <t>No</t>
        </is>
      </c>
      <c r="G149" t="inlineStr">
        <is>
          <t>1</t>
        </is>
      </c>
      <c r="H149" t="inlineStr">
        <is>
          <t>No</t>
        </is>
      </c>
      <c r="I149" t="inlineStr">
        <is>
          <t>No</t>
        </is>
      </c>
      <c r="J149" t="inlineStr">
        <is>
          <t>0</t>
        </is>
      </c>
      <c r="K149" t="inlineStr">
        <is>
          <t>Kornfeld, Eve.</t>
        </is>
      </c>
      <c r="L149" t="inlineStr">
        <is>
          <t>Boston : Bedford/St. Martins, c2001.</t>
        </is>
      </c>
      <c r="M149" t="inlineStr">
        <is>
          <t>2001</t>
        </is>
      </c>
      <c r="O149" t="inlineStr">
        <is>
          <t>eng</t>
        </is>
      </c>
      <c r="P149" t="inlineStr">
        <is>
          <t>mdu</t>
        </is>
      </c>
      <c r="Q149" t="inlineStr">
        <is>
          <t>The Bedford series in history and culture</t>
        </is>
      </c>
      <c r="R149" t="inlineStr">
        <is>
          <t xml:space="preserve">E  </t>
        </is>
      </c>
      <c r="S149" t="n">
        <v>1</v>
      </c>
      <c r="T149" t="n">
        <v>1</v>
      </c>
      <c r="U149" t="inlineStr">
        <is>
          <t>2005-03-14</t>
        </is>
      </c>
      <c r="V149" t="inlineStr">
        <is>
          <t>2005-03-14</t>
        </is>
      </c>
      <c r="W149" t="inlineStr">
        <is>
          <t>2001-07-17</t>
        </is>
      </c>
      <c r="X149" t="inlineStr">
        <is>
          <t>2001-07-17</t>
        </is>
      </c>
      <c r="Y149" t="n">
        <v>325</v>
      </c>
      <c r="Z149" t="n">
        <v>302</v>
      </c>
      <c r="AA149" t="n">
        <v>310</v>
      </c>
      <c r="AB149" t="n">
        <v>4</v>
      </c>
      <c r="AC149" t="n">
        <v>4</v>
      </c>
      <c r="AD149" t="n">
        <v>14</v>
      </c>
      <c r="AE149" t="n">
        <v>15</v>
      </c>
      <c r="AF149" t="n">
        <v>2</v>
      </c>
      <c r="AG149" t="n">
        <v>2</v>
      </c>
      <c r="AH149" t="n">
        <v>4</v>
      </c>
      <c r="AI149" t="n">
        <v>5</v>
      </c>
      <c r="AJ149" t="n">
        <v>8</v>
      </c>
      <c r="AK149" t="n">
        <v>9</v>
      </c>
      <c r="AL149" t="n">
        <v>3</v>
      </c>
      <c r="AM149" t="n">
        <v>3</v>
      </c>
      <c r="AN149" t="n">
        <v>1</v>
      </c>
      <c r="AO149" t="n">
        <v>1</v>
      </c>
      <c r="AP149" t="inlineStr">
        <is>
          <t>No</t>
        </is>
      </c>
      <c r="AQ149" t="inlineStr">
        <is>
          <t>No</t>
        </is>
      </c>
      <c r="AS149">
        <f>HYPERLINK("https://creighton-primo.hosted.exlibrisgroup.com/primo-explore/search?tab=default_tab&amp;search_scope=EVERYTHING&amp;vid=01CRU&amp;lang=en_US&amp;offset=0&amp;query=any,contains,991003538879702656","Catalog Record")</f>
        <v/>
      </c>
      <c r="AT149">
        <f>HYPERLINK("http://www.worldcat.org/oclc/46627632","WorldCat Record")</f>
        <v/>
      </c>
      <c r="AU149" t="inlineStr">
        <is>
          <t>905885542:eng</t>
        </is>
      </c>
      <c r="AV149" t="inlineStr">
        <is>
          <t>46627632</t>
        </is>
      </c>
      <c r="AW149" t="inlineStr">
        <is>
          <t>991003538879702656</t>
        </is>
      </c>
      <c r="AX149" t="inlineStr">
        <is>
          <t>991003538879702656</t>
        </is>
      </c>
      <c r="AY149" t="inlineStr">
        <is>
          <t>2269528960002656</t>
        </is>
      </c>
      <c r="AZ149" t="inlineStr">
        <is>
          <t>BOOK</t>
        </is>
      </c>
      <c r="BB149" t="inlineStr">
        <is>
          <t>9780312190620</t>
        </is>
      </c>
      <c r="BC149" t="inlineStr">
        <is>
          <t>32285004333182</t>
        </is>
      </c>
      <c r="BD149" t="inlineStr">
        <is>
          <t>893324168</t>
        </is>
      </c>
    </row>
    <row r="150">
      <c r="A150" t="inlineStr">
        <is>
          <t>No</t>
        </is>
      </c>
      <c r="B150" t="inlineStr">
        <is>
          <t>E169.1 .K78 1996</t>
        </is>
      </c>
      <c r="C150" t="inlineStr">
        <is>
          <t>0                      E  0169100K  78          1996</t>
        </is>
      </c>
      <c r="D150" t="inlineStr">
        <is>
          <t>Puritans in Babylon : the ancient Near East and American intellectual life, 1880-1930 / Bruce Kuklick.</t>
        </is>
      </c>
      <c r="F150" t="inlineStr">
        <is>
          <t>No</t>
        </is>
      </c>
      <c r="G150" t="inlineStr">
        <is>
          <t>1</t>
        </is>
      </c>
      <c r="H150" t="inlineStr">
        <is>
          <t>No</t>
        </is>
      </c>
      <c r="I150" t="inlineStr">
        <is>
          <t>No</t>
        </is>
      </c>
      <c r="J150" t="inlineStr">
        <is>
          <t>0</t>
        </is>
      </c>
      <c r="K150" t="inlineStr">
        <is>
          <t>Kuklick, Bruce, 1941-</t>
        </is>
      </c>
      <c r="L150" t="inlineStr">
        <is>
          <t>Princeton, N.J. : Princeton University Press, c1996.</t>
        </is>
      </c>
      <c r="M150" t="inlineStr">
        <is>
          <t>1996</t>
        </is>
      </c>
      <c r="O150" t="inlineStr">
        <is>
          <t>eng</t>
        </is>
      </c>
      <c r="P150" t="inlineStr">
        <is>
          <t>nju</t>
        </is>
      </c>
      <c r="R150" t="inlineStr">
        <is>
          <t xml:space="preserve">E  </t>
        </is>
      </c>
      <c r="S150" t="n">
        <v>3</v>
      </c>
      <c r="T150" t="n">
        <v>3</v>
      </c>
      <c r="U150" t="inlineStr">
        <is>
          <t>1996-09-26</t>
        </is>
      </c>
      <c r="V150" t="inlineStr">
        <is>
          <t>1996-09-26</t>
        </is>
      </c>
      <c r="W150" t="inlineStr">
        <is>
          <t>1996-07-29</t>
        </is>
      </c>
      <c r="X150" t="inlineStr">
        <is>
          <t>1996-07-29</t>
        </is>
      </c>
      <c r="Y150" t="n">
        <v>414</v>
      </c>
      <c r="Z150" t="n">
        <v>341</v>
      </c>
      <c r="AA150" t="n">
        <v>877</v>
      </c>
      <c r="AB150" t="n">
        <v>2</v>
      </c>
      <c r="AC150" t="n">
        <v>29</v>
      </c>
      <c r="AD150" t="n">
        <v>19</v>
      </c>
      <c r="AE150" t="n">
        <v>49</v>
      </c>
      <c r="AF150" t="n">
        <v>6</v>
      </c>
      <c r="AG150" t="n">
        <v>14</v>
      </c>
      <c r="AH150" t="n">
        <v>4</v>
      </c>
      <c r="AI150" t="n">
        <v>11</v>
      </c>
      <c r="AJ150" t="n">
        <v>12</v>
      </c>
      <c r="AK150" t="n">
        <v>19</v>
      </c>
      <c r="AL150" t="n">
        <v>1</v>
      </c>
      <c r="AM150" t="n">
        <v>14</v>
      </c>
      <c r="AN150" t="n">
        <v>0</v>
      </c>
      <c r="AO150" t="n">
        <v>0</v>
      </c>
      <c r="AP150" t="inlineStr">
        <is>
          <t>No</t>
        </is>
      </c>
      <c r="AQ150" t="inlineStr">
        <is>
          <t>No</t>
        </is>
      </c>
      <c r="AS150">
        <f>HYPERLINK("https://creighton-primo.hosted.exlibrisgroup.com/primo-explore/search?tab=default_tab&amp;search_scope=EVERYTHING&amp;vid=01CRU&amp;lang=en_US&amp;offset=0&amp;query=any,contains,991002557769702656","Catalog Record")</f>
        <v/>
      </c>
      <c r="AT150">
        <f>HYPERLINK("http://www.worldcat.org/oclc/33244704","WorldCat Record")</f>
        <v/>
      </c>
      <c r="AU150" t="inlineStr">
        <is>
          <t>793900643:eng</t>
        </is>
      </c>
      <c r="AV150" t="inlineStr">
        <is>
          <t>33244704</t>
        </is>
      </c>
      <c r="AW150" t="inlineStr">
        <is>
          <t>991002557769702656</t>
        </is>
      </c>
      <c r="AX150" t="inlineStr">
        <is>
          <t>991002557769702656</t>
        </is>
      </c>
      <c r="AY150" t="inlineStr">
        <is>
          <t>2256025810002656</t>
        </is>
      </c>
      <c r="AZ150" t="inlineStr">
        <is>
          <t>BOOK</t>
        </is>
      </c>
      <c r="BB150" t="inlineStr">
        <is>
          <t>9780691025827</t>
        </is>
      </c>
      <c r="BC150" t="inlineStr">
        <is>
          <t>32285002208352</t>
        </is>
      </c>
      <c r="BD150" t="inlineStr">
        <is>
          <t>893421521</t>
        </is>
      </c>
    </row>
    <row r="151">
      <c r="A151" t="inlineStr">
        <is>
          <t>No</t>
        </is>
      </c>
      <c r="B151" t="inlineStr">
        <is>
          <t>E169.1 .L32</t>
        </is>
      </c>
      <c r="C151" t="inlineStr">
        <is>
          <t>0                      E  0169100L  32</t>
        </is>
      </c>
      <c r="D151" t="inlineStr">
        <is>
          <t>Popular culture and American life : selected topics in the study of American popular culture / Martin W. Laforse, (parts 3, 4, &amp; 5) and James A. Drake, (parts 1 &amp; 2).</t>
        </is>
      </c>
      <c r="F151" t="inlineStr">
        <is>
          <t>No</t>
        </is>
      </c>
      <c r="G151" t="inlineStr">
        <is>
          <t>1</t>
        </is>
      </c>
      <c r="H151" t="inlineStr">
        <is>
          <t>No</t>
        </is>
      </c>
      <c r="I151" t="inlineStr">
        <is>
          <t>No</t>
        </is>
      </c>
      <c r="J151" t="inlineStr">
        <is>
          <t>0</t>
        </is>
      </c>
      <c r="K151" t="inlineStr">
        <is>
          <t>Laforse, Martin W., 1927-</t>
        </is>
      </c>
      <c r="L151" t="inlineStr">
        <is>
          <t>Chicago : Nelson-Hall, c1981.</t>
        </is>
      </c>
      <c r="M151" t="inlineStr">
        <is>
          <t>1981</t>
        </is>
      </c>
      <c r="O151" t="inlineStr">
        <is>
          <t>eng</t>
        </is>
      </c>
      <c r="P151" t="inlineStr">
        <is>
          <t>ilu</t>
        </is>
      </c>
      <c r="R151" t="inlineStr">
        <is>
          <t xml:space="preserve">E  </t>
        </is>
      </c>
      <c r="S151" t="n">
        <v>2</v>
      </c>
      <c r="T151" t="n">
        <v>2</v>
      </c>
      <c r="U151" t="inlineStr">
        <is>
          <t>1999-04-11</t>
        </is>
      </c>
      <c r="V151" t="inlineStr">
        <is>
          <t>1999-04-11</t>
        </is>
      </c>
      <c r="W151" t="inlineStr">
        <is>
          <t>1990-12-18</t>
        </is>
      </c>
      <c r="X151" t="inlineStr">
        <is>
          <t>1990-12-18</t>
        </is>
      </c>
      <c r="Y151" t="n">
        <v>474</v>
      </c>
      <c r="Z151" t="n">
        <v>430</v>
      </c>
      <c r="AA151" t="n">
        <v>447</v>
      </c>
      <c r="AB151" t="n">
        <v>4</v>
      </c>
      <c r="AC151" t="n">
        <v>4</v>
      </c>
      <c r="AD151" t="n">
        <v>16</v>
      </c>
      <c r="AE151" t="n">
        <v>18</v>
      </c>
      <c r="AF151" t="n">
        <v>5</v>
      </c>
      <c r="AG151" t="n">
        <v>6</v>
      </c>
      <c r="AH151" t="n">
        <v>2</v>
      </c>
      <c r="AI151" t="n">
        <v>3</v>
      </c>
      <c r="AJ151" t="n">
        <v>8</v>
      </c>
      <c r="AK151" t="n">
        <v>8</v>
      </c>
      <c r="AL151" t="n">
        <v>3</v>
      </c>
      <c r="AM151" t="n">
        <v>3</v>
      </c>
      <c r="AN151" t="n">
        <v>0</v>
      </c>
      <c r="AO151" t="n">
        <v>0</v>
      </c>
      <c r="AP151" t="inlineStr">
        <is>
          <t>No</t>
        </is>
      </c>
      <c r="AQ151" t="inlineStr">
        <is>
          <t>Yes</t>
        </is>
      </c>
      <c r="AR151">
        <f>HYPERLINK("http://catalog.hathitrust.org/Record/000144165","HathiTrust Record")</f>
        <v/>
      </c>
      <c r="AS151">
        <f>HYPERLINK("https://creighton-primo.hosted.exlibrisgroup.com/primo-explore/search?tab=default_tab&amp;search_scope=EVERYTHING&amp;vid=01CRU&amp;lang=en_US&amp;offset=0&amp;query=any,contains,991005079649702656","Catalog Record")</f>
        <v/>
      </c>
      <c r="AT151">
        <f>HYPERLINK("http://www.worldcat.org/oclc/7170119","WorldCat Record")</f>
        <v/>
      </c>
      <c r="AU151" t="inlineStr">
        <is>
          <t>541634:eng</t>
        </is>
      </c>
      <c r="AV151" t="inlineStr">
        <is>
          <t>7170119</t>
        </is>
      </c>
      <c r="AW151" t="inlineStr">
        <is>
          <t>991005079649702656</t>
        </is>
      </c>
      <c r="AX151" t="inlineStr">
        <is>
          <t>991005079649702656</t>
        </is>
      </c>
      <c r="AY151" t="inlineStr">
        <is>
          <t>2256606390002656</t>
        </is>
      </c>
      <c r="AZ151" t="inlineStr">
        <is>
          <t>BOOK</t>
        </is>
      </c>
      <c r="BB151" t="inlineStr">
        <is>
          <t>9780882295770</t>
        </is>
      </c>
      <c r="BC151" t="inlineStr">
        <is>
          <t>32285000423425</t>
        </is>
      </c>
      <c r="BD151" t="inlineStr">
        <is>
          <t>893600581</t>
        </is>
      </c>
    </row>
    <row r="152">
      <c r="A152" t="inlineStr">
        <is>
          <t>No</t>
        </is>
      </c>
      <c r="B152" t="inlineStr">
        <is>
          <t>E169.1 .L88 1991</t>
        </is>
      </c>
      <c r="C152" t="inlineStr">
        <is>
          <t>0                      E  0169100L  88          1991</t>
        </is>
      </c>
      <c r="D152" t="inlineStr">
        <is>
          <t>American nervousness, 1903 : an anecdotal history / Tom Lutz.</t>
        </is>
      </c>
      <c r="F152" t="inlineStr">
        <is>
          <t>No</t>
        </is>
      </c>
      <c r="G152" t="inlineStr">
        <is>
          <t>1</t>
        </is>
      </c>
      <c r="H152" t="inlineStr">
        <is>
          <t>No</t>
        </is>
      </c>
      <c r="I152" t="inlineStr">
        <is>
          <t>No</t>
        </is>
      </c>
      <c r="J152" t="inlineStr">
        <is>
          <t>0</t>
        </is>
      </c>
      <c r="K152" t="inlineStr">
        <is>
          <t>Lutz, Tom.</t>
        </is>
      </c>
      <c r="L152" t="inlineStr">
        <is>
          <t>Ithaca : Cornell University Press, 1991.</t>
        </is>
      </c>
      <c r="M152" t="inlineStr">
        <is>
          <t>1991</t>
        </is>
      </c>
      <c r="O152" t="inlineStr">
        <is>
          <t>eng</t>
        </is>
      </c>
      <c r="P152" t="inlineStr">
        <is>
          <t>nyu</t>
        </is>
      </c>
      <c r="R152" t="inlineStr">
        <is>
          <t xml:space="preserve">E  </t>
        </is>
      </c>
      <c r="S152" t="n">
        <v>11</v>
      </c>
      <c r="T152" t="n">
        <v>11</v>
      </c>
      <c r="U152" t="inlineStr">
        <is>
          <t>2002-02-12</t>
        </is>
      </c>
      <c r="V152" t="inlineStr">
        <is>
          <t>2002-02-12</t>
        </is>
      </c>
      <c r="W152" t="inlineStr">
        <is>
          <t>1991-12-19</t>
        </is>
      </c>
      <c r="X152" t="inlineStr">
        <is>
          <t>1991-12-19</t>
        </is>
      </c>
      <c r="Y152" t="n">
        <v>539</v>
      </c>
      <c r="Z152" t="n">
        <v>479</v>
      </c>
      <c r="AA152" t="n">
        <v>487</v>
      </c>
      <c r="AB152" t="n">
        <v>4</v>
      </c>
      <c r="AC152" t="n">
        <v>4</v>
      </c>
      <c r="AD152" t="n">
        <v>26</v>
      </c>
      <c r="AE152" t="n">
        <v>26</v>
      </c>
      <c r="AF152" t="n">
        <v>10</v>
      </c>
      <c r="AG152" t="n">
        <v>10</v>
      </c>
      <c r="AH152" t="n">
        <v>6</v>
      </c>
      <c r="AI152" t="n">
        <v>6</v>
      </c>
      <c r="AJ152" t="n">
        <v>15</v>
      </c>
      <c r="AK152" t="n">
        <v>15</v>
      </c>
      <c r="AL152" t="n">
        <v>3</v>
      </c>
      <c r="AM152" t="n">
        <v>3</v>
      </c>
      <c r="AN152" t="n">
        <v>0</v>
      </c>
      <c r="AO152" t="n">
        <v>0</v>
      </c>
      <c r="AP152" t="inlineStr">
        <is>
          <t>No</t>
        </is>
      </c>
      <c r="AQ152" t="inlineStr">
        <is>
          <t>Yes</t>
        </is>
      </c>
      <c r="AR152">
        <f>HYPERLINK("http://catalog.hathitrust.org/Record/002456928","HathiTrust Record")</f>
        <v/>
      </c>
      <c r="AS152">
        <f>HYPERLINK("https://creighton-primo.hosted.exlibrisgroup.com/primo-explore/search?tab=default_tab&amp;search_scope=EVERYTHING&amp;vid=01CRU&amp;lang=en_US&amp;offset=0&amp;query=any,contains,991001813579702656","Catalog Record")</f>
        <v/>
      </c>
      <c r="AT152">
        <f>HYPERLINK("http://www.worldcat.org/oclc/22767126","WorldCat Record")</f>
        <v/>
      </c>
      <c r="AU152" t="inlineStr">
        <is>
          <t>364461831:eng</t>
        </is>
      </c>
      <c r="AV152" t="inlineStr">
        <is>
          <t>22767126</t>
        </is>
      </c>
      <c r="AW152" t="inlineStr">
        <is>
          <t>991001813579702656</t>
        </is>
      </c>
      <c r="AX152" t="inlineStr">
        <is>
          <t>991001813579702656</t>
        </is>
      </c>
      <c r="AY152" t="inlineStr">
        <is>
          <t>2261570980002656</t>
        </is>
      </c>
      <c r="AZ152" t="inlineStr">
        <is>
          <t>BOOK</t>
        </is>
      </c>
      <c r="BB152" t="inlineStr">
        <is>
          <t>9780801499012</t>
        </is>
      </c>
      <c r="BC152" t="inlineStr">
        <is>
          <t>32285000861384</t>
        </is>
      </c>
      <c r="BD152" t="inlineStr">
        <is>
          <t>893497405</t>
        </is>
      </c>
    </row>
    <row r="153">
      <c r="A153" t="inlineStr">
        <is>
          <t>No</t>
        </is>
      </c>
      <c r="B153" t="inlineStr">
        <is>
          <t>E169.1 .M136 1983</t>
        </is>
      </c>
      <c r="C153" t="inlineStr">
        <is>
          <t>0                      E  0169100M  136         1983</t>
        </is>
      </c>
      <c r="D153" t="inlineStr">
        <is>
          <t>Against the American grain / Dwight Macdonald ; new introduction by John Simon.</t>
        </is>
      </c>
      <c r="F153" t="inlineStr">
        <is>
          <t>No</t>
        </is>
      </c>
      <c r="G153" t="inlineStr">
        <is>
          <t>1</t>
        </is>
      </c>
      <c r="H153" t="inlineStr">
        <is>
          <t>No</t>
        </is>
      </c>
      <c r="I153" t="inlineStr">
        <is>
          <t>No</t>
        </is>
      </c>
      <c r="J153" t="inlineStr">
        <is>
          <t>0</t>
        </is>
      </c>
      <c r="K153" t="inlineStr">
        <is>
          <t>Macdonald, Dwight.</t>
        </is>
      </c>
      <c r="L153" t="inlineStr">
        <is>
          <t>New York, N.Y. : Da Capo Press, [1983] c1962.</t>
        </is>
      </c>
      <c r="M153" t="inlineStr">
        <is>
          <t>1983</t>
        </is>
      </c>
      <c r="O153" t="inlineStr">
        <is>
          <t>eng</t>
        </is>
      </c>
      <c r="P153" t="inlineStr">
        <is>
          <t>nyu</t>
        </is>
      </c>
      <c r="Q153" t="inlineStr">
        <is>
          <t>A Da Capo paperback</t>
        </is>
      </c>
      <c r="R153" t="inlineStr">
        <is>
          <t xml:space="preserve">E  </t>
        </is>
      </c>
      <c r="S153" t="n">
        <v>2</v>
      </c>
      <c r="T153" t="n">
        <v>2</v>
      </c>
      <c r="U153" t="inlineStr">
        <is>
          <t>1996-10-03</t>
        </is>
      </c>
      <c r="V153" t="inlineStr">
        <is>
          <t>1996-10-03</t>
        </is>
      </c>
      <c r="W153" t="inlineStr">
        <is>
          <t>1990-05-02</t>
        </is>
      </c>
      <c r="X153" t="inlineStr">
        <is>
          <t>1990-05-02</t>
        </is>
      </c>
      <c r="Y153" t="n">
        <v>63</v>
      </c>
      <c r="Z153" t="n">
        <v>52</v>
      </c>
      <c r="AA153" t="n">
        <v>1112</v>
      </c>
      <c r="AB153" t="n">
        <v>1</v>
      </c>
      <c r="AC153" t="n">
        <v>7</v>
      </c>
      <c r="AD153" t="n">
        <v>0</v>
      </c>
      <c r="AE153" t="n">
        <v>42</v>
      </c>
      <c r="AF153" t="n">
        <v>0</v>
      </c>
      <c r="AG153" t="n">
        <v>16</v>
      </c>
      <c r="AH153" t="n">
        <v>0</v>
      </c>
      <c r="AI153" t="n">
        <v>10</v>
      </c>
      <c r="AJ153" t="n">
        <v>0</v>
      </c>
      <c r="AK153" t="n">
        <v>20</v>
      </c>
      <c r="AL153" t="n">
        <v>0</v>
      </c>
      <c r="AM153" t="n">
        <v>6</v>
      </c>
      <c r="AN153" t="n">
        <v>0</v>
      </c>
      <c r="AO153" t="n">
        <v>1</v>
      </c>
      <c r="AP153" t="inlineStr">
        <is>
          <t>No</t>
        </is>
      </c>
      <c r="AQ153" t="inlineStr">
        <is>
          <t>No</t>
        </is>
      </c>
      <c r="AS153">
        <f>HYPERLINK("https://creighton-primo.hosted.exlibrisgroup.com/primo-explore/search?tab=default_tab&amp;search_scope=EVERYTHING&amp;vid=01CRU&amp;lang=en_US&amp;offset=0&amp;query=any,contains,991000230809702656","Catalog Record")</f>
        <v/>
      </c>
      <c r="AT153">
        <f>HYPERLINK("http://www.worldcat.org/oclc/9643153","WorldCat Record")</f>
        <v/>
      </c>
      <c r="AU153" t="inlineStr">
        <is>
          <t>1538148:eng</t>
        </is>
      </c>
      <c r="AV153" t="inlineStr">
        <is>
          <t>9643153</t>
        </is>
      </c>
      <c r="AW153" t="inlineStr">
        <is>
          <t>991000230809702656</t>
        </is>
      </c>
      <c r="AX153" t="inlineStr">
        <is>
          <t>991000230809702656</t>
        </is>
      </c>
      <c r="AY153" t="inlineStr">
        <is>
          <t>2270389400002656</t>
        </is>
      </c>
      <c r="AZ153" t="inlineStr">
        <is>
          <t>BOOK</t>
        </is>
      </c>
      <c r="BB153" t="inlineStr">
        <is>
          <t>9780306802058</t>
        </is>
      </c>
      <c r="BC153" t="inlineStr">
        <is>
          <t>32285000146521</t>
        </is>
      </c>
      <c r="BD153" t="inlineStr">
        <is>
          <t>893771491</t>
        </is>
      </c>
    </row>
    <row r="154">
      <c r="A154" t="inlineStr">
        <is>
          <t>No</t>
        </is>
      </c>
      <c r="B154" t="inlineStr">
        <is>
          <t>E169.1 .M156 1999</t>
        </is>
      </c>
      <c r="C154" t="inlineStr">
        <is>
          <t>0                      E  0169100M  156         1999</t>
        </is>
      </c>
      <c r="D154" t="inlineStr">
        <is>
          <t>American beliefs : what keeps a big country and a diverse people united / John Harmon McElroy.</t>
        </is>
      </c>
      <c r="F154" t="inlineStr">
        <is>
          <t>No</t>
        </is>
      </c>
      <c r="G154" t="inlineStr">
        <is>
          <t>1</t>
        </is>
      </c>
      <c r="H154" t="inlineStr">
        <is>
          <t>No</t>
        </is>
      </c>
      <c r="I154" t="inlineStr">
        <is>
          <t>No</t>
        </is>
      </c>
      <c r="J154" t="inlineStr">
        <is>
          <t>0</t>
        </is>
      </c>
      <c r="K154" t="inlineStr">
        <is>
          <t>McElroy, John Harmon.</t>
        </is>
      </c>
      <c r="L154" t="inlineStr">
        <is>
          <t>Chicago : I.R. Dee, 1999.</t>
        </is>
      </c>
      <c r="M154" t="inlineStr">
        <is>
          <t>1999</t>
        </is>
      </c>
      <c r="O154" t="inlineStr">
        <is>
          <t>eng</t>
        </is>
      </c>
      <c r="P154" t="inlineStr">
        <is>
          <t>ilu</t>
        </is>
      </c>
      <c r="R154" t="inlineStr">
        <is>
          <t xml:space="preserve">E  </t>
        </is>
      </c>
      <c r="S154" t="n">
        <v>7</v>
      </c>
      <c r="T154" t="n">
        <v>7</v>
      </c>
      <c r="U154" t="inlineStr">
        <is>
          <t>2005-05-10</t>
        </is>
      </c>
      <c r="V154" t="inlineStr">
        <is>
          <t>2005-05-10</t>
        </is>
      </c>
      <c r="W154" t="inlineStr">
        <is>
          <t>1999-05-04</t>
        </is>
      </c>
      <c r="X154" t="inlineStr">
        <is>
          <t>1999-05-04</t>
        </is>
      </c>
      <c r="Y154" t="n">
        <v>644</v>
      </c>
      <c r="Z154" t="n">
        <v>605</v>
      </c>
      <c r="AA154" t="n">
        <v>695</v>
      </c>
      <c r="AB154" t="n">
        <v>4</v>
      </c>
      <c r="AC154" t="n">
        <v>5</v>
      </c>
      <c r="AD154" t="n">
        <v>19</v>
      </c>
      <c r="AE154" t="n">
        <v>25</v>
      </c>
      <c r="AF154" t="n">
        <v>6</v>
      </c>
      <c r="AG154" t="n">
        <v>9</v>
      </c>
      <c r="AH154" t="n">
        <v>6</v>
      </c>
      <c r="AI154" t="n">
        <v>7</v>
      </c>
      <c r="AJ154" t="n">
        <v>10</v>
      </c>
      <c r="AK154" t="n">
        <v>12</v>
      </c>
      <c r="AL154" t="n">
        <v>2</v>
      </c>
      <c r="AM154" t="n">
        <v>3</v>
      </c>
      <c r="AN154" t="n">
        <v>0</v>
      </c>
      <c r="AO154" t="n">
        <v>0</v>
      </c>
      <c r="AP154" t="inlineStr">
        <is>
          <t>No</t>
        </is>
      </c>
      <c r="AQ154" t="inlineStr">
        <is>
          <t>Yes</t>
        </is>
      </c>
      <c r="AR154">
        <f>HYPERLINK("http://catalog.hathitrust.org/Record/004035771","HathiTrust Record")</f>
        <v/>
      </c>
      <c r="AS154">
        <f>HYPERLINK("https://creighton-primo.hosted.exlibrisgroup.com/primo-explore/search?tab=default_tab&amp;search_scope=EVERYTHING&amp;vid=01CRU&amp;lang=en_US&amp;offset=0&amp;query=any,contains,991002977929702656","Catalog Record")</f>
        <v/>
      </c>
      <c r="AT154">
        <f>HYPERLINK("http://www.worldcat.org/oclc/39962098","WorldCat Record")</f>
        <v/>
      </c>
      <c r="AU154" t="inlineStr">
        <is>
          <t>33013641:eng</t>
        </is>
      </c>
      <c r="AV154" t="inlineStr">
        <is>
          <t>39962098</t>
        </is>
      </c>
      <c r="AW154" t="inlineStr">
        <is>
          <t>991002977929702656</t>
        </is>
      </c>
      <c r="AX154" t="inlineStr">
        <is>
          <t>991002977929702656</t>
        </is>
      </c>
      <c r="AY154" t="inlineStr">
        <is>
          <t>2258751620002656</t>
        </is>
      </c>
      <c r="AZ154" t="inlineStr">
        <is>
          <t>BOOK</t>
        </is>
      </c>
      <c r="BB154" t="inlineStr">
        <is>
          <t>9781566632317</t>
        </is>
      </c>
      <c r="BC154" t="inlineStr">
        <is>
          <t>32285003558326</t>
        </is>
      </c>
      <c r="BD154" t="inlineStr">
        <is>
          <t>893899484</t>
        </is>
      </c>
    </row>
    <row r="155">
      <c r="A155" t="inlineStr">
        <is>
          <t>No</t>
        </is>
      </c>
      <c r="B155" t="inlineStr">
        <is>
          <t>E169.1 .M16</t>
        </is>
      </c>
      <c r="C155" t="inlineStr">
        <is>
          <t>0                      E  0169100M  16</t>
        </is>
      </c>
      <c r="D155" t="inlineStr">
        <is>
          <t>The character of Americans : a book of readings.</t>
        </is>
      </c>
      <c r="F155" t="inlineStr">
        <is>
          <t>No</t>
        </is>
      </c>
      <c r="G155" t="inlineStr">
        <is>
          <t>1</t>
        </is>
      </c>
      <c r="H155" t="inlineStr">
        <is>
          <t>No</t>
        </is>
      </c>
      <c r="I155" t="inlineStr">
        <is>
          <t>No</t>
        </is>
      </c>
      <c r="J155" t="inlineStr">
        <is>
          <t>0</t>
        </is>
      </c>
      <c r="K155" t="inlineStr">
        <is>
          <t>McGiffert, Michael editor.</t>
        </is>
      </c>
      <c r="L155" t="inlineStr">
        <is>
          <t>Homewood, Ill. : Dorsey Press, 1964.</t>
        </is>
      </c>
      <c r="M155" t="inlineStr">
        <is>
          <t>1964</t>
        </is>
      </c>
      <c r="O155" t="inlineStr">
        <is>
          <t>eng</t>
        </is>
      </c>
      <c r="P155" t="inlineStr">
        <is>
          <t>ilu</t>
        </is>
      </c>
      <c r="R155" t="inlineStr">
        <is>
          <t xml:space="preserve">E  </t>
        </is>
      </c>
      <c r="S155" t="n">
        <v>13</v>
      </c>
      <c r="T155" t="n">
        <v>13</v>
      </c>
      <c r="U155" t="inlineStr">
        <is>
          <t>2004-04-03</t>
        </is>
      </c>
      <c r="V155" t="inlineStr">
        <is>
          <t>2004-04-03</t>
        </is>
      </c>
      <c r="W155" t="inlineStr">
        <is>
          <t>1991-11-19</t>
        </is>
      </c>
      <c r="X155" t="inlineStr">
        <is>
          <t>1991-11-19</t>
        </is>
      </c>
      <c r="Y155" t="n">
        <v>533</v>
      </c>
      <c r="Z155" t="n">
        <v>487</v>
      </c>
      <c r="AA155" t="n">
        <v>710</v>
      </c>
      <c r="AB155" t="n">
        <v>5</v>
      </c>
      <c r="AC155" t="n">
        <v>6</v>
      </c>
      <c r="AD155" t="n">
        <v>23</v>
      </c>
      <c r="AE155" t="n">
        <v>35</v>
      </c>
      <c r="AF155" t="n">
        <v>9</v>
      </c>
      <c r="AG155" t="n">
        <v>14</v>
      </c>
      <c r="AH155" t="n">
        <v>3</v>
      </c>
      <c r="AI155" t="n">
        <v>6</v>
      </c>
      <c r="AJ155" t="n">
        <v>14</v>
      </c>
      <c r="AK155" t="n">
        <v>19</v>
      </c>
      <c r="AL155" t="n">
        <v>3</v>
      </c>
      <c r="AM155" t="n">
        <v>4</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HYPERLINK("https://creighton-primo.hosted.exlibrisgroup.com/primo-explore/search?tab=default_tab&amp;search_scope=EVERYTHING&amp;vid=01CRU&amp;lang=en_US&amp;offset=0&amp;query=any,contains,991002852529702656","Catalog Record")</f>
        <v/>
      </c>
      <c r="AT155">
        <f>HYPERLINK("http://www.worldcat.org/oclc/487863","WorldCat Record")</f>
        <v/>
      </c>
      <c r="AU155" t="inlineStr">
        <is>
          <t>1302595:eng</t>
        </is>
      </c>
      <c r="AV155" t="inlineStr">
        <is>
          <t>487863</t>
        </is>
      </c>
      <c r="AW155" t="inlineStr">
        <is>
          <t>991002852529702656</t>
        </is>
      </c>
      <c r="AX155" t="inlineStr">
        <is>
          <t>991002852529702656</t>
        </is>
      </c>
      <c r="AY155" t="inlineStr">
        <is>
          <t>2254717120002656</t>
        </is>
      </c>
      <c r="AZ155" t="inlineStr">
        <is>
          <t>BOOK</t>
        </is>
      </c>
      <c r="BC155" t="inlineStr">
        <is>
          <t>32285000795624</t>
        </is>
      </c>
      <c r="BD155" t="inlineStr">
        <is>
          <t>893428134</t>
        </is>
      </c>
    </row>
    <row r="156">
      <c r="A156" t="inlineStr">
        <is>
          <t>No</t>
        </is>
      </c>
      <c r="B156" t="inlineStr">
        <is>
          <t>E169.1 .M18</t>
        </is>
      </c>
      <c r="C156" t="inlineStr">
        <is>
          <t>0                      E  0169100M  18</t>
        </is>
      </c>
      <c r="D156" t="inlineStr">
        <is>
          <t>The idea of fraternity in America [by] Wilson Carey McWilliams.</t>
        </is>
      </c>
      <c r="F156" t="inlineStr">
        <is>
          <t>No</t>
        </is>
      </c>
      <c r="G156" t="inlineStr">
        <is>
          <t>1</t>
        </is>
      </c>
      <c r="H156" t="inlineStr">
        <is>
          <t>No</t>
        </is>
      </c>
      <c r="I156" t="inlineStr">
        <is>
          <t>No</t>
        </is>
      </c>
      <c r="J156" t="inlineStr">
        <is>
          <t>0</t>
        </is>
      </c>
      <c r="K156" t="inlineStr">
        <is>
          <t>McWilliams, Wilson C.</t>
        </is>
      </c>
      <c r="L156" t="inlineStr">
        <is>
          <t>Berkeley, University of California Press, 1973.</t>
        </is>
      </c>
      <c r="M156" t="inlineStr">
        <is>
          <t>1973</t>
        </is>
      </c>
      <c r="O156" t="inlineStr">
        <is>
          <t>eng</t>
        </is>
      </c>
      <c r="P156" t="inlineStr">
        <is>
          <t>cau</t>
        </is>
      </c>
      <c r="R156" t="inlineStr">
        <is>
          <t xml:space="preserve">E  </t>
        </is>
      </c>
      <c r="S156" t="n">
        <v>2</v>
      </c>
      <c r="T156" t="n">
        <v>2</v>
      </c>
      <c r="U156" t="inlineStr">
        <is>
          <t>1998-02-15</t>
        </is>
      </c>
      <c r="V156" t="inlineStr">
        <is>
          <t>1998-02-15</t>
        </is>
      </c>
      <c r="W156" t="inlineStr">
        <is>
          <t>1997-04-03</t>
        </is>
      </c>
      <c r="X156" t="inlineStr">
        <is>
          <t>1997-04-03</t>
        </is>
      </c>
      <c r="Y156" t="n">
        <v>1044</v>
      </c>
      <c r="Z156" t="n">
        <v>931</v>
      </c>
      <c r="AA156" t="n">
        <v>964</v>
      </c>
      <c r="AB156" t="n">
        <v>7</v>
      </c>
      <c r="AC156" t="n">
        <v>7</v>
      </c>
      <c r="AD156" t="n">
        <v>37</v>
      </c>
      <c r="AE156" t="n">
        <v>41</v>
      </c>
      <c r="AF156" t="n">
        <v>13</v>
      </c>
      <c r="AG156" t="n">
        <v>16</v>
      </c>
      <c r="AH156" t="n">
        <v>9</v>
      </c>
      <c r="AI156" t="n">
        <v>10</v>
      </c>
      <c r="AJ156" t="n">
        <v>19</v>
      </c>
      <c r="AK156" t="n">
        <v>20</v>
      </c>
      <c r="AL156" t="n">
        <v>5</v>
      </c>
      <c r="AM156" t="n">
        <v>5</v>
      </c>
      <c r="AN156" t="n">
        <v>1</v>
      </c>
      <c r="AO156" t="n">
        <v>1</v>
      </c>
      <c r="AP156" t="inlineStr">
        <is>
          <t>No</t>
        </is>
      </c>
      <c r="AQ156" t="inlineStr">
        <is>
          <t>No</t>
        </is>
      </c>
      <c r="AS156">
        <f>HYPERLINK("https://creighton-primo.hosted.exlibrisgroup.com/primo-explore/search?tab=default_tab&amp;search_scope=EVERYTHING&amp;vid=01CRU&amp;lang=en_US&amp;offset=0&amp;query=any,contains,991003156979702656","Catalog Record")</f>
        <v/>
      </c>
      <c r="AT156">
        <f>HYPERLINK("http://www.worldcat.org/oclc/695925","WorldCat Record")</f>
        <v/>
      </c>
      <c r="AU156" t="inlineStr">
        <is>
          <t>500476:eng</t>
        </is>
      </c>
      <c r="AV156" t="inlineStr">
        <is>
          <t>695925</t>
        </is>
      </c>
      <c r="AW156" t="inlineStr">
        <is>
          <t>991003156979702656</t>
        </is>
      </c>
      <c r="AX156" t="inlineStr">
        <is>
          <t>991003156979702656</t>
        </is>
      </c>
      <c r="AY156" t="inlineStr">
        <is>
          <t>2267902280002656</t>
        </is>
      </c>
      <c r="AZ156" t="inlineStr">
        <is>
          <t>BOOK</t>
        </is>
      </c>
      <c r="BB156" t="inlineStr">
        <is>
          <t>9780520016507</t>
        </is>
      </c>
      <c r="BC156" t="inlineStr">
        <is>
          <t>32285002501236</t>
        </is>
      </c>
      <c r="BD156" t="inlineStr">
        <is>
          <t>893422241</t>
        </is>
      </c>
    </row>
    <row r="157">
      <c r="A157" t="inlineStr">
        <is>
          <t>No</t>
        </is>
      </c>
      <c r="B157" t="inlineStr">
        <is>
          <t>E169.1 .M416 1982</t>
        </is>
      </c>
      <c r="C157" t="inlineStr">
        <is>
          <t>0                      E  0169100M  416         1982</t>
        </is>
      </c>
      <c r="D157" t="inlineStr">
        <is>
          <t>Material culture studies in America / compiled and edited, with introductions and bibliography, by Thomas J. Schlereth.</t>
        </is>
      </c>
      <c r="F157" t="inlineStr">
        <is>
          <t>No</t>
        </is>
      </c>
      <c r="G157" t="inlineStr">
        <is>
          <t>1</t>
        </is>
      </c>
      <c r="H157" t="inlineStr">
        <is>
          <t>No</t>
        </is>
      </c>
      <c r="I157" t="inlineStr">
        <is>
          <t>No</t>
        </is>
      </c>
      <c r="J157" t="inlineStr">
        <is>
          <t>0</t>
        </is>
      </c>
      <c r="L157" t="inlineStr">
        <is>
          <t>Nashville, Tenn. : American Association for State and Local History, c1982.</t>
        </is>
      </c>
      <c r="M157" t="inlineStr">
        <is>
          <t>1982</t>
        </is>
      </c>
      <c r="O157" t="inlineStr">
        <is>
          <t>eng</t>
        </is>
      </c>
      <c r="P157" t="inlineStr">
        <is>
          <t>tnu</t>
        </is>
      </c>
      <c r="R157" t="inlineStr">
        <is>
          <t xml:space="preserve">E  </t>
        </is>
      </c>
      <c r="S157" t="n">
        <v>3</v>
      </c>
      <c r="T157" t="n">
        <v>3</v>
      </c>
      <c r="U157" t="inlineStr">
        <is>
          <t>1996-02-29</t>
        </is>
      </c>
      <c r="V157" t="inlineStr">
        <is>
          <t>1996-02-29</t>
        </is>
      </c>
      <c r="W157" t="inlineStr">
        <is>
          <t>1990-12-18</t>
        </is>
      </c>
      <c r="X157" t="inlineStr">
        <is>
          <t>1990-12-18</t>
        </is>
      </c>
      <c r="Y157" t="n">
        <v>913</v>
      </c>
      <c r="Z157" t="n">
        <v>782</v>
      </c>
      <c r="AA157" t="n">
        <v>819</v>
      </c>
      <c r="AB157" t="n">
        <v>3</v>
      </c>
      <c r="AC157" t="n">
        <v>4</v>
      </c>
      <c r="AD157" t="n">
        <v>27</v>
      </c>
      <c r="AE157" t="n">
        <v>29</v>
      </c>
      <c r="AF157" t="n">
        <v>13</v>
      </c>
      <c r="AG157" t="n">
        <v>13</v>
      </c>
      <c r="AH157" t="n">
        <v>6</v>
      </c>
      <c r="AI157" t="n">
        <v>7</v>
      </c>
      <c r="AJ157" t="n">
        <v>14</v>
      </c>
      <c r="AK157" t="n">
        <v>14</v>
      </c>
      <c r="AL157" t="n">
        <v>1</v>
      </c>
      <c r="AM157" t="n">
        <v>2</v>
      </c>
      <c r="AN157" t="n">
        <v>0</v>
      </c>
      <c r="AO157" t="n">
        <v>0</v>
      </c>
      <c r="AP157" t="inlineStr">
        <is>
          <t>No</t>
        </is>
      </c>
      <c r="AQ157" t="inlineStr">
        <is>
          <t>Yes</t>
        </is>
      </c>
      <c r="AR157">
        <f>HYPERLINK("http://catalog.hathitrust.org/Record/000233908","HathiTrust Record")</f>
        <v/>
      </c>
      <c r="AS157">
        <f>HYPERLINK("https://creighton-primo.hosted.exlibrisgroup.com/primo-explore/search?tab=default_tab&amp;search_scope=EVERYTHING&amp;vid=01CRU&amp;lang=en_US&amp;offset=0&amp;query=any,contains,991005252349702656","Catalog Record")</f>
        <v/>
      </c>
      <c r="AT157">
        <f>HYPERLINK("http://www.worldcat.org/oclc/8495086","WorldCat Record")</f>
        <v/>
      </c>
      <c r="AU157" t="inlineStr">
        <is>
          <t>54504582:eng</t>
        </is>
      </c>
      <c r="AV157" t="inlineStr">
        <is>
          <t>8495086</t>
        </is>
      </c>
      <c r="AW157" t="inlineStr">
        <is>
          <t>991005252349702656</t>
        </is>
      </c>
      <c r="AX157" t="inlineStr">
        <is>
          <t>991005252349702656</t>
        </is>
      </c>
      <c r="AY157" t="inlineStr">
        <is>
          <t>2260649780002656</t>
        </is>
      </c>
      <c r="AZ157" t="inlineStr">
        <is>
          <t>BOOK</t>
        </is>
      </c>
      <c r="BB157" t="inlineStr">
        <is>
          <t>9780910050616</t>
        </is>
      </c>
      <c r="BC157" t="inlineStr">
        <is>
          <t>32285000423482</t>
        </is>
      </c>
      <c r="BD157" t="inlineStr">
        <is>
          <t>893431128</t>
        </is>
      </c>
    </row>
    <row r="158">
      <c r="A158" t="inlineStr">
        <is>
          <t>No</t>
        </is>
      </c>
      <c r="B158" t="inlineStr">
        <is>
          <t>E169.1 .M429 2002</t>
        </is>
      </c>
      <c r="C158" t="inlineStr">
        <is>
          <t>0                      E  0169100M  429         2002</t>
        </is>
      </c>
      <c r="D158" t="inlineStr">
        <is>
          <t>American : beyond our grandest notions / Chris Matthews.</t>
        </is>
      </c>
      <c r="F158" t="inlineStr">
        <is>
          <t>No</t>
        </is>
      </c>
      <c r="G158" t="inlineStr">
        <is>
          <t>1</t>
        </is>
      </c>
      <c r="H158" t="inlineStr">
        <is>
          <t>No</t>
        </is>
      </c>
      <c r="I158" t="inlineStr">
        <is>
          <t>No</t>
        </is>
      </c>
      <c r="J158" t="inlineStr">
        <is>
          <t>0</t>
        </is>
      </c>
      <c r="K158" t="inlineStr">
        <is>
          <t>Matthews, Christopher, 1945-</t>
        </is>
      </c>
      <c r="L158" t="inlineStr">
        <is>
          <t>New York : Free Press, c2002.</t>
        </is>
      </c>
      <c r="M158" t="inlineStr">
        <is>
          <t>2002</t>
        </is>
      </c>
      <c r="O158" t="inlineStr">
        <is>
          <t>eng</t>
        </is>
      </c>
      <c r="P158" t="inlineStr">
        <is>
          <t>nyu</t>
        </is>
      </c>
      <c r="R158" t="inlineStr">
        <is>
          <t xml:space="preserve">E  </t>
        </is>
      </c>
      <c r="S158" t="n">
        <v>2</v>
      </c>
      <c r="T158" t="n">
        <v>2</v>
      </c>
      <c r="U158" t="inlineStr">
        <is>
          <t>2002-12-02</t>
        </is>
      </c>
      <c r="V158" t="inlineStr">
        <is>
          <t>2002-12-02</t>
        </is>
      </c>
      <c r="W158" t="inlineStr">
        <is>
          <t>2002-12-02</t>
        </is>
      </c>
      <c r="X158" t="inlineStr">
        <is>
          <t>2002-12-02</t>
        </is>
      </c>
      <c r="Y158" t="n">
        <v>722</v>
      </c>
      <c r="Z158" t="n">
        <v>711</v>
      </c>
      <c r="AA158" t="n">
        <v>789</v>
      </c>
      <c r="AB158" t="n">
        <v>7</v>
      </c>
      <c r="AC158" t="n">
        <v>7</v>
      </c>
      <c r="AD158" t="n">
        <v>10</v>
      </c>
      <c r="AE158" t="n">
        <v>10</v>
      </c>
      <c r="AF158" t="n">
        <v>5</v>
      </c>
      <c r="AG158" t="n">
        <v>5</v>
      </c>
      <c r="AH158" t="n">
        <v>0</v>
      </c>
      <c r="AI158" t="n">
        <v>0</v>
      </c>
      <c r="AJ158" t="n">
        <v>6</v>
      </c>
      <c r="AK158" t="n">
        <v>6</v>
      </c>
      <c r="AL158" t="n">
        <v>1</v>
      </c>
      <c r="AM158" t="n">
        <v>1</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HYPERLINK("https://creighton-primo.hosted.exlibrisgroup.com/primo-explore/search?tab=default_tab&amp;search_scope=EVERYTHING&amp;vid=01CRU&amp;lang=en_US&amp;offset=0&amp;query=any,contains,991003936709702656","Catalog Record")</f>
        <v/>
      </c>
      <c r="AT158">
        <f>HYPERLINK("http://www.worldcat.org/oclc/50622543","WorldCat Record")</f>
        <v/>
      </c>
      <c r="AU158" t="inlineStr">
        <is>
          <t>741357:eng</t>
        </is>
      </c>
      <c r="AV158" t="inlineStr">
        <is>
          <t>50622543</t>
        </is>
      </c>
      <c r="AW158" t="inlineStr">
        <is>
          <t>991003936709702656</t>
        </is>
      </c>
      <c r="AX158" t="inlineStr">
        <is>
          <t>991003936709702656</t>
        </is>
      </c>
      <c r="AY158" t="inlineStr">
        <is>
          <t>2271437080002656</t>
        </is>
      </c>
      <c r="AZ158" t="inlineStr">
        <is>
          <t>BOOK</t>
        </is>
      </c>
      <c r="BB158" t="inlineStr">
        <is>
          <t>9780743240864</t>
        </is>
      </c>
      <c r="BC158" t="inlineStr">
        <is>
          <t>32285004666219</t>
        </is>
      </c>
      <c r="BD158" t="inlineStr">
        <is>
          <t>893781659</t>
        </is>
      </c>
    </row>
    <row r="159">
      <c r="A159" t="inlineStr">
        <is>
          <t>No</t>
        </is>
      </c>
      <c r="B159" t="inlineStr">
        <is>
          <t>E169.1 .M5</t>
        </is>
      </c>
      <c r="C159" t="inlineStr">
        <is>
          <t>0                      E  0169100M  5</t>
        </is>
      </c>
      <c r="D159" t="inlineStr">
        <is>
          <t>And keep your powder dry : an anthropologist looks at America / by Margaret Mead.</t>
        </is>
      </c>
      <c r="F159" t="inlineStr">
        <is>
          <t>No</t>
        </is>
      </c>
      <c r="G159" t="inlineStr">
        <is>
          <t>1</t>
        </is>
      </c>
      <c r="H159" t="inlineStr">
        <is>
          <t>No</t>
        </is>
      </c>
      <c r="I159" t="inlineStr">
        <is>
          <t>No</t>
        </is>
      </c>
      <c r="J159" t="inlineStr">
        <is>
          <t>0</t>
        </is>
      </c>
      <c r="K159" t="inlineStr">
        <is>
          <t>Mead, Margaret, 1901-1978.</t>
        </is>
      </c>
      <c r="L159" t="inlineStr">
        <is>
          <t>New York: W. Morrow, c1942, t.p. 1943.</t>
        </is>
      </c>
      <c r="M159" t="inlineStr">
        <is>
          <t>1943</t>
        </is>
      </c>
      <c r="N159" t="inlineStr">
        <is>
          <t>Victory ed.</t>
        </is>
      </c>
      <c r="O159" t="inlineStr">
        <is>
          <t>eng</t>
        </is>
      </c>
      <c r="P159" t="inlineStr">
        <is>
          <t>nyu</t>
        </is>
      </c>
      <c r="R159" t="inlineStr">
        <is>
          <t xml:space="preserve">E  </t>
        </is>
      </c>
      <c r="S159" t="n">
        <v>3</v>
      </c>
      <c r="T159" t="n">
        <v>3</v>
      </c>
      <c r="U159" t="inlineStr">
        <is>
          <t>1996-09-18</t>
        </is>
      </c>
      <c r="V159" t="inlineStr">
        <is>
          <t>1996-09-18</t>
        </is>
      </c>
      <c r="W159" t="inlineStr">
        <is>
          <t>1990-12-18</t>
        </is>
      </c>
      <c r="X159" t="inlineStr">
        <is>
          <t>1990-12-18</t>
        </is>
      </c>
      <c r="Y159" t="n">
        <v>59</v>
      </c>
      <c r="Z159" t="n">
        <v>57</v>
      </c>
      <c r="AA159" t="n">
        <v>1712</v>
      </c>
      <c r="AB159" t="n">
        <v>1</v>
      </c>
      <c r="AC159" t="n">
        <v>12</v>
      </c>
      <c r="AD159" t="n">
        <v>3</v>
      </c>
      <c r="AE159" t="n">
        <v>55</v>
      </c>
      <c r="AF159" t="n">
        <v>2</v>
      </c>
      <c r="AG159" t="n">
        <v>26</v>
      </c>
      <c r="AH159" t="n">
        <v>1</v>
      </c>
      <c r="AI159" t="n">
        <v>9</v>
      </c>
      <c r="AJ159" t="n">
        <v>0</v>
      </c>
      <c r="AK159" t="n">
        <v>22</v>
      </c>
      <c r="AL159" t="n">
        <v>0</v>
      </c>
      <c r="AM159" t="n">
        <v>10</v>
      </c>
      <c r="AN159" t="n">
        <v>0</v>
      </c>
      <c r="AO159" t="n">
        <v>0</v>
      </c>
      <c r="AP159" t="inlineStr">
        <is>
          <t>No</t>
        </is>
      </c>
      <c r="AQ159" t="inlineStr">
        <is>
          <t>Yes</t>
        </is>
      </c>
      <c r="AR159">
        <f>HYPERLINK("http://catalog.hathitrust.org/Record/000327900","HathiTrust Record")</f>
        <v/>
      </c>
      <c r="AS159">
        <f>HYPERLINK("https://creighton-primo.hosted.exlibrisgroup.com/primo-explore/search?tab=default_tab&amp;search_scope=EVERYTHING&amp;vid=01CRU&amp;lang=en_US&amp;offset=0&amp;query=any,contains,991004279039702656","Catalog Record")</f>
        <v/>
      </c>
      <c r="AT159">
        <f>HYPERLINK("http://www.worldcat.org/oclc/2902219","WorldCat Record")</f>
        <v/>
      </c>
      <c r="AU159" t="inlineStr">
        <is>
          <t>1102795700:eng</t>
        </is>
      </c>
      <c r="AV159" t="inlineStr">
        <is>
          <t>2902219</t>
        </is>
      </c>
      <c r="AW159" t="inlineStr">
        <is>
          <t>991004279039702656</t>
        </is>
      </c>
      <c r="AX159" t="inlineStr">
        <is>
          <t>991004279039702656</t>
        </is>
      </c>
      <c r="AY159" t="inlineStr">
        <is>
          <t>2271631950002656</t>
        </is>
      </c>
      <c r="AZ159" t="inlineStr">
        <is>
          <t>BOOK</t>
        </is>
      </c>
      <c r="BC159" t="inlineStr">
        <is>
          <t>32285000423490</t>
        </is>
      </c>
      <c r="BD159" t="inlineStr">
        <is>
          <t>893894787</t>
        </is>
      </c>
    </row>
    <row r="160">
      <c r="A160" t="inlineStr">
        <is>
          <t>No</t>
        </is>
      </c>
      <c r="B160" t="inlineStr">
        <is>
          <t>E169.1 .M789 1982</t>
        </is>
      </c>
      <c r="C160" t="inlineStr">
        <is>
          <t>0                      E  0169100M  789         1982</t>
        </is>
      </c>
      <c r="D160" t="inlineStr">
        <is>
          <t>Apples and ashes : culture, metaphor, and morality in the American dream / Ann-Janine Morey-Gaines.</t>
        </is>
      </c>
      <c r="F160" t="inlineStr">
        <is>
          <t>No</t>
        </is>
      </c>
      <c r="G160" t="inlineStr">
        <is>
          <t>1</t>
        </is>
      </c>
      <c r="H160" t="inlineStr">
        <is>
          <t>No</t>
        </is>
      </c>
      <c r="I160" t="inlineStr">
        <is>
          <t>No</t>
        </is>
      </c>
      <c r="J160" t="inlineStr">
        <is>
          <t>0</t>
        </is>
      </c>
      <c r="K160" t="inlineStr">
        <is>
          <t>Morey, Ann-Janine.</t>
        </is>
      </c>
      <c r="L160" t="inlineStr">
        <is>
          <t>Chico, CA : Scholars Press, c1982.</t>
        </is>
      </c>
      <c r="M160" t="inlineStr">
        <is>
          <t>1982</t>
        </is>
      </c>
      <c r="O160" t="inlineStr">
        <is>
          <t>eng</t>
        </is>
      </c>
      <c r="P160" t="inlineStr">
        <is>
          <t>cau</t>
        </is>
      </c>
      <c r="Q160" t="inlineStr">
        <is>
          <t>American Academy of Religion academy series ; no. 38</t>
        </is>
      </c>
      <c r="R160" t="inlineStr">
        <is>
          <t xml:space="preserve">E  </t>
        </is>
      </c>
      <c r="S160" t="n">
        <v>1</v>
      </c>
      <c r="T160" t="n">
        <v>1</v>
      </c>
      <c r="U160" t="inlineStr">
        <is>
          <t>1992-06-23</t>
        </is>
      </c>
      <c r="V160" t="inlineStr">
        <is>
          <t>1992-06-23</t>
        </is>
      </c>
      <c r="W160" t="inlineStr">
        <is>
          <t>1990-12-18</t>
        </is>
      </c>
      <c r="X160" t="inlineStr">
        <is>
          <t>1990-12-18</t>
        </is>
      </c>
      <c r="Y160" t="n">
        <v>291</v>
      </c>
      <c r="Z160" t="n">
        <v>246</v>
      </c>
      <c r="AA160" t="n">
        <v>253</v>
      </c>
      <c r="AB160" t="n">
        <v>1</v>
      </c>
      <c r="AC160" t="n">
        <v>1</v>
      </c>
      <c r="AD160" t="n">
        <v>13</v>
      </c>
      <c r="AE160" t="n">
        <v>13</v>
      </c>
      <c r="AF160" t="n">
        <v>4</v>
      </c>
      <c r="AG160" t="n">
        <v>4</v>
      </c>
      <c r="AH160" t="n">
        <v>4</v>
      </c>
      <c r="AI160" t="n">
        <v>4</v>
      </c>
      <c r="AJ160" t="n">
        <v>9</v>
      </c>
      <c r="AK160" t="n">
        <v>9</v>
      </c>
      <c r="AL160" t="n">
        <v>0</v>
      </c>
      <c r="AM160" t="n">
        <v>0</v>
      </c>
      <c r="AN160" t="n">
        <v>0</v>
      </c>
      <c r="AO160" t="n">
        <v>0</v>
      </c>
      <c r="AP160" t="inlineStr">
        <is>
          <t>No</t>
        </is>
      </c>
      <c r="AQ160" t="inlineStr">
        <is>
          <t>Yes</t>
        </is>
      </c>
      <c r="AR160">
        <f>HYPERLINK("http://catalog.hathitrust.org/Record/000312992","HathiTrust Record")</f>
        <v/>
      </c>
      <c r="AS160">
        <f>HYPERLINK("https://creighton-primo.hosted.exlibrisgroup.com/primo-explore/search?tab=default_tab&amp;search_scope=EVERYTHING&amp;vid=01CRU&amp;lang=en_US&amp;offset=0&amp;query=any,contains,991005153099702656","Catalog Record")</f>
        <v/>
      </c>
      <c r="AT160">
        <f>HYPERLINK("http://www.worldcat.org/oclc/7735263","WorldCat Record")</f>
        <v/>
      </c>
      <c r="AU160" t="inlineStr">
        <is>
          <t>548192:eng</t>
        </is>
      </c>
      <c r="AV160" t="inlineStr">
        <is>
          <t>7735263</t>
        </is>
      </c>
      <c r="AW160" t="inlineStr">
        <is>
          <t>991005153099702656</t>
        </is>
      </c>
      <c r="AX160" t="inlineStr">
        <is>
          <t>991005153099702656</t>
        </is>
      </c>
      <c r="AY160" t="inlineStr">
        <is>
          <t>2254992310002656</t>
        </is>
      </c>
      <c r="AZ160" t="inlineStr">
        <is>
          <t>BOOK</t>
        </is>
      </c>
      <c r="BB160" t="inlineStr">
        <is>
          <t>9780891305354</t>
        </is>
      </c>
      <c r="BC160" t="inlineStr">
        <is>
          <t>32285000423516</t>
        </is>
      </c>
      <c r="BD160" t="inlineStr">
        <is>
          <t>893443493</t>
        </is>
      </c>
    </row>
    <row r="161">
      <c r="A161" t="inlineStr">
        <is>
          <t>No</t>
        </is>
      </c>
      <c r="B161" t="inlineStr">
        <is>
          <t>E169.1 .N367 1990</t>
        </is>
      </c>
      <c r="C161" t="inlineStr">
        <is>
          <t>0                      E  0169100N  367         1990</t>
        </is>
      </c>
      <c r="D161" t="inlineStr">
        <is>
          <t>The nervous generation : American thought, 1917-1930 / Roderick Nash ; with a new preface by the author.</t>
        </is>
      </c>
      <c r="F161" t="inlineStr">
        <is>
          <t>No</t>
        </is>
      </c>
      <c r="G161" t="inlineStr">
        <is>
          <t>1</t>
        </is>
      </c>
      <c r="H161" t="inlineStr">
        <is>
          <t>No</t>
        </is>
      </c>
      <c r="I161" t="inlineStr">
        <is>
          <t>No</t>
        </is>
      </c>
      <c r="J161" t="inlineStr">
        <is>
          <t>0</t>
        </is>
      </c>
      <c r="K161" t="inlineStr">
        <is>
          <t>Nash, Roderick.</t>
        </is>
      </c>
      <c r="L161" t="inlineStr">
        <is>
          <t>Chicago : Elephant Paperbacks, 1990.</t>
        </is>
      </c>
      <c r="M161" t="inlineStr">
        <is>
          <t>1990</t>
        </is>
      </c>
      <c r="O161" t="inlineStr">
        <is>
          <t>eng</t>
        </is>
      </c>
      <c r="P161" t="inlineStr">
        <is>
          <t>ilu</t>
        </is>
      </c>
      <c r="R161" t="inlineStr">
        <is>
          <t xml:space="preserve">E  </t>
        </is>
      </c>
      <c r="S161" t="n">
        <v>1</v>
      </c>
      <c r="T161" t="n">
        <v>1</v>
      </c>
      <c r="U161" t="inlineStr">
        <is>
          <t>1998-06-16</t>
        </is>
      </c>
      <c r="V161" t="inlineStr">
        <is>
          <t>1998-06-16</t>
        </is>
      </c>
      <c r="W161" t="inlineStr">
        <is>
          <t>1990-10-12</t>
        </is>
      </c>
      <c r="X161" t="inlineStr">
        <is>
          <t>1990-10-12</t>
        </is>
      </c>
      <c r="Y161" t="n">
        <v>165</v>
      </c>
      <c r="Z161" t="n">
        <v>149</v>
      </c>
      <c r="AA161" t="n">
        <v>677</v>
      </c>
      <c r="AB161" t="n">
        <v>2</v>
      </c>
      <c r="AC161" t="n">
        <v>8</v>
      </c>
      <c r="AD161" t="n">
        <v>8</v>
      </c>
      <c r="AE161" t="n">
        <v>36</v>
      </c>
      <c r="AF161" t="n">
        <v>3</v>
      </c>
      <c r="AG161" t="n">
        <v>16</v>
      </c>
      <c r="AH161" t="n">
        <v>1</v>
      </c>
      <c r="AI161" t="n">
        <v>6</v>
      </c>
      <c r="AJ161" t="n">
        <v>4</v>
      </c>
      <c r="AK161" t="n">
        <v>16</v>
      </c>
      <c r="AL161" t="n">
        <v>1</v>
      </c>
      <c r="AM161" t="n">
        <v>7</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HYPERLINK("https://creighton-primo.hosted.exlibrisgroup.com/primo-explore/search?tab=default_tab&amp;search_scope=EVERYTHING&amp;vid=01CRU&amp;lang=en_US&amp;offset=0&amp;query=any,contains,991001554599702656","Catalog Record")</f>
        <v/>
      </c>
      <c r="AT161">
        <f>HYPERLINK("http://www.worldcat.org/oclc/20261594","WorldCat Record")</f>
        <v/>
      </c>
      <c r="AU161" t="inlineStr">
        <is>
          <t>20728005:eng</t>
        </is>
      </c>
      <c r="AV161" t="inlineStr">
        <is>
          <t>20261594</t>
        </is>
      </c>
      <c r="AW161" t="inlineStr">
        <is>
          <t>991001554599702656</t>
        </is>
      </c>
      <c r="AX161" t="inlineStr">
        <is>
          <t>991001554599702656</t>
        </is>
      </c>
      <c r="AY161" t="inlineStr">
        <is>
          <t>2261618900002656</t>
        </is>
      </c>
      <c r="AZ161" t="inlineStr">
        <is>
          <t>BOOK</t>
        </is>
      </c>
      <c r="BB161" t="inlineStr">
        <is>
          <t>9780929587219</t>
        </is>
      </c>
      <c r="BC161" t="inlineStr">
        <is>
          <t>32285000279991</t>
        </is>
      </c>
      <c r="BD161" t="inlineStr">
        <is>
          <t>893340514</t>
        </is>
      </c>
    </row>
    <row r="162">
      <c r="A162" t="inlineStr">
        <is>
          <t>No</t>
        </is>
      </c>
      <c r="B162" t="inlineStr">
        <is>
          <t>E169.1 .N3743 1975</t>
        </is>
      </c>
      <c r="C162" t="inlineStr">
        <is>
          <t>0                      E  0169100N  3743        1975</t>
        </is>
      </c>
      <c r="D162" t="inlineStr">
        <is>
          <t>We Americans / [prepared by National Geographic Book Service].</t>
        </is>
      </c>
      <c r="F162" t="inlineStr">
        <is>
          <t>No</t>
        </is>
      </c>
      <c r="G162" t="inlineStr">
        <is>
          <t>1</t>
        </is>
      </c>
      <c r="H162" t="inlineStr">
        <is>
          <t>No</t>
        </is>
      </c>
      <c r="I162" t="inlineStr">
        <is>
          <t>No</t>
        </is>
      </c>
      <c r="J162" t="inlineStr">
        <is>
          <t>0</t>
        </is>
      </c>
      <c r="K162" t="inlineStr">
        <is>
          <t>National Geographic Book Service.</t>
        </is>
      </c>
      <c r="L162" t="inlineStr">
        <is>
          <t>Washington : National Geographic Society, c1975.</t>
        </is>
      </c>
      <c r="M162" t="inlineStr">
        <is>
          <t>1975</t>
        </is>
      </c>
      <c r="O162" t="inlineStr">
        <is>
          <t>eng</t>
        </is>
      </c>
      <c r="P162" t="inlineStr">
        <is>
          <t>dcu</t>
        </is>
      </c>
      <c r="Q162" t="inlineStr">
        <is>
          <t>Story of man library</t>
        </is>
      </c>
      <c r="R162" t="inlineStr">
        <is>
          <t xml:space="preserve">E  </t>
        </is>
      </c>
      <c r="S162" t="n">
        <v>2</v>
      </c>
      <c r="T162" t="n">
        <v>2</v>
      </c>
      <c r="U162" t="inlineStr">
        <is>
          <t>1993-03-04</t>
        </is>
      </c>
      <c r="V162" t="inlineStr">
        <is>
          <t>1993-03-04</t>
        </is>
      </c>
      <c r="W162" t="inlineStr">
        <is>
          <t>1993-03-04</t>
        </is>
      </c>
      <c r="X162" t="inlineStr">
        <is>
          <t>1993-03-04</t>
        </is>
      </c>
      <c r="Y162" t="n">
        <v>1981</v>
      </c>
      <c r="Z162" t="n">
        <v>1946</v>
      </c>
      <c r="AA162" t="n">
        <v>2200</v>
      </c>
      <c r="AB162" t="n">
        <v>16</v>
      </c>
      <c r="AC162" t="n">
        <v>19</v>
      </c>
      <c r="AD162" t="n">
        <v>21</v>
      </c>
      <c r="AE162" t="n">
        <v>21</v>
      </c>
      <c r="AF162" t="n">
        <v>7</v>
      </c>
      <c r="AG162" t="n">
        <v>7</v>
      </c>
      <c r="AH162" t="n">
        <v>6</v>
      </c>
      <c r="AI162" t="n">
        <v>6</v>
      </c>
      <c r="AJ162" t="n">
        <v>13</v>
      </c>
      <c r="AK162" t="n">
        <v>13</v>
      </c>
      <c r="AL162" t="n">
        <v>3</v>
      </c>
      <c r="AM162" t="n">
        <v>3</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HYPERLINK("https://creighton-primo.hosted.exlibrisgroup.com/primo-explore/search?tab=default_tab&amp;search_scope=EVERYTHING&amp;vid=01CRU&amp;lang=en_US&amp;offset=0&amp;query=any,contains,991003843469702656","Catalog Record")</f>
        <v/>
      </c>
      <c r="AT162">
        <f>HYPERLINK("http://www.worldcat.org/oclc/1622252","WorldCat Record")</f>
        <v/>
      </c>
      <c r="AU162" t="inlineStr">
        <is>
          <t>2450058:eng</t>
        </is>
      </c>
      <c r="AV162" t="inlineStr">
        <is>
          <t>1622252</t>
        </is>
      </c>
      <c r="AW162" t="inlineStr">
        <is>
          <t>991003843469702656</t>
        </is>
      </c>
      <c r="AX162" t="inlineStr">
        <is>
          <t>991003843469702656</t>
        </is>
      </c>
      <c r="AY162" t="inlineStr">
        <is>
          <t>2270610290002656</t>
        </is>
      </c>
      <c r="AZ162" t="inlineStr">
        <is>
          <t>BOOK</t>
        </is>
      </c>
      <c r="BB162" t="inlineStr">
        <is>
          <t>9780870441349</t>
        </is>
      </c>
      <c r="BC162" t="inlineStr">
        <is>
          <t>32285001497741</t>
        </is>
      </c>
      <c r="BD162" t="inlineStr">
        <is>
          <t>893423040</t>
        </is>
      </c>
    </row>
    <row r="163">
      <c r="A163" t="inlineStr">
        <is>
          <t>No</t>
        </is>
      </c>
      <c r="B163" t="inlineStr">
        <is>
          <t>E169.1 .N52 1948</t>
        </is>
      </c>
      <c r="C163" t="inlineStr">
        <is>
          <t>0                      E  0169100N  52          1948</t>
        </is>
      </c>
      <c r="D163" t="inlineStr">
        <is>
          <t>America through British eyes.</t>
        </is>
      </c>
      <c r="F163" t="inlineStr">
        <is>
          <t>No</t>
        </is>
      </c>
      <c r="G163" t="inlineStr">
        <is>
          <t>1</t>
        </is>
      </c>
      <c r="H163" t="inlineStr">
        <is>
          <t>No</t>
        </is>
      </c>
      <c r="I163" t="inlineStr">
        <is>
          <t>No</t>
        </is>
      </c>
      <c r="J163" t="inlineStr">
        <is>
          <t>0</t>
        </is>
      </c>
      <c r="K163" t="inlineStr">
        <is>
          <t>Nevins, Allan, 1890-1971 editor.</t>
        </is>
      </c>
      <c r="L163" t="inlineStr">
        <is>
          <t>New York, Oxford University Press, 1948.</t>
        </is>
      </c>
      <c r="M163" t="inlineStr">
        <is>
          <t>1948</t>
        </is>
      </c>
      <c r="N163" t="inlineStr">
        <is>
          <t>[New ed., rev. and enl.]</t>
        </is>
      </c>
      <c r="O163" t="inlineStr">
        <is>
          <t>eng</t>
        </is>
      </c>
      <c r="P163" t="inlineStr">
        <is>
          <t>nyu</t>
        </is>
      </c>
      <c r="R163" t="inlineStr">
        <is>
          <t xml:space="preserve">E  </t>
        </is>
      </c>
      <c r="S163" t="n">
        <v>4</v>
      </c>
      <c r="T163" t="n">
        <v>4</v>
      </c>
      <c r="U163" t="inlineStr">
        <is>
          <t>1999-04-24</t>
        </is>
      </c>
      <c r="V163" t="inlineStr">
        <is>
          <t>1999-04-24</t>
        </is>
      </c>
      <c r="W163" t="inlineStr">
        <is>
          <t>1997-03-31</t>
        </is>
      </c>
      <c r="X163" t="inlineStr">
        <is>
          <t>1997-03-31</t>
        </is>
      </c>
      <c r="Y163" t="n">
        <v>781</v>
      </c>
      <c r="Z163" t="n">
        <v>689</v>
      </c>
      <c r="AA163" t="n">
        <v>805</v>
      </c>
      <c r="AB163" t="n">
        <v>6</v>
      </c>
      <c r="AC163" t="n">
        <v>6</v>
      </c>
      <c r="AD163" t="n">
        <v>37</v>
      </c>
      <c r="AE163" t="n">
        <v>43</v>
      </c>
      <c r="AF163" t="n">
        <v>17</v>
      </c>
      <c r="AG163" t="n">
        <v>20</v>
      </c>
      <c r="AH163" t="n">
        <v>6</v>
      </c>
      <c r="AI163" t="n">
        <v>8</v>
      </c>
      <c r="AJ163" t="n">
        <v>18</v>
      </c>
      <c r="AK163" t="n">
        <v>22</v>
      </c>
      <c r="AL163" t="n">
        <v>5</v>
      </c>
      <c r="AM163" t="n">
        <v>5</v>
      </c>
      <c r="AN163" t="n">
        <v>0</v>
      </c>
      <c r="AO163" t="n">
        <v>0</v>
      </c>
      <c r="AP163" t="inlineStr">
        <is>
          <t>No</t>
        </is>
      </c>
      <c r="AQ163" t="inlineStr">
        <is>
          <t>No</t>
        </is>
      </c>
      <c r="AR163">
        <f>HYPERLINK("http://catalog.hathitrust.org/Record/000328025","HathiTrust Record")</f>
        <v/>
      </c>
      <c r="AS163">
        <f>HYPERLINK("https://creighton-primo.hosted.exlibrisgroup.com/primo-explore/search?tab=default_tab&amp;search_scope=EVERYTHING&amp;vid=01CRU&amp;lang=en_US&amp;offset=0&amp;query=any,contains,991002423359702656","Catalog Record")</f>
        <v/>
      </c>
      <c r="AT163">
        <f>HYPERLINK("http://www.worldcat.org/oclc/343840","WorldCat Record")</f>
        <v/>
      </c>
      <c r="AU163" t="inlineStr">
        <is>
          <t>1102429249:eng</t>
        </is>
      </c>
      <c r="AV163" t="inlineStr">
        <is>
          <t>343840</t>
        </is>
      </c>
      <c r="AW163" t="inlineStr">
        <is>
          <t>991002423359702656</t>
        </is>
      </c>
      <c r="AX163" t="inlineStr">
        <is>
          <t>991002423359702656</t>
        </is>
      </c>
      <c r="AY163" t="inlineStr">
        <is>
          <t>2264713640002656</t>
        </is>
      </c>
      <c r="AZ163" t="inlineStr">
        <is>
          <t>BOOK</t>
        </is>
      </c>
      <c r="BC163" t="inlineStr">
        <is>
          <t>32285002484151</t>
        </is>
      </c>
      <c r="BD163" t="inlineStr">
        <is>
          <t>893322917</t>
        </is>
      </c>
    </row>
    <row r="164">
      <c r="A164" t="inlineStr">
        <is>
          <t>No</t>
        </is>
      </c>
      <c r="B164" t="inlineStr">
        <is>
          <t>E169.1 .N67</t>
        </is>
      </c>
      <c r="C164" t="inlineStr">
        <is>
          <t>0                      E  0169100N  67</t>
        </is>
      </c>
      <c r="D164" t="inlineStr">
        <is>
          <t>Pious and secular America.</t>
        </is>
      </c>
      <c r="F164" t="inlineStr">
        <is>
          <t>No</t>
        </is>
      </c>
      <c r="G164" t="inlineStr">
        <is>
          <t>1</t>
        </is>
      </c>
      <c r="H164" t="inlineStr">
        <is>
          <t>No</t>
        </is>
      </c>
      <c r="I164" t="inlineStr">
        <is>
          <t>No</t>
        </is>
      </c>
      <c r="J164" t="inlineStr">
        <is>
          <t>0</t>
        </is>
      </c>
      <c r="K164" t="inlineStr">
        <is>
          <t>Niebuhr, Reinhold, 1892-1971.</t>
        </is>
      </c>
      <c r="L164" t="inlineStr">
        <is>
          <t>New York, Scribner [1958]</t>
        </is>
      </c>
      <c r="M164" t="inlineStr">
        <is>
          <t>1958</t>
        </is>
      </c>
      <c r="O164" t="inlineStr">
        <is>
          <t>eng</t>
        </is>
      </c>
      <c r="P164" t="inlineStr">
        <is>
          <t>nyu</t>
        </is>
      </c>
      <c r="R164" t="inlineStr">
        <is>
          <t xml:space="preserve">E  </t>
        </is>
      </c>
      <c r="S164" t="n">
        <v>2</v>
      </c>
      <c r="T164" t="n">
        <v>2</v>
      </c>
      <c r="U164" t="inlineStr">
        <is>
          <t>1997-10-06</t>
        </is>
      </c>
      <c r="V164" t="inlineStr">
        <is>
          <t>1997-10-06</t>
        </is>
      </c>
      <c r="W164" t="inlineStr">
        <is>
          <t>1997-04-03</t>
        </is>
      </c>
      <c r="X164" t="inlineStr">
        <is>
          <t>1997-04-03</t>
        </is>
      </c>
      <c r="Y164" t="n">
        <v>952</v>
      </c>
      <c r="Z164" t="n">
        <v>881</v>
      </c>
      <c r="AA164" t="n">
        <v>979</v>
      </c>
      <c r="AB164" t="n">
        <v>11</v>
      </c>
      <c r="AC164" t="n">
        <v>11</v>
      </c>
      <c r="AD164" t="n">
        <v>37</v>
      </c>
      <c r="AE164" t="n">
        <v>41</v>
      </c>
      <c r="AF164" t="n">
        <v>14</v>
      </c>
      <c r="AG164" t="n">
        <v>18</v>
      </c>
      <c r="AH164" t="n">
        <v>5</v>
      </c>
      <c r="AI164" t="n">
        <v>7</v>
      </c>
      <c r="AJ164" t="n">
        <v>17</v>
      </c>
      <c r="AK164" t="n">
        <v>19</v>
      </c>
      <c r="AL164" t="n">
        <v>7</v>
      </c>
      <c r="AM164" t="n">
        <v>7</v>
      </c>
      <c r="AN164" t="n">
        <v>0</v>
      </c>
      <c r="AO164" t="n">
        <v>0</v>
      </c>
      <c r="AP164" t="inlineStr">
        <is>
          <t>No</t>
        </is>
      </c>
      <c r="AQ164" t="inlineStr">
        <is>
          <t>No</t>
        </is>
      </c>
      <c r="AR164">
        <f>HYPERLINK("http://catalog.hathitrust.org/Record/000334040","HathiTrust Record")</f>
        <v/>
      </c>
      <c r="AS164">
        <f>HYPERLINK("https://creighton-primo.hosted.exlibrisgroup.com/primo-explore/search?tab=default_tab&amp;search_scope=EVERYTHING&amp;vid=01CRU&amp;lang=en_US&amp;offset=0&amp;query=any,contains,991002737789702656","Catalog Record")</f>
        <v/>
      </c>
      <c r="AT164">
        <f>HYPERLINK("http://www.worldcat.org/oclc/419890","WorldCat Record")</f>
        <v/>
      </c>
      <c r="AU164" t="inlineStr">
        <is>
          <t>431607:eng</t>
        </is>
      </c>
      <c r="AV164" t="inlineStr">
        <is>
          <t>419890</t>
        </is>
      </c>
      <c r="AW164" t="inlineStr">
        <is>
          <t>991002737789702656</t>
        </is>
      </c>
      <c r="AX164" t="inlineStr">
        <is>
          <t>991002737789702656</t>
        </is>
      </c>
      <c r="AY164" t="inlineStr">
        <is>
          <t>2261745350002656</t>
        </is>
      </c>
      <c r="AZ164" t="inlineStr">
        <is>
          <t>BOOK</t>
        </is>
      </c>
      <c r="BC164" t="inlineStr">
        <is>
          <t>32285002501368</t>
        </is>
      </c>
      <c r="BD164" t="inlineStr">
        <is>
          <t>893257647</t>
        </is>
      </c>
    </row>
    <row r="165">
      <c r="A165" t="inlineStr">
        <is>
          <t>No</t>
        </is>
      </c>
      <c r="B165" t="inlineStr">
        <is>
          <t>E169.1 .N76</t>
        </is>
      </c>
      <c r="C165" t="inlineStr">
        <is>
          <t>0                      E  0169100N  76</t>
        </is>
      </c>
      <c r="D165" t="inlineStr">
        <is>
          <t>Values in America / edited by Donald N. Barrett. Contributors: Clyde Kluckholn [and others.</t>
        </is>
      </c>
      <c r="F165" t="inlineStr">
        <is>
          <t>No</t>
        </is>
      </c>
      <c r="G165" t="inlineStr">
        <is>
          <t>1</t>
        </is>
      </c>
      <c r="H165" t="inlineStr">
        <is>
          <t>No</t>
        </is>
      </c>
      <c r="I165" t="inlineStr">
        <is>
          <t>No</t>
        </is>
      </c>
      <c r="J165" t="inlineStr">
        <is>
          <t>0</t>
        </is>
      </c>
      <c r="K165" t="inlineStr">
        <is>
          <t>University of Notre Dame.</t>
        </is>
      </c>
      <c r="L165" t="inlineStr">
        <is>
          <t>Notre Dame, Ind.] : University of Notre Dame Press, 1961.</t>
        </is>
      </c>
      <c r="M165" t="inlineStr">
        <is>
          <t>1961</t>
        </is>
      </c>
      <c r="O165" t="inlineStr">
        <is>
          <t>eng</t>
        </is>
      </c>
      <c r="P165" t="inlineStr">
        <is>
          <t>inu</t>
        </is>
      </c>
      <c r="R165" t="inlineStr">
        <is>
          <t xml:space="preserve">E  </t>
        </is>
      </c>
      <c r="S165" t="n">
        <v>3</v>
      </c>
      <c r="T165" t="n">
        <v>3</v>
      </c>
      <c r="U165" t="inlineStr">
        <is>
          <t>1998-04-21</t>
        </is>
      </c>
      <c r="V165" t="inlineStr">
        <is>
          <t>1998-04-21</t>
        </is>
      </c>
      <c r="W165" t="inlineStr">
        <is>
          <t>1994-06-08</t>
        </is>
      </c>
      <c r="X165" t="inlineStr">
        <is>
          <t>1994-06-08</t>
        </is>
      </c>
      <c r="Y165" t="n">
        <v>594</v>
      </c>
      <c r="Z165" t="n">
        <v>543</v>
      </c>
      <c r="AA165" t="n">
        <v>614</v>
      </c>
      <c r="AB165" t="n">
        <v>5</v>
      </c>
      <c r="AC165" t="n">
        <v>5</v>
      </c>
      <c r="AD165" t="n">
        <v>34</v>
      </c>
      <c r="AE165" t="n">
        <v>37</v>
      </c>
      <c r="AF165" t="n">
        <v>11</v>
      </c>
      <c r="AG165" t="n">
        <v>14</v>
      </c>
      <c r="AH165" t="n">
        <v>7</v>
      </c>
      <c r="AI165" t="n">
        <v>7</v>
      </c>
      <c r="AJ165" t="n">
        <v>23</v>
      </c>
      <c r="AK165" t="n">
        <v>23</v>
      </c>
      <c r="AL165" t="n">
        <v>3</v>
      </c>
      <c r="AM165" t="n">
        <v>3</v>
      </c>
      <c r="AN165" t="n">
        <v>0</v>
      </c>
      <c r="AO165" t="n">
        <v>0</v>
      </c>
      <c r="AP165" t="inlineStr">
        <is>
          <t>No</t>
        </is>
      </c>
      <c r="AQ165" t="inlineStr">
        <is>
          <t>No</t>
        </is>
      </c>
      <c r="AR165">
        <f>HYPERLINK("http://catalog.hathitrust.org/Record/000004522","HathiTrust Record")</f>
        <v/>
      </c>
      <c r="AS165">
        <f>HYPERLINK("https://creighton-primo.hosted.exlibrisgroup.com/primo-explore/search?tab=default_tab&amp;search_scope=EVERYTHING&amp;vid=01CRU&amp;lang=en_US&amp;offset=0&amp;query=any,contains,991002296869702656","Catalog Record")</f>
        <v/>
      </c>
      <c r="AT165">
        <f>HYPERLINK("http://www.worldcat.org/oclc/316106","WorldCat Record")</f>
        <v/>
      </c>
      <c r="AU165" t="inlineStr">
        <is>
          <t>571694:eng</t>
        </is>
      </c>
      <c r="AV165" t="inlineStr">
        <is>
          <t>316106</t>
        </is>
      </c>
      <c r="AW165" t="inlineStr">
        <is>
          <t>991002296869702656</t>
        </is>
      </c>
      <c r="AX165" t="inlineStr">
        <is>
          <t>991002296869702656</t>
        </is>
      </c>
      <c r="AY165" t="inlineStr">
        <is>
          <t>2269470450002656</t>
        </is>
      </c>
      <c r="AZ165" t="inlineStr">
        <is>
          <t>BOOK</t>
        </is>
      </c>
      <c r="BC165" t="inlineStr">
        <is>
          <t>32285001928323</t>
        </is>
      </c>
      <c r="BD165" t="inlineStr">
        <is>
          <t>893697602</t>
        </is>
      </c>
    </row>
    <row r="166">
      <c r="A166" t="inlineStr">
        <is>
          <t>No</t>
        </is>
      </c>
      <c r="B166" t="inlineStr">
        <is>
          <t>E169.1 .O19 1982</t>
        </is>
      </c>
      <c r="C166" t="inlineStr">
        <is>
          <t>0                      E  0169100O  19          1982</t>
        </is>
      </c>
      <c r="D166" t="inlineStr">
        <is>
          <t>Objects of special devotion : fetishism in popular culture / [edited by] Ray B. Browne.</t>
        </is>
      </c>
      <c r="F166" t="inlineStr">
        <is>
          <t>No</t>
        </is>
      </c>
      <c r="G166" t="inlineStr">
        <is>
          <t>1</t>
        </is>
      </c>
      <c r="H166" t="inlineStr">
        <is>
          <t>No</t>
        </is>
      </c>
      <c r="I166" t="inlineStr">
        <is>
          <t>No</t>
        </is>
      </c>
      <c r="J166" t="inlineStr">
        <is>
          <t>0</t>
        </is>
      </c>
      <c r="L166" t="inlineStr">
        <is>
          <t>Bowling Green, Ohio : Bowling Green University Popular Press, [1982?]</t>
        </is>
      </c>
      <c r="M166" t="inlineStr">
        <is>
          <t>1982</t>
        </is>
      </c>
      <c r="O166" t="inlineStr">
        <is>
          <t>eng</t>
        </is>
      </c>
      <c r="P166" t="inlineStr">
        <is>
          <t>ohu</t>
        </is>
      </c>
      <c r="R166" t="inlineStr">
        <is>
          <t xml:space="preserve">E  </t>
        </is>
      </c>
      <c r="S166" t="n">
        <v>2</v>
      </c>
      <c r="T166" t="n">
        <v>2</v>
      </c>
      <c r="U166" t="inlineStr">
        <is>
          <t>1998-03-24</t>
        </is>
      </c>
      <c r="V166" t="inlineStr">
        <is>
          <t>1998-03-24</t>
        </is>
      </c>
      <c r="W166" t="inlineStr">
        <is>
          <t>1990-12-18</t>
        </is>
      </c>
      <c r="X166" t="inlineStr">
        <is>
          <t>1990-12-18</t>
        </is>
      </c>
      <c r="Y166" t="n">
        <v>285</v>
      </c>
      <c r="Z166" t="n">
        <v>243</v>
      </c>
      <c r="AA166" t="n">
        <v>247</v>
      </c>
      <c r="AB166" t="n">
        <v>2</v>
      </c>
      <c r="AC166" t="n">
        <v>2</v>
      </c>
      <c r="AD166" t="n">
        <v>10</v>
      </c>
      <c r="AE166" t="n">
        <v>10</v>
      </c>
      <c r="AF166" t="n">
        <v>4</v>
      </c>
      <c r="AG166" t="n">
        <v>4</v>
      </c>
      <c r="AH166" t="n">
        <v>2</v>
      </c>
      <c r="AI166" t="n">
        <v>2</v>
      </c>
      <c r="AJ166" t="n">
        <v>7</v>
      </c>
      <c r="AK166" t="n">
        <v>7</v>
      </c>
      <c r="AL166" t="n">
        <v>1</v>
      </c>
      <c r="AM166" t="n">
        <v>1</v>
      </c>
      <c r="AN166" t="n">
        <v>0</v>
      </c>
      <c r="AO166" t="n">
        <v>0</v>
      </c>
      <c r="AP166" t="inlineStr">
        <is>
          <t>No</t>
        </is>
      </c>
      <c r="AQ166" t="inlineStr">
        <is>
          <t>Yes</t>
        </is>
      </c>
      <c r="AR166">
        <f>HYPERLINK("http://catalog.hathitrust.org/Record/000306213","HathiTrust Record")</f>
        <v/>
      </c>
      <c r="AS166">
        <f>HYPERLINK("https://creighton-primo.hosted.exlibrisgroup.com/primo-explore/search?tab=default_tab&amp;search_scope=EVERYTHING&amp;vid=01CRU&amp;lang=en_US&amp;offset=0&amp;query=any,contains,991000006339702656","Catalog Record")</f>
        <v/>
      </c>
      <c r="AT166">
        <f>HYPERLINK("http://www.worldcat.org/oclc/8527354","WorldCat Record")</f>
        <v/>
      </c>
      <c r="AU166" t="inlineStr">
        <is>
          <t>858433548:eng</t>
        </is>
      </c>
      <c r="AV166" t="inlineStr">
        <is>
          <t>8527354</t>
        </is>
      </c>
      <c r="AW166" t="inlineStr">
        <is>
          <t>991000006339702656</t>
        </is>
      </c>
      <c r="AX166" t="inlineStr">
        <is>
          <t>991000006339702656</t>
        </is>
      </c>
      <c r="AY166" t="inlineStr">
        <is>
          <t>2266163370002656</t>
        </is>
      </c>
      <c r="AZ166" t="inlineStr">
        <is>
          <t>BOOK</t>
        </is>
      </c>
      <c r="BB166" t="inlineStr">
        <is>
          <t>9780879721923</t>
        </is>
      </c>
      <c r="BC166" t="inlineStr">
        <is>
          <t>32285000423540</t>
        </is>
      </c>
      <c r="BD166" t="inlineStr">
        <is>
          <t>893326926</t>
        </is>
      </c>
    </row>
    <row r="167">
      <c r="A167" t="inlineStr">
        <is>
          <t>No</t>
        </is>
      </c>
      <c r="B167" t="inlineStr">
        <is>
          <t>E169.1 .O83</t>
        </is>
      </c>
      <c r="C167" t="inlineStr">
        <is>
          <t>0                      E  0169100O  83</t>
        </is>
      </c>
      <c r="D167" t="inlineStr">
        <is>
          <t>Other voices, other views : an international collection of essays from the Bicentennial / edited by Robin W. Winks.</t>
        </is>
      </c>
      <c r="F167" t="inlineStr">
        <is>
          <t>No</t>
        </is>
      </c>
      <c r="G167" t="inlineStr">
        <is>
          <t>1</t>
        </is>
      </c>
      <c r="H167" t="inlineStr">
        <is>
          <t>No</t>
        </is>
      </c>
      <c r="I167" t="inlineStr">
        <is>
          <t>No</t>
        </is>
      </c>
      <c r="J167" t="inlineStr">
        <is>
          <t>0</t>
        </is>
      </c>
      <c r="L167" t="inlineStr">
        <is>
          <t>Westport, Conn. : Greenwood Press, 1978.</t>
        </is>
      </c>
      <c r="M167" t="inlineStr">
        <is>
          <t>1978</t>
        </is>
      </c>
      <c r="O167" t="inlineStr">
        <is>
          <t>eng</t>
        </is>
      </c>
      <c r="P167" t="inlineStr">
        <is>
          <t>ctu</t>
        </is>
      </c>
      <c r="Q167" t="inlineStr">
        <is>
          <t>Contributions in American studies ; no. 34</t>
        </is>
      </c>
      <c r="R167" t="inlineStr">
        <is>
          <t xml:space="preserve">E  </t>
        </is>
      </c>
      <c r="S167" t="n">
        <v>3</v>
      </c>
      <c r="T167" t="n">
        <v>3</v>
      </c>
      <c r="U167" t="inlineStr">
        <is>
          <t>1999-11-05</t>
        </is>
      </c>
      <c r="V167" t="inlineStr">
        <is>
          <t>1999-11-05</t>
        </is>
      </c>
      <c r="W167" t="inlineStr">
        <is>
          <t>1990-12-18</t>
        </is>
      </c>
      <c r="X167" t="inlineStr">
        <is>
          <t>1990-12-18</t>
        </is>
      </c>
      <c r="Y167" t="n">
        <v>271</v>
      </c>
      <c r="Z167" t="n">
        <v>220</v>
      </c>
      <c r="AA167" t="n">
        <v>227</v>
      </c>
      <c r="AB167" t="n">
        <v>3</v>
      </c>
      <c r="AC167" t="n">
        <v>3</v>
      </c>
      <c r="AD167" t="n">
        <v>10</v>
      </c>
      <c r="AE167" t="n">
        <v>10</v>
      </c>
      <c r="AF167" t="n">
        <v>2</v>
      </c>
      <c r="AG167" t="n">
        <v>2</v>
      </c>
      <c r="AH167" t="n">
        <v>2</v>
      </c>
      <c r="AI167" t="n">
        <v>2</v>
      </c>
      <c r="AJ167" t="n">
        <v>5</v>
      </c>
      <c r="AK167" t="n">
        <v>5</v>
      </c>
      <c r="AL167" t="n">
        <v>2</v>
      </c>
      <c r="AM167" t="n">
        <v>2</v>
      </c>
      <c r="AN167" t="n">
        <v>0</v>
      </c>
      <c r="AO167" t="n">
        <v>0</v>
      </c>
      <c r="AP167" t="inlineStr">
        <is>
          <t>No</t>
        </is>
      </c>
      <c r="AQ167" t="inlineStr">
        <is>
          <t>Yes</t>
        </is>
      </c>
      <c r="AR167">
        <f>HYPERLINK("http://catalog.hathitrust.org/Record/000296810","HathiTrust Record")</f>
        <v/>
      </c>
      <c r="AS167">
        <f>HYPERLINK("https://creighton-primo.hosted.exlibrisgroup.com/primo-explore/search?tab=default_tab&amp;search_scope=EVERYTHING&amp;vid=01CRU&amp;lang=en_US&amp;offset=0&amp;query=any,contains,991004392469702656","Catalog Record")</f>
        <v/>
      </c>
      <c r="AT167">
        <f>HYPERLINK("http://www.worldcat.org/oclc/3272780","WorldCat Record")</f>
        <v/>
      </c>
      <c r="AU167" t="inlineStr">
        <is>
          <t>502267:eng</t>
        </is>
      </c>
      <c r="AV167" t="inlineStr">
        <is>
          <t>3272780</t>
        </is>
      </c>
      <c r="AW167" t="inlineStr">
        <is>
          <t>991004392469702656</t>
        </is>
      </c>
      <c r="AX167" t="inlineStr">
        <is>
          <t>991004392469702656</t>
        </is>
      </c>
      <c r="AY167" t="inlineStr">
        <is>
          <t>2263789970002656</t>
        </is>
      </c>
      <c r="AZ167" t="inlineStr">
        <is>
          <t>BOOK</t>
        </is>
      </c>
      <c r="BB167" t="inlineStr">
        <is>
          <t>9780837198446</t>
        </is>
      </c>
      <c r="BC167" t="inlineStr">
        <is>
          <t>32285000423565</t>
        </is>
      </c>
      <c r="BD167" t="inlineStr">
        <is>
          <t>893353377</t>
        </is>
      </c>
    </row>
    <row r="168">
      <c r="A168" t="inlineStr">
        <is>
          <t>No</t>
        </is>
      </c>
      <c r="B168" t="inlineStr">
        <is>
          <t>E169.1 .P45 1971</t>
        </is>
      </c>
      <c r="C168" t="inlineStr">
        <is>
          <t>0                      E  0169100P  45          1971</t>
        </is>
      </c>
      <c r="D168" t="inlineStr">
        <is>
          <t>Characteristically American; five lectures delivered on the William W. Cook Foundation at the University of Michigan, November-December 1948.</t>
        </is>
      </c>
      <c r="F168" t="inlineStr">
        <is>
          <t>No</t>
        </is>
      </c>
      <c r="G168" t="inlineStr">
        <is>
          <t>1</t>
        </is>
      </c>
      <c r="H168" t="inlineStr">
        <is>
          <t>No</t>
        </is>
      </c>
      <c r="I168" t="inlineStr">
        <is>
          <t>No</t>
        </is>
      </c>
      <c r="J168" t="inlineStr">
        <is>
          <t>0</t>
        </is>
      </c>
      <c r="K168" t="inlineStr">
        <is>
          <t>Perry, Ralph Barton, 1876-1957.</t>
        </is>
      </c>
      <c r="L168" t="inlineStr">
        <is>
          <t>Freeport, N.Y., Books for Libraries Press [1971, c1949]</t>
        </is>
      </c>
      <c r="M168" t="inlineStr">
        <is>
          <t>1971</t>
        </is>
      </c>
      <c r="O168" t="inlineStr">
        <is>
          <t>eng</t>
        </is>
      </c>
      <c r="P168" t="inlineStr">
        <is>
          <t>nyu</t>
        </is>
      </c>
      <c r="Q168" t="inlineStr">
        <is>
          <t>Essay index reprint series</t>
        </is>
      </c>
      <c r="R168" t="inlineStr">
        <is>
          <t xml:space="preserve">E  </t>
        </is>
      </c>
      <c r="S168" t="n">
        <v>4</v>
      </c>
      <c r="T168" t="n">
        <v>4</v>
      </c>
      <c r="U168" t="inlineStr">
        <is>
          <t>1998-04-21</t>
        </is>
      </c>
      <c r="V168" t="inlineStr">
        <is>
          <t>1998-04-21</t>
        </is>
      </c>
      <c r="W168" t="inlineStr">
        <is>
          <t>1990-12-18</t>
        </is>
      </c>
      <c r="X168" t="inlineStr">
        <is>
          <t>1990-12-18</t>
        </is>
      </c>
      <c r="Y168" t="n">
        <v>115</v>
      </c>
      <c r="Z168" t="n">
        <v>108</v>
      </c>
      <c r="AA168" t="n">
        <v>572</v>
      </c>
      <c r="AB168" t="n">
        <v>1</v>
      </c>
      <c r="AC168" t="n">
        <v>3</v>
      </c>
      <c r="AD168" t="n">
        <v>5</v>
      </c>
      <c r="AE168" t="n">
        <v>36</v>
      </c>
      <c r="AF168" t="n">
        <v>3</v>
      </c>
      <c r="AG168" t="n">
        <v>15</v>
      </c>
      <c r="AH168" t="n">
        <v>1</v>
      </c>
      <c r="AI168" t="n">
        <v>6</v>
      </c>
      <c r="AJ168" t="n">
        <v>2</v>
      </c>
      <c r="AK168" t="n">
        <v>16</v>
      </c>
      <c r="AL168" t="n">
        <v>0</v>
      </c>
      <c r="AM168" t="n">
        <v>2</v>
      </c>
      <c r="AN168" t="n">
        <v>0</v>
      </c>
      <c r="AO168" t="n">
        <v>6</v>
      </c>
      <c r="AP168" t="inlineStr">
        <is>
          <t>No</t>
        </is>
      </c>
      <c r="AQ168" t="inlineStr">
        <is>
          <t>No</t>
        </is>
      </c>
      <c r="AS168">
        <f>HYPERLINK("https://creighton-primo.hosted.exlibrisgroup.com/primo-explore/search?tab=default_tab&amp;search_scope=EVERYTHING&amp;vid=01CRU&amp;lang=en_US&amp;offset=0&amp;query=any,contains,991000725619702656","Catalog Record")</f>
        <v/>
      </c>
      <c r="AT168">
        <f>HYPERLINK("http://www.worldcat.org/oclc/127634","WorldCat Record")</f>
        <v/>
      </c>
      <c r="AU168" t="inlineStr">
        <is>
          <t>1255852:eng</t>
        </is>
      </c>
      <c r="AV168" t="inlineStr">
        <is>
          <t>127634</t>
        </is>
      </c>
      <c r="AW168" t="inlineStr">
        <is>
          <t>991000725619702656</t>
        </is>
      </c>
      <c r="AX168" t="inlineStr">
        <is>
          <t>991000725619702656</t>
        </is>
      </c>
      <c r="AY168" t="inlineStr">
        <is>
          <t>2261439850002656</t>
        </is>
      </c>
      <c r="AZ168" t="inlineStr">
        <is>
          <t>BOOK</t>
        </is>
      </c>
      <c r="BB168" t="inlineStr">
        <is>
          <t>9780836920130</t>
        </is>
      </c>
      <c r="BC168" t="inlineStr">
        <is>
          <t>32285000423607</t>
        </is>
      </c>
      <c r="BD168" t="inlineStr">
        <is>
          <t>893865618</t>
        </is>
      </c>
    </row>
    <row r="169">
      <c r="A169" t="inlineStr">
        <is>
          <t>No</t>
        </is>
      </c>
      <c r="B169" t="inlineStr">
        <is>
          <t>E169.1 .P47</t>
        </is>
      </c>
      <c r="C169" t="inlineStr">
        <is>
          <t>0                      E  0169100P  47</t>
        </is>
      </c>
      <c r="D169" t="inlineStr">
        <is>
          <t>Puritanism and democracy / [by] Ralph Barton Perry.</t>
        </is>
      </c>
      <c r="F169" t="inlineStr">
        <is>
          <t>No</t>
        </is>
      </c>
      <c r="G169" t="inlineStr">
        <is>
          <t>1</t>
        </is>
      </c>
      <c r="H169" t="inlineStr">
        <is>
          <t>No</t>
        </is>
      </c>
      <c r="I169" t="inlineStr">
        <is>
          <t>No</t>
        </is>
      </c>
      <c r="J169" t="inlineStr">
        <is>
          <t>0</t>
        </is>
      </c>
      <c r="K169" t="inlineStr">
        <is>
          <t>Perry, Ralph Barton, 1876-1957.</t>
        </is>
      </c>
      <c r="L169" t="inlineStr">
        <is>
          <t>New York : The Vanguard Press, [1944]</t>
        </is>
      </c>
      <c r="M169" t="inlineStr">
        <is>
          <t>1944</t>
        </is>
      </c>
      <c r="O169" t="inlineStr">
        <is>
          <t>eng</t>
        </is>
      </c>
      <c r="P169" t="inlineStr">
        <is>
          <t>nyu</t>
        </is>
      </c>
      <c r="R169" t="inlineStr">
        <is>
          <t xml:space="preserve">E  </t>
        </is>
      </c>
      <c r="S169" t="n">
        <v>3</v>
      </c>
      <c r="T169" t="n">
        <v>3</v>
      </c>
      <c r="U169" t="inlineStr">
        <is>
          <t>1996-12-01</t>
        </is>
      </c>
      <c r="V169" t="inlineStr">
        <is>
          <t>1996-12-01</t>
        </is>
      </c>
      <c r="W169" t="inlineStr">
        <is>
          <t>1992-12-11</t>
        </is>
      </c>
      <c r="X169" t="inlineStr">
        <is>
          <t>1992-12-11</t>
        </is>
      </c>
      <c r="Y169" t="n">
        <v>1385</v>
      </c>
      <c r="Z169" t="n">
        <v>1196</v>
      </c>
      <c r="AA169" t="n">
        <v>1320</v>
      </c>
      <c r="AB169" t="n">
        <v>9</v>
      </c>
      <c r="AC169" t="n">
        <v>10</v>
      </c>
      <c r="AD169" t="n">
        <v>51</v>
      </c>
      <c r="AE169" t="n">
        <v>56</v>
      </c>
      <c r="AF169" t="n">
        <v>20</v>
      </c>
      <c r="AG169" t="n">
        <v>22</v>
      </c>
      <c r="AH169" t="n">
        <v>10</v>
      </c>
      <c r="AI169" t="n">
        <v>10</v>
      </c>
      <c r="AJ169" t="n">
        <v>24</v>
      </c>
      <c r="AK169" t="n">
        <v>26</v>
      </c>
      <c r="AL169" t="n">
        <v>8</v>
      </c>
      <c r="AM169" t="n">
        <v>9</v>
      </c>
      <c r="AN169" t="n">
        <v>1</v>
      </c>
      <c r="AO169" t="n">
        <v>2</v>
      </c>
      <c r="AP169" t="inlineStr">
        <is>
          <t>No</t>
        </is>
      </c>
      <c r="AQ169" t="inlineStr">
        <is>
          <t>Yes</t>
        </is>
      </c>
      <c r="AR169">
        <f>HYPERLINK("http://catalog.hathitrust.org/Record/000328199","HathiTrust Record")</f>
        <v/>
      </c>
      <c r="AS169">
        <f>HYPERLINK("https://creighton-primo.hosted.exlibrisgroup.com/primo-explore/search?tab=default_tab&amp;search_scope=EVERYTHING&amp;vid=01CRU&amp;lang=en_US&amp;offset=0&amp;query=any,contains,991002636719702656","Catalog Record")</f>
        <v/>
      </c>
      <c r="AT169">
        <f>HYPERLINK("http://www.worldcat.org/oclc/382670","WorldCat Record")</f>
        <v/>
      </c>
      <c r="AU169" t="inlineStr">
        <is>
          <t>4160024659:eng</t>
        </is>
      </c>
      <c r="AV169" t="inlineStr">
        <is>
          <t>382670</t>
        </is>
      </c>
      <c r="AW169" t="inlineStr">
        <is>
          <t>991002636719702656</t>
        </is>
      </c>
      <c r="AX169" t="inlineStr">
        <is>
          <t>991002636719702656</t>
        </is>
      </c>
      <c r="AY169" t="inlineStr">
        <is>
          <t>2260007220002656</t>
        </is>
      </c>
      <c r="AZ169" t="inlineStr">
        <is>
          <t>BOOK</t>
        </is>
      </c>
      <c r="BC169" t="inlineStr">
        <is>
          <t>32285001440998</t>
        </is>
      </c>
      <c r="BD169" t="inlineStr">
        <is>
          <t>893530268</t>
        </is>
      </c>
    </row>
    <row r="170">
      <c r="A170" t="inlineStr">
        <is>
          <t>No</t>
        </is>
      </c>
      <c r="B170" t="inlineStr">
        <is>
          <t>E169.1 .P598 1975</t>
        </is>
      </c>
      <c r="C170" t="inlineStr">
        <is>
          <t>0                      E  0169100P  598         1975</t>
        </is>
      </c>
      <c r="D170" t="inlineStr">
        <is>
          <t>Popular culture / David Manning White, advisory editor.</t>
        </is>
      </c>
      <c r="F170" t="inlineStr">
        <is>
          <t>No</t>
        </is>
      </c>
      <c r="G170" t="inlineStr">
        <is>
          <t>1</t>
        </is>
      </c>
      <c r="H170" t="inlineStr">
        <is>
          <t>No</t>
        </is>
      </c>
      <c r="I170" t="inlineStr">
        <is>
          <t>No</t>
        </is>
      </c>
      <c r="J170" t="inlineStr">
        <is>
          <t>0</t>
        </is>
      </c>
      <c r="L170" t="inlineStr">
        <is>
          <t>New York : New York Times, 1975.</t>
        </is>
      </c>
      <c r="M170" t="inlineStr">
        <is>
          <t>1975</t>
        </is>
      </c>
      <c r="O170" t="inlineStr">
        <is>
          <t>eng</t>
        </is>
      </c>
      <c r="P170" t="inlineStr">
        <is>
          <t>nyu</t>
        </is>
      </c>
      <c r="Q170" t="inlineStr">
        <is>
          <t>The Great contemporary issues</t>
        </is>
      </c>
      <c r="R170" t="inlineStr">
        <is>
          <t xml:space="preserve">E  </t>
        </is>
      </c>
      <c r="S170" t="n">
        <v>3</v>
      </c>
      <c r="T170" t="n">
        <v>3</v>
      </c>
      <c r="U170" t="inlineStr">
        <is>
          <t>1999-04-11</t>
        </is>
      </c>
      <c r="V170" t="inlineStr">
        <is>
          <t>1999-04-11</t>
        </is>
      </c>
      <c r="W170" t="inlineStr">
        <is>
          <t>1991-10-01</t>
        </is>
      </c>
      <c r="X170" t="inlineStr">
        <is>
          <t>1991-10-01</t>
        </is>
      </c>
      <c r="Y170" t="n">
        <v>332</v>
      </c>
      <c r="Z170" t="n">
        <v>314</v>
      </c>
      <c r="AA170" t="n">
        <v>330</v>
      </c>
      <c r="AB170" t="n">
        <v>1</v>
      </c>
      <c r="AC170" t="n">
        <v>1</v>
      </c>
      <c r="AD170" t="n">
        <v>7</v>
      </c>
      <c r="AE170" t="n">
        <v>7</v>
      </c>
      <c r="AF170" t="n">
        <v>3</v>
      </c>
      <c r="AG170" t="n">
        <v>3</v>
      </c>
      <c r="AH170" t="n">
        <v>1</v>
      </c>
      <c r="AI170" t="n">
        <v>1</v>
      </c>
      <c r="AJ170" t="n">
        <v>4</v>
      </c>
      <c r="AK170" t="n">
        <v>4</v>
      </c>
      <c r="AL170" t="n">
        <v>0</v>
      </c>
      <c r="AM170" t="n">
        <v>0</v>
      </c>
      <c r="AN170" t="n">
        <v>0</v>
      </c>
      <c r="AO170" t="n">
        <v>0</v>
      </c>
      <c r="AP170" t="inlineStr">
        <is>
          <t>No</t>
        </is>
      </c>
      <c r="AQ170" t="inlineStr">
        <is>
          <t>No</t>
        </is>
      </c>
      <c r="AS170">
        <f>HYPERLINK("https://creighton-primo.hosted.exlibrisgroup.com/primo-explore/search?tab=default_tab&amp;search_scope=EVERYTHING&amp;vid=01CRU&amp;lang=en_US&amp;offset=0&amp;query=any,contains,991003702889702656","Catalog Record")</f>
        <v/>
      </c>
      <c r="AT170">
        <f>HYPERLINK("http://www.worldcat.org/oclc/1339589","WorldCat Record")</f>
        <v/>
      </c>
      <c r="AU170" t="inlineStr">
        <is>
          <t>3855325604:eng</t>
        </is>
      </c>
      <c r="AV170" t="inlineStr">
        <is>
          <t>1339589</t>
        </is>
      </c>
      <c r="AW170" t="inlineStr">
        <is>
          <t>991003702889702656</t>
        </is>
      </c>
      <c r="AX170" t="inlineStr">
        <is>
          <t>991003702889702656</t>
        </is>
      </c>
      <c r="AY170" t="inlineStr">
        <is>
          <t>2254731240002656</t>
        </is>
      </c>
      <c r="AZ170" t="inlineStr">
        <is>
          <t>BOOK</t>
        </is>
      </c>
      <c r="BB170" t="inlineStr">
        <is>
          <t>9780405066498</t>
        </is>
      </c>
      <c r="BC170" t="inlineStr">
        <is>
          <t>32285000716232</t>
        </is>
      </c>
      <c r="BD170" t="inlineStr">
        <is>
          <t>893258744</t>
        </is>
      </c>
    </row>
    <row r="171">
      <c r="A171" t="inlineStr">
        <is>
          <t>No</t>
        </is>
      </c>
      <c r="B171" t="inlineStr">
        <is>
          <t>E169.1 .R53 1992</t>
        </is>
      </c>
      <c r="C171" t="inlineStr">
        <is>
          <t>0                      E  0169100R  53          1992</t>
        </is>
      </c>
      <c r="D171" t="inlineStr">
        <is>
          <t>Right center left : essays in American history / Leo P. Ribuffo.</t>
        </is>
      </c>
      <c r="F171" t="inlineStr">
        <is>
          <t>No</t>
        </is>
      </c>
      <c r="G171" t="inlineStr">
        <is>
          <t>1</t>
        </is>
      </c>
      <c r="H171" t="inlineStr">
        <is>
          <t>No</t>
        </is>
      </c>
      <c r="I171" t="inlineStr">
        <is>
          <t>No</t>
        </is>
      </c>
      <c r="J171" t="inlineStr">
        <is>
          <t>0</t>
        </is>
      </c>
      <c r="K171" t="inlineStr">
        <is>
          <t>Ribuffo, Leo P.</t>
        </is>
      </c>
      <c r="L171" t="inlineStr">
        <is>
          <t>New Brunswick, N.J. : Rutgers University Press, c1992.</t>
        </is>
      </c>
      <c r="M171" t="inlineStr">
        <is>
          <t>1992</t>
        </is>
      </c>
      <c r="O171" t="inlineStr">
        <is>
          <t>eng</t>
        </is>
      </c>
      <c r="P171" t="inlineStr">
        <is>
          <t>nju</t>
        </is>
      </c>
      <c r="R171" t="inlineStr">
        <is>
          <t xml:space="preserve">E  </t>
        </is>
      </c>
      <c r="S171" t="n">
        <v>2</v>
      </c>
      <c r="T171" t="n">
        <v>2</v>
      </c>
      <c r="U171" t="inlineStr">
        <is>
          <t>1998-02-04</t>
        </is>
      </c>
      <c r="V171" t="inlineStr">
        <is>
          <t>1998-02-04</t>
        </is>
      </c>
      <c r="W171" t="inlineStr">
        <is>
          <t>1992-11-09</t>
        </is>
      </c>
      <c r="X171" t="inlineStr">
        <is>
          <t>1992-11-09</t>
        </is>
      </c>
      <c r="Y171" t="n">
        <v>377</v>
      </c>
      <c r="Z171" t="n">
        <v>340</v>
      </c>
      <c r="AA171" t="n">
        <v>343</v>
      </c>
      <c r="AB171" t="n">
        <v>3</v>
      </c>
      <c r="AC171" t="n">
        <v>3</v>
      </c>
      <c r="AD171" t="n">
        <v>18</v>
      </c>
      <c r="AE171" t="n">
        <v>18</v>
      </c>
      <c r="AF171" t="n">
        <v>7</v>
      </c>
      <c r="AG171" t="n">
        <v>7</v>
      </c>
      <c r="AH171" t="n">
        <v>4</v>
      </c>
      <c r="AI171" t="n">
        <v>4</v>
      </c>
      <c r="AJ171" t="n">
        <v>12</v>
      </c>
      <c r="AK171" t="n">
        <v>12</v>
      </c>
      <c r="AL171" t="n">
        <v>2</v>
      </c>
      <c r="AM171" t="n">
        <v>2</v>
      </c>
      <c r="AN171" t="n">
        <v>0</v>
      </c>
      <c r="AO171" t="n">
        <v>0</v>
      </c>
      <c r="AP171" t="inlineStr">
        <is>
          <t>No</t>
        </is>
      </c>
      <c r="AQ171" t="inlineStr">
        <is>
          <t>Yes</t>
        </is>
      </c>
      <c r="AR171">
        <f>HYPERLINK("http://catalog.hathitrust.org/Record/002530449","HathiTrust Record")</f>
        <v/>
      </c>
      <c r="AS171">
        <f>HYPERLINK("https://creighton-primo.hosted.exlibrisgroup.com/primo-explore/search?tab=default_tab&amp;search_scope=EVERYTHING&amp;vid=01CRU&amp;lang=en_US&amp;offset=0&amp;query=any,contains,991001921279702656","Catalog Record")</f>
        <v/>
      </c>
      <c r="AT171">
        <f>HYPERLINK("http://www.worldcat.org/oclc/24247134","WorldCat Record")</f>
        <v/>
      </c>
      <c r="AU171" t="inlineStr">
        <is>
          <t>27319371:eng</t>
        </is>
      </c>
      <c r="AV171" t="inlineStr">
        <is>
          <t>24247134</t>
        </is>
      </c>
      <c r="AW171" t="inlineStr">
        <is>
          <t>991001921279702656</t>
        </is>
      </c>
      <c r="AX171" t="inlineStr">
        <is>
          <t>991001921279702656</t>
        </is>
      </c>
      <c r="AY171" t="inlineStr">
        <is>
          <t>2262057090002656</t>
        </is>
      </c>
      <c r="AZ171" t="inlineStr">
        <is>
          <t>BOOK</t>
        </is>
      </c>
      <c r="BB171" t="inlineStr">
        <is>
          <t>9780813517766</t>
        </is>
      </c>
      <c r="BC171" t="inlineStr">
        <is>
          <t>32285001360998</t>
        </is>
      </c>
      <c r="BD171" t="inlineStr">
        <is>
          <t>893715831</t>
        </is>
      </c>
    </row>
    <row r="172">
      <c r="A172" t="inlineStr">
        <is>
          <t>No</t>
        </is>
      </c>
      <c r="B172" t="inlineStr">
        <is>
          <t>E169.1 .R7215 1980</t>
        </is>
      </c>
      <c r="C172" t="inlineStr">
        <is>
          <t>0                      E  0169100R  7215        1980</t>
        </is>
      </c>
      <c r="D172" t="inlineStr">
        <is>
          <t>American myth, American reality / James Oliver Robertson.</t>
        </is>
      </c>
      <c r="F172" t="inlineStr">
        <is>
          <t>No</t>
        </is>
      </c>
      <c r="G172" t="inlineStr">
        <is>
          <t>1</t>
        </is>
      </c>
      <c r="H172" t="inlineStr">
        <is>
          <t>No</t>
        </is>
      </c>
      <c r="I172" t="inlineStr">
        <is>
          <t>No</t>
        </is>
      </c>
      <c r="J172" t="inlineStr">
        <is>
          <t>0</t>
        </is>
      </c>
      <c r="K172" t="inlineStr">
        <is>
          <t>Robertson, James Oliver.</t>
        </is>
      </c>
      <c r="L172" t="inlineStr">
        <is>
          <t>New York : Hill &amp; Wang, 1980.</t>
        </is>
      </c>
      <c r="M172" t="inlineStr">
        <is>
          <t>1980</t>
        </is>
      </c>
      <c r="N172" t="inlineStr">
        <is>
          <t>1st ed.</t>
        </is>
      </c>
      <c r="O172" t="inlineStr">
        <is>
          <t>eng</t>
        </is>
      </c>
      <c r="P172" t="inlineStr">
        <is>
          <t>nyu</t>
        </is>
      </c>
      <c r="R172" t="inlineStr">
        <is>
          <t xml:space="preserve">E  </t>
        </is>
      </c>
      <c r="S172" t="n">
        <v>10</v>
      </c>
      <c r="T172" t="n">
        <v>10</v>
      </c>
      <c r="U172" t="inlineStr">
        <is>
          <t>2002-04-26</t>
        </is>
      </c>
      <c r="V172" t="inlineStr">
        <is>
          <t>2002-04-26</t>
        </is>
      </c>
      <c r="W172" t="inlineStr">
        <is>
          <t>1990-02-14</t>
        </is>
      </c>
      <c r="X172" t="inlineStr">
        <is>
          <t>1990-02-14</t>
        </is>
      </c>
      <c r="Y172" t="n">
        <v>1202</v>
      </c>
      <c r="Z172" t="n">
        <v>1088</v>
      </c>
      <c r="AA172" t="n">
        <v>1093</v>
      </c>
      <c r="AB172" t="n">
        <v>10</v>
      </c>
      <c r="AC172" t="n">
        <v>10</v>
      </c>
      <c r="AD172" t="n">
        <v>43</v>
      </c>
      <c r="AE172" t="n">
        <v>43</v>
      </c>
      <c r="AF172" t="n">
        <v>17</v>
      </c>
      <c r="AG172" t="n">
        <v>17</v>
      </c>
      <c r="AH172" t="n">
        <v>9</v>
      </c>
      <c r="AI172" t="n">
        <v>9</v>
      </c>
      <c r="AJ172" t="n">
        <v>21</v>
      </c>
      <c r="AK172" t="n">
        <v>21</v>
      </c>
      <c r="AL172" t="n">
        <v>7</v>
      </c>
      <c r="AM172" t="n">
        <v>7</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HYPERLINK("https://creighton-primo.hosted.exlibrisgroup.com/primo-explore/search?tab=default_tab&amp;search_scope=EVERYTHING&amp;vid=01CRU&amp;lang=en_US&amp;offset=0&amp;query=any,contains,991004991279702656","Catalog Record")</f>
        <v/>
      </c>
      <c r="AT172">
        <f>HYPERLINK("http://www.worldcat.org/oclc/6487389","WorldCat Record")</f>
        <v/>
      </c>
      <c r="AU172" t="inlineStr">
        <is>
          <t>465900:eng</t>
        </is>
      </c>
      <c r="AV172" t="inlineStr">
        <is>
          <t>6487389</t>
        </is>
      </c>
      <c r="AW172" t="inlineStr">
        <is>
          <t>991004991279702656</t>
        </is>
      </c>
      <c r="AX172" t="inlineStr">
        <is>
          <t>991004991279702656</t>
        </is>
      </c>
      <c r="AY172" t="inlineStr">
        <is>
          <t>2271843400002656</t>
        </is>
      </c>
      <c r="AZ172" t="inlineStr">
        <is>
          <t>BOOK</t>
        </is>
      </c>
      <c r="BB172" t="inlineStr">
        <is>
          <t>9780809025046</t>
        </is>
      </c>
      <c r="BC172" t="inlineStr">
        <is>
          <t>32285000052414</t>
        </is>
      </c>
      <c r="BD172" t="inlineStr">
        <is>
          <t>893501171</t>
        </is>
      </c>
    </row>
    <row r="173">
      <c r="A173" t="inlineStr">
        <is>
          <t>No</t>
        </is>
      </c>
      <c r="B173" t="inlineStr">
        <is>
          <t>E169.1 .R77556 2002</t>
        </is>
      </c>
      <c r="C173" t="inlineStr">
        <is>
          <t>0                      E  0169100R  77556       2002</t>
        </is>
      </c>
      <c r="D173" t="inlineStr">
        <is>
          <t>Where we stand : 30 reasons for loving our country / Roger Rosenblatt.</t>
        </is>
      </c>
      <c r="F173" t="inlineStr">
        <is>
          <t>No</t>
        </is>
      </c>
      <c r="G173" t="inlineStr">
        <is>
          <t>1</t>
        </is>
      </c>
      <c r="H173" t="inlineStr">
        <is>
          <t>No</t>
        </is>
      </c>
      <c r="I173" t="inlineStr">
        <is>
          <t>No</t>
        </is>
      </c>
      <c r="J173" t="inlineStr">
        <is>
          <t>0</t>
        </is>
      </c>
      <c r="K173" t="inlineStr">
        <is>
          <t>Rosenblatt, Roger.</t>
        </is>
      </c>
      <c r="L173" t="inlineStr">
        <is>
          <t>New York : Harcourt, c2002.</t>
        </is>
      </c>
      <c r="M173" t="inlineStr">
        <is>
          <t>2002</t>
        </is>
      </c>
      <c r="N173" t="inlineStr">
        <is>
          <t>1st ed.</t>
        </is>
      </c>
      <c r="O173" t="inlineStr">
        <is>
          <t>eng</t>
        </is>
      </c>
      <c r="P173" t="inlineStr">
        <is>
          <t>nyu</t>
        </is>
      </c>
      <c r="R173" t="inlineStr">
        <is>
          <t xml:space="preserve">E  </t>
        </is>
      </c>
      <c r="S173" t="n">
        <v>2</v>
      </c>
      <c r="T173" t="n">
        <v>2</v>
      </c>
      <c r="U173" t="inlineStr">
        <is>
          <t>2002-07-16</t>
        </is>
      </c>
      <c r="V173" t="inlineStr">
        <is>
          <t>2002-07-16</t>
        </is>
      </c>
      <c r="W173" t="inlineStr">
        <is>
          <t>2002-06-27</t>
        </is>
      </c>
      <c r="X173" t="inlineStr">
        <is>
          <t>2002-06-27</t>
        </is>
      </c>
      <c r="Y173" t="n">
        <v>489</v>
      </c>
      <c r="Z173" t="n">
        <v>479</v>
      </c>
      <c r="AA173" t="n">
        <v>549</v>
      </c>
      <c r="AB173" t="n">
        <v>1</v>
      </c>
      <c r="AC173" t="n">
        <v>2</v>
      </c>
      <c r="AD173" t="n">
        <v>4</v>
      </c>
      <c r="AE173" t="n">
        <v>4</v>
      </c>
      <c r="AF173" t="n">
        <v>2</v>
      </c>
      <c r="AG173" t="n">
        <v>2</v>
      </c>
      <c r="AH173" t="n">
        <v>1</v>
      </c>
      <c r="AI173" t="n">
        <v>1</v>
      </c>
      <c r="AJ173" t="n">
        <v>1</v>
      </c>
      <c r="AK173" t="n">
        <v>1</v>
      </c>
      <c r="AL173" t="n">
        <v>0</v>
      </c>
      <c r="AM173" t="n">
        <v>0</v>
      </c>
      <c r="AN173" t="n">
        <v>0</v>
      </c>
      <c r="AO173" t="n">
        <v>0</v>
      </c>
      <c r="AP173" t="inlineStr">
        <is>
          <t>No</t>
        </is>
      </c>
      <c r="AQ173" t="inlineStr">
        <is>
          <t>No</t>
        </is>
      </c>
      <c r="AS173">
        <f>HYPERLINK("https://creighton-primo.hosted.exlibrisgroup.com/primo-explore/search?tab=default_tab&amp;search_scope=EVERYTHING&amp;vid=01CRU&amp;lang=en_US&amp;offset=0&amp;query=any,contains,991003825909702656","Catalog Record")</f>
        <v/>
      </c>
      <c r="AT173">
        <f>HYPERLINK("http://www.worldcat.org/oclc/49031918","WorldCat Record")</f>
        <v/>
      </c>
      <c r="AU173" t="inlineStr">
        <is>
          <t>2547635:eng</t>
        </is>
      </c>
      <c r="AV173" t="inlineStr">
        <is>
          <t>49031918</t>
        </is>
      </c>
      <c r="AW173" t="inlineStr">
        <is>
          <t>991003825909702656</t>
        </is>
      </c>
      <c r="AX173" t="inlineStr">
        <is>
          <t>991003825909702656</t>
        </is>
      </c>
      <c r="AY173" t="inlineStr">
        <is>
          <t>2258208500002656</t>
        </is>
      </c>
      <c r="AZ173" t="inlineStr">
        <is>
          <t>BOOK</t>
        </is>
      </c>
      <c r="BB173" t="inlineStr">
        <is>
          <t>9780151007226</t>
        </is>
      </c>
      <c r="BC173" t="inlineStr">
        <is>
          <t>32285004495940</t>
        </is>
      </c>
      <c r="BD173" t="inlineStr">
        <is>
          <t>893343066</t>
        </is>
      </c>
    </row>
    <row r="174">
      <c r="A174" t="inlineStr">
        <is>
          <t>No</t>
        </is>
      </c>
      <c r="B174" t="inlineStr">
        <is>
          <t>E169.1 .R7776</t>
        </is>
      </c>
      <c r="C174" t="inlineStr">
        <is>
          <t>0                      E  0169100R  7776</t>
        </is>
      </c>
      <c r="D174" t="inlineStr">
        <is>
          <t>American dreams : meditations on life in the United States / John K. Roth.</t>
        </is>
      </c>
      <c r="F174" t="inlineStr">
        <is>
          <t>No</t>
        </is>
      </c>
      <c r="G174" t="inlineStr">
        <is>
          <t>1</t>
        </is>
      </c>
      <c r="H174" t="inlineStr">
        <is>
          <t>No</t>
        </is>
      </c>
      <c r="I174" t="inlineStr">
        <is>
          <t>No</t>
        </is>
      </c>
      <c r="J174" t="inlineStr">
        <is>
          <t>0</t>
        </is>
      </c>
      <c r="K174" t="inlineStr">
        <is>
          <t>Roth, John K.</t>
        </is>
      </c>
      <c r="L174" t="inlineStr">
        <is>
          <t>San Francisco : Chandler &amp; Sharp Publishers, c1976.</t>
        </is>
      </c>
      <c r="M174" t="inlineStr">
        <is>
          <t>1976</t>
        </is>
      </c>
      <c r="O174" t="inlineStr">
        <is>
          <t>eng</t>
        </is>
      </c>
      <c r="P174" t="inlineStr">
        <is>
          <t>cau</t>
        </is>
      </c>
      <c r="R174" t="inlineStr">
        <is>
          <t xml:space="preserve">E  </t>
        </is>
      </c>
      <c r="S174" t="n">
        <v>3</v>
      </c>
      <c r="T174" t="n">
        <v>3</v>
      </c>
      <c r="U174" t="inlineStr">
        <is>
          <t>1998-04-24</t>
        </is>
      </c>
      <c r="V174" t="inlineStr">
        <is>
          <t>1998-04-24</t>
        </is>
      </c>
      <c r="W174" t="inlineStr">
        <is>
          <t>1997-04-03</t>
        </is>
      </c>
      <c r="X174" t="inlineStr">
        <is>
          <t>1997-04-03</t>
        </is>
      </c>
      <c r="Y174" t="n">
        <v>193</v>
      </c>
      <c r="Z174" t="n">
        <v>181</v>
      </c>
      <c r="AA174" t="n">
        <v>186</v>
      </c>
      <c r="AB174" t="n">
        <v>1</v>
      </c>
      <c r="AC174" t="n">
        <v>1</v>
      </c>
      <c r="AD174" t="n">
        <v>9</v>
      </c>
      <c r="AE174" t="n">
        <v>9</v>
      </c>
      <c r="AF174" t="n">
        <v>2</v>
      </c>
      <c r="AG174" t="n">
        <v>2</v>
      </c>
      <c r="AH174" t="n">
        <v>2</v>
      </c>
      <c r="AI174" t="n">
        <v>2</v>
      </c>
      <c r="AJ174" t="n">
        <v>7</v>
      </c>
      <c r="AK174" t="n">
        <v>7</v>
      </c>
      <c r="AL174" t="n">
        <v>0</v>
      </c>
      <c r="AM174" t="n">
        <v>0</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HYPERLINK("https://creighton-primo.hosted.exlibrisgroup.com/primo-explore/search?tab=default_tab&amp;search_scope=EVERYTHING&amp;vid=01CRU&amp;lang=en_US&amp;offset=0&amp;query=any,contains,991004103399702656","Catalog Record")</f>
        <v/>
      </c>
      <c r="AT174">
        <f>HYPERLINK("http://www.worldcat.org/oclc/2373393","WorldCat Record")</f>
        <v/>
      </c>
      <c r="AU174" t="inlineStr">
        <is>
          <t>543134:eng</t>
        </is>
      </c>
      <c r="AV174" t="inlineStr">
        <is>
          <t>2373393</t>
        </is>
      </c>
      <c r="AW174" t="inlineStr">
        <is>
          <t>991004103399702656</t>
        </is>
      </c>
      <c r="AX174" t="inlineStr">
        <is>
          <t>991004103399702656</t>
        </is>
      </c>
      <c r="AY174" t="inlineStr">
        <is>
          <t>2257202300002656</t>
        </is>
      </c>
      <c r="AZ174" t="inlineStr">
        <is>
          <t>BOOK</t>
        </is>
      </c>
      <c r="BB174" t="inlineStr">
        <is>
          <t>9780883165270</t>
        </is>
      </c>
      <c r="BC174" t="inlineStr">
        <is>
          <t>32285002501459</t>
        </is>
      </c>
      <c r="BD174" t="inlineStr">
        <is>
          <t>893318803</t>
        </is>
      </c>
    </row>
    <row r="175">
      <c r="A175" t="inlineStr">
        <is>
          <t>No</t>
        </is>
      </c>
      <c r="B175" t="inlineStr">
        <is>
          <t>E169.1 .R78 1965</t>
        </is>
      </c>
      <c r="C175" t="inlineStr">
        <is>
          <t>0                      E  0169100R  78          1965</t>
        </is>
      </c>
      <c r="D175" t="inlineStr">
        <is>
          <t>The roots of American culture and other essays.</t>
        </is>
      </c>
      <c r="F175" t="inlineStr">
        <is>
          <t>No</t>
        </is>
      </c>
      <c r="G175" t="inlineStr">
        <is>
          <t>1</t>
        </is>
      </c>
      <c r="H175" t="inlineStr">
        <is>
          <t>No</t>
        </is>
      </c>
      <c r="I175" t="inlineStr">
        <is>
          <t>No</t>
        </is>
      </c>
      <c r="J175" t="inlineStr">
        <is>
          <t>0</t>
        </is>
      </c>
      <c r="K175" t="inlineStr">
        <is>
          <t>Rourke, Constance, 1885-1941.</t>
        </is>
      </c>
      <c r="L175" t="inlineStr">
        <is>
          <t>Port Washington, N.Y., Kennikat Press [1965, c1942]</t>
        </is>
      </c>
      <c r="M175" t="inlineStr">
        <is>
          <t>1965</t>
        </is>
      </c>
      <c r="O175" t="inlineStr">
        <is>
          <t>eng</t>
        </is>
      </c>
      <c r="P175" t="inlineStr">
        <is>
          <t xml:space="preserve">xx </t>
        </is>
      </c>
      <c r="R175" t="inlineStr">
        <is>
          <t xml:space="preserve">E  </t>
        </is>
      </c>
      <c r="S175" t="n">
        <v>1</v>
      </c>
      <c r="T175" t="n">
        <v>1</v>
      </c>
      <c r="U175" t="inlineStr">
        <is>
          <t>2002-04-26</t>
        </is>
      </c>
      <c r="V175" t="inlineStr">
        <is>
          <t>2002-04-26</t>
        </is>
      </c>
      <c r="W175" t="inlineStr">
        <is>
          <t>1997-04-03</t>
        </is>
      </c>
      <c r="X175" t="inlineStr">
        <is>
          <t>1997-04-03</t>
        </is>
      </c>
      <c r="Y175" t="n">
        <v>305</v>
      </c>
      <c r="Z175" t="n">
        <v>293</v>
      </c>
      <c r="AA175" t="n">
        <v>955</v>
      </c>
      <c r="AB175" t="n">
        <v>4</v>
      </c>
      <c r="AC175" t="n">
        <v>8</v>
      </c>
      <c r="AD175" t="n">
        <v>19</v>
      </c>
      <c r="AE175" t="n">
        <v>46</v>
      </c>
      <c r="AF175" t="n">
        <v>8</v>
      </c>
      <c r="AG175" t="n">
        <v>23</v>
      </c>
      <c r="AH175" t="n">
        <v>4</v>
      </c>
      <c r="AI175" t="n">
        <v>8</v>
      </c>
      <c r="AJ175" t="n">
        <v>10</v>
      </c>
      <c r="AK175" t="n">
        <v>21</v>
      </c>
      <c r="AL175" t="n">
        <v>3</v>
      </c>
      <c r="AM175" t="n">
        <v>7</v>
      </c>
      <c r="AN175" t="n">
        <v>0</v>
      </c>
      <c r="AO175" t="n">
        <v>0</v>
      </c>
      <c r="AP175" t="inlineStr">
        <is>
          <t>No</t>
        </is>
      </c>
      <c r="AQ175" t="inlineStr">
        <is>
          <t>Yes</t>
        </is>
      </c>
      <c r="AR175">
        <f>HYPERLINK("http://catalog.hathitrust.org/Record/000329375","HathiTrust Record")</f>
        <v/>
      </c>
      <c r="AS175">
        <f>HYPERLINK("https://creighton-primo.hosted.exlibrisgroup.com/primo-explore/search?tab=default_tab&amp;search_scope=EVERYTHING&amp;vid=01CRU&amp;lang=en_US&amp;offset=0&amp;query=any,contains,991002737759702656","Catalog Record")</f>
        <v/>
      </c>
      <c r="AT175">
        <f>HYPERLINK("http://www.worldcat.org/oclc/419882","WorldCat Record")</f>
        <v/>
      </c>
      <c r="AU175" t="inlineStr">
        <is>
          <t>1493329:eng</t>
        </is>
      </c>
      <c r="AV175" t="inlineStr">
        <is>
          <t>419882</t>
        </is>
      </c>
      <c r="AW175" t="inlineStr">
        <is>
          <t>991002737759702656</t>
        </is>
      </c>
      <c r="AX175" t="inlineStr">
        <is>
          <t>991002737759702656</t>
        </is>
      </c>
      <c r="AY175" t="inlineStr">
        <is>
          <t>2261743700002656</t>
        </is>
      </c>
      <c r="AZ175" t="inlineStr">
        <is>
          <t>BOOK</t>
        </is>
      </c>
      <c r="BC175" t="inlineStr">
        <is>
          <t>32285002501467</t>
        </is>
      </c>
      <c r="BD175" t="inlineStr">
        <is>
          <t>893804959</t>
        </is>
      </c>
    </row>
    <row r="176">
      <c r="A176" t="inlineStr">
        <is>
          <t>No</t>
        </is>
      </c>
      <c r="B176" t="inlineStr">
        <is>
          <t>E169.1 .S198 1997</t>
        </is>
      </c>
      <c r="C176" t="inlineStr">
        <is>
          <t>0                      E  0169100S  198         1997</t>
        </is>
      </c>
      <c r="D176" t="inlineStr">
        <is>
          <t>Assimilation, American style / Peter D. Salins.</t>
        </is>
      </c>
      <c r="F176" t="inlineStr">
        <is>
          <t>No</t>
        </is>
      </c>
      <c r="G176" t="inlineStr">
        <is>
          <t>1</t>
        </is>
      </c>
      <c r="H176" t="inlineStr">
        <is>
          <t>No</t>
        </is>
      </c>
      <c r="I176" t="inlineStr">
        <is>
          <t>No</t>
        </is>
      </c>
      <c r="J176" t="inlineStr">
        <is>
          <t>0</t>
        </is>
      </c>
      <c r="K176" t="inlineStr">
        <is>
          <t>Salins, Peter D.</t>
        </is>
      </c>
      <c r="L176" t="inlineStr">
        <is>
          <t>New York : Basic Books, c1997.</t>
        </is>
      </c>
      <c r="M176" t="inlineStr">
        <is>
          <t>1997</t>
        </is>
      </c>
      <c r="N176" t="inlineStr">
        <is>
          <t>1st ed.</t>
        </is>
      </c>
      <c r="O176" t="inlineStr">
        <is>
          <t>eng</t>
        </is>
      </c>
      <c r="P176" t="inlineStr">
        <is>
          <t>nyu</t>
        </is>
      </c>
      <c r="R176" t="inlineStr">
        <is>
          <t xml:space="preserve">E  </t>
        </is>
      </c>
      <c r="S176" t="n">
        <v>1</v>
      </c>
      <c r="T176" t="n">
        <v>1</v>
      </c>
      <c r="U176" t="inlineStr">
        <is>
          <t>2001-03-18</t>
        </is>
      </c>
      <c r="V176" t="inlineStr">
        <is>
          <t>2001-03-18</t>
        </is>
      </c>
      <c r="W176" t="inlineStr">
        <is>
          <t>1997-02-19</t>
        </is>
      </c>
      <c r="X176" t="inlineStr">
        <is>
          <t>1997-02-19</t>
        </is>
      </c>
      <c r="Y176" t="n">
        <v>710</v>
      </c>
      <c r="Z176" t="n">
        <v>661</v>
      </c>
      <c r="AA176" t="n">
        <v>678</v>
      </c>
      <c r="AB176" t="n">
        <v>7</v>
      </c>
      <c r="AC176" t="n">
        <v>7</v>
      </c>
      <c r="AD176" t="n">
        <v>29</v>
      </c>
      <c r="AE176" t="n">
        <v>29</v>
      </c>
      <c r="AF176" t="n">
        <v>9</v>
      </c>
      <c r="AG176" t="n">
        <v>9</v>
      </c>
      <c r="AH176" t="n">
        <v>5</v>
      </c>
      <c r="AI176" t="n">
        <v>5</v>
      </c>
      <c r="AJ176" t="n">
        <v>16</v>
      </c>
      <c r="AK176" t="n">
        <v>16</v>
      </c>
      <c r="AL176" t="n">
        <v>5</v>
      </c>
      <c r="AM176" t="n">
        <v>5</v>
      </c>
      <c r="AN176" t="n">
        <v>0</v>
      </c>
      <c r="AO176" t="n">
        <v>0</v>
      </c>
      <c r="AP176" t="inlineStr">
        <is>
          <t>No</t>
        </is>
      </c>
      <c r="AQ176" t="inlineStr">
        <is>
          <t>Yes</t>
        </is>
      </c>
      <c r="AR176">
        <f>HYPERLINK("http://catalog.hathitrust.org/Record/003124623","HathiTrust Record")</f>
        <v/>
      </c>
      <c r="AS176">
        <f>HYPERLINK("https://creighton-primo.hosted.exlibrisgroup.com/primo-explore/search?tab=default_tab&amp;search_scope=EVERYTHING&amp;vid=01CRU&amp;lang=en_US&amp;offset=0&amp;query=any,contains,991002669399702656","Catalog Record")</f>
        <v/>
      </c>
      <c r="AT176">
        <f>HYPERLINK("http://www.worldcat.org/oclc/34912755","WorldCat Record")</f>
        <v/>
      </c>
      <c r="AU176" t="inlineStr">
        <is>
          <t>39774802:eng</t>
        </is>
      </c>
      <c r="AV176" t="inlineStr">
        <is>
          <t>34912755</t>
        </is>
      </c>
      <c r="AW176" t="inlineStr">
        <is>
          <t>991002669399702656</t>
        </is>
      </c>
      <c r="AX176" t="inlineStr">
        <is>
          <t>991002669399702656</t>
        </is>
      </c>
      <c r="AY176" t="inlineStr">
        <is>
          <t>2258816270002656</t>
        </is>
      </c>
      <c r="AZ176" t="inlineStr">
        <is>
          <t>BOOK</t>
        </is>
      </c>
      <c r="BB176" t="inlineStr">
        <is>
          <t>9780465098170</t>
        </is>
      </c>
      <c r="BC176" t="inlineStr">
        <is>
          <t>32285002431889</t>
        </is>
      </c>
      <c r="BD176" t="inlineStr">
        <is>
          <t>893622571</t>
        </is>
      </c>
    </row>
    <row r="177">
      <c r="A177" t="inlineStr">
        <is>
          <t>No</t>
        </is>
      </c>
      <c r="B177" t="inlineStr">
        <is>
          <t>E169.1 .S53</t>
        </is>
      </c>
      <c r="C177" t="inlineStr">
        <is>
          <t>0                      E  0169100S  53</t>
        </is>
      </c>
      <c r="D177" t="inlineStr">
        <is>
          <t>Shaping the American character / edited by John R. M. Wilson.</t>
        </is>
      </c>
      <c r="F177" t="inlineStr">
        <is>
          <t>No</t>
        </is>
      </c>
      <c r="G177" t="inlineStr">
        <is>
          <t>1</t>
        </is>
      </c>
      <c r="H177" t="inlineStr">
        <is>
          <t>No</t>
        </is>
      </c>
      <c r="I177" t="inlineStr">
        <is>
          <t>No</t>
        </is>
      </c>
      <c r="J177" t="inlineStr">
        <is>
          <t>0</t>
        </is>
      </c>
      <c r="L177" t="inlineStr">
        <is>
          <t>Lanham, Md. : University Press of America, [1980]</t>
        </is>
      </c>
      <c r="M177" t="inlineStr">
        <is>
          <t>1980</t>
        </is>
      </c>
      <c r="O177" t="inlineStr">
        <is>
          <t>eng</t>
        </is>
      </c>
      <c r="P177" t="inlineStr">
        <is>
          <t>mdu</t>
        </is>
      </c>
      <c r="R177" t="inlineStr">
        <is>
          <t xml:space="preserve">E  </t>
        </is>
      </c>
      <c r="S177" t="n">
        <v>6</v>
      </c>
      <c r="T177" t="n">
        <v>6</v>
      </c>
      <c r="U177" t="inlineStr">
        <is>
          <t>2002-04-26</t>
        </is>
      </c>
      <c r="V177" t="inlineStr">
        <is>
          <t>2002-04-26</t>
        </is>
      </c>
      <c r="W177" t="inlineStr">
        <is>
          <t>1990-05-02</t>
        </is>
      </c>
      <c r="X177" t="inlineStr">
        <is>
          <t>1990-05-02</t>
        </is>
      </c>
      <c r="Y177" t="n">
        <v>63</v>
      </c>
      <c r="Z177" t="n">
        <v>57</v>
      </c>
      <c r="AA177" t="n">
        <v>58</v>
      </c>
      <c r="AB177" t="n">
        <v>2</v>
      </c>
      <c r="AC177" t="n">
        <v>2</v>
      </c>
      <c r="AD177" t="n">
        <v>4</v>
      </c>
      <c r="AE177" t="n">
        <v>4</v>
      </c>
      <c r="AF177" t="n">
        <v>1</v>
      </c>
      <c r="AG177" t="n">
        <v>1</v>
      </c>
      <c r="AH177" t="n">
        <v>2</v>
      </c>
      <c r="AI177" t="n">
        <v>2</v>
      </c>
      <c r="AJ177" t="n">
        <v>1</v>
      </c>
      <c r="AK177" t="n">
        <v>1</v>
      </c>
      <c r="AL177" t="n">
        <v>1</v>
      </c>
      <c r="AM177" t="n">
        <v>1</v>
      </c>
      <c r="AN177" t="n">
        <v>0</v>
      </c>
      <c r="AO177" t="n">
        <v>0</v>
      </c>
      <c r="AP177" t="inlineStr">
        <is>
          <t>No</t>
        </is>
      </c>
      <c r="AQ177" t="inlineStr">
        <is>
          <t>Yes</t>
        </is>
      </c>
      <c r="AR177">
        <f>HYPERLINK("http://catalog.hathitrust.org/Record/006002956","HathiTrust Record")</f>
        <v/>
      </c>
      <c r="AS177">
        <f>HYPERLINK("https://creighton-primo.hosted.exlibrisgroup.com/primo-explore/search?tab=default_tab&amp;search_scope=EVERYTHING&amp;vid=01CRU&amp;lang=en_US&amp;offset=0&amp;query=any,contains,991005004239702656","Catalog Record")</f>
        <v/>
      </c>
      <c r="AT177">
        <f>HYPERLINK("http://www.worldcat.org/oclc/6555825","WorldCat Record")</f>
        <v/>
      </c>
      <c r="AU177" t="inlineStr">
        <is>
          <t>22740776:eng</t>
        </is>
      </c>
      <c r="AV177" t="inlineStr">
        <is>
          <t>6555825</t>
        </is>
      </c>
      <c r="AW177" t="inlineStr">
        <is>
          <t>991005004239702656</t>
        </is>
      </c>
      <c r="AX177" t="inlineStr">
        <is>
          <t>991005004239702656</t>
        </is>
      </c>
      <c r="AY177" t="inlineStr">
        <is>
          <t>2254820210002656</t>
        </is>
      </c>
      <c r="AZ177" t="inlineStr">
        <is>
          <t>BOOK</t>
        </is>
      </c>
      <c r="BB177" t="inlineStr">
        <is>
          <t>9780819111654</t>
        </is>
      </c>
      <c r="BC177" t="inlineStr">
        <is>
          <t>32285000146539</t>
        </is>
      </c>
      <c r="BD177" t="inlineStr">
        <is>
          <t>893430707</t>
        </is>
      </c>
    </row>
    <row r="178">
      <c r="A178" t="inlineStr">
        <is>
          <t>No</t>
        </is>
      </c>
      <c r="B178" t="inlineStr">
        <is>
          <t>E169.1 .S5558 1995</t>
        </is>
      </c>
      <c r="C178" t="inlineStr">
        <is>
          <t>0                      E  0169100S  5558        1995</t>
        </is>
      </c>
      <c r="D178" t="inlineStr">
        <is>
          <t>Facing facts : realism in American thought and culture, 1850-1920 / David E. Shi.</t>
        </is>
      </c>
      <c r="F178" t="inlineStr">
        <is>
          <t>No</t>
        </is>
      </c>
      <c r="G178" t="inlineStr">
        <is>
          <t>1</t>
        </is>
      </c>
      <c r="H178" t="inlineStr">
        <is>
          <t>No</t>
        </is>
      </c>
      <c r="I178" t="inlineStr">
        <is>
          <t>No</t>
        </is>
      </c>
      <c r="J178" t="inlineStr">
        <is>
          <t>0</t>
        </is>
      </c>
      <c r="K178" t="inlineStr">
        <is>
          <t>Shi, David Emory.</t>
        </is>
      </c>
      <c r="L178" t="inlineStr">
        <is>
          <t>New York : Oxford University Press, 1995.</t>
        </is>
      </c>
      <c r="M178" t="inlineStr">
        <is>
          <t>1995</t>
        </is>
      </c>
      <c r="O178" t="inlineStr">
        <is>
          <t>eng</t>
        </is>
      </c>
      <c r="P178" t="inlineStr">
        <is>
          <t>nyu</t>
        </is>
      </c>
      <c r="R178" t="inlineStr">
        <is>
          <t xml:space="preserve">E  </t>
        </is>
      </c>
      <c r="S178" t="n">
        <v>7</v>
      </c>
      <c r="T178" t="n">
        <v>7</v>
      </c>
      <c r="U178" t="inlineStr">
        <is>
          <t>2002-05-07</t>
        </is>
      </c>
      <c r="V178" t="inlineStr">
        <is>
          <t>2002-05-07</t>
        </is>
      </c>
      <c r="W178" t="inlineStr">
        <is>
          <t>1995-08-22</t>
        </is>
      </c>
      <c r="X178" t="inlineStr">
        <is>
          <t>1995-08-22</t>
        </is>
      </c>
      <c r="Y178" t="n">
        <v>813</v>
      </c>
      <c r="Z178" t="n">
        <v>715</v>
      </c>
      <c r="AA178" t="n">
        <v>831</v>
      </c>
      <c r="AB178" t="n">
        <v>7</v>
      </c>
      <c r="AC178" t="n">
        <v>8</v>
      </c>
      <c r="AD178" t="n">
        <v>43</v>
      </c>
      <c r="AE178" t="n">
        <v>47</v>
      </c>
      <c r="AF178" t="n">
        <v>19</v>
      </c>
      <c r="AG178" t="n">
        <v>21</v>
      </c>
      <c r="AH178" t="n">
        <v>9</v>
      </c>
      <c r="AI178" t="n">
        <v>10</v>
      </c>
      <c r="AJ178" t="n">
        <v>19</v>
      </c>
      <c r="AK178" t="n">
        <v>21</v>
      </c>
      <c r="AL178" t="n">
        <v>6</v>
      </c>
      <c r="AM178" t="n">
        <v>6</v>
      </c>
      <c r="AN178" t="n">
        <v>1</v>
      </c>
      <c r="AO178" t="n">
        <v>1</v>
      </c>
      <c r="AP178" t="inlineStr">
        <is>
          <t>No</t>
        </is>
      </c>
      <c r="AQ178" t="inlineStr">
        <is>
          <t>Yes</t>
        </is>
      </c>
      <c r="AR178">
        <f>HYPERLINK("http://catalog.hathitrust.org/Record/002906613","HathiTrust Record")</f>
        <v/>
      </c>
      <c r="AS178">
        <f>HYPERLINK("https://creighton-primo.hosted.exlibrisgroup.com/primo-explore/search?tab=default_tab&amp;search_scope=EVERYTHING&amp;vid=01CRU&amp;lang=en_US&amp;offset=0&amp;query=any,contains,991002253079702656","Catalog Record")</f>
        <v/>
      </c>
      <c r="AT178">
        <f>HYPERLINK("http://www.worldcat.org/oclc/29184878","WorldCat Record")</f>
        <v/>
      </c>
      <c r="AU178" t="inlineStr">
        <is>
          <t>836928435:eng</t>
        </is>
      </c>
      <c r="AV178" t="inlineStr">
        <is>
          <t>29184878</t>
        </is>
      </c>
      <c r="AW178" t="inlineStr">
        <is>
          <t>991002253079702656</t>
        </is>
      </c>
      <c r="AX178" t="inlineStr">
        <is>
          <t>991002253079702656</t>
        </is>
      </c>
      <c r="AY178" t="inlineStr">
        <is>
          <t>2263557160002656</t>
        </is>
      </c>
      <c r="AZ178" t="inlineStr">
        <is>
          <t>BOOK</t>
        </is>
      </c>
      <c r="BB178" t="inlineStr">
        <is>
          <t>9780195038927</t>
        </is>
      </c>
      <c r="BC178" t="inlineStr">
        <is>
          <t>32285002078912</t>
        </is>
      </c>
      <c r="BD178" t="inlineStr">
        <is>
          <t>893773393</t>
        </is>
      </c>
    </row>
    <row r="179">
      <c r="A179" t="inlineStr">
        <is>
          <t>No</t>
        </is>
      </c>
      <c r="B179" t="inlineStr">
        <is>
          <t>E169.1 .S5585 2004</t>
        </is>
      </c>
      <c r="C179" t="inlineStr">
        <is>
          <t>0                      E  0169100S  5585        2004</t>
        </is>
      </c>
      <c r="D179" t="inlineStr">
        <is>
          <t>The Gilded Age / Joel Shrock.</t>
        </is>
      </c>
      <c r="F179" t="inlineStr">
        <is>
          <t>No</t>
        </is>
      </c>
      <c r="G179" t="inlineStr">
        <is>
          <t>1</t>
        </is>
      </c>
      <c r="H179" t="inlineStr">
        <is>
          <t>No</t>
        </is>
      </c>
      <c r="I179" t="inlineStr">
        <is>
          <t>No</t>
        </is>
      </c>
      <c r="J179" t="inlineStr">
        <is>
          <t>0</t>
        </is>
      </c>
      <c r="K179" t="inlineStr">
        <is>
          <t>Shrock, Joel.</t>
        </is>
      </c>
      <c r="L179" t="inlineStr">
        <is>
          <t>Westport, Conn. : Greenwood Press, 2004.</t>
        </is>
      </c>
      <c r="M179" t="inlineStr">
        <is>
          <t>2004</t>
        </is>
      </c>
      <c r="O179" t="inlineStr">
        <is>
          <t>eng</t>
        </is>
      </c>
      <c r="P179" t="inlineStr">
        <is>
          <t>ctu</t>
        </is>
      </c>
      <c r="Q179" t="inlineStr">
        <is>
          <t>American popular culture through history</t>
        </is>
      </c>
      <c r="R179" t="inlineStr">
        <is>
          <t xml:space="preserve">E  </t>
        </is>
      </c>
      <c r="S179" t="n">
        <v>2</v>
      </c>
      <c r="T179" t="n">
        <v>2</v>
      </c>
      <c r="U179" t="inlineStr">
        <is>
          <t>2004-08-30</t>
        </is>
      </c>
      <c r="V179" t="inlineStr">
        <is>
          <t>2004-08-30</t>
        </is>
      </c>
      <c r="W179" t="inlineStr">
        <is>
          <t>2004-08-30</t>
        </is>
      </c>
      <c r="X179" t="inlineStr">
        <is>
          <t>2004-08-30</t>
        </is>
      </c>
      <c r="Y179" t="n">
        <v>535</v>
      </c>
      <c r="Z179" t="n">
        <v>506</v>
      </c>
      <c r="AA179" t="n">
        <v>851</v>
      </c>
      <c r="AB179" t="n">
        <v>3</v>
      </c>
      <c r="AC179" t="n">
        <v>6</v>
      </c>
      <c r="AD179" t="n">
        <v>13</v>
      </c>
      <c r="AE179" t="n">
        <v>31</v>
      </c>
      <c r="AF179" t="n">
        <v>6</v>
      </c>
      <c r="AG179" t="n">
        <v>12</v>
      </c>
      <c r="AH179" t="n">
        <v>3</v>
      </c>
      <c r="AI179" t="n">
        <v>8</v>
      </c>
      <c r="AJ179" t="n">
        <v>5</v>
      </c>
      <c r="AK179" t="n">
        <v>10</v>
      </c>
      <c r="AL179" t="n">
        <v>2</v>
      </c>
      <c r="AM179" t="n">
        <v>5</v>
      </c>
      <c r="AN179" t="n">
        <v>0</v>
      </c>
      <c r="AO179" t="n">
        <v>1</v>
      </c>
      <c r="AP179" t="inlineStr">
        <is>
          <t>No</t>
        </is>
      </c>
      <c r="AQ179" t="inlineStr">
        <is>
          <t>No</t>
        </is>
      </c>
      <c r="AS179">
        <f>HYPERLINK("https://creighton-primo.hosted.exlibrisgroup.com/primo-explore/search?tab=default_tab&amp;search_scope=EVERYTHING&amp;vid=01CRU&amp;lang=en_US&amp;offset=0&amp;query=any,contains,991004328829702656","Catalog Record")</f>
        <v/>
      </c>
      <c r="AT179">
        <f>HYPERLINK("http://www.worldcat.org/oclc/53090941","WorldCat Record")</f>
        <v/>
      </c>
      <c r="AU179" t="inlineStr">
        <is>
          <t>677451:eng</t>
        </is>
      </c>
      <c r="AV179" t="inlineStr">
        <is>
          <t>53090941</t>
        </is>
      </c>
      <c r="AW179" t="inlineStr">
        <is>
          <t>991004328829702656</t>
        </is>
      </c>
      <c r="AX179" t="inlineStr">
        <is>
          <t>991004328829702656</t>
        </is>
      </c>
      <c r="AY179" t="inlineStr">
        <is>
          <t>2256710070002656</t>
        </is>
      </c>
      <c r="AZ179" t="inlineStr">
        <is>
          <t>BOOK</t>
        </is>
      </c>
      <c r="BB179" t="inlineStr">
        <is>
          <t>9780313322044</t>
        </is>
      </c>
      <c r="BC179" t="inlineStr">
        <is>
          <t>32285004984190</t>
        </is>
      </c>
      <c r="BD179" t="inlineStr">
        <is>
          <t>893806936</t>
        </is>
      </c>
    </row>
    <row r="180">
      <c r="A180" t="inlineStr">
        <is>
          <t>No</t>
        </is>
      </c>
      <c r="B180" t="inlineStr">
        <is>
          <t>E169.1 .S74 1990</t>
        </is>
      </c>
      <c r="C180" t="inlineStr">
        <is>
          <t>0                      E  0169100S  74          1990</t>
        </is>
      </c>
      <c r="D180" t="inlineStr">
        <is>
          <t>The encyclopedia of bad taste / Jane &amp; Michael Stern.</t>
        </is>
      </c>
      <c r="F180" t="inlineStr">
        <is>
          <t>No</t>
        </is>
      </c>
      <c r="G180" t="inlineStr">
        <is>
          <t>1</t>
        </is>
      </c>
      <c r="H180" t="inlineStr">
        <is>
          <t>No</t>
        </is>
      </c>
      <c r="I180" t="inlineStr">
        <is>
          <t>No</t>
        </is>
      </c>
      <c r="J180" t="inlineStr">
        <is>
          <t>0</t>
        </is>
      </c>
      <c r="K180" t="inlineStr">
        <is>
          <t>Stern, Jane.</t>
        </is>
      </c>
      <c r="L180" t="inlineStr">
        <is>
          <t>New York : HarperCollins, c1990.</t>
        </is>
      </c>
      <c r="M180" t="inlineStr">
        <is>
          <t>1990</t>
        </is>
      </c>
      <c r="N180" t="inlineStr">
        <is>
          <t>1st ed.</t>
        </is>
      </c>
      <c r="O180" t="inlineStr">
        <is>
          <t>eng</t>
        </is>
      </c>
      <c r="P180" t="inlineStr">
        <is>
          <t>nyu</t>
        </is>
      </c>
      <c r="R180" t="inlineStr">
        <is>
          <t xml:space="preserve">E  </t>
        </is>
      </c>
      <c r="S180" t="n">
        <v>10</v>
      </c>
      <c r="T180" t="n">
        <v>10</v>
      </c>
      <c r="U180" t="inlineStr">
        <is>
          <t>2000-12-01</t>
        </is>
      </c>
      <c r="V180" t="inlineStr">
        <is>
          <t>2000-12-01</t>
        </is>
      </c>
      <c r="W180" t="inlineStr">
        <is>
          <t>1991-02-22</t>
        </is>
      </c>
      <c r="X180" t="inlineStr">
        <is>
          <t>1991-02-22</t>
        </is>
      </c>
      <c r="Y180" t="n">
        <v>579</v>
      </c>
      <c r="Z180" t="n">
        <v>548</v>
      </c>
      <c r="AA180" t="n">
        <v>642</v>
      </c>
      <c r="AB180" t="n">
        <v>2</v>
      </c>
      <c r="AC180" t="n">
        <v>4</v>
      </c>
      <c r="AD180" t="n">
        <v>4</v>
      </c>
      <c r="AE180" t="n">
        <v>5</v>
      </c>
      <c r="AF180" t="n">
        <v>1</v>
      </c>
      <c r="AG180" t="n">
        <v>1</v>
      </c>
      <c r="AH180" t="n">
        <v>1</v>
      </c>
      <c r="AI180" t="n">
        <v>1</v>
      </c>
      <c r="AJ180" t="n">
        <v>2</v>
      </c>
      <c r="AK180" t="n">
        <v>2</v>
      </c>
      <c r="AL180" t="n">
        <v>0</v>
      </c>
      <c r="AM180" t="n">
        <v>1</v>
      </c>
      <c r="AN180" t="n">
        <v>0</v>
      </c>
      <c r="AO180" t="n">
        <v>0</v>
      </c>
      <c r="AP180" t="inlineStr">
        <is>
          <t>No</t>
        </is>
      </c>
      <c r="AQ180" t="inlineStr">
        <is>
          <t>No</t>
        </is>
      </c>
      <c r="AS180">
        <f>HYPERLINK("https://creighton-primo.hosted.exlibrisgroup.com/primo-explore/search?tab=default_tab&amp;search_scope=EVERYTHING&amp;vid=01CRU&amp;lang=en_US&amp;offset=0&amp;query=any,contains,991001801509702656","Catalog Record")</f>
        <v/>
      </c>
      <c r="AT180">
        <f>HYPERLINK("http://www.worldcat.org/oclc/22652981","WorldCat Record")</f>
        <v/>
      </c>
      <c r="AU180" t="inlineStr">
        <is>
          <t>23928507:eng</t>
        </is>
      </c>
      <c r="AV180" t="inlineStr">
        <is>
          <t>22652981</t>
        </is>
      </c>
      <c r="AW180" t="inlineStr">
        <is>
          <t>991001801509702656</t>
        </is>
      </c>
      <c r="AX180" t="inlineStr">
        <is>
          <t>991001801509702656</t>
        </is>
      </c>
      <c r="AY180" t="inlineStr">
        <is>
          <t>2257191020002656</t>
        </is>
      </c>
      <c r="AZ180" t="inlineStr">
        <is>
          <t>BOOK</t>
        </is>
      </c>
      <c r="BB180" t="inlineStr">
        <is>
          <t>9780060164706</t>
        </is>
      </c>
      <c r="BC180" t="inlineStr">
        <is>
          <t>32285000491281</t>
        </is>
      </c>
      <c r="BD180" t="inlineStr">
        <is>
          <t>893772918</t>
        </is>
      </c>
    </row>
    <row r="181">
      <c r="A181" t="inlineStr">
        <is>
          <t>No</t>
        </is>
      </c>
      <c r="B181" t="inlineStr">
        <is>
          <t>E169.1 .S8</t>
        </is>
      </c>
      <c r="C181" t="inlineStr">
        <is>
          <t>0                      E  0169100S  8</t>
        </is>
      </c>
      <c r="D181" t="inlineStr">
        <is>
          <t>America and Americans. Photos. edited by the staff of Studio Books, the Viking Press.</t>
        </is>
      </c>
      <c r="F181" t="inlineStr">
        <is>
          <t>No</t>
        </is>
      </c>
      <c r="G181" t="inlineStr">
        <is>
          <t>1</t>
        </is>
      </c>
      <c r="H181" t="inlineStr">
        <is>
          <t>No</t>
        </is>
      </c>
      <c r="I181" t="inlineStr">
        <is>
          <t>No</t>
        </is>
      </c>
      <c r="J181" t="inlineStr">
        <is>
          <t>0</t>
        </is>
      </c>
      <c r="K181" t="inlineStr">
        <is>
          <t>Steinbeck, John, 1902-1968.</t>
        </is>
      </c>
      <c r="L181" t="inlineStr">
        <is>
          <t>New York, Viking Press [1966]</t>
        </is>
      </c>
      <c r="M181" t="inlineStr">
        <is>
          <t>1966</t>
        </is>
      </c>
      <c r="O181" t="inlineStr">
        <is>
          <t>eng</t>
        </is>
      </c>
      <c r="P181" t="inlineStr">
        <is>
          <t>nyu</t>
        </is>
      </c>
      <c r="R181" t="inlineStr">
        <is>
          <t xml:space="preserve">E  </t>
        </is>
      </c>
      <c r="S181" t="n">
        <v>6</v>
      </c>
      <c r="T181" t="n">
        <v>6</v>
      </c>
      <c r="U181" t="inlineStr">
        <is>
          <t>2004-02-04</t>
        </is>
      </c>
      <c r="V181" t="inlineStr">
        <is>
          <t>2004-02-04</t>
        </is>
      </c>
      <c r="W181" t="inlineStr">
        <is>
          <t>1997-04-03</t>
        </is>
      </c>
      <c r="X181" t="inlineStr">
        <is>
          <t>1997-04-03</t>
        </is>
      </c>
      <c r="Y181" t="n">
        <v>1479</v>
      </c>
      <c r="Z181" t="n">
        <v>1377</v>
      </c>
      <c r="AA181" t="n">
        <v>1589</v>
      </c>
      <c r="AB181" t="n">
        <v>10</v>
      </c>
      <c r="AC181" t="n">
        <v>11</v>
      </c>
      <c r="AD181" t="n">
        <v>29</v>
      </c>
      <c r="AE181" t="n">
        <v>36</v>
      </c>
      <c r="AF181" t="n">
        <v>11</v>
      </c>
      <c r="AG181" t="n">
        <v>16</v>
      </c>
      <c r="AH181" t="n">
        <v>5</v>
      </c>
      <c r="AI181" t="n">
        <v>5</v>
      </c>
      <c r="AJ181" t="n">
        <v>13</v>
      </c>
      <c r="AK181" t="n">
        <v>16</v>
      </c>
      <c r="AL181" t="n">
        <v>5</v>
      </c>
      <c r="AM181" t="n">
        <v>6</v>
      </c>
      <c r="AN181" t="n">
        <v>0</v>
      </c>
      <c r="AO181" t="n">
        <v>0</v>
      </c>
      <c r="AP181" t="inlineStr">
        <is>
          <t>No</t>
        </is>
      </c>
      <c r="AQ181" t="inlineStr">
        <is>
          <t>Yes</t>
        </is>
      </c>
      <c r="AR181">
        <f>HYPERLINK("http://catalog.hathitrust.org/Record/000328690","HathiTrust Record")</f>
        <v/>
      </c>
      <c r="AS181">
        <f>HYPERLINK("https://creighton-primo.hosted.exlibrisgroup.com/primo-explore/search?tab=default_tab&amp;search_scope=EVERYTHING&amp;vid=01CRU&amp;lang=en_US&amp;offset=0&amp;query=any,contains,991002739209702656","Catalog Record")</f>
        <v/>
      </c>
      <c r="AT181">
        <f>HYPERLINK("http://www.worldcat.org/oclc/420489","WorldCat Record")</f>
        <v/>
      </c>
      <c r="AU181" t="inlineStr">
        <is>
          <t>497996:eng</t>
        </is>
      </c>
      <c r="AV181" t="inlineStr">
        <is>
          <t>420489</t>
        </is>
      </c>
      <c r="AW181" t="inlineStr">
        <is>
          <t>991002739209702656</t>
        </is>
      </c>
      <c r="AX181" t="inlineStr">
        <is>
          <t>991002739209702656</t>
        </is>
      </c>
      <c r="AY181" t="inlineStr">
        <is>
          <t>2270696820002656</t>
        </is>
      </c>
      <c r="AZ181" t="inlineStr">
        <is>
          <t>BOOK</t>
        </is>
      </c>
      <c r="BC181" t="inlineStr">
        <is>
          <t>32285002501541</t>
        </is>
      </c>
      <c r="BD181" t="inlineStr">
        <is>
          <t>893786470</t>
        </is>
      </c>
    </row>
    <row r="182">
      <c r="A182" t="inlineStr">
        <is>
          <t>No</t>
        </is>
      </c>
      <c r="B182" t="inlineStr">
        <is>
          <t>E169.1 .S834 1991</t>
        </is>
      </c>
      <c r="C182" t="inlineStr">
        <is>
          <t>0                      E  0169100S  834         1991</t>
        </is>
      </c>
      <c r="D182" t="inlineStr">
        <is>
          <t>The Victorian homefront : American thought and culture, 1860-1880/ Louise L. Stevenson.</t>
        </is>
      </c>
      <c r="F182" t="inlineStr">
        <is>
          <t>No</t>
        </is>
      </c>
      <c r="G182" t="inlineStr">
        <is>
          <t>1</t>
        </is>
      </c>
      <c r="H182" t="inlineStr">
        <is>
          <t>No</t>
        </is>
      </c>
      <c r="I182" t="inlineStr">
        <is>
          <t>No</t>
        </is>
      </c>
      <c r="J182" t="inlineStr">
        <is>
          <t>0</t>
        </is>
      </c>
      <c r="K182" t="inlineStr">
        <is>
          <t>Stevenson, Louise L.</t>
        </is>
      </c>
      <c r="L182" t="inlineStr">
        <is>
          <t>Boston, Mass. : Twayne Publishers, c1991.</t>
        </is>
      </c>
      <c r="M182" t="inlineStr">
        <is>
          <t>1991</t>
        </is>
      </c>
      <c r="O182" t="inlineStr">
        <is>
          <t>eng</t>
        </is>
      </c>
      <c r="P182" t="inlineStr">
        <is>
          <t>mau</t>
        </is>
      </c>
      <c r="Q182" t="inlineStr">
        <is>
          <t>Twayne's American thought and culture series</t>
        </is>
      </c>
      <c r="R182" t="inlineStr">
        <is>
          <t xml:space="preserve">E  </t>
        </is>
      </c>
      <c r="S182" t="n">
        <v>7</v>
      </c>
      <c r="T182" t="n">
        <v>7</v>
      </c>
      <c r="U182" t="inlineStr">
        <is>
          <t>2003-04-01</t>
        </is>
      </c>
      <c r="V182" t="inlineStr">
        <is>
          <t>2003-04-01</t>
        </is>
      </c>
      <c r="W182" t="inlineStr">
        <is>
          <t>1992-05-15</t>
        </is>
      </c>
      <c r="X182" t="inlineStr">
        <is>
          <t>1992-05-15</t>
        </is>
      </c>
      <c r="Y182" t="n">
        <v>688</v>
      </c>
      <c r="Z182" t="n">
        <v>634</v>
      </c>
      <c r="AA182" t="n">
        <v>711</v>
      </c>
      <c r="AB182" t="n">
        <v>5</v>
      </c>
      <c r="AC182" t="n">
        <v>5</v>
      </c>
      <c r="AD182" t="n">
        <v>25</v>
      </c>
      <c r="AE182" t="n">
        <v>30</v>
      </c>
      <c r="AF182" t="n">
        <v>8</v>
      </c>
      <c r="AG182" t="n">
        <v>12</v>
      </c>
      <c r="AH182" t="n">
        <v>7</v>
      </c>
      <c r="AI182" t="n">
        <v>8</v>
      </c>
      <c r="AJ182" t="n">
        <v>13</v>
      </c>
      <c r="AK182" t="n">
        <v>14</v>
      </c>
      <c r="AL182" t="n">
        <v>4</v>
      </c>
      <c r="AM182" t="n">
        <v>4</v>
      </c>
      <c r="AN182" t="n">
        <v>0</v>
      </c>
      <c r="AO182" t="n">
        <v>0</v>
      </c>
      <c r="AP182" t="inlineStr">
        <is>
          <t>No</t>
        </is>
      </c>
      <c r="AQ182" t="inlineStr">
        <is>
          <t>Yes</t>
        </is>
      </c>
      <c r="AR182">
        <f>HYPERLINK("http://catalog.hathitrust.org/Record/002549708","HathiTrust Record")</f>
        <v/>
      </c>
      <c r="AS182">
        <f>HYPERLINK("https://creighton-primo.hosted.exlibrisgroup.com/primo-explore/search?tab=default_tab&amp;search_scope=EVERYTHING&amp;vid=01CRU&amp;lang=en_US&amp;offset=0&amp;query=any,contains,991005413659702656","Catalog Record")</f>
        <v/>
      </c>
      <c r="AT182">
        <f>HYPERLINK("http://www.worldcat.org/oclc/23969466","WorldCat Record")</f>
        <v/>
      </c>
      <c r="AU182" t="inlineStr">
        <is>
          <t>2016310:eng</t>
        </is>
      </c>
      <c r="AV182" t="inlineStr">
        <is>
          <t>23969466</t>
        </is>
      </c>
      <c r="AW182" t="inlineStr">
        <is>
          <t>991005413659702656</t>
        </is>
      </c>
      <c r="AX182" t="inlineStr">
        <is>
          <t>991005413659702656</t>
        </is>
      </c>
      <c r="AY182" t="inlineStr">
        <is>
          <t>2267562020002656</t>
        </is>
      </c>
      <c r="AZ182" t="inlineStr">
        <is>
          <t>BOOK</t>
        </is>
      </c>
      <c r="BB182" t="inlineStr">
        <is>
          <t>9780805790535</t>
        </is>
      </c>
      <c r="BC182" t="inlineStr">
        <is>
          <t>32285001116549</t>
        </is>
      </c>
      <c r="BD182" t="inlineStr">
        <is>
          <t>893320583</t>
        </is>
      </c>
    </row>
    <row r="183">
      <c r="A183" t="inlineStr">
        <is>
          <t>No</t>
        </is>
      </c>
      <c r="B183" t="inlineStr">
        <is>
          <t>E169.1 .S94 1977</t>
        </is>
      </c>
      <c r="C183" t="inlineStr">
        <is>
          <t>0                      E  0169100S  94          1977</t>
        </is>
      </c>
      <c r="D183" t="inlineStr">
        <is>
          <t>The study of American culture : contemporary conflicts / edited by Luther S. Luedtke.</t>
        </is>
      </c>
      <c r="F183" t="inlineStr">
        <is>
          <t>No</t>
        </is>
      </c>
      <c r="G183" t="inlineStr">
        <is>
          <t>1</t>
        </is>
      </c>
      <c r="H183" t="inlineStr">
        <is>
          <t>No</t>
        </is>
      </c>
      <c r="I183" t="inlineStr">
        <is>
          <t>No</t>
        </is>
      </c>
      <c r="J183" t="inlineStr">
        <is>
          <t>0</t>
        </is>
      </c>
      <c r="L183" t="inlineStr">
        <is>
          <t>DeLand, Fla. : Everett/ Edwards, 1977.</t>
        </is>
      </c>
      <c r="M183" t="inlineStr">
        <is>
          <t>1977</t>
        </is>
      </c>
      <c r="O183" t="inlineStr">
        <is>
          <t>eng</t>
        </is>
      </c>
      <c r="P183" t="inlineStr">
        <is>
          <t>flu</t>
        </is>
      </c>
      <c r="R183" t="inlineStr">
        <is>
          <t xml:space="preserve">E  </t>
        </is>
      </c>
      <c r="S183" t="n">
        <v>2</v>
      </c>
      <c r="T183" t="n">
        <v>2</v>
      </c>
      <c r="U183" t="inlineStr">
        <is>
          <t>2005-04-02</t>
        </is>
      </c>
      <c r="V183" t="inlineStr">
        <is>
          <t>2005-04-02</t>
        </is>
      </c>
      <c r="W183" t="inlineStr">
        <is>
          <t>1990-12-19</t>
        </is>
      </c>
      <c r="X183" t="inlineStr">
        <is>
          <t>1990-12-19</t>
        </is>
      </c>
      <c r="Y183" t="n">
        <v>461</v>
      </c>
      <c r="Z183" t="n">
        <v>444</v>
      </c>
      <c r="AA183" t="n">
        <v>460</v>
      </c>
      <c r="AB183" t="n">
        <v>7</v>
      </c>
      <c r="AC183" t="n">
        <v>7</v>
      </c>
      <c r="AD183" t="n">
        <v>25</v>
      </c>
      <c r="AE183" t="n">
        <v>25</v>
      </c>
      <c r="AF183" t="n">
        <v>9</v>
      </c>
      <c r="AG183" t="n">
        <v>9</v>
      </c>
      <c r="AH183" t="n">
        <v>6</v>
      </c>
      <c r="AI183" t="n">
        <v>6</v>
      </c>
      <c r="AJ183" t="n">
        <v>9</v>
      </c>
      <c r="AK183" t="n">
        <v>9</v>
      </c>
      <c r="AL183" t="n">
        <v>6</v>
      </c>
      <c r="AM183" t="n">
        <v>6</v>
      </c>
      <c r="AN183" t="n">
        <v>0</v>
      </c>
      <c r="AO183" t="n">
        <v>0</v>
      </c>
      <c r="AP183" t="inlineStr">
        <is>
          <t>No</t>
        </is>
      </c>
      <c r="AQ183" t="inlineStr">
        <is>
          <t>Yes</t>
        </is>
      </c>
      <c r="AR183">
        <f>HYPERLINK("http://catalog.hathitrust.org/Record/000133809","HathiTrust Record")</f>
        <v/>
      </c>
      <c r="AS183">
        <f>HYPERLINK("https://creighton-primo.hosted.exlibrisgroup.com/primo-explore/search?tab=default_tab&amp;search_scope=EVERYTHING&amp;vid=01CRU&amp;lang=en_US&amp;offset=0&amp;query=any,contains,991004514739702656","Catalog Record")</f>
        <v/>
      </c>
      <c r="AT183">
        <f>HYPERLINK("http://www.worldcat.org/oclc/3103755","WorldCat Record")</f>
        <v/>
      </c>
      <c r="AU183" t="inlineStr">
        <is>
          <t>7583302:eng</t>
        </is>
      </c>
      <c r="AV183" t="inlineStr">
        <is>
          <t>3103755</t>
        </is>
      </c>
      <c r="AW183" t="inlineStr">
        <is>
          <t>991004514739702656</t>
        </is>
      </c>
      <c r="AX183" t="inlineStr">
        <is>
          <t>991004514739702656</t>
        </is>
      </c>
      <c r="AY183" t="inlineStr">
        <is>
          <t>2258152090002656</t>
        </is>
      </c>
      <c r="AZ183" t="inlineStr">
        <is>
          <t>BOOK</t>
        </is>
      </c>
      <c r="BB183" t="inlineStr">
        <is>
          <t>9780912112282</t>
        </is>
      </c>
      <c r="BC183" t="inlineStr">
        <is>
          <t>32285000423839</t>
        </is>
      </c>
      <c r="BD183" t="inlineStr">
        <is>
          <t>893259810</t>
        </is>
      </c>
    </row>
    <row r="184">
      <c r="A184" t="inlineStr">
        <is>
          <t>No</t>
        </is>
      </c>
      <c r="B184" t="inlineStr">
        <is>
          <t>E169.1 .T254 1991</t>
        </is>
      </c>
      <c r="C184" t="inlineStr">
        <is>
          <t>0                      E  0169100T  254         1991</t>
        </is>
      </c>
      <c r="D184" t="inlineStr">
        <is>
          <t>Twentieth-century America : the intellectual and cultural context / Douglas Tallack.</t>
        </is>
      </c>
      <c r="F184" t="inlineStr">
        <is>
          <t>No</t>
        </is>
      </c>
      <c r="G184" t="inlineStr">
        <is>
          <t>1</t>
        </is>
      </c>
      <c r="H184" t="inlineStr">
        <is>
          <t>No</t>
        </is>
      </c>
      <c r="I184" t="inlineStr">
        <is>
          <t>No</t>
        </is>
      </c>
      <c r="J184" t="inlineStr">
        <is>
          <t>0</t>
        </is>
      </c>
      <c r="K184" t="inlineStr">
        <is>
          <t>Tallack, Douglas.</t>
        </is>
      </c>
      <c r="L184" t="inlineStr">
        <is>
          <t>London ; New York : Longman, 1991.</t>
        </is>
      </c>
      <c r="M184" t="inlineStr">
        <is>
          <t>1991</t>
        </is>
      </c>
      <c r="O184" t="inlineStr">
        <is>
          <t>eng</t>
        </is>
      </c>
      <c r="P184" t="inlineStr">
        <is>
          <t>nyu</t>
        </is>
      </c>
      <c r="Q184" t="inlineStr">
        <is>
          <t>Longman literature in English series</t>
        </is>
      </c>
      <c r="R184" t="inlineStr">
        <is>
          <t xml:space="preserve">E  </t>
        </is>
      </c>
      <c r="S184" t="n">
        <v>2</v>
      </c>
      <c r="T184" t="n">
        <v>2</v>
      </c>
      <c r="U184" t="inlineStr">
        <is>
          <t>1999-04-11</t>
        </is>
      </c>
      <c r="V184" t="inlineStr">
        <is>
          <t>1999-04-11</t>
        </is>
      </c>
      <c r="W184" t="inlineStr">
        <is>
          <t>1991-09-17</t>
        </is>
      </c>
      <c r="X184" t="inlineStr">
        <is>
          <t>1991-09-17</t>
        </is>
      </c>
      <c r="Y184" t="n">
        <v>373</v>
      </c>
      <c r="Z184" t="n">
        <v>202</v>
      </c>
      <c r="AA184" t="n">
        <v>232</v>
      </c>
      <c r="AB184" t="n">
        <v>3</v>
      </c>
      <c r="AC184" t="n">
        <v>3</v>
      </c>
      <c r="AD184" t="n">
        <v>11</v>
      </c>
      <c r="AE184" t="n">
        <v>11</v>
      </c>
      <c r="AF184" t="n">
        <v>2</v>
      </c>
      <c r="AG184" t="n">
        <v>2</v>
      </c>
      <c r="AH184" t="n">
        <v>5</v>
      </c>
      <c r="AI184" t="n">
        <v>5</v>
      </c>
      <c r="AJ184" t="n">
        <v>6</v>
      </c>
      <c r="AK184" t="n">
        <v>6</v>
      </c>
      <c r="AL184" t="n">
        <v>2</v>
      </c>
      <c r="AM184" t="n">
        <v>2</v>
      </c>
      <c r="AN184" t="n">
        <v>0</v>
      </c>
      <c r="AO184" t="n">
        <v>0</v>
      </c>
      <c r="AP184" t="inlineStr">
        <is>
          <t>No</t>
        </is>
      </c>
      <c r="AQ184" t="inlineStr">
        <is>
          <t>Yes</t>
        </is>
      </c>
      <c r="AR184">
        <f>HYPERLINK("http://catalog.hathitrust.org/Record/002432697","HathiTrust Record")</f>
        <v/>
      </c>
      <c r="AS184">
        <f>HYPERLINK("https://creighton-primo.hosted.exlibrisgroup.com/primo-explore/search?tab=default_tab&amp;search_scope=EVERYTHING&amp;vid=01CRU&amp;lang=en_US&amp;offset=0&amp;query=any,contains,991001737769702656","Catalog Record")</f>
        <v/>
      </c>
      <c r="AT184">
        <f>HYPERLINK("http://www.worldcat.org/oclc/21974545","WorldCat Record")</f>
        <v/>
      </c>
      <c r="AU184" t="inlineStr">
        <is>
          <t>284783822:eng</t>
        </is>
      </c>
      <c r="AV184" t="inlineStr">
        <is>
          <t>21974545</t>
        </is>
      </c>
      <c r="AW184" t="inlineStr">
        <is>
          <t>991001737769702656</t>
        </is>
      </c>
      <c r="AX184" t="inlineStr">
        <is>
          <t>991001737769702656</t>
        </is>
      </c>
      <c r="AY184" t="inlineStr">
        <is>
          <t>2266873810002656</t>
        </is>
      </c>
      <c r="AZ184" t="inlineStr">
        <is>
          <t>BOOK</t>
        </is>
      </c>
      <c r="BB184" t="inlineStr">
        <is>
          <t>9780582494558</t>
        </is>
      </c>
      <c r="BC184" t="inlineStr">
        <is>
          <t>32285000703784</t>
        </is>
      </c>
      <c r="BD184" t="inlineStr">
        <is>
          <t>893885501</t>
        </is>
      </c>
    </row>
    <row r="185">
      <c r="A185" t="inlineStr">
        <is>
          <t>No</t>
        </is>
      </c>
      <c r="B185" t="inlineStr">
        <is>
          <t>E169.1 .V39 1998</t>
        </is>
      </c>
      <c r="C185" t="inlineStr">
        <is>
          <t>0                      E  0169100V  39          1998</t>
        </is>
      </c>
      <c r="D185" t="inlineStr">
        <is>
          <t>America's thirty years war : who is winning? / Balint Vazsonyi.</t>
        </is>
      </c>
      <c r="F185" t="inlineStr">
        <is>
          <t>No</t>
        </is>
      </c>
      <c r="G185" t="inlineStr">
        <is>
          <t>1</t>
        </is>
      </c>
      <c r="H185" t="inlineStr">
        <is>
          <t>No</t>
        </is>
      </c>
      <c r="I185" t="inlineStr">
        <is>
          <t>No</t>
        </is>
      </c>
      <c r="J185" t="inlineStr">
        <is>
          <t>0</t>
        </is>
      </c>
      <c r="K185" t="inlineStr">
        <is>
          <t>Vázsonyi, Bálint.</t>
        </is>
      </c>
      <c r="L185" t="inlineStr">
        <is>
          <t>Washington, D.C. : Regnery Pub. ; Lanham, MD : Distributed to the trade by National Book Network, 1998.</t>
        </is>
      </c>
      <c r="M185" t="inlineStr">
        <is>
          <t>1998</t>
        </is>
      </c>
      <c r="O185" t="inlineStr">
        <is>
          <t>eng</t>
        </is>
      </c>
      <c r="P185" t="inlineStr">
        <is>
          <t>dcu</t>
        </is>
      </c>
      <c r="R185" t="inlineStr">
        <is>
          <t xml:space="preserve">E  </t>
        </is>
      </c>
      <c r="S185" t="n">
        <v>2</v>
      </c>
      <c r="T185" t="n">
        <v>2</v>
      </c>
      <c r="U185" t="inlineStr">
        <is>
          <t>1998-11-30</t>
        </is>
      </c>
      <c r="V185" t="inlineStr">
        <is>
          <t>1998-11-30</t>
        </is>
      </c>
      <c r="W185" t="inlineStr">
        <is>
          <t>1998-10-28</t>
        </is>
      </c>
      <c r="X185" t="inlineStr">
        <is>
          <t>1998-10-28</t>
        </is>
      </c>
      <c r="Y185" t="n">
        <v>404</v>
      </c>
      <c r="Z185" t="n">
        <v>389</v>
      </c>
      <c r="AA185" t="n">
        <v>396</v>
      </c>
      <c r="AB185" t="n">
        <v>3</v>
      </c>
      <c r="AC185" t="n">
        <v>3</v>
      </c>
      <c r="AD185" t="n">
        <v>12</v>
      </c>
      <c r="AE185" t="n">
        <v>12</v>
      </c>
      <c r="AF185" t="n">
        <v>2</v>
      </c>
      <c r="AG185" t="n">
        <v>2</v>
      </c>
      <c r="AH185" t="n">
        <v>4</v>
      </c>
      <c r="AI185" t="n">
        <v>4</v>
      </c>
      <c r="AJ185" t="n">
        <v>6</v>
      </c>
      <c r="AK185" t="n">
        <v>6</v>
      </c>
      <c r="AL185" t="n">
        <v>2</v>
      </c>
      <c r="AM185" t="n">
        <v>2</v>
      </c>
      <c r="AN185" t="n">
        <v>0</v>
      </c>
      <c r="AO185" t="n">
        <v>0</v>
      </c>
      <c r="AP185" t="inlineStr">
        <is>
          <t>No</t>
        </is>
      </c>
      <c r="AQ185" t="inlineStr">
        <is>
          <t>Yes</t>
        </is>
      </c>
      <c r="AR185">
        <f>HYPERLINK("http://catalog.hathitrust.org/Record/004011069","HathiTrust Record")</f>
        <v/>
      </c>
      <c r="AS185">
        <f>HYPERLINK("https://creighton-primo.hosted.exlibrisgroup.com/primo-explore/search?tab=default_tab&amp;search_scope=EVERYTHING&amp;vid=01CRU&amp;lang=en_US&amp;offset=0&amp;query=any,contains,991002936029702656","Catalog Record")</f>
        <v/>
      </c>
      <c r="AT185">
        <f>HYPERLINK("http://www.worldcat.org/oclc/39051638","WorldCat Record")</f>
        <v/>
      </c>
      <c r="AU185" t="inlineStr">
        <is>
          <t>340525725:eng</t>
        </is>
      </c>
      <c r="AV185" t="inlineStr">
        <is>
          <t>39051638</t>
        </is>
      </c>
      <c r="AW185" t="inlineStr">
        <is>
          <t>991002936029702656</t>
        </is>
      </c>
      <c r="AX185" t="inlineStr">
        <is>
          <t>991002936029702656</t>
        </is>
      </c>
      <c r="AY185" t="inlineStr">
        <is>
          <t>2255241600002656</t>
        </is>
      </c>
      <c r="AZ185" t="inlineStr">
        <is>
          <t>BOOK</t>
        </is>
      </c>
      <c r="BB185" t="inlineStr">
        <is>
          <t>9780895263544</t>
        </is>
      </c>
      <c r="BC185" t="inlineStr">
        <is>
          <t>32285003478442</t>
        </is>
      </c>
      <c r="BD185" t="inlineStr">
        <is>
          <t>893616782</t>
        </is>
      </c>
    </row>
    <row r="186">
      <c r="A186" t="inlineStr">
        <is>
          <t>No</t>
        </is>
      </c>
      <c r="B186" t="inlineStr">
        <is>
          <t>E169.1 .W39</t>
        </is>
      </c>
      <c r="C186" t="inlineStr">
        <is>
          <t>0                      E  0169100W  39</t>
        </is>
      </c>
      <c r="D186" t="inlineStr">
        <is>
          <t>Views of America [edited by] Alan F. Westin [and others]</t>
        </is>
      </c>
      <c r="F186" t="inlineStr">
        <is>
          <t>No</t>
        </is>
      </c>
      <c r="G186" t="inlineStr">
        <is>
          <t>1</t>
        </is>
      </c>
      <c r="H186" t="inlineStr">
        <is>
          <t>No</t>
        </is>
      </c>
      <c r="I186" t="inlineStr">
        <is>
          <t>No</t>
        </is>
      </c>
      <c r="J186" t="inlineStr">
        <is>
          <t>0</t>
        </is>
      </c>
      <c r="K186" t="inlineStr">
        <is>
          <t>Westin, Alan F. editor.</t>
        </is>
      </c>
      <c r="L186" t="inlineStr">
        <is>
          <t>New York, Harcourt, Brace &amp; World [1966]</t>
        </is>
      </c>
      <c r="M186" t="inlineStr">
        <is>
          <t>1966</t>
        </is>
      </c>
      <c r="O186" t="inlineStr">
        <is>
          <t>eng</t>
        </is>
      </c>
      <c r="P186" t="inlineStr">
        <is>
          <t>nyu</t>
        </is>
      </c>
      <c r="R186" t="inlineStr">
        <is>
          <t xml:space="preserve">E  </t>
        </is>
      </c>
      <c r="S186" t="n">
        <v>4</v>
      </c>
      <c r="T186" t="n">
        <v>4</v>
      </c>
      <c r="U186" t="inlineStr">
        <is>
          <t>2002-04-26</t>
        </is>
      </c>
      <c r="V186" t="inlineStr">
        <is>
          <t>2002-04-26</t>
        </is>
      </c>
      <c r="W186" t="inlineStr">
        <is>
          <t>1997-04-03</t>
        </is>
      </c>
      <c r="X186" t="inlineStr">
        <is>
          <t>1997-04-03</t>
        </is>
      </c>
      <c r="Y186" t="n">
        <v>674</v>
      </c>
      <c r="Z186" t="n">
        <v>612</v>
      </c>
      <c r="AA186" t="n">
        <v>628</v>
      </c>
      <c r="AB186" t="n">
        <v>5</v>
      </c>
      <c r="AC186" t="n">
        <v>5</v>
      </c>
      <c r="AD186" t="n">
        <v>26</v>
      </c>
      <c r="AE186" t="n">
        <v>28</v>
      </c>
      <c r="AF186" t="n">
        <v>9</v>
      </c>
      <c r="AG186" t="n">
        <v>10</v>
      </c>
      <c r="AH186" t="n">
        <v>5</v>
      </c>
      <c r="AI186" t="n">
        <v>6</v>
      </c>
      <c r="AJ186" t="n">
        <v>14</v>
      </c>
      <c r="AK186" t="n">
        <v>14</v>
      </c>
      <c r="AL186" t="n">
        <v>4</v>
      </c>
      <c r="AM186" t="n">
        <v>4</v>
      </c>
      <c r="AN186" t="n">
        <v>0</v>
      </c>
      <c r="AO186" t="n">
        <v>0</v>
      </c>
      <c r="AP186" t="inlineStr">
        <is>
          <t>No</t>
        </is>
      </c>
      <c r="AQ186" t="inlineStr">
        <is>
          <t>Yes</t>
        </is>
      </c>
      <c r="AR186">
        <f>HYPERLINK("http://catalog.hathitrust.org/Record/000328852","HathiTrust Record")</f>
        <v/>
      </c>
      <c r="AS186">
        <f>HYPERLINK("https://creighton-primo.hosted.exlibrisgroup.com/primo-explore/search?tab=default_tab&amp;search_scope=EVERYTHING&amp;vid=01CRU&amp;lang=en_US&amp;offset=0&amp;query=any,contains,991002020919702656","Catalog Record")</f>
        <v/>
      </c>
      <c r="AT186">
        <f>HYPERLINK("http://www.worldcat.org/oclc/259412","WorldCat Record")</f>
        <v/>
      </c>
      <c r="AU186" t="inlineStr">
        <is>
          <t>1365493:eng</t>
        </is>
      </c>
      <c r="AV186" t="inlineStr">
        <is>
          <t>259412</t>
        </is>
      </c>
      <c r="AW186" t="inlineStr">
        <is>
          <t>991002020919702656</t>
        </is>
      </c>
      <c r="AX186" t="inlineStr">
        <is>
          <t>991002020919702656</t>
        </is>
      </c>
      <c r="AY186" t="inlineStr">
        <is>
          <t>2272703940002656</t>
        </is>
      </c>
      <c r="AZ186" t="inlineStr">
        <is>
          <t>BOOK</t>
        </is>
      </c>
      <c r="BC186" t="inlineStr">
        <is>
          <t>32285002501665</t>
        </is>
      </c>
      <c r="BD186" t="inlineStr">
        <is>
          <t>893232464</t>
        </is>
      </c>
    </row>
    <row r="187">
      <c r="A187" t="inlineStr">
        <is>
          <t>No</t>
        </is>
      </c>
      <c r="B187" t="inlineStr">
        <is>
          <t>E169.1 .W487 1986</t>
        </is>
      </c>
      <c r="C187" t="inlineStr">
        <is>
          <t>0                      E  0169100W  487         1986</t>
        </is>
      </c>
      <c r="D187" t="inlineStr">
        <is>
          <t>American tough : the tough-guy tradition and American character / Rupert Wilkinson.</t>
        </is>
      </c>
      <c r="F187" t="inlineStr">
        <is>
          <t>No</t>
        </is>
      </c>
      <c r="G187" t="inlineStr">
        <is>
          <t>1</t>
        </is>
      </c>
      <c r="H187" t="inlineStr">
        <is>
          <t>No</t>
        </is>
      </c>
      <c r="I187" t="inlineStr">
        <is>
          <t>No</t>
        </is>
      </c>
      <c r="J187" t="inlineStr">
        <is>
          <t>0</t>
        </is>
      </c>
      <c r="K187" t="inlineStr">
        <is>
          <t>Wilkinson, Rupert.</t>
        </is>
      </c>
      <c r="L187" t="inlineStr">
        <is>
          <t>New York : Perennial Library, 1986, c1984.</t>
        </is>
      </c>
      <c r="M187" t="inlineStr">
        <is>
          <t>1986</t>
        </is>
      </c>
      <c r="N187" t="inlineStr">
        <is>
          <t>1st Perennial Library ed.</t>
        </is>
      </c>
      <c r="O187" t="inlineStr">
        <is>
          <t>eng</t>
        </is>
      </c>
      <c r="P187" t="inlineStr">
        <is>
          <t>nyu</t>
        </is>
      </c>
      <c r="R187" t="inlineStr">
        <is>
          <t xml:space="preserve">E  </t>
        </is>
      </c>
      <c r="S187" t="n">
        <v>2</v>
      </c>
      <c r="T187" t="n">
        <v>2</v>
      </c>
      <c r="U187" t="inlineStr">
        <is>
          <t>1994-05-25</t>
        </is>
      </c>
      <c r="V187" t="inlineStr">
        <is>
          <t>1994-05-25</t>
        </is>
      </c>
      <c r="W187" t="inlineStr">
        <is>
          <t>1990-12-19</t>
        </is>
      </c>
      <c r="X187" t="inlineStr">
        <is>
          <t>1990-12-19</t>
        </is>
      </c>
      <c r="Y187" t="n">
        <v>198</v>
      </c>
      <c r="Z187" t="n">
        <v>191</v>
      </c>
      <c r="AA187" t="n">
        <v>616</v>
      </c>
      <c r="AB187" t="n">
        <v>3</v>
      </c>
      <c r="AC187" t="n">
        <v>6</v>
      </c>
      <c r="AD187" t="n">
        <v>12</v>
      </c>
      <c r="AE187" t="n">
        <v>25</v>
      </c>
      <c r="AF187" t="n">
        <v>5</v>
      </c>
      <c r="AG187" t="n">
        <v>7</v>
      </c>
      <c r="AH187" t="n">
        <v>2</v>
      </c>
      <c r="AI187" t="n">
        <v>6</v>
      </c>
      <c r="AJ187" t="n">
        <v>6</v>
      </c>
      <c r="AK187" t="n">
        <v>12</v>
      </c>
      <c r="AL187" t="n">
        <v>2</v>
      </c>
      <c r="AM187" t="n">
        <v>5</v>
      </c>
      <c r="AN187" t="n">
        <v>0</v>
      </c>
      <c r="AO187" t="n">
        <v>0</v>
      </c>
      <c r="AP187" t="inlineStr">
        <is>
          <t>No</t>
        </is>
      </c>
      <c r="AQ187" t="inlineStr">
        <is>
          <t>Yes</t>
        </is>
      </c>
      <c r="AR187">
        <f>HYPERLINK("http://catalog.hathitrust.org/Record/012264377","HathiTrust Record")</f>
        <v/>
      </c>
      <c r="AS187">
        <f>HYPERLINK("https://creighton-primo.hosted.exlibrisgroup.com/primo-explore/search?tab=default_tab&amp;search_scope=EVERYTHING&amp;vid=01CRU&amp;lang=en_US&amp;offset=0&amp;query=any,contains,991000782859702656","Catalog Record")</f>
        <v/>
      </c>
      <c r="AT187">
        <f>HYPERLINK("http://www.worldcat.org/oclc/13114086","WorldCat Record")</f>
        <v/>
      </c>
      <c r="AU187" t="inlineStr">
        <is>
          <t>2604819:eng</t>
        </is>
      </c>
      <c r="AV187" t="inlineStr">
        <is>
          <t>13114086</t>
        </is>
      </c>
      <c r="AW187" t="inlineStr">
        <is>
          <t>991000782859702656</t>
        </is>
      </c>
      <c r="AX187" t="inlineStr">
        <is>
          <t>991000782859702656</t>
        </is>
      </c>
      <c r="AY187" t="inlineStr">
        <is>
          <t>2257932860002656</t>
        </is>
      </c>
      <c r="AZ187" t="inlineStr">
        <is>
          <t>BOOK</t>
        </is>
      </c>
      <c r="BB187" t="inlineStr">
        <is>
          <t>9780060912536</t>
        </is>
      </c>
      <c r="BC187" t="inlineStr">
        <is>
          <t>32285000423912</t>
        </is>
      </c>
      <c r="BD187" t="inlineStr">
        <is>
          <t>893884752</t>
        </is>
      </c>
    </row>
    <row r="188">
      <c r="A188" t="inlineStr">
        <is>
          <t>No</t>
        </is>
      </c>
      <c r="B188" t="inlineStr">
        <is>
          <t>E169.1 .W489 1988</t>
        </is>
      </c>
      <c r="C188" t="inlineStr">
        <is>
          <t>0                      E  0169100W  489         1988</t>
        </is>
      </c>
      <c r="D188" t="inlineStr">
        <is>
          <t>The pursuit of American character / Rupert Wilkinson.</t>
        </is>
      </c>
      <c r="F188" t="inlineStr">
        <is>
          <t>No</t>
        </is>
      </c>
      <c r="G188" t="inlineStr">
        <is>
          <t>1</t>
        </is>
      </c>
      <c r="H188" t="inlineStr">
        <is>
          <t>No</t>
        </is>
      </c>
      <c r="I188" t="inlineStr">
        <is>
          <t>No</t>
        </is>
      </c>
      <c r="J188" t="inlineStr">
        <is>
          <t>0</t>
        </is>
      </c>
      <c r="K188" t="inlineStr">
        <is>
          <t>Wilkinson, Rupert.</t>
        </is>
      </c>
      <c r="L188" t="inlineStr">
        <is>
          <t>New York : Harper &amp; Row, c1988.</t>
        </is>
      </c>
      <c r="M188" t="inlineStr">
        <is>
          <t>1988</t>
        </is>
      </c>
      <c r="N188" t="inlineStr">
        <is>
          <t>1st ed.</t>
        </is>
      </c>
      <c r="O188" t="inlineStr">
        <is>
          <t>eng</t>
        </is>
      </c>
      <c r="P188" t="inlineStr">
        <is>
          <t>nyu</t>
        </is>
      </c>
      <c r="Q188" t="inlineStr">
        <is>
          <t>Icon editions</t>
        </is>
      </c>
      <c r="R188" t="inlineStr">
        <is>
          <t xml:space="preserve">E  </t>
        </is>
      </c>
      <c r="S188" t="n">
        <v>12</v>
      </c>
      <c r="T188" t="n">
        <v>12</v>
      </c>
      <c r="U188" t="inlineStr">
        <is>
          <t>2005-04-12</t>
        </is>
      </c>
      <c r="V188" t="inlineStr">
        <is>
          <t>2005-04-12</t>
        </is>
      </c>
      <c r="W188" t="inlineStr">
        <is>
          <t>1990-05-02</t>
        </is>
      </c>
      <c r="X188" t="inlineStr">
        <is>
          <t>1990-05-02</t>
        </is>
      </c>
      <c r="Y188" t="n">
        <v>461</v>
      </c>
      <c r="Z188" t="n">
        <v>407</v>
      </c>
      <c r="AA188" t="n">
        <v>414</v>
      </c>
      <c r="AB188" t="n">
        <v>3</v>
      </c>
      <c r="AC188" t="n">
        <v>3</v>
      </c>
      <c r="AD188" t="n">
        <v>20</v>
      </c>
      <c r="AE188" t="n">
        <v>20</v>
      </c>
      <c r="AF188" t="n">
        <v>8</v>
      </c>
      <c r="AG188" t="n">
        <v>8</v>
      </c>
      <c r="AH188" t="n">
        <v>4</v>
      </c>
      <c r="AI188" t="n">
        <v>4</v>
      </c>
      <c r="AJ188" t="n">
        <v>13</v>
      </c>
      <c r="AK188" t="n">
        <v>13</v>
      </c>
      <c r="AL188" t="n">
        <v>2</v>
      </c>
      <c r="AM188" t="n">
        <v>2</v>
      </c>
      <c r="AN188" t="n">
        <v>0</v>
      </c>
      <c r="AO188" t="n">
        <v>0</v>
      </c>
      <c r="AP188" t="inlineStr">
        <is>
          <t>No</t>
        </is>
      </c>
      <c r="AQ188" t="inlineStr">
        <is>
          <t>Yes</t>
        </is>
      </c>
      <c r="AR188">
        <f>HYPERLINK("http://catalog.hathitrust.org/Record/000940170","HathiTrust Record")</f>
        <v/>
      </c>
      <c r="AS188">
        <f>HYPERLINK("https://creighton-primo.hosted.exlibrisgroup.com/primo-explore/search?tab=default_tab&amp;search_scope=EVERYTHING&amp;vid=01CRU&amp;lang=en_US&amp;offset=0&amp;query=any,contains,991001272619702656","Catalog Record")</f>
        <v/>
      </c>
      <c r="AT188">
        <f>HYPERLINK("http://www.worldcat.org/oclc/17842027","WorldCat Record")</f>
        <v/>
      </c>
      <c r="AU188" t="inlineStr">
        <is>
          <t>16990248:eng</t>
        </is>
      </c>
      <c r="AV188" t="inlineStr">
        <is>
          <t>17842027</t>
        </is>
      </c>
      <c r="AW188" t="inlineStr">
        <is>
          <t>991001272619702656</t>
        </is>
      </c>
      <c r="AX188" t="inlineStr">
        <is>
          <t>991001272619702656</t>
        </is>
      </c>
      <c r="AY188" t="inlineStr">
        <is>
          <t>2260561080002656</t>
        </is>
      </c>
      <c r="AZ188" t="inlineStr">
        <is>
          <t>BOOK</t>
        </is>
      </c>
      <c r="BB188" t="inlineStr">
        <is>
          <t>9780064301800</t>
        </is>
      </c>
      <c r="BC188" t="inlineStr">
        <is>
          <t>32285000146547</t>
        </is>
      </c>
      <c r="BD188" t="inlineStr">
        <is>
          <t>893432747</t>
        </is>
      </c>
    </row>
    <row r="189">
      <c r="A189" t="inlineStr">
        <is>
          <t>No</t>
        </is>
      </c>
      <c r="B189" t="inlineStr">
        <is>
          <t>E169.1 .W52 1956</t>
        </is>
      </c>
      <c r="C189" t="inlineStr">
        <is>
          <t>0                      E  0169100W  52          1956</t>
        </is>
      </c>
      <c r="D189" t="inlineStr">
        <is>
          <t>In the American grain : essays / by William Carlos Williams ; introduction by Horace Gregory.</t>
        </is>
      </c>
      <c r="F189" t="inlineStr">
        <is>
          <t>No</t>
        </is>
      </c>
      <c r="G189" t="inlineStr">
        <is>
          <t>1</t>
        </is>
      </c>
      <c r="H189" t="inlineStr">
        <is>
          <t>No</t>
        </is>
      </c>
      <c r="I189" t="inlineStr">
        <is>
          <t>No</t>
        </is>
      </c>
      <c r="J189" t="inlineStr">
        <is>
          <t>0</t>
        </is>
      </c>
      <c r="K189" t="inlineStr">
        <is>
          <t>Williams, William Carlos, 1883-1963.</t>
        </is>
      </c>
      <c r="L189" t="inlineStr">
        <is>
          <t>New York : New Directions, 1956.</t>
        </is>
      </c>
      <c r="M189" t="inlineStr">
        <is>
          <t>1956</t>
        </is>
      </c>
      <c r="O189" t="inlineStr">
        <is>
          <t>eng</t>
        </is>
      </c>
      <c r="P189" t="inlineStr">
        <is>
          <t>nyu</t>
        </is>
      </c>
      <c r="R189" t="inlineStr">
        <is>
          <t xml:space="preserve">E  </t>
        </is>
      </c>
      <c r="S189" t="n">
        <v>1</v>
      </c>
      <c r="T189" t="n">
        <v>1</v>
      </c>
      <c r="U189" t="inlineStr">
        <is>
          <t>2001-07-12</t>
        </is>
      </c>
      <c r="V189" t="inlineStr">
        <is>
          <t>2001-07-12</t>
        </is>
      </c>
      <c r="W189" t="inlineStr">
        <is>
          <t>2001-07-11</t>
        </is>
      </c>
      <c r="X189" t="inlineStr">
        <is>
          <t>2001-07-11</t>
        </is>
      </c>
      <c r="Y189" t="n">
        <v>1086</v>
      </c>
      <c r="Z189" t="n">
        <v>990</v>
      </c>
      <c r="AA189" t="n">
        <v>1418</v>
      </c>
      <c r="AB189" t="n">
        <v>6</v>
      </c>
      <c r="AC189" t="n">
        <v>8</v>
      </c>
      <c r="AD189" t="n">
        <v>40</v>
      </c>
      <c r="AE189" t="n">
        <v>53</v>
      </c>
      <c r="AF189" t="n">
        <v>18</v>
      </c>
      <c r="AG189" t="n">
        <v>26</v>
      </c>
      <c r="AH189" t="n">
        <v>8</v>
      </c>
      <c r="AI189" t="n">
        <v>10</v>
      </c>
      <c r="AJ189" t="n">
        <v>19</v>
      </c>
      <c r="AK189" t="n">
        <v>25</v>
      </c>
      <c r="AL189" t="n">
        <v>5</v>
      </c>
      <c r="AM189" t="n">
        <v>6</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HYPERLINK("https://creighton-primo.hosted.exlibrisgroup.com/primo-explore/search?tab=default_tab&amp;search_scope=EVERYTHING&amp;vid=01CRU&amp;lang=en_US&amp;offset=0&amp;query=any,contains,991003565299702656","Catalog Record")</f>
        <v/>
      </c>
      <c r="AT189">
        <f>HYPERLINK("http://www.worldcat.org/oclc/421771","WorldCat Record")</f>
        <v/>
      </c>
      <c r="AU189" t="inlineStr">
        <is>
          <t>470498:eng</t>
        </is>
      </c>
      <c r="AV189" t="inlineStr">
        <is>
          <t>421771</t>
        </is>
      </c>
      <c r="AW189" t="inlineStr">
        <is>
          <t>991003565299702656</t>
        </is>
      </c>
      <c r="AX189" t="inlineStr">
        <is>
          <t>991003565299702656</t>
        </is>
      </c>
      <c r="AY189" t="inlineStr">
        <is>
          <t>2270001970002656</t>
        </is>
      </c>
      <c r="AZ189" t="inlineStr">
        <is>
          <t>BOOK</t>
        </is>
      </c>
      <c r="BB189" t="inlineStr">
        <is>
          <t>9780811202305</t>
        </is>
      </c>
      <c r="BC189" t="inlineStr">
        <is>
          <t>32285004331467</t>
        </is>
      </c>
      <c r="BD189" t="inlineStr">
        <is>
          <t>893900124</t>
        </is>
      </c>
    </row>
    <row r="190">
      <c r="A190" t="inlineStr">
        <is>
          <t>No</t>
        </is>
      </c>
      <c r="B190" t="inlineStr">
        <is>
          <t>E169.1 .W8</t>
        </is>
      </c>
      <c r="C190" t="inlineStr">
        <is>
          <t>0                      E  0169100W  8</t>
        </is>
      </c>
      <c r="D190" t="inlineStr">
        <is>
          <t>The American tradition; national characteristics, past and present, edited by Louis B. Wright ... and H.T. Swedenberg, Jr.</t>
        </is>
      </c>
      <c r="F190" t="inlineStr">
        <is>
          <t>No</t>
        </is>
      </c>
      <c r="G190" t="inlineStr">
        <is>
          <t>1</t>
        </is>
      </c>
      <c r="H190" t="inlineStr">
        <is>
          <t>No</t>
        </is>
      </c>
      <c r="I190" t="inlineStr">
        <is>
          <t>No</t>
        </is>
      </c>
      <c r="J190" t="inlineStr">
        <is>
          <t>0</t>
        </is>
      </c>
      <c r="K190" t="inlineStr">
        <is>
          <t>Wright, Louis B. (Louis Booker), 1899-1984 editor.</t>
        </is>
      </c>
      <c r="L190" t="inlineStr">
        <is>
          <t>New York, F.S. Crofts &amp; Co., 1941.</t>
        </is>
      </c>
      <c r="M190" t="inlineStr">
        <is>
          <t>1941</t>
        </is>
      </c>
      <c r="O190" t="inlineStr">
        <is>
          <t>eng</t>
        </is>
      </c>
      <c r="P190" t="inlineStr">
        <is>
          <t>nyu</t>
        </is>
      </c>
      <c r="R190" t="inlineStr">
        <is>
          <t xml:space="preserve">E  </t>
        </is>
      </c>
      <c r="S190" t="n">
        <v>1</v>
      </c>
      <c r="T190" t="n">
        <v>1</v>
      </c>
      <c r="U190" t="inlineStr">
        <is>
          <t>2002-04-26</t>
        </is>
      </c>
      <c r="V190" t="inlineStr">
        <is>
          <t>2002-04-26</t>
        </is>
      </c>
      <c r="W190" t="inlineStr">
        <is>
          <t>1997-04-03</t>
        </is>
      </c>
      <c r="X190" t="inlineStr">
        <is>
          <t>1997-04-03</t>
        </is>
      </c>
      <c r="Y190" t="n">
        <v>367</v>
      </c>
      <c r="Z190" t="n">
        <v>353</v>
      </c>
      <c r="AA190" t="n">
        <v>390</v>
      </c>
      <c r="AB190" t="n">
        <v>6</v>
      </c>
      <c r="AC190" t="n">
        <v>6</v>
      </c>
      <c r="AD190" t="n">
        <v>22</v>
      </c>
      <c r="AE190" t="n">
        <v>25</v>
      </c>
      <c r="AF190" t="n">
        <v>8</v>
      </c>
      <c r="AG190" t="n">
        <v>9</v>
      </c>
      <c r="AH190" t="n">
        <v>3</v>
      </c>
      <c r="AI190" t="n">
        <v>3</v>
      </c>
      <c r="AJ190" t="n">
        <v>9</v>
      </c>
      <c r="AK190" t="n">
        <v>12</v>
      </c>
      <c r="AL190" t="n">
        <v>5</v>
      </c>
      <c r="AM190" t="n">
        <v>5</v>
      </c>
      <c r="AN190" t="n">
        <v>0</v>
      </c>
      <c r="AO190" t="n">
        <v>0</v>
      </c>
      <c r="AP190" t="inlineStr">
        <is>
          <t>No</t>
        </is>
      </c>
      <c r="AQ190" t="inlineStr">
        <is>
          <t>Yes</t>
        </is>
      </c>
      <c r="AR190">
        <f>HYPERLINK("http://catalog.hathitrust.org/Record/000329230","HathiTrust Record")</f>
        <v/>
      </c>
      <c r="AS190">
        <f>HYPERLINK("https://creighton-primo.hosted.exlibrisgroup.com/primo-explore/search?tab=default_tab&amp;search_scope=EVERYTHING&amp;vid=01CRU&amp;lang=en_US&amp;offset=0&amp;query=any,contains,991003251669702656","Catalog Record")</f>
        <v/>
      </c>
      <c r="AT190">
        <f>HYPERLINK("http://www.worldcat.org/oclc/776512","WorldCat Record")</f>
        <v/>
      </c>
      <c r="AU190" t="inlineStr">
        <is>
          <t>231594224:eng</t>
        </is>
      </c>
      <c r="AV190" t="inlineStr">
        <is>
          <t>776512</t>
        </is>
      </c>
      <c r="AW190" t="inlineStr">
        <is>
          <t>991003251669702656</t>
        </is>
      </c>
      <c r="AX190" t="inlineStr">
        <is>
          <t>991003251669702656</t>
        </is>
      </c>
      <c r="AY190" t="inlineStr">
        <is>
          <t>2268522810002656</t>
        </is>
      </c>
      <c r="AZ190" t="inlineStr">
        <is>
          <t>BOOK</t>
        </is>
      </c>
      <c r="BC190" t="inlineStr">
        <is>
          <t>32285002501699</t>
        </is>
      </c>
      <c r="BD190" t="inlineStr">
        <is>
          <t>893592334</t>
        </is>
      </c>
    </row>
    <row r="191">
      <c r="A191" t="inlineStr">
        <is>
          <t>No</t>
        </is>
      </c>
      <c r="B191" t="inlineStr">
        <is>
          <t>E169.12 .B37</t>
        </is>
      </c>
      <c r="C191" t="inlineStr">
        <is>
          <t>0                      E  0169120B  37</t>
        </is>
      </c>
      <c r="D191" t="inlineStr">
        <is>
          <t>The cultural contradictions of capitalism / Daniel Bell.</t>
        </is>
      </c>
      <c r="F191" t="inlineStr">
        <is>
          <t>No</t>
        </is>
      </c>
      <c r="G191" t="inlineStr">
        <is>
          <t>1</t>
        </is>
      </c>
      <c r="H191" t="inlineStr">
        <is>
          <t>Yes</t>
        </is>
      </c>
      <c r="I191" t="inlineStr">
        <is>
          <t>Yes</t>
        </is>
      </c>
      <c r="J191" t="inlineStr">
        <is>
          <t>0</t>
        </is>
      </c>
      <c r="K191" t="inlineStr">
        <is>
          <t>Bell, Daniel, 1919-2011.</t>
        </is>
      </c>
      <c r="L191" t="inlineStr">
        <is>
          <t>New York : Basic Books, [1976]</t>
        </is>
      </c>
      <c r="M191" t="inlineStr">
        <is>
          <t>1976</t>
        </is>
      </c>
      <c r="O191" t="inlineStr">
        <is>
          <t>eng</t>
        </is>
      </c>
      <c r="P191" t="inlineStr">
        <is>
          <t>nyu</t>
        </is>
      </c>
      <c r="R191" t="inlineStr">
        <is>
          <t xml:space="preserve">E  </t>
        </is>
      </c>
      <c r="S191" t="n">
        <v>3</v>
      </c>
      <c r="T191" t="n">
        <v>3</v>
      </c>
      <c r="U191" t="inlineStr">
        <is>
          <t>1997-11-09</t>
        </is>
      </c>
      <c r="V191" t="inlineStr">
        <is>
          <t>1997-11-09</t>
        </is>
      </c>
      <c r="W191" t="inlineStr">
        <is>
          <t>1992-01-14</t>
        </is>
      </c>
      <c r="X191" t="inlineStr">
        <is>
          <t>1992-07-17</t>
        </is>
      </c>
      <c r="Y191" t="n">
        <v>1414</v>
      </c>
      <c r="Z191" t="n">
        <v>1242</v>
      </c>
      <c r="AA191" t="n">
        <v>1523</v>
      </c>
      <c r="AB191" t="n">
        <v>7</v>
      </c>
      <c r="AC191" t="n">
        <v>12</v>
      </c>
      <c r="AD191" t="n">
        <v>53</v>
      </c>
      <c r="AE191" t="n">
        <v>61</v>
      </c>
      <c r="AF191" t="n">
        <v>23</v>
      </c>
      <c r="AG191" t="n">
        <v>26</v>
      </c>
      <c r="AH191" t="n">
        <v>10</v>
      </c>
      <c r="AI191" t="n">
        <v>11</v>
      </c>
      <c r="AJ191" t="n">
        <v>25</v>
      </c>
      <c r="AK191" t="n">
        <v>27</v>
      </c>
      <c r="AL191" t="n">
        <v>4</v>
      </c>
      <c r="AM191" t="n">
        <v>8</v>
      </c>
      <c r="AN191" t="n">
        <v>3</v>
      </c>
      <c r="AO191" t="n">
        <v>3</v>
      </c>
      <c r="AP191" t="inlineStr">
        <is>
          <t>No</t>
        </is>
      </c>
      <c r="AQ191" t="inlineStr">
        <is>
          <t>Yes</t>
        </is>
      </c>
      <c r="AR191">
        <f>HYPERLINK("http://catalog.hathitrust.org/Record/000020092","HathiTrust Record")</f>
        <v/>
      </c>
      <c r="AS191">
        <f>HYPERLINK("https://creighton-primo.hosted.exlibrisgroup.com/primo-explore/search?tab=default_tab&amp;search_scope=EVERYTHING&amp;vid=01CRU&amp;lang=en_US&amp;offset=0&amp;query=any,contains,991001724229702656","Catalog Record")</f>
        <v/>
      </c>
      <c r="AT191">
        <f>HYPERLINK("http://www.worldcat.org/oclc/1531707","WorldCat Record")</f>
        <v/>
      </c>
      <c r="AU191" t="inlineStr">
        <is>
          <t>52732495:eng</t>
        </is>
      </c>
      <c r="AV191" t="inlineStr">
        <is>
          <t>1531707</t>
        </is>
      </c>
      <c r="AW191" t="inlineStr">
        <is>
          <t>991001724229702656</t>
        </is>
      </c>
      <c r="AX191" t="inlineStr">
        <is>
          <t>991001724229702656</t>
        </is>
      </c>
      <c r="AY191" t="inlineStr">
        <is>
          <t>2271880940002656</t>
        </is>
      </c>
      <c r="AZ191" t="inlineStr">
        <is>
          <t>BOOK</t>
        </is>
      </c>
      <c r="BB191" t="inlineStr">
        <is>
          <t>9780465015269</t>
        </is>
      </c>
      <c r="BC191" t="inlineStr">
        <is>
          <t>32285000897362</t>
        </is>
      </c>
      <c r="BD191" t="inlineStr">
        <is>
          <t>893684569</t>
        </is>
      </c>
    </row>
    <row r="192">
      <c r="A192" t="inlineStr">
        <is>
          <t>No</t>
        </is>
      </c>
      <c r="B192" t="inlineStr">
        <is>
          <t>E169.12 .B387</t>
        </is>
      </c>
      <c r="C192" t="inlineStr">
        <is>
          <t>0                      E  0169120B  387</t>
        </is>
      </c>
      <c r="D192" t="inlineStr">
        <is>
          <t>Pop culture.</t>
        </is>
      </c>
      <c r="F192" t="inlineStr">
        <is>
          <t>No</t>
        </is>
      </c>
      <c r="G192" t="inlineStr">
        <is>
          <t>1</t>
        </is>
      </c>
      <c r="H192" t="inlineStr">
        <is>
          <t>No</t>
        </is>
      </c>
      <c r="I192" t="inlineStr">
        <is>
          <t>No</t>
        </is>
      </c>
      <c r="J192" t="inlineStr">
        <is>
          <t>0</t>
        </is>
      </c>
      <c r="K192" t="inlineStr">
        <is>
          <t>Berger, Arthur Asa, 1933-</t>
        </is>
      </c>
      <c r="L192" t="inlineStr">
        <is>
          <t>Dayton, Ohio : Pflaum/Standard, [1973]</t>
        </is>
      </c>
      <c r="M192" t="inlineStr">
        <is>
          <t>1973</t>
        </is>
      </c>
      <c r="O192" t="inlineStr">
        <is>
          <t>eng</t>
        </is>
      </c>
      <c r="P192" t="inlineStr">
        <is>
          <t>ohu</t>
        </is>
      </c>
      <c r="R192" t="inlineStr">
        <is>
          <t xml:space="preserve">E  </t>
        </is>
      </c>
      <c r="S192" t="n">
        <v>3</v>
      </c>
      <c r="T192" t="n">
        <v>3</v>
      </c>
      <c r="U192" t="inlineStr">
        <is>
          <t>1996-10-06</t>
        </is>
      </c>
      <c r="V192" t="inlineStr">
        <is>
          <t>1996-10-06</t>
        </is>
      </c>
      <c r="W192" t="inlineStr">
        <is>
          <t>1994-12-12</t>
        </is>
      </c>
      <c r="X192" t="inlineStr">
        <is>
          <t>1994-12-12</t>
        </is>
      </c>
      <c r="Y192" t="n">
        <v>272</v>
      </c>
      <c r="Z192" t="n">
        <v>241</v>
      </c>
      <c r="AA192" t="n">
        <v>243</v>
      </c>
      <c r="AB192" t="n">
        <v>2</v>
      </c>
      <c r="AC192" t="n">
        <v>2</v>
      </c>
      <c r="AD192" t="n">
        <v>2</v>
      </c>
      <c r="AE192" t="n">
        <v>2</v>
      </c>
      <c r="AF192" t="n">
        <v>1</v>
      </c>
      <c r="AG192" t="n">
        <v>1</v>
      </c>
      <c r="AH192" t="n">
        <v>0</v>
      </c>
      <c r="AI192" t="n">
        <v>0</v>
      </c>
      <c r="AJ192" t="n">
        <v>0</v>
      </c>
      <c r="AK192" t="n">
        <v>0</v>
      </c>
      <c r="AL192" t="n">
        <v>1</v>
      </c>
      <c r="AM192" t="n">
        <v>1</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HYPERLINK("https://creighton-primo.hosted.exlibrisgroup.com/primo-explore/search?tab=default_tab&amp;search_scope=EVERYTHING&amp;vid=01CRU&amp;lang=en_US&amp;offset=0&amp;query=any,contains,991003027629702656","Catalog Record")</f>
        <v/>
      </c>
      <c r="AT192">
        <f>HYPERLINK("http://www.worldcat.org/oclc/591016","WorldCat Record")</f>
        <v/>
      </c>
      <c r="AU192" t="inlineStr">
        <is>
          <t>1780188:eng</t>
        </is>
      </c>
      <c r="AV192" t="inlineStr">
        <is>
          <t>591016</t>
        </is>
      </c>
      <c r="AW192" t="inlineStr">
        <is>
          <t>991003027629702656</t>
        </is>
      </c>
      <c r="AX192" t="inlineStr">
        <is>
          <t>991003027629702656</t>
        </is>
      </c>
      <c r="AY192" t="inlineStr">
        <is>
          <t>2265712740002656</t>
        </is>
      </c>
      <c r="AZ192" t="inlineStr">
        <is>
          <t>BOOK</t>
        </is>
      </c>
      <c r="BB192" t="inlineStr">
        <is>
          <t>9780827800236</t>
        </is>
      </c>
      <c r="BC192" t="inlineStr">
        <is>
          <t>32285001981942</t>
        </is>
      </c>
      <c r="BD192" t="inlineStr">
        <is>
          <t>893317583</t>
        </is>
      </c>
    </row>
    <row r="193">
      <c r="A193" t="inlineStr">
        <is>
          <t>No</t>
        </is>
      </c>
      <c r="B193" t="inlineStr">
        <is>
          <t>E169.12 .B394 2000</t>
        </is>
      </c>
      <c r="C193" t="inlineStr">
        <is>
          <t>0                      E  0169120B  394         2000</t>
        </is>
      </c>
      <c r="D193" t="inlineStr">
        <is>
          <t>The Twilight of American culture / Morris Berman.</t>
        </is>
      </c>
      <c r="F193" t="inlineStr">
        <is>
          <t>No</t>
        </is>
      </c>
      <c r="G193" t="inlineStr">
        <is>
          <t>1</t>
        </is>
      </c>
      <c r="H193" t="inlineStr">
        <is>
          <t>Yes</t>
        </is>
      </c>
      <c r="I193" t="inlineStr">
        <is>
          <t>No</t>
        </is>
      </c>
      <c r="J193" t="inlineStr">
        <is>
          <t>0</t>
        </is>
      </c>
      <c r="K193" t="inlineStr">
        <is>
          <t>Berman, Morris, 1944-</t>
        </is>
      </c>
      <c r="L193" t="inlineStr">
        <is>
          <t>New York : W. W. Norton, c2000.</t>
        </is>
      </c>
      <c r="M193" t="inlineStr">
        <is>
          <t>2000</t>
        </is>
      </c>
      <c r="O193" t="inlineStr">
        <is>
          <t>eng</t>
        </is>
      </c>
      <c r="P193" t="inlineStr">
        <is>
          <t>nyu</t>
        </is>
      </c>
      <c r="R193" t="inlineStr">
        <is>
          <t xml:space="preserve">E  </t>
        </is>
      </c>
      <c r="S193" t="n">
        <v>2</v>
      </c>
      <c r="T193" t="n">
        <v>2</v>
      </c>
      <c r="U193" t="inlineStr">
        <is>
          <t>2001-04-24</t>
        </is>
      </c>
      <c r="V193" t="inlineStr">
        <is>
          <t>2001-05-09</t>
        </is>
      </c>
      <c r="W193" t="inlineStr">
        <is>
          <t>2000-09-27</t>
        </is>
      </c>
      <c r="X193" t="inlineStr">
        <is>
          <t>2001-02-22</t>
        </is>
      </c>
      <c r="Y193" t="n">
        <v>988</v>
      </c>
      <c r="Z193" t="n">
        <v>914</v>
      </c>
      <c r="AA193" t="n">
        <v>1760</v>
      </c>
      <c r="AB193" t="n">
        <v>11</v>
      </c>
      <c r="AC193" t="n">
        <v>11</v>
      </c>
      <c r="AD193" t="n">
        <v>39</v>
      </c>
      <c r="AE193" t="n">
        <v>48</v>
      </c>
      <c r="AF193" t="n">
        <v>15</v>
      </c>
      <c r="AG193" t="n">
        <v>21</v>
      </c>
      <c r="AH193" t="n">
        <v>7</v>
      </c>
      <c r="AI193" t="n">
        <v>10</v>
      </c>
      <c r="AJ193" t="n">
        <v>15</v>
      </c>
      <c r="AK193" t="n">
        <v>18</v>
      </c>
      <c r="AL193" t="n">
        <v>7</v>
      </c>
      <c r="AM193" t="n">
        <v>7</v>
      </c>
      <c r="AN193" t="n">
        <v>1</v>
      </c>
      <c r="AO193" t="n">
        <v>1</v>
      </c>
      <c r="AP193" t="inlineStr">
        <is>
          <t>No</t>
        </is>
      </c>
      <c r="AQ193" t="inlineStr">
        <is>
          <t>No</t>
        </is>
      </c>
      <c r="AS193">
        <f>HYPERLINK("https://creighton-primo.hosted.exlibrisgroup.com/primo-explore/search?tab=default_tab&amp;search_scope=EVERYTHING&amp;vid=01CRU&amp;lang=en_US&amp;offset=0&amp;query=any,contains,991001702099702656","Catalog Record")</f>
        <v/>
      </c>
      <c r="AT193">
        <f>HYPERLINK("http://www.worldcat.org/oclc/43286845","WorldCat Record")</f>
        <v/>
      </c>
      <c r="AU193" t="inlineStr">
        <is>
          <t>1151640684:eng</t>
        </is>
      </c>
      <c r="AV193" t="inlineStr">
        <is>
          <t>43286845</t>
        </is>
      </c>
      <c r="AW193" t="inlineStr">
        <is>
          <t>991001702099702656</t>
        </is>
      </c>
      <c r="AX193" t="inlineStr">
        <is>
          <t>991001702099702656</t>
        </is>
      </c>
      <c r="AY193" t="inlineStr">
        <is>
          <t>2258249380002656</t>
        </is>
      </c>
      <c r="AZ193" t="inlineStr">
        <is>
          <t>BOOK</t>
        </is>
      </c>
      <c r="BB193" t="inlineStr">
        <is>
          <t>9780393048797</t>
        </is>
      </c>
      <c r="BC193" t="inlineStr">
        <is>
          <t>32285003765061</t>
        </is>
      </c>
      <c r="BD193" t="inlineStr">
        <is>
          <t>893709480</t>
        </is>
      </c>
    </row>
    <row r="194">
      <c r="A194" t="inlineStr">
        <is>
          <t>No</t>
        </is>
      </c>
      <c r="B194" t="inlineStr">
        <is>
          <t>E169.12 .B684 1985</t>
        </is>
      </c>
      <c r="C194" t="inlineStr">
        <is>
          <t>0                      E  0169120B  684         1985</t>
        </is>
      </c>
      <c r="D194" t="inlineStr">
        <is>
          <t>By the bomb's early light : American thought and culture at the dawn of the atomic age / Paul Boyer.</t>
        </is>
      </c>
      <c r="F194" t="inlineStr">
        <is>
          <t>No</t>
        </is>
      </c>
      <c r="G194" t="inlineStr">
        <is>
          <t>1</t>
        </is>
      </c>
      <c r="H194" t="inlineStr">
        <is>
          <t>No</t>
        </is>
      </c>
      <c r="I194" t="inlineStr">
        <is>
          <t>Yes</t>
        </is>
      </c>
      <c r="J194" t="inlineStr">
        <is>
          <t>0</t>
        </is>
      </c>
      <c r="K194" t="inlineStr">
        <is>
          <t>Boyer, Paul S.</t>
        </is>
      </c>
      <c r="L194" t="inlineStr">
        <is>
          <t>New York : Pantheon, 1985.</t>
        </is>
      </c>
      <c r="M194" t="inlineStr">
        <is>
          <t>1985</t>
        </is>
      </c>
      <c r="O194" t="inlineStr">
        <is>
          <t>eng</t>
        </is>
      </c>
      <c r="P194" t="inlineStr">
        <is>
          <t>nyu</t>
        </is>
      </c>
      <c r="R194" t="inlineStr">
        <is>
          <t xml:space="preserve">E  </t>
        </is>
      </c>
      <c r="S194" t="n">
        <v>5</v>
      </c>
      <c r="T194" t="n">
        <v>5</v>
      </c>
      <c r="U194" t="inlineStr">
        <is>
          <t>2005-04-30</t>
        </is>
      </c>
      <c r="V194" t="inlineStr">
        <is>
          <t>2005-04-30</t>
        </is>
      </c>
      <c r="W194" t="inlineStr">
        <is>
          <t>1990-03-21</t>
        </is>
      </c>
      <c r="X194" t="inlineStr">
        <is>
          <t>1990-03-21</t>
        </is>
      </c>
      <c r="Y194" t="n">
        <v>1297</v>
      </c>
      <c r="Z194" t="n">
        <v>1180</v>
      </c>
      <c r="AA194" t="n">
        <v>1676</v>
      </c>
      <c r="AB194" t="n">
        <v>11</v>
      </c>
      <c r="AC194" t="n">
        <v>14</v>
      </c>
      <c r="AD194" t="n">
        <v>40</v>
      </c>
      <c r="AE194" t="n">
        <v>60</v>
      </c>
      <c r="AF194" t="n">
        <v>15</v>
      </c>
      <c r="AG194" t="n">
        <v>25</v>
      </c>
      <c r="AH194" t="n">
        <v>7</v>
      </c>
      <c r="AI194" t="n">
        <v>11</v>
      </c>
      <c r="AJ194" t="n">
        <v>17</v>
      </c>
      <c r="AK194" t="n">
        <v>24</v>
      </c>
      <c r="AL194" t="n">
        <v>8</v>
      </c>
      <c r="AM194" t="n">
        <v>11</v>
      </c>
      <c r="AN194" t="n">
        <v>0</v>
      </c>
      <c r="AO194" t="n">
        <v>1</v>
      </c>
      <c r="AP194" t="inlineStr">
        <is>
          <t>No</t>
        </is>
      </c>
      <c r="AQ194" t="inlineStr">
        <is>
          <t>Yes</t>
        </is>
      </c>
      <c r="AR194">
        <f>HYPERLINK("http://catalog.hathitrust.org/Record/000377513","HathiTrust Record")</f>
        <v/>
      </c>
      <c r="AS194">
        <f>HYPERLINK("https://creighton-primo.hosted.exlibrisgroup.com/primo-explore/search?tab=default_tab&amp;search_scope=EVERYTHING&amp;vid=01CRU&amp;lang=en_US&amp;offset=0&amp;query=any,contains,991000670019702656","Catalog Record")</f>
        <v/>
      </c>
      <c r="AT194">
        <f>HYPERLINK("http://www.worldcat.org/oclc/12313993","WorldCat Record")</f>
        <v/>
      </c>
      <c r="AU194" t="inlineStr">
        <is>
          <t>4956676:eng</t>
        </is>
      </c>
      <c r="AV194" t="inlineStr">
        <is>
          <t>12313993</t>
        </is>
      </c>
      <c r="AW194" t="inlineStr">
        <is>
          <t>991000670019702656</t>
        </is>
      </c>
      <c r="AX194" t="inlineStr">
        <is>
          <t>991000670019702656</t>
        </is>
      </c>
      <c r="AY194" t="inlineStr">
        <is>
          <t>2271776410002656</t>
        </is>
      </c>
      <c r="AZ194" t="inlineStr">
        <is>
          <t>BOOK</t>
        </is>
      </c>
      <c r="BB194" t="inlineStr">
        <is>
          <t>9780394528786</t>
        </is>
      </c>
      <c r="BC194" t="inlineStr">
        <is>
          <t>32285000089572</t>
        </is>
      </c>
      <c r="BD194" t="inlineStr">
        <is>
          <t>893321245</t>
        </is>
      </c>
    </row>
    <row r="195">
      <c r="A195" t="inlineStr">
        <is>
          <t>No</t>
        </is>
      </c>
      <c r="B195" t="inlineStr">
        <is>
          <t>E169.12 .B6946 2000</t>
        </is>
      </c>
      <c r="C195" t="inlineStr">
        <is>
          <t>0                      E  0169120B  6946        2000</t>
        </is>
      </c>
      <c r="D195" t="inlineStr">
        <is>
          <t>Age of contradiction : American thought and culture in the 1960s / Howard Brick.</t>
        </is>
      </c>
      <c r="F195" t="inlineStr">
        <is>
          <t>No</t>
        </is>
      </c>
      <c r="G195" t="inlineStr">
        <is>
          <t>1</t>
        </is>
      </c>
      <c r="H195" t="inlineStr">
        <is>
          <t>No</t>
        </is>
      </c>
      <c r="I195" t="inlineStr">
        <is>
          <t>Yes</t>
        </is>
      </c>
      <c r="J195" t="inlineStr">
        <is>
          <t>0</t>
        </is>
      </c>
      <c r="K195" t="inlineStr">
        <is>
          <t>Brick, Howard, 1953-</t>
        </is>
      </c>
      <c r="L195" t="inlineStr">
        <is>
          <t>Ithaca, NY : Cornell University Press, 2000.</t>
        </is>
      </c>
      <c r="M195" t="inlineStr">
        <is>
          <t>2000</t>
        </is>
      </c>
      <c r="O195" t="inlineStr">
        <is>
          <t>eng</t>
        </is>
      </c>
      <c r="P195" t="inlineStr">
        <is>
          <t>nyu</t>
        </is>
      </c>
      <c r="R195" t="inlineStr">
        <is>
          <t xml:space="preserve">E  </t>
        </is>
      </c>
      <c r="S195" t="n">
        <v>4</v>
      </c>
      <c r="T195" t="n">
        <v>4</v>
      </c>
      <c r="U195" t="inlineStr">
        <is>
          <t>2002-02-26</t>
        </is>
      </c>
      <c r="V195" t="inlineStr">
        <is>
          <t>2002-02-26</t>
        </is>
      </c>
      <c r="W195" t="inlineStr">
        <is>
          <t>2001-03-14</t>
        </is>
      </c>
      <c r="X195" t="inlineStr">
        <is>
          <t>2001-03-14</t>
        </is>
      </c>
      <c r="Y195" t="n">
        <v>149</v>
      </c>
      <c r="Z195" t="n">
        <v>102</v>
      </c>
      <c r="AA195" t="n">
        <v>777</v>
      </c>
      <c r="AB195" t="n">
        <v>2</v>
      </c>
      <c r="AC195" t="n">
        <v>9</v>
      </c>
      <c r="AD195" t="n">
        <v>6</v>
      </c>
      <c r="AE195" t="n">
        <v>42</v>
      </c>
      <c r="AF195" t="n">
        <v>4</v>
      </c>
      <c r="AG195" t="n">
        <v>17</v>
      </c>
      <c r="AH195" t="n">
        <v>0</v>
      </c>
      <c r="AI195" t="n">
        <v>9</v>
      </c>
      <c r="AJ195" t="n">
        <v>2</v>
      </c>
      <c r="AK195" t="n">
        <v>17</v>
      </c>
      <c r="AL195" t="n">
        <v>1</v>
      </c>
      <c r="AM195" t="n">
        <v>8</v>
      </c>
      <c r="AN195" t="n">
        <v>0</v>
      </c>
      <c r="AO195" t="n">
        <v>0</v>
      </c>
      <c r="AP195" t="inlineStr">
        <is>
          <t>No</t>
        </is>
      </c>
      <c r="AQ195" t="inlineStr">
        <is>
          <t>No</t>
        </is>
      </c>
      <c r="AS195">
        <f>HYPERLINK("https://creighton-primo.hosted.exlibrisgroup.com/primo-explore/search?tab=default_tab&amp;search_scope=EVERYTHING&amp;vid=01CRU&amp;lang=en_US&amp;offset=0&amp;query=any,contains,991003480109702656","Catalog Record")</f>
        <v/>
      </c>
      <c r="AT195">
        <f>HYPERLINK("http://www.worldcat.org/oclc/45008656","WorldCat Record")</f>
        <v/>
      </c>
      <c r="AU195" t="inlineStr">
        <is>
          <t>614719:eng</t>
        </is>
      </c>
      <c r="AV195" t="inlineStr">
        <is>
          <t>45008656</t>
        </is>
      </c>
      <c r="AW195" t="inlineStr">
        <is>
          <t>991003480109702656</t>
        </is>
      </c>
      <c r="AX195" t="inlineStr">
        <is>
          <t>991003480109702656</t>
        </is>
      </c>
      <c r="AY195" t="inlineStr">
        <is>
          <t>2267162590002656</t>
        </is>
      </c>
      <c r="AZ195" t="inlineStr">
        <is>
          <t>BOOK</t>
        </is>
      </c>
      <c r="BB195" t="inlineStr">
        <is>
          <t>9780801487002</t>
        </is>
      </c>
      <c r="BC195" t="inlineStr">
        <is>
          <t>32285004305578</t>
        </is>
      </c>
      <c r="BD195" t="inlineStr">
        <is>
          <t>893234206</t>
        </is>
      </c>
    </row>
    <row r="196">
      <c r="A196" t="inlineStr">
        <is>
          <t>No</t>
        </is>
      </c>
      <c r="B196" t="inlineStr">
        <is>
          <t>E169.12 .C27 1990</t>
        </is>
      </c>
      <c r="C196" t="inlineStr">
        <is>
          <t>0                      E  0169120C  27          1990</t>
        </is>
      </c>
      <c r="D196" t="inlineStr">
        <is>
          <t>The unfinished war : Vietnam and the American conscience / Walter H. Capps.</t>
        </is>
      </c>
      <c r="F196" t="inlineStr">
        <is>
          <t>No</t>
        </is>
      </c>
      <c r="G196" t="inlineStr">
        <is>
          <t>1</t>
        </is>
      </c>
      <c r="H196" t="inlineStr">
        <is>
          <t>No</t>
        </is>
      </c>
      <c r="I196" t="inlineStr">
        <is>
          <t>Yes</t>
        </is>
      </c>
      <c r="J196" t="inlineStr">
        <is>
          <t>0</t>
        </is>
      </c>
      <c r="K196" t="inlineStr">
        <is>
          <t>Capps, Walter H.</t>
        </is>
      </c>
      <c r="L196" t="inlineStr">
        <is>
          <t>Boston : Beacon Press, 1990.</t>
        </is>
      </c>
      <c r="M196" t="inlineStr">
        <is>
          <t>1990</t>
        </is>
      </c>
      <c r="N196" t="inlineStr">
        <is>
          <t>2nd ed.</t>
        </is>
      </c>
      <c r="O196" t="inlineStr">
        <is>
          <t>eng</t>
        </is>
      </c>
      <c r="P196" t="inlineStr">
        <is>
          <t>mau</t>
        </is>
      </c>
      <c r="R196" t="inlineStr">
        <is>
          <t xml:space="preserve">E  </t>
        </is>
      </c>
      <c r="S196" t="n">
        <v>3</v>
      </c>
      <c r="T196" t="n">
        <v>3</v>
      </c>
      <c r="U196" t="inlineStr">
        <is>
          <t>1993-04-09</t>
        </is>
      </c>
      <c r="V196" t="inlineStr">
        <is>
          <t>1993-04-09</t>
        </is>
      </c>
      <c r="W196" t="inlineStr">
        <is>
          <t>1990-09-12</t>
        </is>
      </c>
      <c r="X196" t="inlineStr">
        <is>
          <t>1990-09-12</t>
        </is>
      </c>
      <c r="Y196" t="n">
        <v>237</v>
      </c>
      <c r="Z196" t="n">
        <v>199</v>
      </c>
      <c r="AA196" t="n">
        <v>956</v>
      </c>
      <c r="AB196" t="n">
        <v>3</v>
      </c>
      <c r="AC196" t="n">
        <v>9</v>
      </c>
      <c r="AD196" t="n">
        <v>9</v>
      </c>
      <c r="AE196" t="n">
        <v>34</v>
      </c>
      <c r="AF196" t="n">
        <v>1</v>
      </c>
      <c r="AG196" t="n">
        <v>10</v>
      </c>
      <c r="AH196" t="n">
        <v>2</v>
      </c>
      <c r="AI196" t="n">
        <v>7</v>
      </c>
      <c r="AJ196" t="n">
        <v>6</v>
      </c>
      <c r="AK196" t="n">
        <v>15</v>
      </c>
      <c r="AL196" t="n">
        <v>2</v>
      </c>
      <c r="AM196" t="n">
        <v>7</v>
      </c>
      <c r="AN196" t="n">
        <v>0</v>
      </c>
      <c r="AO196" t="n">
        <v>0</v>
      </c>
      <c r="AP196" t="inlineStr">
        <is>
          <t>No</t>
        </is>
      </c>
      <c r="AQ196" t="inlineStr">
        <is>
          <t>Yes</t>
        </is>
      </c>
      <c r="AR196">
        <f>HYPERLINK("http://catalog.hathitrust.org/Record/001950408","HathiTrust Record")</f>
        <v/>
      </c>
      <c r="AS196">
        <f>HYPERLINK("https://creighton-primo.hosted.exlibrisgroup.com/primo-explore/search?tab=default_tab&amp;search_scope=EVERYTHING&amp;vid=01CRU&amp;lang=en_US&amp;offset=0&amp;query=any,contains,991001731969702656","Catalog Record")</f>
        <v/>
      </c>
      <c r="AT196">
        <f>HYPERLINK("http://www.worldcat.org/oclc/20894353","WorldCat Record")</f>
        <v/>
      </c>
      <c r="AU196" t="inlineStr">
        <is>
          <t>20416834:eng</t>
        </is>
      </c>
      <c r="AV196" t="inlineStr">
        <is>
          <t>20894353</t>
        </is>
      </c>
      <c r="AW196" t="inlineStr">
        <is>
          <t>991001731969702656</t>
        </is>
      </c>
      <c r="AX196" t="inlineStr">
        <is>
          <t>991001731969702656</t>
        </is>
      </c>
      <c r="AY196" t="inlineStr">
        <is>
          <t>2256562610002656</t>
        </is>
      </c>
      <c r="AZ196" t="inlineStr">
        <is>
          <t>BOOK</t>
        </is>
      </c>
      <c r="BB196" t="inlineStr">
        <is>
          <t>9780807032602</t>
        </is>
      </c>
      <c r="BC196" t="inlineStr">
        <is>
          <t>32285000277169</t>
        </is>
      </c>
      <c r="BD196" t="inlineStr">
        <is>
          <t>893866435</t>
        </is>
      </c>
    </row>
    <row r="197">
      <c r="A197" t="inlineStr">
        <is>
          <t>No</t>
        </is>
      </c>
      <c r="B197" t="inlineStr">
        <is>
          <t>E169.12 .C295 1983</t>
        </is>
      </c>
      <c r="C197" t="inlineStr">
        <is>
          <t>0                      E  0169120C  295         1983</t>
        </is>
      </c>
      <c r="D197" t="inlineStr">
        <is>
          <t>Another part of the fifties / Paul A. Carter.</t>
        </is>
      </c>
      <c r="F197" t="inlineStr">
        <is>
          <t>No</t>
        </is>
      </c>
      <c r="G197" t="inlineStr">
        <is>
          <t>1</t>
        </is>
      </c>
      <c r="H197" t="inlineStr">
        <is>
          <t>No</t>
        </is>
      </c>
      <c r="I197" t="inlineStr">
        <is>
          <t>No</t>
        </is>
      </c>
      <c r="J197" t="inlineStr">
        <is>
          <t>0</t>
        </is>
      </c>
      <c r="K197" t="inlineStr">
        <is>
          <t>Carter, Paul A. (Paul Allen), 1926-2016.</t>
        </is>
      </c>
      <c r="L197" t="inlineStr">
        <is>
          <t>New York : Columbia University Press, 1983.</t>
        </is>
      </c>
      <c r="M197" t="inlineStr">
        <is>
          <t>1983</t>
        </is>
      </c>
      <c r="O197" t="inlineStr">
        <is>
          <t>eng</t>
        </is>
      </c>
      <c r="P197" t="inlineStr">
        <is>
          <t>nyu</t>
        </is>
      </c>
      <c r="R197" t="inlineStr">
        <is>
          <t xml:space="preserve">E  </t>
        </is>
      </c>
      <c r="S197" t="n">
        <v>2</v>
      </c>
      <c r="T197" t="n">
        <v>2</v>
      </c>
      <c r="U197" t="inlineStr">
        <is>
          <t>2003-03-31</t>
        </is>
      </c>
      <c r="V197" t="inlineStr">
        <is>
          <t>2003-03-31</t>
        </is>
      </c>
      <c r="W197" t="inlineStr">
        <is>
          <t>1990-03-29</t>
        </is>
      </c>
      <c r="X197" t="inlineStr">
        <is>
          <t>1990-03-29</t>
        </is>
      </c>
      <c r="Y197" t="n">
        <v>1256</v>
      </c>
      <c r="Z197" t="n">
        <v>1126</v>
      </c>
      <c r="AA197" t="n">
        <v>1131</v>
      </c>
      <c r="AB197" t="n">
        <v>9</v>
      </c>
      <c r="AC197" t="n">
        <v>9</v>
      </c>
      <c r="AD197" t="n">
        <v>42</v>
      </c>
      <c r="AE197" t="n">
        <v>42</v>
      </c>
      <c r="AF197" t="n">
        <v>20</v>
      </c>
      <c r="AG197" t="n">
        <v>20</v>
      </c>
      <c r="AH197" t="n">
        <v>8</v>
      </c>
      <c r="AI197" t="n">
        <v>8</v>
      </c>
      <c r="AJ197" t="n">
        <v>17</v>
      </c>
      <c r="AK197" t="n">
        <v>17</v>
      </c>
      <c r="AL197" t="n">
        <v>6</v>
      </c>
      <c r="AM197" t="n">
        <v>6</v>
      </c>
      <c r="AN197" t="n">
        <v>1</v>
      </c>
      <c r="AO197" t="n">
        <v>1</v>
      </c>
      <c r="AP197" t="inlineStr">
        <is>
          <t>No</t>
        </is>
      </c>
      <c r="AQ197" t="inlineStr">
        <is>
          <t>No</t>
        </is>
      </c>
      <c r="AS197">
        <f>HYPERLINK("https://creighton-primo.hosted.exlibrisgroup.com/primo-explore/search?tab=default_tab&amp;search_scope=EVERYTHING&amp;vid=01CRU&amp;lang=en_US&amp;offset=0&amp;query=any,contains,991000134789702656","Catalog Record")</f>
        <v/>
      </c>
      <c r="AT197">
        <f>HYPERLINK("http://www.worldcat.org/oclc/9131812","WorldCat Record")</f>
        <v/>
      </c>
      <c r="AU197" t="inlineStr">
        <is>
          <t>141238728:eng</t>
        </is>
      </c>
      <c r="AV197" t="inlineStr">
        <is>
          <t>9131812</t>
        </is>
      </c>
      <c r="AW197" t="inlineStr">
        <is>
          <t>991000134789702656</t>
        </is>
      </c>
      <c r="AX197" t="inlineStr">
        <is>
          <t>991000134789702656</t>
        </is>
      </c>
      <c r="AY197" t="inlineStr">
        <is>
          <t>2267075910002656</t>
        </is>
      </c>
      <c r="AZ197" t="inlineStr">
        <is>
          <t>BOOK</t>
        </is>
      </c>
      <c r="BB197" t="inlineStr">
        <is>
          <t>9780231052221</t>
        </is>
      </c>
      <c r="BC197" t="inlineStr">
        <is>
          <t>32285000106749</t>
        </is>
      </c>
      <c r="BD197" t="inlineStr">
        <is>
          <t>893613932</t>
        </is>
      </c>
    </row>
    <row r="198">
      <c r="A198" t="inlineStr">
        <is>
          <t>No</t>
        </is>
      </c>
      <c r="B198" t="inlineStr">
        <is>
          <t>E169.12 .C38 1997</t>
        </is>
      </c>
      <c r="C198" t="inlineStr">
        <is>
          <t>0                      E  0169120C  38          1997</t>
        </is>
      </c>
      <c r="D198" t="inlineStr">
        <is>
          <t>Reconstructing America : the symbol of America in modern thought / James W. Ceaser.</t>
        </is>
      </c>
      <c r="F198" t="inlineStr">
        <is>
          <t>No</t>
        </is>
      </c>
      <c r="G198" t="inlineStr">
        <is>
          <t>1</t>
        </is>
      </c>
      <c r="H198" t="inlineStr">
        <is>
          <t>No</t>
        </is>
      </c>
      <c r="I198" t="inlineStr">
        <is>
          <t>No</t>
        </is>
      </c>
      <c r="J198" t="inlineStr">
        <is>
          <t>0</t>
        </is>
      </c>
      <c r="K198" t="inlineStr">
        <is>
          <t>Ceaser, James W.</t>
        </is>
      </c>
      <c r="L198" t="inlineStr">
        <is>
          <t>New Haven, CT : Yale University Press, c1997.</t>
        </is>
      </c>
      <c r="M198" t="inlineStr">
        <is>
          <t>1997</t>
        </is>
      </c>
      <c r="O198" t="inlineStr">
        <is>
          <t>eng</t>
        </is>
      </c>
      <c r="P198" t="inlineStr">
        <is>
          <t>ctu</t>
        </is>
      </c>
      <c r="R198" t="inlineStr">
        <is>
          <t xml:space="preserve">E  </t>
        </is>
      </c>
      <c r="S198" t="n">
        <v>2</v>
      </c>
      <c r="T198" t="n">
        <v>2</v>
      </c>
      <c r="U198" t="inlineStr">
        <is>
          <t>2005-09-19</t>
        </is>
      </c>
      <c r="V198" t="inlineStr">
        <is>
          <t>2005-09-19</t>
        </is>
      </c>
      <c r="W198" t="inlineStr">
        <is>
          <t>1998-09-15</t>
        </is>
      </c>
      <c r="X198" t="inlineStr">
        <is>
          <t>1998-09-15</t>
        </is>
      </c>
      <c r="Y198" t="n">
        <v>689</v>
      </c>
      <c r="Z198" t="n">
        <v>593</v>
      </c>
      <c r="AA198" t="n">
        <v>754</v>
      </c>
      <c r="AB198" t="n">
        <v>5</v>
      </c>
      <c r="AC198" t="n">
        <v>5</v>
      </c>
      <c r="AD198" t="n">
        <v>32</v>
      </c>
      <c r="AE198" t="n">
        <v>39</v>
      </c>
      <c r="AF198" t="n">
        <v>13</v>
      </c>
      <c r="AG198" t="n">
        <v>16</v>
      </c>
      <c r="AH198" t="n">
        <v>7</v>
      </c>
      <c r="AI198" t="n">
        <v>9</v>
      </c>
      <c r="AJ198" t="n">
        <v>17</v>
      </c>
      <c r="AK198" t="n">
        <v>20</v>
      </c>
      <c r="AL198" t="n">
        <v>4</v>
      </c>
      <c r="AM198" t="n">
        <v>4</v>
      </c>
      <c r="AN198" t="n">
        <v>1</v>
      </c>
      <c r="AO198" t="n">
        <v>1</v>
      </c>
      <c r="AP198" t="inlineStr">
        <is>
          <t>No</t>
        </is>
      </c>
      <c r="AQ198" t="inlineStr">
        <is>
          <t>No</t>
        </is>
      </c>
      <c r="AS198">
        <f>HYPERLINK("https://creighton-primo.hosted.exlibrisgroup.com/primo-explore/search?tab=default_tab&amp;search_scope=EVERYTHING&amp;vid=01CRU&amp;lang=en_US&amp;offset=0&amp;query=any,contains,991002752089702656","Catalog Record")</f>
        <v/>
      </c>
      <c r="AT198">
        <f>HYPERLINK("http://www.worldcat.org/oclc/36112182","WorldCat Record")</f>
        <v/>
      </c>
      <c r="AU198" t="inlineStr">
        <is>
          <t>837049875:eng</t>
        </is>
      </c>
      <c r="AV198" t="inlineStr">
        <is>
          <t>36112182</t>
        </is>
      </c>
      <c r="AW198" t="inlineStr">
        <is>
          <t>991002752089702656</t>
        </is>
      </c>
      <c r="AX198" t="inlineStr">
        <is>
          <t>991002752089702656</t>
        </is>
      </c>
      <c r="AY198" t="inlineStr">
        <is>
          <t>2268125920002656</t>
        </is>
      </c>
      <c r="AZ198" t="inlineStr">
        <is>
          <t>BOOK</t>
        </is>
      </c>
      <c r="BB198" t="inlineStr">
        <is>
          <t>9780300070538</t>
        </is>
      </c>
      <c r="BC198" t="inlineStr">
        <is>
          <t>32285003468328</t>
        </is>
      </c>
      <c r="BD198" t="inlineStr">
        <is>
          <t>893421759</t>
        </is>
      </c>
    </row>
    <row r="199">
      <c r="A199" t="inlineStr">
        <is>
          <t>No</t>
        </is>
      </c>
      <c r="B199" t="inlineStr">
        <is>
          <t>E169.12 .C77 1997</t>
        </is>
      </c>
      <c r="C199" t="inlineStr">
        <is>
          <t>0                      E  0169120C  77          1997</t>
        </is>
      </c>
      <c r="D199" t="inlineStr">
        <is>
          <t>Cultural wars in American politics : critical reviews of a popular myth / Rhys H. Williams, editor.</t>
        </is>
      </c>
      <c r="F199" t="inlineStr">
        <is>
          <t>No</t>
        </is>
      </c>
      <c r="G199" t="inlineStr">
        <is>
          <t>1</t>
        </is>
      </c>
      <c r="H199" t="inlineStr">
        <is>
          <t>No</t>
        </is>
      </c>
      <c r="I199" t="inlineStr">
        <is>
          <t>No</t>
        </is>
      </c>
      <c r="J199" t="inlineStr">
        <is>
          <t>0</t>
        </is>
      </c>
      <c r="L199" t="inlineStr">
        <is>
          <t>New York : Aldine de Gruyter, c1997.</t>
        </is>
      </c>
      <c r="M199" t="inlineStr">
        <is>
          <t>1997</t>
        </is>
      </c>
      <c r="O199" t="inlineStr">
        <is>
          <t>eng</t>
        </is>
      </c>
      <c r="P199" t="inlineStr">
        <is>
          <t>nyu</t>
        </is>
      </c>
      <c r="Q199" t="inlineStr">
        <is>
          <t>Social problems and social issues</t>
        </is>
      </c>
      <c r="R199" t="inlineStr">
        <is>
          <t xml:space="preserve">E  </t>
        </is>
      </c>
      <c r="S199" t="n">
        <v>6</v>
      </c>
      <c r="T199" t="n">
        <v>6</v>
      </c>
      <c r="U199" t="inlineStr">
        <is>
          <t>2002-03-29</t>
        </is>
      </c>
      <c r="V199" t="inlineStr">
        <is>
          <t>2002-03-29</t>
        </is>
      </c>
      <c r="W199" t="inlineStr">
        <is>
          <t>1997-12-29</t>
        </is>
      </c>
      <c r="X199" t="inlineStr">
        <is>
          <t>1997-12-29</t>
        </is>
      </c>
      <c r="Y199" t="n">
        <v>357</v>
      </c>
      <c r="Z199" t="n">
        <v>316</v>
      </c>
      <c r="AA199" t="n">
        <v>321</v>
      </c>
      <c r="AB199" t="n">
        <v>4</v>
      </c>
      <c r="AC199" t="n">
        <v>4</v>
      </c>
      <c r="AD199" t="n">
        <v>21</v>
      </c>
      <c r="AE199" t="n">
        <v>21</v>
      </c>
      <c r="AF199" t="n">
        <v>5</v>
      </c>
      <c r="AG199" t="n">
        <v>5</v>
      </c>
      <c r="AH199" t="n">
        <v>8</v>
      </c>
      <c r="AI199" t="n">
        <v>8</v>
      </c>
      <c r="AJ199" t="n">
        <v>11</v>
      </c>
      <c r="AK199" t="n">
        <v>11</v>
      </c>
      <c r="AL199" t="n">
        <v>3</v>
      </c>
      <c r="AM199" t="n">
        <v>3</v>
      </c>
      <c r="AN199" t="n">
        <v>0</v>
      </c>
      <c r="AO199" t="n">
        <v>0</v>
      </c>
      <c r="AP199" t="inlineStr">
        <is>
          <t>No</t>
        </is>
      </c>
      <c r="AQ199" t="inlineStr">
        <is>
          <t>No</t>
        </is>
      </c>
      <c r="AS199">
        <f>HYPERLINK("https://creighton-primo.hosted.exlibrisgroup.com/primo-explore/search?tab=default_tab&amp;search_scope=EVERYTHING&amp;vid=01CRU&amp;lang=en_US&amp;offset=0&amp;query=any,contains,991005426449702656","Catalog Record")</f>
        <v/>
      </c>
      <c r="AT199">
        <f>HYPERLINK("http://www.worldcat.org/oclc/37001383","WorldCat Record")</f>
        <v/>
      </c>
      <c r="AU199" t="inlineStr">
        <is>
          <t>890051646:eng</t>
        </is>
      </c>
      <c r="AV199" t="inlineStr">
        <is>
          <t>37001383</t>
        </is>
      </c>
      <c r="AW199" t="inlineStr">
        <is>
          <t>991005426449702656</t>
        </is>
      </c>
      <c r="AX199" t="inlineStr">
        <is>
          <t>991005426449702656</t>
        </is>
      </c>
      <c r="AY199" t="inlineStr">
        <is>
          <t>2265074970002656</t>
        </is>
      </c>
      <c r="AZ199" t="inlineStr">
        <is>
          <t>BOOK</t>
        </is>
      </c>
      <c r="BB199" t="inlineStr">
        <is>
          <t>9780202305639</t>
        </is>
      </c>
      <c r="BC199" t="inlineStr">
        <is>
          <t>32285003284733</t>
        </is>
      </c>
      <c r="BD199" t="inlineStr">
        <is>
          <t>893230687</t>
        </is>
      </c>
    </row>
    <row r="200">
      <c r="A200" t="inlineStr">
        <is>
          <t>No</t>
        </is>
      </c>
      <c r="B200" t="inlineStr">
        <is>
          <t>E169.12 .D54</t>
        </is>
      </c>
      <c r="C200" t="inlineStr">
        <is>
          <t>0                      E  0169120D  54</t>
        </is>
      </c>
      <c r="D200" t="inlineStr">
        <is>
          <t>Gates of Eden : American culture in the sixties / Morris Dickstein.</t>
        </is>
      </c>
      <c r="F200" t="inlineStr">
        <is>
          <t>No</t>
        </is>
      </c>
      <c r="G200" t="inlineStr">
        <is>
          <t>1</t>
        </is>
      </c>
      <c r="H200" t="inlineStr">
        <is>
          <t>No</t>
        </is>
      </c>
      <c r="I200" t="inlineStr">
        <is>
          <t>No</t>
        </is>
      </c>
      <c r="J200" t="inlineStr">
        <is>
          <t>0</t>
        </is>
      </c>
      <c r="K200" t="inlineStr">
        <is>
          <t>Dickstein, Morris.</t>
        </is>
      </c>
      <c r="L200" t="inlineStr">
        <is>
          <t>New York : Basic Books, c1977.</t>
        </is>
      </c>
      <c r="M200" t="inlineStr">
        <is>
          <t>1977</t>
        </is>
      </c>
      <c r="O200" t="inlineStr">
        <is>
          <t>eng</t>
        </is>
      </c>
      <c r="P200" t="inlineStr">
        <is>
          <t>nyu</t>
        </is>
      </c>
      <c r="R200" t="inlineStr">
        <is>
          <t xml:space="preserve">E  </t>
        </is>
      </c>
      <c r="S200" t="n">
        <v>2</v>
      </c>
      <c r="T200" t="n">
        <v>2</v>
      </c>
      <c r="U200" t="inlineStr">
        <is>
          <t>1999-04-18</t>
        </is>
      </c>
      <c r="V200" t="inlineStr">
        <is>
          <t>1999-04-18</t>
        </is>
      </c>
      <c r="W200" t="inlineStr">
        <is>
          <t>1997-04-03</t>
        </is>
      </c>
      <c r="X200" t="inlineStr">
        <is>
          <t>1997-04-03</t>
        </is>
      </c>
      <c r="Y200" t="n">
        <v>1434</v>
      </c>
      <c r="Z200" t="n">
        <v>1274</v>
      </c>
      <c r="AA200" t="n">
        <v>1479</v>
      </c>
      <c r="AB200" t="n">
        <v>9</v>
      </c>
      <c r="AC200" t="n">
        <v>9</v>
      </c>
      <c r="AD200" t="n">
        <v>38</v>
      </c>
      <c r="AE200" t="n">
        <v>41</v>
      </c>
      <c r="AF200" t="n">
        <v>16</v>
      </c>
      <c r="AG200" t="n">
        <v>18</v>
      </c>
      <c r="AH200" t="n">
        <v>10</v>
      </c>
      <c r="AI200" t="n">
        <v>10</v>
      </c>
      <c r="AJ200" t="n">
        <v>20</v>
      </c>
      <c r="AK200" t="n">
        <v>22</v>
      </c>
      <c r="AL200" t="n">
        <v>4</v>
      </c>
      <c r="AM200" t="n">
        <v>4</v>
      </c>
      <c r="AN200" t="n">
        <v>0</v>
      </c>
      <c r="AO200" t="n">
        <v>0</v>
      </c>
      <c r="AP200" t="inlineStr">
        <is>
          <t>No</t>
        </is>
      </c>
      <c r="AQ200" t="inlineStr">
        <is>
          <t>Yes</t>
        </is>
      </c>
      <c r="AR200">
        <f>HYPERLINK("http://catalog.hathitrust.org/Record/000084666","HathiTrust Record")</f>
        <v/>
      </c>
      <c r="AS200">
        <f>HYPERLINK("https://creighton-primo.hosted.exlibrisgroup.com/primo-explore/search?tab=default_tab&amp;search_scope=EVERYTHING&amp;vid=01CRU&amp;lang=en_US&amp;offset=0&amp;query=any,contains,991004151619702656","Catalog Record")</f>
        <v/>
      </c>
      <c r="AT200">
        <f>HYPERLINK("http://www.worldcat.org/oclc/2525049","WorldCat Record")</f>
        <v/>
      </c>
      <c r="AU200" t="inlineStr">
        <is>
          <t>318583860:eng</t>
        </is>
      </c>
      <c r="AV200" t="inlineStr">
        <is>
          <t>2525049</t>
        </is>
      </c>
      <c r="AW200" t="inlineStr">
        <is>
          <t>991004151619702656</t>
        </is>
      </c>
      <c r="AX200" t="inlineStr">
        <is>
          <t>991004151619702656</t>
        </is>
      </c>
      <c r="AY200" t="inlineStr">
        <is>
          <t>2272726470002656</t>
        </is>
      </c>
      <c r="AZ200" t="inlineStr">
        <is>
          <t>BOOK</t>
        </is>
      </c>
      <c r="BB200" t="inlineStr">
        <is>
          <t>9780465026319</t>
        </is>
      </c>
      <c r="BC200" t="inlineStr">
        <is>
          <t>32285002501756</t>
        </is>
      </c>
      <c r="BD200" t="inlineStr">
        <is>
          <t>893618314</t>
        </is>
      </c>
    </row>
    <row r="201">
      <c r="A201" t="inlineStr">
        <is>
          <t>No</t>
        </is>
      </c>
      <c r="B201" t="inlineStr">
        <is>
          <t>E169.12 .E93 1988</t>
        </is>
      </c>
      <c r="C201" t="inlineStr">
        <is>
          <t>0                      E  0169120E  93          1988</t>
        </is>
      </c>
      <c r="D201" t="inlineStr">
        <is>
          <t>All consuming images : the politics of style in contemporary culture / Stuart Ewen.</t>
        </is>
      </c>
      <c r="F201" t="inlineStr">
        <is>
          <t>No</t>
        </is>
      </c>
      <c r="G201" t="inlineStr">
        <is>
          <t>1</t>
        </is>
      </c>
      <c r="H201" t="inlineStr">
        <is>
          <t>No</t>
        </is>
      </c>
      <c r="I201" t="inlineStr">
        <is>
          <t>No</t>
        </is>
      </c>
      <c r="J201" t="inlineStr">
        <is>
          <t>0</t>
        </is>
      </c>
      <c r="K201" t="inlineStr">
        <is>
          <t>Ewen, Stuart.</t>
        </is>
      </c>
      <c r="L201" t="inlineStr">
        <is>
          <t>New York : Basic Books, c1988.</t>
        </is>
      </c>
      <c r="M201" t="inlineStr">
        <is>
          <t>1988</t>
        </is>
      </c>
      <c r="O201" t="inlineStr">
        <is>
          <t>eng</t>
        </is>
      </c>
      <c r="P201" t="inlineStr">
        <is>
          <t>nyu</t>
        </is>
      </c>
      <c r="R201" t="inlineStr">
        <is>
          <t xml:space="preserve">E  </t>
        </is>
      </c>
      <c r="S201" t="n">
        <v>14</v>
      </c>
      <c r="T201" t="n">
        <v>14</v>
      </c>
      <c r="U201" t="inlineStr">
        <is>
          <t>2005-11-29</t>
        </is>
      </c>
      <c r="V201" t="inlineStr">
        <is>
          <t>2005-11-29</t>
        </is>
      </c>
      <c r="W201" t="inlineStr">
        <is>
          <t>1990-04-23</t>
        </is>
      </c>
      <c r="X201" t="inlineStr">
        <is>
          <t>1990-04-23</t>
        </is>
      </c>
      <c r="Y201" t="n">
        <v>1035</v>
      </c>
      <c r="Z201" t="n">
        <v>846</v>
      </c>
      <c r="AA201" t="n">
        <v>939</v>
      </c>
      <c r="AB201" t="n">
        <v>5</v>
      </c>
      <c r="AC201" t="n">
        <v>5</v>
      </c>
      <c r="AD201" t="n">
        <v>35</v>
      </c>
      <c r="AE201" t="n">
        <v>37</v>
      </c>
      <c r="AF201" t="n">
        <v>14</v>
      </c>
      <c r="AG201" t="n">
        <v>16</v>
      </c>
      <c r="AH201" t="n">
        <v>7</v>
      </c>
      <c r="AI201" t="n">
        <v>7</v>
      </c>
      <c r="AJ201" t="n">
        <v>17</v>
      </c>
      <c r="AK201" t="n">
        <v>18</v>
      </c>
      <c r="AL201" t="n">
        <v>4</v>
      </c>
      <c r="AM201" t="n">
        <v>4</v>
      </c>
      <c r="AN201" t="n">
        <v>0</v>
      </c>
      <c r="AO201" t="n">
        <v>0</v>
      </c>
      <c r="AP201" t="inlineStr">
        <is>
          <t>No</t>
        </is>
      </c>
      <c r="AQ201" t="inlineStr">
        <is>
          <t>Yes</t>
        </is>
      </c>
      <c r="AR201">
        <f>HYPERLINK("http://catalog.hathitrust.org/Record/000950354","HathiTrust Record")</f>
        <v/>
      </c>
      <c r="AS201">
        <f>HYPERLINK("https://creighton-primo.hosted.exlibrisgroup.com/primo-explore/search?tab=default_tab&amp;search_scope=EVERYTHING&amp;vid=01CRU&amp;lang=en_US&amp;offset=0&amp;query=any,contains,991001280419702656","Catalog Record")</f>
        <v/>
      </c>
      <c r="AT201">
        <f>HYPERLINK("http://www.worldcat.org/oclc/17917128","WorldCat Record")</f>
        <v/>
      </c>
      <c r="AU201" t="inlineStr">
        <is>
          <t>16504875:eng</t>
        </is>
      </c>
      <c r="AV201" t="inlineStr">
        <is>
          <t>17917128</t>
        </is>
      </c>
      <c r="AW201" t="inlineStr">
        <is>
          <t>991001280419702656</t>
        </is>
      </c>
      <c r="AX201" t="inlineStr">
        <is>
          <t>991001280419702656</t>
        </is>
      </c>
      <c r="AY201" t="inlineStr">
        <is>
          <t>2270038850002656</t>
        </is>
      </c>
      <c r="AZ201" t="inlineStr">
        <is>
          <t>BOOK</t>
        </is>
      </c>
      <c r="BC201" t="inlineStr">
        <is>
          <t>32285000123272</t>
        </is>
      </c>
      <c r="BD201" t="inlineStr">
        <is>
          <t>893784998</t>
        </is>
      </c>
    </row>
    <row r="202">
      <c r="A202" t="inlineStr">
        <is>
          <t>No</t>
        </is>
      </c>
      <c r="B202" t="inlineStr">
        <is>
          <t>E169.12 .F643 2004</t>
        </is>
      </c>
      <c r="C202" t="inlineStr">
        <is>
          <t>0                      E  0169120F  643         2004</t>
        </is>
      </c>
      <c r="D202" t="inlineStr">
        <is>
          <t>Probing popular culture on and off the Internet / Marshall Fishwick.</t>
        </is>
      </c>
      <c r="F202" t="inlineStr">
        <is>
          <t>No</t>
        </is>
      </c>
      <c r="G202" t="inlineStr">
        <is>
          <t>1</t>
        </is>
      </c>
      <c r="H202" t="inlineStr">
        <is>
          <t>No</t>
        </is>
      </c>
      <c r="I202" t="inlineStr">
        <is>
          <t>No</t>
        </is>
      </c>
      <c r="J202" t="inlineStr">
        <is>
          <t>0</t>
        </is>
      </c>
      <c r="K202" t="inlineStr">
        <is>
          <t>Fishwick, Marshall W. (Marshall William), 1923-2006.</t>
        </is>
      </c>
      <c r="L202" t="inlineStr">
        <is>
          <t>New York : Haworth Press, c2004.</t>
        </is>
      </c>
      <c r="M202" t="inlineStr">
        <is>
          <t>2004</t>
        </is>
      </c>
      <c r="O202" t="inlineStr">
        <is>
          <t>eng</t>
        </is>
      </c>
      <c r="P202" t="inlineStr">
        <is>
          <t>nyu</t>
        </is>
      </c>
      <c r="R202" t="inlineStr">
        <is>
          <t xml:space="preserve">E  </t>
        </is>
      </c>
      <c r="S202" t="n">
        <v>1</v>
      </c>
      <c r="T202" t="n">
        <v>1</v>
      </c>
      <c r="U202" t="inlineStr">
        <is>
          <t>2004-10-05</t>
        </is>
      </c>
      <c r="V202" t="inlineStr">
        <is>
          <t>2004-10-05</t>
        </is>
      </c>
      <c r="W202" t="inlineStr">
        <is>
          <t>2004-10-04</t>
        </is>
      </c>
      <c r="X202" t="inlineStr">
        <is>
          <t>2004-10-04</t>
        </is>
      </c>
      <c r="Y202" t="n">
        <v>302</v>
      </c>
      <c r="Z202" t="n">
        <v>252</v>
      </c>
      <c r="AA202" t="n">
        <v>277</v>
      </c>
      <c r="AB202" t="n">
        <v>3</v>
      </c>
      <c r="AC202" t="n">
        <v>3</v>
      </c>
      <c r="AD202" t="n">
        <v>15</v>
      </c>
      <c r="AE202" t="n">
        <v>15</v>
      </c>
      <c r="AF202" t="n">
        <v>6</v>
      </c>
      <c r="AG202" t="n">
        <v>6</v>
      </c>
      <c r="AH202" t="n">
        <v>3</v>
      </c>
      <c r="AI202" t="n">
        <v>3</v>
      </c>
      <c r="AJ202" t="n">
        <v>7</v>
      </c>
      <c r="AK202" t="n">
        <v>7</v>
      </c>
      <c r="AL202" t="n">
        <v>2</v>
      </c>
      <c r="AM202" t="n">
        <v>2</v>
      </c>
      <c r="AN202" t="n">
        <v>0</v>
      </c>
      <c r="AO202" t="n">
        <v>0</v>
      </c>
      <c r="AP202" t="inlineStr">
        <is>
          <t>No</t>
        </is>
      </c>
      <c r="AQ202" t="inlineStr">
        <is>
          <t>Yes</t>
        </is>
      </c>
      <c r="AR202">
        <f>HYPERLINK("http://catalog.hathitrust.org/Record/004752909","HathiTrust Record")</f>
        <v/>
      </c>
      <c r="AS202">
        <f>HYPERLINK("https://creighton-primo.hosted.exlibrisgroup.com/primo-explore/search?tab=default_tab&amp;search_scope=EVERYTHING&amp;vid=01CRU&amp;lang=en_US&amp;offset=0&amp;query=any,contains,991004356229702656","Catalog Record")</f>
        <v/>
      </c>
      <c r="AT202">
        <f>HYPERLINK("http://www.worldcat.org/oclc/52895390","WorldCat Record")</f>
        <v/>
      </c>
      <c r="AU202" t="inlineStr">
        <is>
          <t>774315:eng</t>
        </is>
      </c>
      <c r="AV202" t="inlineStr">
        <is>
          <t>52895390</t>
        </is>
      </c>
      <c r="AW202" t="inlineStr">
        <is>
          <t>991004356229702656</t>
        </is>
      </c>
      <c r="AX202" t="inlineStr">
        <is>
          <t>991004356229702656</t>
        </is>
      </c>
      <c r="AY202" t="inlineStr">
        <is>
          <t>2259693030002656</t>
        </is>
      </c>
      <c r="AZ202" t="inlineStr">
        <is>
          <t>BOOK</t>
        </is>
      </c>
      <c r="BB202" t="inlineStr">
        <is>
          <t>9780789021328</t>
        </is>
      </c>
      <c r="BC202" t="inlineStr">
        <is>
          <t>32285005000764</t>
        </is>
      </c>
      <c r="BD202" t="inlineStr">
        <is>
          <t>893794764</t>
        </is>
      </c>
    </row>
    <row r="203">
      <c r="A203" t="inlineStr">
        <is>
          <t>No</t>
        </is>
      </c>
      <c r="B203" t="inlineStr">
        <is>
          <t>E169.12 .G645 1991</t>
        </is>
      </c>
      <c r="C203" t="inlineStr">
        <is>
          <t>0                      E  0169120G  645         1991</t>
        </is>
      </c>
      <c r="D203" t="inlineStr">
        <is>
          <t>The Good society / Robert N. Bellah ... [et al.].</t>
        </is>
      </c>
      <c r="F203" t="inlineStr">
        <is>
          <t>No</t>
        </is>
      </c>
      <c r="G203" t="inlineStr">
        <is>
          <t>1</t>
        </is>
      </c>
      <c r="H203" t="inlineStr">
        <is>
          <t>No</t>
        </is>
      </c>
      <c r="I203" t="inlineStr">
        <is>
          <t>No</t>
        </is>
      </c>
      <c r="J203" t="inlineStr">
        <is>
          <t>0</t>
        </is>
      </c>
      <c r="L203" t="inlineStr">
        <is>
          <t>New York : Knopf : Distributed by Random House, 1991.</t>
        </is>
      </c>
      <c r="M203" t="inlineStr">
        <is>
          <t>1991</t>
        </is>
      </c>
      <c r="N203" t="inlineStr">
        <is>
          <t>1st ed.</t>
        </is>
      </c>
      <c r="O203" t="inlineStr">
        <is>
          <t>eng</t>
        </is>
      </c>
      <c r="P203" t="inlineStr">
        <is>
          <t>nyu</t>
        </is>
      </c>
      <c r="R203" t="inlineStr">
        <is>
          <t xml:space="preserve">E  </t>
        </is>
      </c>
      <c r="S203" t="n">
        <v>21</v>
      </c>
      <c r="T203" t="n">
        <v>21</v>
      </c>
      <c r="U203" t="inlineStr">
        <is>
          <t>2003-06-25</t>
        </is>
      </c>
      <c r="V203" t="inlineStr">
        <is>
          <t>2003-06-25</t>
        </is>
      </c>
      <c r="W203" t="inlineStr">
        <is>
          <t>1991-11-26</t>
        </is>
      </c>
      <c r="X203" t="inlineStr">
        <is>
          <t>1991-11-26</t>
        </is>
      </c>
      <c r="Y203" t="n">
        <v>1311</v>
      </c>
      <c r="Z203" t="n">
        <v>1172</v>
      </c>
      <c r="AA203" t="n">
        <v>1467</v>
      </c>
      <c r="AB203" t="n">
        <v>11</v>
      </c>
      <c r="AC203" t="n">
        <v>12</v>
      </c>
      <c r="AD203" t="n">
        <v>54</v>
      </c>
      <c r="AE203" t="n">
        <v>62</v>
      </c>
      <c r="AF203" t="n">
        <v>22</v>
      </c>
      <c r="AG203" t="n">
        <v>26</v>
      </c>
      <c r="AH203" t="n">
        <v>9</v>
      </c>
      <c r="AI203" t="n">
        <v>10</v>
      </c>
      <c r="AJ203" t="n">
        <v>24</v>
      </c>
      <c r="AK203" t="n">
        <v>26</v>
      </c>
      <c r="AL203" t="n">
        <v>9</v>
      </c>
      <c r="AM203" t="n">
        <v>10</v>
      </c>
      <c r="AN203" t="n">
        <v>1</v>
      </c>
      <c r="AO203" t="n">
        <v>3</v>
      </c>
      <c r="AP203" t="inlineStr">
        <is>
          <t>No</t>
        </is>
      </c>
      <c r="AQ203" t="inlineStr">
        <is>
          <t>Yes</t>
        </is>
      </c>
      <c r="AR203">
        <f>HYPERLINK("http://catalog.hathitrust.org/Record/002475743","HathiTrust Record")</f>
        <v/>
      </c>
      <c r="AS203">
        <f>HYPERLINK("https://creighton-primo.hosted.exlibrisgroup.com/primo-explore/search?tab=default_tab&amp;search_scope=EVERYTHING&amp;vid=01CRU&amp;lang=en_US&amp;offset=0&amp;query=any,contains,991001897739702656","Catalog Record")</f>
        <v/>
      </c>
      <c r="AT203">
        <f>HYPERLINK("http://www.worldcat.org/oclc/23973534","WorldCat Record")</f>
        <v/>
      </c>
      <c r="AU203" t="inlineStr">
        <is>
          <t>55481528:eng</t>
        </is>
      </c>
      <c r="AV203" t="inlineStr">
        <is>
          <t>23973534</t>
        </is>
      </c>
      <c r="AW203" t="inlineStr">
        <is>
          <t>991001897739702656</t>
        </is>
      </c>
      <c r="AX203" t="inlineStr">
        <is>
          <t>991001897739702656</t>
        </is>
      </c>
      <c r="AY203" t="inlineStr">
        <is>
          <t>2259129860002656</t>
        </is>
      </c>
      <c r="AZ203" t="inlineStr">
        <is>
          <t>BOOK</t>
        </is>
      </c>
      <c r="BB203" t="inlineStr">
        <is>
          <t>9780679400981</t>
        </is>
      </c>
      <c r="BC203" t="inlineStr">
        <is>
          <t>32285000817840</t>
        </is>
      </c>
      <c r="BD203" t="inlineStr">
        <is>
          <t>893879274</t>
        </is>
      </c>
    </row>
    <row r="204">
      <c r="A204" t="inlineStr">
        <is>
          <t>No</t>
        </is>
      </c>
      <c r="B204" t="inlineStr">
        <is>
          <t>E169.12 .G74 2004</t>
        </is>
      </c>
      <c r="C204" t="inlineStr">
        <is>
          <t>0                      E  0169120G  74          2004</t>
        </is>
      </c>
      <c r="D204" t="inlineStr">
        <is>
          <t>The great divide : retro vs. metro America / John Sperling, ... [et al.].</t>
        </is>
      </c>
      <c r="F204" t="inlineStr">
        <is>
          <t>No</t>
        </is>
      </c>
      <c r="G204" t="inlineStr">
        <is>
          <t>1</t>
        </is>
      </c>
      <c r="H204" t="inlineStr">
        <is>
          <t>No</t>
        </is>
      </c>
      <c r="I204" t="inlineStr">
        <is>
          <t>No</t>
        </is>
      </c>
      <c r="J204" t="inlineStr">
        <is>
          <t>0</t>
        </is>
      </c>
      <c r="L204" t="inlineStr">
        <is>
          <t>[Sausalito, Calif.] : P3, PoliPoint Press, 2004.</t>
        </is>
      </c>
      <c r="M204" t="inlineStr">
        <is>
          <t>2004</t>
        </is>
      </c>
      <c r="O204" t="inlineStr">
        <is>
          <t>eng</t>
        </is>
      </c>
      <c r="P204" t="inlineStr">
        <is>
          <t>cau</t>
        </is>
      </c>
      <c r="R204" t="inlineStr">
        <is>
          <t xml:space="preserve">E  </t>
        </is>
      </c>
      <c r="S204" t="n">
        <v>3</v>
      </c>
      <c r="T204" t="n">
        <v>3</v>
      </c>
      <c r="U204" t="inlineStr">
        <is>
          <t>2005-02-04</t>
        </is>
      </c>
      <c r="V204" t="inlineStr">
        <is>
          <t>2005-02-04</t>
        </is>
      </c>
      <c r="W204" t="inlineStr">
        <is>
          <t>2005-01-21</t>
        </is>
      </c>
      <c r="X204" t="inlineStr">
        <is>
          <t>2005-01-21</t>
        </is>
      </c>
      <c r="Y204" t="n">
        <v>227</v>
      </c>
      <c r="Z204" t="n">
        <v>219</v>
      </c>
      <c r="AA204" t="n">
        <v>224</v>
      </c>
      <c r="AB204" t="n">
        <v>2</v>
      </c>
      <c r="AC204" t="n">
        <v>2</v>
      </c>
      <c r="AD204" t="n">
        <v>9</v>
      </c>
      <c r="AE204" t="n">
        <v>9</v>
      </c>
      <c r="AF204" t="n">
        <v>4</v>
      </c>
      <c r="AG204" t="n">
        <v>4</v>
      </c>
      <c r="AH204" t="n">
        <v>2</v>
      </c>
      <c r="AI204" t="n">
        <v>2</v>
      </c>
      <c r="AJ204" t="n">
        <v>3</v>
      </c>
      <c r="AK204" t="n">
        <v>3</v>
      </c>
      <c r="AL204" t="n">
        <v>1</v>
      </c>
      <c r="AM204" t="n">
        <v>1</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HYPERLINK("https://creighton-primo.hosted.exlibrisgroup.com/primo-explore/search?tab=default_tab&amp;search_scope=EVERYTHING&amp;vid=01CRU&amp;lang=en_US&amp;offset=0&amp;query=any,contains,991004431409702656","Catalog Record")</f>
        <v/>
      </c>
      <c r="AT204">
        <f>HYPERLINK("http://www.worldcat.org/oclc/57613705","WorldCat Record")</f>
        <v/>
      </c>
      <c r="AU204" t="inlineStr">
        <is>
          <t>288857851:eng</t>
        </is>
      </c>
      <c r="AV204" t="inlineStr">
        <is>
          <t>57613705</t>
        </is>
      </c>
      <c r="AW204" t="inlineStr">
        <is>
          <t>991004431409702656</t>
        </is>
      </c>
      <c r="AX204" t="inlineStr">
        <is>
          <t>991004431409702656</t>
        </is>
      </c>
      <c r="AY204" t="inlineStr">
        <is>
          <t>2257527410002656</t>
        </is>
      </c>
      <c r="AZ204" t="inlineStr">
        <is>
          <t>BOOK</t>
        </is>
      </c>
      <c r="BB204" t="inlineStr">
        <is>
          <t>9780976062103</t>
        </is>
      </c>
      <c r="BC204" t="inlineStr">
        <is>
          <t>32285004956982</t>
        </is>
      </c>
      <c r="BD204" t="inlineStr">
        <is>
          <t>893513240</t>
        </is>
      </c>
    </row>
    <row r="205">
      <c r="A205" t="inlineStr">
        <is>
          <t>No</t>
        </is>
      </c>
      <c r="B205" t="inlineStr">
        <is>
          <t>E169.12 .G864 1992</t>
        </is>
      </c>
      <c r="C205" t="inlineStr">
        <is>
          <t>0                      E  0169120G  864         1992</t>
        </is>
      </c>
      <c r="D205" t="inlineStr">
        <is>
          <t>Thinking across the American grain : ideology, intellect, and the new pragmatism / Giles Gunn.</t>
        </is>
      </c>
      <c r="F205" t="inlineStr">
        <is>
          <t>No</t>
        </is>
      </c>
      <c r="G205" t="inlineStr">
        <is>
          <t>1</t>
        </is>
      </c>
      <c r="H205" t="inlineStr">
        <is>
          <t>No</t>
        </is>
      </c>
      <c r="I205" t="inlineStr">
        <is>
          <t>No</t>
        </is>
      </c>
      <c r="J205" t="inlineStr">
        <is>
          <t>0</t>
        </is>
      </c>
      <c r="K205" t="inlineStr">
        <is>
          <t>Gunn, Giles B.</t>
        </is>
      </c>
      <c r="L205" t="inlineStr">
        <is>
          <t>Chicago : University of Chicago Press, 1992.</t>
        </is>
      </c>
      <c r="M205" t="inlineStr">
        <is>
          <t>1992</t>
        </is>
      </c>
      <c r="O205" t="inlineStr">
        <is>
          <t>eng</t>
        </is>
      </c>
      <c r="P205" t="inlineStr">
        <is>
          <t>ilu</t>
        </is>
      </c>
      <c r="R205" t="inlineStr">
        <is>
          <t xml:space="preserve">E  </t>
        </is>
      </c>
      <c r="S205" t="n">
        <v>1</v>
      </c>
      <c r="T205" t="n">
        <v>1</v>
      </c>
      <c r="U205" t="inlineStr">
        <is>
          <t>2003-05-01</t>
        </is>
      </c>
      <c r="V205" t="inlineStr">
        <is>
          <t>2003-05-01</t>
        </is>
      </c>
      <c r="W205" t="inlineStr">
        <is>
          <t>2003-05-01</t>
        </is>
      </c>
      <c r="X205" t="inlineStr">
        <is>
          <t>2003-05-01</t>
        </is>
      </c>
      <c r="Y205" t="n">
        <v>504</v>
      </c>
      <c r="Z205" t="n">
        <v>413</v>
      </c>
      <c r="AA205" t="n">
        <v>418</v>
      </c>
      <c r="AB205" t="n">
        <v>4</v>
      </c>
      <c r="AC205" t="n">
        <v>4</v>
      </c>
      <c r="AD205" t="n">
        <v>26</v>
      </c>
      <c r="AE205" t="n">
        <v>26</v>
      </c>
      <c r="AF205" t="n">
        <v>11</v>
      </c>
      <c r="AG205" t="n">
        <v>11</v>
      </c>
      <c r="AH205" t="n">
        <v>8</v>
      </c>
      <c r="AI205" t="n">
        <v>8</v>
      </c>
      <c r="AJ205" t="n">
        <v>11</v>
      </c>
      <c r="AK205" t="n">
        <v>11</v>
      </c>
      <c r="AL205" t="n">
        <v>3</v>
      </c>
      <c r="AM205" t="n">
        <v>3</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HYPERLINK("https://creighton-primo.hosted.exlibrisgroup.com/primo-explore/search?tab=default_tab&amp;search_scope=EVERYTHING&amp;vid=01CRU&amp;lang=en_US&amp;offset=0&amp;query=any,contains,991004043549702656","Catalog Record")</f>
        <v/>
      </c>
      <c r="AT205">
        <f>HYPERLINK("http://www.worldcat.org/oclc/24009707","WorldCat Record")</f>
        <v/>
      </c>
      <c r="AU205" t="inlineStr">
        <is>
          <t>190601324:eng</t>
        </is>
      </c>
      <c r="AV205" t="inlineStr">
        <is>
          <t>24009707</t>
        </is>
      </c>
      <c r="AW205" t="inlineStr">
        <is>
          <t>991004043549702656</t>
        </is>
      </c>
      <c r="AX205" t="inlineStr">
        <is>
          <t>991004043549702656</t>
        </is>
      </c>
      <c r="AY205" t="inlineStr">
        <is>
          <t>2262038820002656</t>
        </is>
      </c>
      <c r="AZ205" t="inlineStr">
        <is>
          <t>BOOK</t>
        </is>
      </c>
      <c r="BB205" t="inlineStr">
        <is>
          <t>9780226310763</t>
        </is>
      </c>
      <c r="BC205" t="inlineStr">
        <is>
          <t>32285004744933</t>
        </is>
      </c>
      <c r="BD205" t="inlineStr">
        <is>
          <t>893705936</t>
        </is>
      </c>
    </row>
    <row r="206">
      <c r="A206" t="inlineStr">
        <is>
          <t>No</t>
        </is>
      </c>
      <c r="B206" t="inlineStr">
        <is>
          <t>E169.12 .I25</t>
        </is>
      </c>
      <c r="C206" t="inlineStr">
        <is>
          <t>0                      E  0169120I  25</t>
        </is>
      </c>
      <c r="D206" t="inlineStr">
        <is>
          <t>Icons of America / edited by Ray B. Browne &amp; Marshall Fishwick. --</t>
        </is>
      </c>
      <c r="F206" t="inlineStr">
        <is>
          <t>No</t>
        </is>
      </c>
      <c r="G206" t="inlineStr">
        <is>
          <t>1</t>
        </is>
      </c>
      <c r="H206" t="inlineStr">
        <is>
          <t>No</t>
        </is>
      </c>
      <c r="I206" t="inlineStr">
        <is>
          <t>No</t>
        </is>
      </c>
      <c r="J206" t="inlineStr">
        <is>
          <t>0</t>
        </is>
      </c>
      <c r="L206" t="inlineStr">
        <is>
          <t>Bowling Green, Ohio : Popular Press, 1978.</t>
        </is>
      </c>
      <c r="M206" t="inlineStr">
        <is>
          <t>1978</t>
        </is>
      </c>
      <c r="O206" t="inlineStr">
        <is>
          <t>eng</t>
        </is>
      </c>
      <c r="P206" t="inlineStr">
        <is>
          <t>ohu</t>
        </is>
      </c>
      <c r="R206" t="inlineStr">
        <is>
          <t xml:space="preserve">E  </t>
        </is>
      </c>
      <c r="S206" t="n">
        <v>5</v>
      </c>
      <c r="T206" t="n">
        <v>5</v>
      </c>
      <c r="U206" t="inlineStr">
        <is>
          <t>1996-07-22</t>
        </is>
      </c>
      <c r="V206" t="inlineStr">
        <is>
          <t>1996-07-22</t>
        </is>
      </c>
      <c r="W206" t="inlineStr">
        <is>
          <t>1990-12-19</t>
        </is>
      </c>
      <c r="X206" t="inlineStr">
        <is>
          <t>1990-12-19</t>
        </is>
      </c>
      <c r="Y206" t="n">
        <v>726</v>
      </c>
      <c r="Z206" t="n">
        <v>674</v>
      </c>
      <c r="AA206" t="n">
        <v>681</v>
      </c>
      <c r="AB206" t="n">
        <v>8</v>
      </c>
      <c r="AC206" t="n">
        <v>8</v>
      </c>
      <c r="AD206" t="n">
        <v>28</v>
      </c>
      <c r="AE206" t="n">
        <v>28</v>
      </c>
      <c r="AF206" t="n">
        <v>9</v>
      </c>
      <c r="AG206" t="n">
        <v>9</v>
      </c>
      <c r="AH206" t="n">
        <v>8</v>
      </c>
      <c r="AI206" t="n">
        <v>8</v>
      </c>
      <c r="AJ206" t="n">
        <v>8</v>
      </c>
      <c r="AK206" t="n">
        <v>8</v>
      </c>
      <c r="AL206" t="n">
        <v>7</v>
      </c>
      <c r="AM206" t="n">
        <v>7</v>
      </c>
      <c r="AN206" t="n">
        <v>0</v>
      </c>
      <c r="AO206" t="n">
        <v>0</v>
      </c>
      <c r="AP206" t="inlineStr">
        <is>
          <t>No</t>
        </is>
      </c>
      <c r="AQ206" t="inlineStr">
        <is>
          <t>Yes</t>
        </is>
      </c>
      <c r="AR206">
        <f>HYPERLINK("http://catalog.hathitrust.org/Record/000134352","HathiTrust Record")</f>
        <v/>
      </c>
      <c r="AS206">
        <f>HYPERLINK("https://creighton-primo.hosted.exlibrisgroup.com/primo-explore/search?tab=default_tab&amp;search_scope=EVERYTHING&amp;vid=01CRU&amp;lang=en_US&amp;offset=0&amp;query=any,contains,991004519839702656","Catalog Record")</f>
        <v/>
      </c>
      <c r="AT206">
        <f>HYPERLINK("http://www.worldcat.org/oclc/3808911","WorldCat Record")</f>
        <v/>
      </c>
      <c r="AU206" t="inlineStr">
        <is>
          <t>367034569:eng</t>
        </is>
      </c>
      <c r="AV206" t="inlineStr">
        <is>
          <t>3808911</t>
        </is>
      </c>
      <c r="AW206" t="inlineStr">
        <is>
          <t>991004519839702656</t>
        </is>
      </c>
      <c r="AX206" t="inlineStr">
        <is>
          <t>991004519839702656</t>
        </is>
      </c>
      <c r="AY206" t="inlineStr">
        <is>
          <t>2268353540002656</t>
        </is>
      </c>
      <c r="AZ206" t="inlineStr">
        <is>
          <t>BOOK</t>
        </is>
      </c>
      <c r="BB206" t="inlineStr">
        <is>
          <t>9780879720902</t>
        </is>
      </c>
      <c r="BC206" t="inlineStr">
        <is>
          <t>32285000424068</t>
        </is>
      </c>
      <c r="BD206" t="inlineStr">
        <is>
          <t>893229461</t>
        </is>
      </c>
    </row>
    <row r="207">
      <c r="A207" t="inlineStr">
        <is>
          <t>No</t>
        </is>
      </c>
      <c r="B207" t="inlineStr">
        <is>
          <t>E169.12 .I26</t>
        </is>
      </c>
      <c r="C207" t="inlineStr">
        <is>
          <t>0                      E  0169120I  26</t>
        </is>
      </c>
      <c r="D207" t="inlineStr">
        <is>
          <t>Icons of popular culture / edited by Marshall Fishwick [and] Ray B. Browne.</t>
        </is>
      </c>
      <c r="F207" t="inlineStr">
        <is>
          <t>No</t>
        </is>
      </c>
      <c r="G207" t="inlineStr">
        <is>
          <t>1</t>
        </is>
      </c>
      <c r="H207" t="inlineStr">
        <is>
          <t>No</t>
        </is>
      </c>
      <c r="I207" t="inlineStr">
        <is>
          <t>No</t>
        </is>
      </c>
      <c r="J207" t="inlineStr">
        <is>
          <t>0</t>
        </is>
      </c>
      <c r="L207" t="inlineStr">
        <is>
          <t>Bowling Green, Ohio : Bowling Green University Popular Press, [1970]</t>
        </is>
      </c>
      <c r="M207" t="inlineStr">
        <is>
          <t>1970</t>
        </is>
      </c>
      <c r="O207" t="inlineStr">
        <is>
          <t>eng</t>
        </is>
      </c>
      <c r="P207" t="inlineStr">
        <is>
          <t>ohu</t>
        </is>
      </c>
      <c r="Q207" t="inlineStr">
        <is>
          <t>Probings in popular culture</t>
        </is>
      </c>
      <c r="R207" t="inlineStr">
        <is>
          <t xml:space="preserve">E  </t>
        </is>
      </c>
      <c r="S207" t="n">
        <v>4</v>
      </c>
      <c r="T207" t="n">
        <v>4</v>
      </c>
      <c r="U207" t="inlineStr">
        <is>
          <t>1998-06-25</t>
        </is>
      </c>
      <c r="V207" t="inlineStr">
        <is>
          <t>1998-06-25</t>
        </is>
      </c>
      <c r="W207" t="inlineStr">
        <is>
          <t>1993-03-25</t>
        </is>
      </c>
      <c r="X207" t="inlineStr">
        <is>
          <t>1993-03-25</t>
        </is>
      </c>
      <c r="Y207" t="n">
        <v>408</v>
      </c>
      <c r="Z207" t="n">
        <v>372</v>
      </c>
      <c r="AA207" t="n">
        <v>420</v>
      </c>
      <c r="AB207" t="n">
        <v>3</v>
      </c>
      <c r="AC207" t="n">
        <v>3</v>
      </c>
      <c r="AD207" t="n">
        <v>12</v>
      </c>
      <c r="AE207" t="n">
        <v>14</v>
      </c>
      <c r="AF207" t="n">
        <v>4</v>
      </c>
      <c r="AG207" t="n">
        <v>5</v>
      </c>
      <c r="AH207" t="n">
        <v>1</v>
      </c>
      <c r="AI207" t="n">
        <v>1</v>
      </c>
      <c r="AJ207" t="n">
        <v>5</v>
      </c>
      <c r="AK207" t="n">
        <v>6</v>
      </c>
      <c r="AL207" t="n">
        <v>2</v>
      </c>
      <c r="AM207" t="n">
        <v>2</v>
      </c>
      <c r="AN207" t="n">
        <v>0</v>
      </c>
      <c r="AO207" t="n">
        <v>0</v>
      </c>
      <c r="AP207" t="inlineStr">
        <is>
          <t>No</t>
        </is>
      </c>
      <c r="AQ207" t="inlineStr">
        <is>
          <t>Yes</t>
        </is>
      </c>
      <c r="AR207">
        <f>HYPERLINK("http://catalog.hathitrust.org/Record/000331534","HathiTrust Record")</f>
        <v/>
      </c>
      <c r="AS207">
        <f>HYPERLINK("https://creighton-primo.hosted.exlibrisgroup.com/primo-explore/search?tab=default_tab&amp;search_scope=EVERYTHING&amp;vid=01CRU&amp;lang=en_US&amp;offset=0&amp;query=any,contains,991000559119702656","Catalog Record")</f>
        <v/>
      </c>
      <c r="AT207">
        <f>HYPERLINK("http://www.worldcat.org/oclc/93390","WorldCat Record")</f>
        <v/>
      </c>
      <c r="AU207" t="inlineStr">
        <is>
          <t>346831387:eng</t>
        </is>
      </c>
      <c r="AV207" t="inlineStr">
        <is>
          <t>93390</t>
        </is>
      </c>
      <c r="AW207" t="inlineStr">
        <is>
          <t>991000559119702656</t>
        </is>
      </c>
      <c r="AX207" t="inlineStr">
        <is>
          <t>991000559119702656</t>
        </is>
      </c>
      <c r="AY207" t="inlineStr">
        <is>
          <t>2263004120002656</t>
        </is>
      </c>
      <c r="AZ207" t="inlineStr">
        <is>
          <t>BOOK</t>
        </is>
      </c>
      <c r="BC207" t="inlineStr">
        <is>
          <t>32285001591378</t>
        </is>
      </c>
      <c r="BD207" t="inlineStr">
        <is>
          <t>893778032</t>
        </is>
      </c>
    </row>
    <row r="208">
      <c r="A208" t="inlineStr">
        <is>
          <t>No</t>
        </is>
      </c>
      <c r="B208" t="inlineStr">
        <is>
          <t>E169.12 .I34 1986</t>
        </is>
      </c>
      <c r="C208" t="inlineStr">
        <is>
          <t>0                      E  0169120I  34          1986</t>
        </is>
      </c>
      <c r="D208" t="inlineStr">
        <is>
          <t>Ideology and American experience : essays on theory and practice in the United States / edited by John K. Roth and Robert C. Whittemore.</t>
        </is>
      </c>
      <c r="F208" t="inlineStr">
        <is>
          <t>No</t>
        </is>
      </c>
      <c r="G208" t="inlineStr">
        <is>
          <t>1</t>
        </is>
      </c>
      <c r="H208" t="inlineStr">
        <is>
          <t>No</t>
        </is>
      </c>
      <c r="I208" t="inlineStr">
        <is>
          <t>No</t>
        </is>
      </c>
      <c r="J208" t="inlineStr">
        <is>
          <t>0</t>
        </is>
      </c>
      <c r="L208" t="inlineStr">
        <is>
          <t>Washington, DC : Washington Institute Press, c1986.</t>
        </is>
      </c>
      <c r="M208" t="inlineStr">
        <is>
          <t>1986</t>
        </is>
      </c>
      <c r="O208" t="inlineStr">
        <is>
          <t>eng</t>
        </is>
      </c>
      <c r="P208" t="inlineStr">
        <is>
          <t>dcu</t>
        </is>
      </c>
      <c r="R208" t="inlineStr">
        <is>
          <t xml:space="preserve">E  </t>
        </is>
      </c>
      <c r="S208" t="n">
        <v>1</v>
      </c>
      <c r="T208" t="n">
        <v>1</v>
      </c>
      <c r="U208" t="inlineStr">
        <is>
          <t>1999-01-21</t>
        </is>
      </c>
      <c r="V208" t="inlineStr">
        <is>
          <t>1999-01-21</t>
        </is>
      </c>
      <c r="W208" t="inlineStr">
        <is>
          <t>1990-12-19</t>
        </is>
      </c>
      <c r="X208" t="inlineStr">
        <is>
          <t>1990-12-19</t>
        </is>
      </c>
      <c r="Y208" t="n">
        <v>336</v>
      </c>
      <c r="Z208" t="n">
        <v>306</v>
      </c>
      <c r="AA208" t="n">
        <v>313</v>
      </c>
      <c r="AB208" t="n">
        <v>2</v>
      </c>
      <c r="AC208" t="n">
        <v>2</v>
      </c>
      <c r="AD208" t="n">
        <v>12</v>
      </c>
      <c r="AE208" t="n">
        <v>12</v>
      </c>
      <c r="AF208" t="n">
        <v>6</v>
      </c>
      <c r="AG208" t="n">
        <v>6</v>
      </c>
      <c r="AH208" t="n">
        <v>4</v>
      </c>
      <c r="AI208" t="n">
        <v>4</v>
      </c>
      <c r="AJ208" t="n">
        <v>6</v>
      </c>
      <c r="AK208" t="n">
        <v>6</v>
      </c>
      <c r="AL208" t="n">
        <v>1</v>
      </c>
      <c r="AM208" t="n">
        <v>1</v>
      </c>
      <c r="AN208" t="n">
        <v>0</v>
      </c>
      <c r="AO208" t="n">
        <v>0</v>
      </c>
      <c r="AP208" t="inlineStr">
        <is>
          <t>No</t>
        </is>
      </c>
      <c r="AQ208" t="inlineStr">
        <is>
          <t>Yes</t>
        </is>
      </c>
      <c r="AR208">
        <f>HYPERLINK("http://catalog.hathitrust.org/Record/000492214","HathiTrust Record")</f>
        <v/>
      </c>
      <c r="AS208">
        <f>HYPERLINK("https://creighton-primo.hosted.exlibrisgroup.com/primo-explore/search?tab=default_tab&amp;search_scope=EVERYTHING&amp;vid=01CRU&amp;lang=en_US&amp;offset=0&amp;query=any,contains,991000862429702656","Catalog Record")</f>
        <v/>
      </c>
      <c r="AT208">
        <f>HYPERLINK("http://www.worldcat.org/oclc/13699974","WorldCat Record")</f>
        <v/>
      </c>
      <c r="AU208" t="inlineStr">
        <is>
          <t>346053626:eng</t>
        </is>
      </c>
      <c r="AV208" t="inlineStr">
        <is>
          <t>13699974</t>
        </is>
      </c>
      <c r="AW208" t="inlineStr">
        <is>
          <t>991000862429702656</t>
        </is>
      </c>
      <c r="AX208" t="inlineStr">
        <is>
          <t>991000862429702656</t>
        </is>
      </c>
      <c r="AY208" t="inlineStr">
        <is>
          <t>2266996730002656</t>
        </is>
      </c>
      <c r="AZ208" t="inlineStr">
        <is>
          <t>BOOK</t>
        </is>
      </c>
      <c r="BB208" t="inlineStr">
        <is>
          <t>9780887020193</t>
        </is>
      </c>
      <c r="BC208" t="inlineStr">
        <is>
          <t>32285000424076</t>
        </is>
      </c>
      <c r="BD208" t="inlineStr">
        <is>
          <t>893346035</t>
        </is>
      </c>
    </row>
    <row r="209">
      <c r="A209" t="inlineStr">
        <is>
          <t>No</t>
        </is>
      </c>
      <c r="B209" t="inlineStr">
        <is>
          <t>E169.12 .J67 1974</t>
        </is>
      </c>
      <c r="C209" t="inlineStr">
        <is>
          <t>0                      E  0169120J  67          1974</t>
        </is>
      </c>
      <c r="D209" t="inlineStr">
        <is>
          <t>Good times; an oral history of America in the nineteen sixties / Peter Joseph.</t>
        </is>
      </c>
      <c r="F209" t="inlineStr">
        <is>
          <t>No</t>
        </is>
      </c>
      <c r="G209" t="inlineStr">
        <is>
          <t>1</t>
        </is>
      </c>
      <c r="H209" t="inlineStr">
        <is>
          <t>No</t>
        </is>
      </c>
      <c r="I209" t="inlineStr">
        <is>
          <t>No</t>
        </is>
      </c>
      <c r="J209" t="inlineStr">
        <is>
          <t>0</t>
        </is>
      </c>
      <c r="K209" t="inlineStr">
        <is>
          <t>Joseph, Peter.</t>
        </is>
      </c>
      <c r="L209" t="inlineStr">
        <is>
          <t>New York : Morrow, 1974 [c1973]</t>
        </is>
      </c>
      <c r="M209" t="inlineStr">
        <is>
          <t>1974</t>
        </is>
      </c>
      <c r="O209" t="inlineStr">
        <is>
          <t>eng</t>
        </is>
      </c>
      <c r="P209" t="inlineStr">
        <is>
          <t>___</t>
        </is>
      </c>
      <c r="Q209" t="inlineStr">
        <is>
          <t>Morrow paperback editions</t>
        </is>
      </c>
      <c r="R209" t="inlineStr">
        <is>
          <t xml:space="preserve">E  </t>
        </is>
      </c>
      <c r="S209" t="n">
        <v>10</v>
      </c>
      <c r="T209" t="n">
        <v>10</v>
      </c>
      <c r="U209" t="inlineStr">
        <is>
          <t>1996-02-04</t>
        </is>
      </c>
      <c r="V209" t="inlineStr">
        <is>
          <t>1996-02-04</t>
        </is>
      </c>
      <c r="W209" t="inlineStr">
        <is>
          <t>1990-12-19</t>
        </is>
      </c>
      <c r="X209" t="inlineStr">
        <is>
          <t>1990-12-19</t>
        </is>
      </c>
      <c r="Y209" t="n">
        <v>142</v>
      </c>
      <c r="Z209" t="n">
        <v>136</v>
      </c>
      <c r="AA209" t="n">
        <v>908</v>
      </c>
      <c r="AB209" t="n">
        <v>2</v>
      </c>
      <c r="AC209" t="n">
        <v>9</v>
      </c>
      <c r="AD209" t="n">
        <v>8</v>
      </c>
      <c r="AE209" t="n">
        <v>29</v>
      </c>
      <c r="AF209" t="n">
        <v>3</v>
      </c>
      <c r="AG209" t="n">
        <v>10</v>
      </c>
      <c r="AH209" t="n">
        <v>1</v>
      </c>
      <c r="AI209" t="n">
        <v>7</v>
      </c>
      <c r="AJ209" t="n">
        <v>4</v>
      </c>
      <c r="AK209" t="n">
        <v>9</v>
      </c>
      <c r="AL209" t="n">
        <v>1</v>
      </c>
      <c r="AM209" t="n">
        <v>8</v>
      </c>
      <c r="AN209" t="n">
        <v>0</v>
      </c>
      <c r="AO209" t="n">
        <v>1</v>
      </c>
      <c r="AP209" t="inlineStr">
        <is>
          <t>No</t>
        </is>
      </c>
      <c r="AQ209" t="inlineStr">
        <is>
          <t>No</t>
        </is>
      </c>
      <c r="AS209">
        <f>HYPERLINK("https://creighton-primo.hosted.exlibrisgroup.com/primo-explore/search?tab=default_tab&amp;search_scope=EVERYTHING&amp;vid=01CRU&amp;lang=en_US&amp;offset=0&amp;query=any,contains,991003312989702656","Catalog Record")</f>
        <v/>
      </c>
      <c r="AT209">
        <f>HYPERLINK("http://www.worldcat.org/oclc/836955","WorldCat Record")</f>
        <v/>
      </c>
      <c r="AU209" t="inlineStr">
        <is>
          <t>1028054147:eng</t>
        </is>
      </c>
      <c r="AV209" t="inlineStr">
        <is>
          <t>836955</t>
        </is>
      </c>
      <c r="AW209" t="inlineStr">
        <is>
          <t>991003312989702656</t>
        </is>
      </c>
      <c r="AX209" t="inlineStr">
        <is>
          <t>991003312989702656</t>
        </is>
      </c>
      <c r="AY209" t="inlineStr">
        <is>
          <t>2268831180002656</t>
        </is>
      </c>
      <c r="AZ209" t="inlineStr">
        <is>
          <t>BOOK</t>
        </is>
      </c>
      <c r="BC209" t="inlineStr">
        <is>
          <t>32285000424100</t>
        </is>
      </c>
      <c r="BD209" t="inlineStr">
        <is>
          <t>893428665</t>
        </is>
      </c>
    </row>
    <row r="210">
      <c r="A210" t="inlineStr">
        <is>
          <t>No</t>
        </is>
      </c>
      <c r="B210" t="inlineStr">
        <is>
          <t>E169.12 .K58 1987</t>
        </is>
      </c>
      <c r="C210" t="inlineStr">
        <is>
          <t>0                      E  0169120K  58          1987</t>
        </is>
      </c>
      <c r="D210" t="inlineStr">
        <is>
          <t>The lost decade : a story of America in the 1960's / Gary H. Koerselman.</t>
        </is>
      </c>
      <c r="F210" t="inlineStr">
        <is>
          <t>No</t>
        </is>
      </c>
      <c r="G210" t="inlineStr">
        <is>
          <t>1</t>
        </is>
      </c>
      <c r="H210" t="inlineStr">
        <is>
          <t>No</t>
        </is>
      </c>
      <c r="I210" t="inlineStr">
        <is>
          <t>No</t>
        </is>
      </c>
      <c r="J210" t="inlineStr">
        <is>
          <t>0</t>
        </is>
      </c>
      <c r="K210" t="inlineStr">
        <is>
          <t>Koerselman, Gary H.</t>
        </is>
      </c>
      <c r="L210" t="inlineStr">
        <is>
          <t>New York : P. Lang, c1987.</t>
        </is>
      </c>
      <c r="M210" t="inlineStr">
        <is>
          <t>1987</t>
        </is>
      </c>
      <c r="O210" t="inlineStr">
        <is>
          <t>eng</t>
        </is>
      </c>
      <c r="P210" t="inlineStr">
        <is>
          <t>nyu</t>
        </is>
      </c>
      <c r="Q210" t="inlineStr">
        <is>
          <t>American university studies. Series IX, History, 0740-0462 ; v. 30</t>
        </is>
      </c>
      <c r="R210" t="inlineStr">
        <is>
          <t xml:space="preserve">E  </t>
        </is>
      </c>
      <c r="S210" t="n">
        <v>5</v>
      </c>
      <c r="T210" t="n">
        <v>5</v>
      </c>
      <c r="U210" t="inlineStr">
        <is>
          <t>1996-11-04</t>
        </is>
      </c>
      <c r="V210" t="inlineStr">
        <is>
          <t>1996-11-04</t>
        </is>
      </c>
      <c r="W210" t="inlineStr">
        <is>
          <t>1990-12-19</t>
        </is>
      </c>
      <c r="X210" t="inlineStr">
        <is>
          <t>1990-12-19</t>
        </is>
      </c>
      <c r="Y210" t="n">
        <v>179</v>
      </c>
      <c r="Z210" t="n">
        <v>131</v>
      </c>
      <c r="AA210" t="n">
        <v>133</v>
      </c>
      <c r="AB210" t="n">
        <v>1</v>
      </c>
      <c r="AC210" t="n">
        <v>1</v>
      </c>
      <c r="AD210" t="n">
        <v>5</v>
      </c>
      <c r="AE210" t="n">
        <v>5</v>
      </c>
      <c r="AF210" t="n">
        <v>1</v>
      </c>
      <c r="AG210" t="n">
        <v>1</v>
      </c>
      <c r="AH210" t="n">
        <v>2</v>
      </c>
      <c r="AI210" t="n">
        <v>2</v>
      </c>
      <c r="AJ210" t="n">
        <v>2</v>
      </c>
      <c r="AK210" t="n">
        <v>2</v>
      </c>
      <c r="AL210" t="n">
        <v>0</v>
      </c>
      <c r="AM210" t="n">
        <v>0</v>
      </c>
      <c r="AN210" t="n">
        <v>0</v>
      </c>
      <c r="AO210" t="n">
        <v>0</v>
      </c>
      <c r="AP210" t="inlineStr">
        <is>
          <t>No</t>
        </is>
      </c>
      <c r="AQ210" t="inlineStr">
        <is>
          <t>Yes</t>
        </is>
      </c>
      <c r="AR210">
        <f>HYPERLINK("http://catalog.hathitrust.org/Record/000921287","HathiTrust Record")</f>
        <v/>
      </c>
      <c r="AS210">
        <f>HYPERLINK("https://creighton-primo.hosted.exlibrisgroup.com/primo-explore/search?tab=default_tab&amp;search_scope=EVERYTHING&amp;vid=01CRU&amp;lang=en_US&amp;offset=0&amp;query=any,contains,991001013879702656","Catalog Record")</f>
        <v/>
      </c>
      <c r="AT210">
        <f>HYPERLINK("http://www.worldcat.org/oclc/15315900","WorldCat Record")</f>
        <v/>
      </c>
      <c r="AU210" t="inlineStr">
        <is>
          <t>289834845:eng</t>
        </is>
      </c>
      <c r="AV210" t="inlineStr">
        <is>
          <t>15315900</t>
        </is>
      </c>
      <c r="AW210" t="inlineStr">
        <is>
          <t>991001013879702656</t>
        </is>
      </c>
      <c r="AX210" t="inlineStr">
        <is>
          <t>991001013879702656</t>
        </is>
      </c>
      <c r="AY210" t="inlineStr">
        <is>
          <t>2258078400002656</t>
        </is>
      </c>
      <c r="AZ210" t="inlineStr">
        <is>
          <t>BOOK</t>
        </is>
      </c>
      <c r="BB210" t="inlineStr">
        <is>
          <t>9780820404615</t>
        </is>
      </c>
      <c r="BC210" t="inlineStr">
        <is>
          <t>32285000424118</t>
        </is>
      </c>
      <c r="BD210" t="inlineStr">
        <is>
          <t>893865892</t>
        </is>
      </c>
    </row>
    <row r="211">
      <c r="A211" t="inlineStr">
        <is>
          <t>No</t>
        </is>
      </c>
      <c r="B211" t="inlineStr">
        <is>
          <t>E169.12 .L33 1993</t>
        </is>
      </c>
      <c r="C211" t="inlineStr">
        <is>
          <t>0                      E  0169120L  33          1993</t>
        </is>
      </c>
      <c r="D211" t="inlineStr">
        <is>
          <t>A sense of place : listening to Americans / David Lamb.</t>
        </is>
      </c>
      <c r="F211" t="inlineStr">
        <is>
          <t>No</t>
        </is>
      </c>
      <c r="G211" t="inlineStr">
        <is>
          <t>1</t>
        </is>
      </c>
      <c r="H211" t="inlineStr">
        <is>
          <t>No</t>
        </is>
      </c>
      <c r="I211" t="inlineStr">
        <is>
          <t>No</t>
        </is>
      </c>
      <c r="J211" t="inlineStr">
        <is>
          <t>0</t>
        </is>
      </c>
      <c r="K211" t="inlineStr">
        <is>
          <t>Lamb, David.</t>
        </is>
      </c>
      <c r="L211" t="inlineStr">
        <is>
          <t>New York : Times Books, c1993.</t>
        </is>
      </c>
      <c r="M211" t="inlineStr">
        <is>
          <t>1993</t>
        </is>
      </c>
      <c r="O211" t="inlineStr">
        <is>
          <t>eng</t>
        </is>
      </c>
      <c r="P211" t="inlineStr">
        <is>
          <t>nyu</t>
        </is>
      </c>
      <c r="R211" t="inlineStr">
        <is>
          <t xml:space="preserve">E  </t>
        </is>
      </c>
      <c r="S211" t="n">
        <v>2</v>
      </c>
      <c r="T211" t="n">
        <v>2</v>
      </c>
      <c r="U211" t="inlineStr">
        <is>
          <t>2002-08-16</t>
        </is>
      </c>
      <c r="V211" t="inlineStr">
        <is>
          <t>2002-08-16</t>
        </is>
      </c>
      <c r="W211" t="inlineStr">
        <is>
          <t>1993-06-21</t>
        </is>
      </c>
      <c r="X211" t="inlineStr">
        <is>
          <t>1993-06-21</t>
        </is>
      </c>
      <c r="Y211" t="n">
        <v>603</v>
      </c>
      <c r="Z211" t="n">
        <v>590</v>
      </c>
      <c r="AA211" t="n">
        <v>741</v>
      </c>
      <c r="AB211" t="n">
        <v>8</v>
      </c>
      <c r="AC211" t="n">
        <v>12</v>
      </c>
      <c r="AD211" t="n">
        <v>12</v>
      </c>
      <c r="AE211" t="n">
        <v>12</v>
      </c>
      <c r="AF211" t="n">
        <v>3</v>
      </c>
      <c r="AG211" t="n">
        <v>3</v>
      </c>
      <c r="AH211" t="n">
        <v>3</v>
      </c>
      <c r="AI211" t="n">
        <v>3</v>
      </c>
      <c r="AJ211" t="n">
        <v>6</v>
      </c>
      <c r="AK211" t="n">
        <v>6</v>
      </c>
      <c r="AL211" t="n">
        <v>3</v>
      </c>
      <c r="AM211" t="n">
        <v>3</v>
      </c>
      <c r="AN211" t="n">
        <v>0</v>
      </c>
      <c r="AO211" t="n">
        <v>0</v>
      </c>
      <c r="AP211" t="inlineStr">
        <is>
          <t>No</t>
        </is>
      </c>
      <c r="AQ211" t="inlineStr">
        <is>
          <t>Yes</t>
        </is>
      </c>
      <c r="AR211">
        <f>HYPERLINK("http://catalog.hathitrust.org/Record/002700763","HathiTrust Record")</f>
        <v/>
      </c>
      <c r="AS211">
        <f>HYPERLINK("https://creighton-primo.hosted.exlibrisgroup.com/primo-explore/search?tab=default_tab&amp;search_scope=EVERYTHING&amp;vid=01CRU&amp;lang=en_US&amp;offset=0&amp;query=any,contains,991002115589702656","Catalog Record")</f>
        <v/>
      </c>
      <c r="AT211">
        <f>HYPERLINK("http://www.worldcat.org/oclc/27108477","WorldCat Record")</f>
        <v/>
      </c>
      <c r="AU211" t="inlineStr">
        <is>
          <t>29315781:eng</t>
        </is>
      </c>
      <c r="AV211" t="inlineStr">
        <is>
          <t>27108477</t>
        </is>
      </c>
      <c r="AW211" t="inlineStr">
        <is>
          <t>991002115589702656</t>
        </is>
      </c>
      <c r="AX211" t="inlineStr">
        <is>
          <t>991002115589702656</t>
        </is>
      </c>
      <c r="AY211" t="inlineStr">
        <is>
          <t>2261686930002656</t>
        </is>
      </c>
      <c r="AZ211" t="inlineStr">
        <is>
          <t>BOOK</t>
        </is>
      </c>
      <c r="BB211" t="inlineStr">
        <is>
          <t>9780812921595</t>
        </is>
      </c>
      <c r="BC211" t="inlineStr">
        <is>
          <t>32285001700060</t>
        </is>
      </c>
      <c r="BD211" t="inlineStr">
        <is>
          <t>893244775</t>
        </is>
      </c>
    </row>
    <row r="212">
      <c r="A212" t="inlineStr">
        <is>
          <t>No</t>
        </is>
      </c>
      <c r="B212" t="inlineStr">
        <is>
          <t>E169.12 .L46</t>
        </is>
      </c>
      <c r="C212" t="inlineStr">
        <is>
          <t>0                      E  0169120L  46</t>
        </is>
      </c>
      <c r="D212" t="inlineStr">
        <is>
          <t>A troubled feast : American society since 1945 / [by] William E. Leuchtenburg.</t>
        </is>
      </c>
      <c r="F212" t="inlineStr">
        <is>
          <t>No</t>
        </is>
      </c>
      <c r="G212" t="inlineStr">
        <is>
          <t>1</t>
        </is>
      </c>
      <c r="H212" t="inlineStr">
        <is>
          <t>No</t>
        </is>
      </c>
      <c r="I212" t="inlineStr">
        <is>
          <t>No</t>
        </is>
      </c>
      <c r="J212" t="inlineStr">
        <is>
          <t>0</t>
        </is>
      </c>
      <c r="K212" t="inlineStr">
        <is>
          <t>Leuchtenburg, William E. (William Edward), 1922-</t>
        </is>
      </c>
      <c r="L212" t="inlineStr">
        <is>
          <t>Boston : Little, Brown, [1973]</t>
        </is>
      </c>
      <c r="M212" t="inlineStr">
        <is>
          <t>1973</t>
        </is>
      </c>
      <c r="O212" t="inlineStr">
        <is>
          <t>eng</t>
        </is>
      </c>
      <c r="P212" t="inlineStr">
        <is>
          <t>mau</t>
        </is>
      </c>
      <c r="R212" t="inlineStr">
        <is>
          <t xml:space="preserve">E  </t>
        </is>
      </c>
      <c r="S212" t="n">
        <v>1</v>
      </c>
      <c r="T212" t="n">
        <v>1</v>
      </c>
      <c r="U212" t="inlineStr">
        <is>
          <t>1994-04-05</t>
        </is>
      </c>
      <c r="V212" t="inlineStr">
        <is>
          <t>1994-04-05</t>
        </is>
      </c>
      <c r="W212" t="inlineStr">
        <is>
          <t>1994-03-29</t>
        </is>
      </c>
      <c r="X212" t="inlineStr">
        <is>
          <t>1994-03-29</t>
        </is>
      </c>
      <c r="Y212" t="n">
        <v>344</v>
      </c>
      <c r="Z212" t="n">
        <v>302</v>
      </c>
      <c r="AA212" t="n">
        <v>607</v>
      </c>
      <c r="AB212" t="n">
        <v>4</v>
      </c>
      <c r="AC212" t="n">
        <v>7</v>
      </c>
      <c r="AD212" t="n">
        <v>12</v>
      </c>
      <c r="AE212" t="n">
        <v>17</v>
      </c>
      <c r="AF212" t="n">
        <v>1</v>
      </c>
      <c r="AG212" t="n">
        <v>2</v>
      </c>
      <c r="AH212" t="n">
        <v>4</v>
      </c>
      <c r="AI212" t="n">
        <v>4</v>
      </c>
      <c r="AJ212" t="n">
        <v>7</v>
      </c>
      <c r="AK212" t="n">
        <v>8</v>
      </c>
      <c r="AL212" t="n">
        <v>2</v>
      </c>
      <c r="AM212" t="n">
        <v>5</v>
      </c>
      <c r="AN212" t="n">
        <v>0</v>
      </c>
      <c r="AO212" t="n">
        <v>0</v>
      </c>
      <c r="AP212" t="inlineStr">
        <is>
          <t>No</t>
        </is>
      </c>
      <c r="AQ212" t="inlineStr">
        <is>
          <t>Yes</t>
        </is>
      </c>
      <c r="AR212">
        <f>HYPERLINK("http://catalog.hathitrust.org/Record/000329001","HathiTrust Record")</f>
        <v/>
      </c>
      <c r="AS212">
        <f>HYPERLINK("https://creighton-primo.hosted.exlibrisgroup.com/primo-explore/search?tab=default_tab&amp;search_scope=EVERYTHING&amp;vid=01CRU&amp;lang=en_US&amp;offset=0&amp;query=any,contains,991003210569702656","Catalog Record")</f>
        <v/>
      </c>
      <c r="AT212">
        <f>HYPERLINK("http://www.worldcat.org/oclc/736840","WorldCat Record")</f>
        <v/>
      </c>
      <c r="AU212" t="inlineStr">
        <is>
          <t>1782307:eng</t>
        </is>
      </c>
      <c r="AV212" t="inlineStr">
        <is>
          <t>736840</t>
        </is>
      </c>
      <c r="AW212" t="inlineStr">
        <is>
          <t>991003210569702656</t>
        </is>
      </c>
      <c r="AX212" t="inlineStr">
        <is>
          <t>991003210569702656</t>
        </is>
      </c>
      <c r="AY212" t="inlineStr">
        <is>
          <t>2254869430002656</t>
        </is>
      </c>
      <c r="AZ212" t="inlineStr">
        <is>
          <t>BOOK</t>
        </is>
      </c>
      <c r="BC212" t="inlineStr">
        <is>
          <t>32285001872752</t>
        </is>
      </c>
      <c r="BD212" t="inlineStr">
        <is>
          <t>893323871</t>
        </is>
      </c>
    </row>
    <row r="213">
      <c r="A213" t="inlineStr">
        <is>
          <t>No</t>
        </is>
      </c>
      <c r="B213" t="inlineStr">
        <is>
          <t>E169.12 .M37 1997</t>
        </is>
      </c>
      <c r="C213" t="inlineStr">
        <is>
          <t>0                      E  0169120M  37          1997</t>
        </is>
      </c>
      <c r="D213" t="inlineStr">
        <is>
          <t>A reasonable life : toward a simpler, secure, more humane existence / by Ferenc Maté.</t>
        </is>
      </c>
      <c r="F213" t="inlineStr">
        <is>
          <t>No</t>
        </is>
      </c>
      <c r="G213" t="inlineStr">
        <is>
          <t>1</t>
        </is>
      </c>
      <c r="H213" t="inlineStr">
        <is>
          <t>No</t>
        </is>
      </c>
      <c r="I213" t="inlineStr">
        <is>
          <t>No</t>
        </is>
      </c>
      <c r="J213" t="inlineStr">
        <is>
          <t>0</t>
        </is>
      </c>
      <c r="K213" t="inlineStr">
        <is>
          <t>Maté, Ferenc, 1945-</t>
        </is>
      </c>
      <c r="L213" t="inlineStr">
        <is>
          <t>[Vancouver] : Albatross Pub. House ; New York : Distributed in the U.S. by W.W. Norton, c1997.</t>
        </is>
      </c>
      <c r="M213" t="inlineStr">
        <is>
          <t>1997</t>
        </is>
      </c>
      <c r="N213" t="inlineStr">
        <is>
          <t>2nd ed.</t>
        </is>
      </c>
      <c r="O213" t="inlineStr">
        <is>
          <t>eng</t>
        </is>
      </c>
      <c r="P213" t="inlineStr">
        <is>
          <t>bcc</t>
        </is>
      </c>
      <c r="R213" t="inlineStr">
        <is>
          <t xml:space="preserve">E  </t>
        </is>
      </c>
      <c r="S213" t="n">
        <v>8</v>
      </c>
      <c r="T213" t="n">
        <v>8</v>
      </c>
      <c r="U213" t="inlineStr">
        <is>
          <t>2003-02-16</t>
        </is>
      </c>
      <c r="V213" t="inlineStr">
        <is>
          <t>2003-02-16</t>
        </is>
      </c>
      <c r="W213" t="inlineStr">
        <is>
          <t>1998-09-03</t>
        </is>
      </c>
      <c r="X213" t="inlineStr">
        <is>
          <t>1998-09-03</t>
        </is>
      </c>
      <c r="Y213" t="n">
        <v>159</v>
      </c>
      <c r="Z213" t="n">
        <v>141</v>
      </c>
      <c r="AA213" t="n">
        <v>262</v>
      </c>
      <c r="AB213" t="n">
        <v>1</v>
      </c>
      <c r="AC213" t="n">
        <v>1</v>
      </c>
      <c r="AD213" t="n">
        <v>2</v>
      </c>
      <c r="AE213" t="n">
        <v>3</v>
      </c>
      <c r="AF213" t="n">
        <v>1</v>
      </c>
      <c r="AG213" t="n">
        <v>1</v>
      </c>
      <c r="AH213" t="n">
        <v>0</v>
      </c>
      <c r="AI213" t="n">
        <v>0</v>
      </c>
      <c r="AJ213" t="n">
        <v>1</v>
      </c>
      <c r="AK213" t="n">
        <v>2</v>
      </c>
      <c r="AL213" t="n">
        <v>0</v>
      </c>
      <c r="AM213" t="n">
        <v>0</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HYPERLINK("https://creighton-primo.hosted.exlibrisgroup.com/primo-explore/search?tab=default_tab&amp;search_scope=EVERYTHING&amp;vid=01CRU&amp;lang=en_US&amp;offset=0&amp;query=any,contains,991005427409702656","Catalog Record")</f>
        <v/>
      </c>
      <c r="AT213">
        <f>HYPERLINK("http://www.worldcat.org/oclc/37902813","WorldCat Record")</f>
        <v/>
      </c>
      <c r="AU213" t="inlineStr">
        <is>
          <t>655129:eng</t>
        </is>
      </c>
      <c r="AV213" t="inlineStr">
        <is>
          <t>37902813</t>
        </is>
      </c>
      <c r="AW213" t="inlineStr">
        <is>
          <t>991005427409702656</t>
        </is>
      </c>
      <c r="AX213" t="inlineStr">
        <is>
          <t>991005427409702656</t>
        </is>
      </c>
      <c r="AY213" t="inlineStr">
        <is>
          <t>2258715210002656</t>
        </is>
      </c>
      <c r="AZ213" t="inlineStr">
        <is>
          <t>BOOK</t>
        </is>
      </c>
      <c r="BB213" t="inlineStr">
        <is>
          <t>9780920256367</t>
        </is>
      </c>
      <c r="BC213" t="inlineStr">
        <is>
          <t>32285003465027</t>
        </is>
      </c>
      <c r="BD213" t="inlineStr">
        <is>
          <t>893332951</t>
        </is>
      </c>
    </row>
    <row r="214">
      <c r="A214" t="inlineStr">
        <is>
          <t>No</t>
        </is>
      </c>
      <c r="B214" t="inlineStr">
        <is>
          <t>E169.12 .O24 1988</t>
        </is>
      </c>
      <c r="C214" t="inlineStr">
        <is>
          <t>0                      E  0169120O  24          1988</t>
        </is>
      </c>
      <c r="D214" t="inlineStr">
        <is>
          <t>Dream time : chapters from the sixties / Geoffrey O'Brien.</t>
        </is>
      </c>
      <c r="F214" t="inlineStr">
        <is>
          <t>No</t>
        </is>
      </c>
      <c r="G214" t="inlineStr">
        <is>
          <t>1</t>
        </is>
      </c>
      <c r="H214" t="inlineStr">
        <is>
          <t>No</t>
        </is>
      </c>
      <c r="I214" t="inlineStr">
        <is>
          <t>No</t>
        </is>
      </c>
      <c r="J214" t="inlineStr">
        <is>
          <t>0</t>
        </is>
      </c>
      <c r="K214" t="inlineStr">
        <is>
          <t>O'Brien, Geoffrey, 1948-</t>
        </is>
      </c>
      <c r="L214" t="inlineStr">
        <is>
          <t>New York, N.Y., U.S.A. : Viking, 1988.</t>
        </is>
      </c>
      <c r="M214" t="inlineStr">
        <is>
          <t>1988</t>
        </is>
      </c>
      <c r="O214" t="inlineStr">
        <is>
          <t>eng</t>
        </is>
      </c>
      <c r="P214" t="inlineStr">
        <is>
          <t>nyu</t>
        </is>
      </c>
      <c r="R214" t="inlineStr">
        <is>
          <t xml:space="preserve">E  </t>
        </is>
      </c>
      <c r="S214" t="n">
        <v>1</v>
      </c>
      <c r="T214" t="n">
        <v>1</v>
      </c>
      <c r="U214" t="inlineStr">
        <is>
          <t>1992-01-21</t>
        </is>
      </c>
      <c r="V214" t="inlineStr">
        <is>
          <t>1992-01-21</t>
        </is>
      </c>
      <c r="W214" t="inlineStr">
        <is>
          <t>1990-12-19</t>
        </is>
      </c>
      <c r="X214" t="inlineStr">
        <is>
          <t>1990-12-19</t>
        </is>
      </c>
      <c r="Y214" t="n">
        <v>467</v>
      </c>
      <c r="Z214" t="n">
        <v>441</v>
      </c>
      <c r="AA214" t="n">
        <v>522</v>
      </c>
      <c r="AB214" t="n">
        <v>5</v>
      </c>
      <c r="AC214" t="n">
        <v>5</v>
      </c>
      <c r="AD214" t="n">
        <v>10</v>
      </c>
      <c r="AE214" t="n">
        <v>12</v>
      </c>
      <c r="AF214" t="n">
        <v>3</v>
      </c>
      <c r="AG214" t="n">
        <v>4</v>
      </c>
      <c r="AH214" t="n">
        <v>4</v>
      </c>
      <c r="AI214" t="n">
        <v>4</v>
      </c>
      <c r="AJ214" t="n">
        <v>5</v>
      </c>
      <c r="AK214" t="n">
        <v>6</v>
      </c>
      <c r="AL214" t="n">
        <v>3</v>
      </c>
      <c r="AM214" t="n">
        <v>3</v>
      </c>
      <c r="AN214" t="n">
        <v>0</v>
      </c>
      <c r="AO214" t="n">
        <v>0</v>
      </c>
      <c r="AP214" t="inlineStr">
        <is>
          <t>No</t>
        </is>
      </c>
      <c r="AQ214" t="inlineStr">
        <is>
          <t>Yes</t>
        </is>
      </c>
      <c r="AR214">
        <f>HYPERLINK("http://catalog.hathitrust.org/Record/000911697","HathiTrust Record")</f>
        <v/>
      </c>
      <c r="AS214">
        <f>HYPERLINK("https://creighton-primo.hosted.exlibrisgroup.com/primo-explore/search?tab=default_tab&amp;search_scope=EVERYTHING&amp;vid=01CRU&amp;lang=en_US&amp;offset=0&amp;query=any,contains,991001143209702656","Catalog Record")</f>
        <v/>
      </c>
      <c r="AT214">
        <f>HYPERLINK("http://www.worldcat.org/oclc/16754947","WorldCat Record")</f>
        <v/>
      </c>
      <c r="AU214" t="inlineStr">
        <is>
          <t>1057143:eng</t>
        </is>
      </c>
      <c r="AV214" t="inlineStr">
        <is>
          <t>16754947</t>
        </is>
      </c>
      <c r="AW214" t="inlineStr">
        <is>
          <t>991001143209702656</t>
        </is>
      </c>
      <c r="AX214" t="inlineStr">
        <is>
          <t>991001143209702656</t>
        </is>
      </c>
      <c r="AY214" t="inlineStr">
        <is>
          <t>2263780770002656</t>
        </is>
      </c>
      <c r="AZ214" t="inlineStr">
        <is>
          <t>BOOK</t>
        </is>
      </c>
      <c r="BB214" t="inlineStr">
        <is>
          <t>9780670818440</t>
        </is>
      </c>
      <c r="BC214" t="inlineStr">
        <is>
          <t>32285000424167</t>
        </is>
      </c>
      <c r="BD214" t="inlineStr">
        <is>
          <t>893237905</t>
        </is>
      </c>
    </row>
    <row r="215">
      <c r="A215" t="inlineStr">
        <is>
          <t>No</t>
        </is>
      </c>
      <c r="B215" t="inlineStr">
        <is>
          <t>E169.12 .P64 1987</t>
        </is>
      </c>
      <c r="C215" t="inlineStr">
        <is>
          <t>0                      E  0169120P  64          1987</t>
        </is>
      </c>
      <c r="D215" t="inlineStr">
        <is>
          <t>Popular culture in America / Paul Buhle, editor.</t>
        </is>
      </c>
      <c r="F215" t="inlineStr">
        <is>
          <t>No</t>
        </is>
      </c>
      <c r="G215" t="inlineStr">
        <is>
          <t>1</t>
        </is>
      </c>
      <c r="H215" t="inlineStr">
        <is>
          <t>No</t>
        </is>
      </c>
      <c r="I215" t="inlineStr">
        <is>
          <t>No</t>
        </is>
      </c>
      <c r="J215" t="inlineStr">
        <is>
          <t>0</t>
        </is>
      </c>
      <c r="L215" t="inlineStr">
        <is>
          <t>Minneapolis, MN : University of Minnesota, 1987.</t>
        </is>
      </c>
      <c r="M215" t="inlineStr">
        <is>
          <t>1987</t>
        </is>
      </c>
      <c r="O215" t="inlineStr">
        <is>
          <t>eng</t>
        </is>
      </c>
      <c r="P215" t="inlineStr">
        <is>
          <t>mnu</t>
        </is>
      </c>
      <c r="R215" t="inlineStr">
        <is>
          <t xml:space="preserve">E  </t>
        </is>
      </c>
      <c r="S215" t="n">
        <v>1</v>
      </c>
      <c r="T215" t="n">
        <v>1</v>
      </c>
      <c r="U215" t="inlineStr">
        <is>
          <t>1993-01-22</t>
        </is>
      </c>
      <c r="V215" t="inlineStr">
        <is>
          <t>1993-01-22</t>
        </is>
      </c>
      <c r="W215" t="inlineStr">
        <is>
          <t>1990-12-19</t>
        </is>
      </c>
      <c r="X215" t="inlineStr">
        <is>
          <t>1990-12-19</t>
        </is>
      </c>
      <c r="Y215" t="n">
        <v>519</v>
      </c>
      <c r="Z215" t="n">
        <v>433</v>
      </c>
      <c r="AA215" t="n">
        <v>439</v>
      </c>
      <c r="AB215" t="n">
        <v>3</v>
      </c>
      <c r="AC215" t="n">
        <v>3</v>
      </c>
      <c r="AD215" t="n">
        <v>22</v>
      </c>
      <c r="AE215" t="n">
        <v>22</v>
      </c>
      <c r="AF215" t="n">
        <v>7</v>
      </c>
      <c r="AG215" t="n">
        <v>7</v>
      </c>
      <c r="AH215" t="n">
        <v>5</v>
      </c>
      <c r="AI215" t="n">
        <v>5</v>
      </c>
      <c r="AJ215" t="n">
        <v>12</v>
      </c>
      <c r="AK215" t="n">
        <v>12</v>
      </c>
      <c r="AL215" t="n">
        <v>2</v>
      </c>
      <c r="AM215" t="n">
        <v>2</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HYPERLINK("https://creighton-primo.hosted.exlibrisgroup.com/primo-explore/search?tab=default_tab&amp;search_scope=EVERYTHING&amp;vid=01CRU&amp;lang=en_US&amp;offset=0&amp;query=any,contains,991000840229702656","Catalog Record")</f>
        <v/>
      </c>
      <c r="AT215">
        <f>HYPERLINK("http://www.worldcat.org/oclc/13525298","WorldCat Record")</f>
        <v/>
      </c>
      <c r="AU215" t="inlineStr">
        <is>
          <t>54813796:eng</t>
        </is>
      </c>
      <c r="AV215" t="inlineStr">
        <is>
          <t>13525298</t>
        </is>
      </c>
      <c r="AW215" t="inlineStr">
        <is>
          <t>991000840229702656</t>
        </is>
      </c>
      <c r="AX215" t="inlineStr">
        <is>
          <t>991000840229702656</t>
        </is>
      </c>
      <c r="AY215" t="inlineStr">
        <is>
          <t>2262399880002656</t>
        </is>
      </c>
      <c r="AZ215" t="inlineStr">
        <is>
          <t>BOOK</t>
        </is>
      </c>
      <c r="BB215" t="inlineStr">
        <is>
          <t>9780816614097</t>
        </is>
      </c>
      <c r="BC215" t="inlineStr">
        <is>
          <t>32285000424183</t>
        </is>
      </c>
      <c r="BD215" t="inlineStr">
        <is>
          <t>893595937</t>
        </is>
      </c>
    </row>
    <row r="216">
      <c r="A216" t="inlineStr">
        <is>
          <t>No</t>
        </is>
      </c>
      <c r="B216" t="inlineStr">
        <is>
          <t>E169.12 .R43 1989</t>
        </is>
      </c>
      <c r="C216" t="inlineStr">
        <is>
          <t>0                      E  0169120R  43          1989</t>
        </is>
      </c>
      <c r="D216" t="inlineStr">
        <is>
          <t>Recasting America : culture and politics in the age of cold war / edited by Lary May.</t>
        </is>
      </c>
      <c r="F216" t="inlineStr">
        <is>
          <t>No</t>
        </is>
      </c>
      <c r="G216" t="inlineStr">
        <is>
          <t>1</t>
        </is>
      </c>
      <c r="H216" t="inlineStr">
        <is>
          <t>No</t>
        </is>
      </c>
      <c r="I216" t="inlineStr">
        <is>
          <t>No</t>
        </is>
      </c>
      <c r="J216" t="inlineStr">
        <is>
          <t>0</t>
        </is>
      </c>
      <c r="L216" t="inlineStr">
        <is>
          <t>Chicago : University of Chicago Press, 1989.</t>
        </is>
      </c>
      <c r="M216" t="inlineStr">
        <is>
          <t>1989</t>
        </is>
      </c>
      <c r="O216" t="inlineStr">
        <is>
          <t>eng</t>
        </is>
      </c>
      <c r="P216" t="inlineStr">
        <is>
          <t>ilu</t>
        </is>
      </c>
      <c r="R216" t="inlineStr">
        <is>
          <t xml:space="preserve">E  </t>
        </is>
      </c>
      <c r="S216" t="n">
        <v>7</v>
      </c>
      <c r="T216" t="n">
        <v>7</v>
      </c>
      <c r="U216" t="inlineStr">
        <is>
          <t>2003-03-05</t>
        </is>
      </c>
      <c r="V216" t="inlineStr">
        <is>
          <t>2003-03-05</t>
        </is>
      </c>
      <c r="W216" t="inlineStr">
        <is>
          <t>1990-05-29</t>
        </is>
      </c>
      <c r="X216" t="inlineStr">
        <is>
          <t>1990-05-29</t>
        </is>
      </c>
      <c r="Y216" t="n">
        <v>938</v>
      </c>
      <c r="Z216" t="n">
        <v>782</v>
      </c>
      <c r="AA216" t="n">
        <v>787</v>
      </c>
      <c r="AB216" t="n">
        <v>7</v>
      </c>
      <c r="AC216" t="n">
        <v>7</v>
      </c>
      <c r="AD216" t="n">
        <v>40</v>
      </c>
      <c r="AE216" t="n">
        <v>40</v>
      </c>
      <c r="AF216" t="n">
        <v>13</v>
      </c>
      <c r="AG216" t="n">
        <v>13</v>
      </c>
      <c r="AH216" t="n">
        <v>10</v>
      </c>
      <c r="AI216" t="n">
        <v>10</v>
      </c>
      <c r="AJ216" t="n">
        <v>20</v>
      </c>
      <c r="AK216" t="n">
        <v>20</v>
      </c>
      <c r="AL216" t="n">
        <v>6</v>
      </c>
      <c r="AM216" t="n">
        <v>6</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HYPERLINK("https://creighton-primo.hosted.exlibrisgroup.com/primo-explore/search?tab=default_tab&amp;search_scope=EVERYTHING&amp;vid=01CRU&amp;lang=en_US&amp;offset=0&amp;query=any,contains,991001312939702656","Catalog Record")</f>
        <v/>
      </c>
      <c r="AT216">
        <f>HYPERLINK("http://www.worldcat.org/oclc/18163694","WorldCat Record")</f>
        <v/>
      </c>
      <c r="AU216" t="inlineStr">
        <is>
          <t>836708305:eng</t>
        </is>
      </c>
      <c r="AV216" t="inlineStr">
        <is>
          <t>18163694</t>
        </is>
      </c>
      <c r="AW216" t="inlineStr">
        <is>
          <t>991001312939702656</t>
        </is>
      </c>
      <c r="AX216" t="inlineStr">
        <is>
          <t>991001312939702656</t>
        </is>
      </c>
      <c r="AY216" t="inlineStr">
        <is>
          <t>2261720390002656</t>
        </is>
      </c>
      <c r="AZ216" t="inlineStr">
        <is>
          <t>BOOK</t>
        </is>
      </c>
      <c r="BB216" t="inlineStr">
        <is>
          <t>9780226511764</t>
        </is>
      </c>
      <c r="BC216" t="inlineStr">
        <is>
          <t>32285000156595</t>
        </is>
      </c>
      <c r="BD216" t="inlineStr">
        <is>
          <t>893528873</t>
        </is>
      </c>
    </row>
    <row r="217">
      <c r="A217" t="inlineStr">
        <is>
          <t>No</t>
        </is>
      </c>
      <c r="B217" t="inlineStr">
        <is>
          <t>E169.12 .R46</t>
        </is>
      </c>
      <c r="C217" t="inlineStr">
        <is>
          <t>0                      E  0169120R  46</t>
        </is>
      </c>
      <c r="D217" t="inlineStr">
        <is>
          <t>Reporting : the Rolling stone style / edited by Paul Scanlon.</t>
        </is>
      </c>
      <c r="F217" t="inlineStr">
        <is>
          <t>No</t>
        </is>
      </c>
      <c r="G217" t="inlineStr">
        <is>
          <t>1</t>
        </is>
      </c>
      <c r="H217" t="inlineStr">
        <is>
          <t>No</t>
        </is>
      </c>
      <c r="I217" t="inlineStr">
        <is>
          <t>No</t>
        </is>
      </c>
      <c r="J217" t="inlineStr">
        <is>
          <t>0</t>
        </is>
      </c>
      <c r="L217" t="inlineStr">
        <is>
          <t>Garden City, N.Y. : Anchor Press/Doubleday, 1977.</t>
        </is>
      </c>
      <c r="M217" t="inlineStr">
        <is>
          <t>1977</t>
        </is>
      </c>
      <c r="N217" t="inlineStr">
        <is>
          <t>1st ed.</t>
        </is>
      </c>
      <c r="O217" t="inlineStr">
        <is>
          <t>eng</t>
        </is>
      </c>
      <c r="P217" t="inlineStr">
        <is>
          <t>nyu</t>
        </is>
      </c>
      <c r="R217" t="inlineStr">
        <is>
          <t xml:space="preserve">E  </t>
        </is>
      </c>
      <c r="S217" t="n">
        <v>3</v>
      </c>
      <c r="T217" t="n">
        <v>3</v>
      </c>
      <c r="U217" t="inlineStr">
        <is>
          <t>2003-11-21</t>
        </is>
      </c>
      <c r="V217" t="inlineStr">
        <is>
          <t>2003-11-21</t>
        </is>
      </c>
      <c r="W217" t="inlineStr">
        <is>
          <t>1997-04-03</t>
        </is>
      </c>
      <c r="X217" t="inlineStr">
        <is>
          <t>1997-04-03</t>
        </is>
      </c>
      <c r="Y217" t="n">
        <v>293</v>
      </c>
      <c r="Z217" t="n">
        <v>269</v>
      </c>
      <c r="AA217" t="n">
        <v>271</v>
      </c>
      <c r="AB217" t="n">
        <v>4</v>
      </c>
      <c r="AC217" t="n">
        <v>4</v>
      </c>
      <c r="AD217" t="n">
        <v>5</v>
      </c>
      <c r="AE217" t="n">
        <v>5</v>
      </c>
      <c r="AF217" t="n">
        <v>1</v>
      </c>
      <c r="AG217" t="n">
        <v>1</v>
      </c>
      <c r="AH217" t="n">
        <v>0</v>
      </c>
      <c r="AI217" t="n">
        <v>0</v>
      </c>
      <c r="AJ217" t="n">
        <v>1</v>
      </c>
      <c r="AK217" t="n">
        <v>1</v>
      </c>
      <c r="AL217" t="n">
        <v>3</v>
      </c>
      <c r="AM217" t="n">
        <v>3</v>
      </c>
      <c r="AN217" t="n">
        <v>0</v>
      </c>
      <c r="AO217" t="n">
        <v>0</v>
      </c>
      <c r="AP217" t="inlineStr">
        <is>
          <t>No</t>
        </is>
      </c>
      <c r="AQ217" t="inlineStr">
        <is>
          <t>Yes</t>
        </is>
      </c>
      <c r="AR217">
        <f>HYPERLINK("http://catalog.hathitrust.org/Record/009659579","HathiTrust Record")</f>
        <v/>
      </c>
      <c r="AS217">
        <f>HYPERLINK("https://creighton-primo.hosted.exlibrisgroup.com/primo-explore/search?tab=default_tab&amp;search_scope=EVERYTHING&amp;vid=01CRU&amp;lang=en_US&amp;offset=0&amp;query=any,contains,991004400239702656","Catalog Record")</f>
        <v/>
      </c>
      <c r="AT217">
        <f>HYPERLINK("http://www.worldcat.org/oclc/3294712","WorldCat Record")</f>
        <v/>
      </c>
      <c r="AU217" t="inlineStr">
        <is>
          <t>9675243:eng</t>
        </is>
      </c>
      <c r="AV217" t="inlineStr">
        <is>
          <t>3294712</t>
        </is>
      </c>
      <c r="AW217" t="inlineStr">
        <is>
          <t>991004400239702656</t>
        </is>
      </c>
      <c r="AX217" t="inlineStr">
        <is>
          <t>991004400239702656</t>
        </is>
      </c>
      <c r="AY217" t="inlineStr">
        <is>
          <t>2259594210002656</t>
        </is>
      </c>
      <c r="AZ217" t="inlineStr">
        <is>
          <t>BOOK</t>
        </is>
      </c>
      <c r="BB217" t="inlineStr">
        <is>
          <t>9780385114806</t>
        </is>
      </c>
      <c r="BC217" t="inlineStr">
        <is>
          <t>32285002501822</t>
        </is>
      </c>
      <c r="BD217" t="inlineStr">
        <is>
          <t>893423746</t>
        </is>
      </c>
    </row>
    <row r="218">
      <c r="A218" t="inlineStr">
        <is>
          <t>No</t>
        </is>
      </c>
      <c r="B218" t="inlineStr">
        <is>
          <t>E169.12 .S293 1990</t>
        </is>
      </c>
      <c r="C218" t="inlineStr">
        <is>
          <t>0                      E  0169120S  293         1990</t>
        </is>
      </c>
      <c r="D218" t="inlineStr">
        <is>
          <t>Comic books and America, 1945-1954 / by William W. Savage, Jr.</t>
        </is>
      </c>
      <c r="F218" t="inlineStr">
        <is>
          <t>No</t>
        </is>
      </c>
      <c r="G218" t="inlineStr">
        <is>
          <t>1</t>
        </is>
      </c>
      <c r="H218" t="inlineStr">
        <is>
          <t>No</t>
        </is>
      </c>
      <c r="I218" t="inlineStr">
        <is>
          <t>No</t>
        </is>
      </c>
      <c r="J218" t="inlineStr">
        <is>
          <t>0</t>
        </is>
      </c>
      <c r="K218" t="inlineStr">
        <is>
          <t>Savage, William W.</t>
        </is>
      </c>
      <c r="L218" t="inlineStr">
        <is>
          <t>Norman : University of Oklahoma Press, c1990.</t>
        </is>
      </c>
      <c r="M218" t="inlineStr">
        <is>
          <t>1990</t>
        </is>
      </c>
      <c r="N218" t="inlineStr">
        <is>
          <t>1st ed.</t>
        </is>
      </c>
      <c r="O218" t="inlineStr">
        <is>
          <t>eng</t>
        </is>
      </c>
      <c r="P218" t="inlineStr">
        <is>
          <t>oku</t>
        </is>
      </c>
      <c r="R218" t="inlineStr">
        <is>
          <t xml:space="preserve">E  </t>
        </is>
      </c>
      <c r="S218" t="n">
        <v>1</v>
      </c>
      <c r="T218" t="n">
        <v>1</v>
      </c>
      <c r="U218" t="inlineStr">
        <is>
          <t>1992-12-16</t>
        </is>
      </c>
      <c r="V218" t="inlineStr">
        <is>
          <t>1992-12-16</t>
        </is>
      </c>
      <c r="W218" t="inlineStr">
        <is>
          <t>1991-05-01</t>
        </is>
      </c>
      <c r="X218" t="inlineStr">
        <is>
          <t>1991-05-01</t>
        </is>
      </c>
      <c r="Y218" t="n">
        <v>641</v>
      </c>
      <c r="Z218" t="n">
        <v>581</v>
      </c>
      <c r="AA218" t="n">
        <v>588</v>
      </c>
      <c r="AB218" t="n">
        <v>5</v>
      </c>
      <c r="AC218" t="n">
        <v>5</v>
      </c>
      <c r="AD218" t="n">
        <v>21</v>
      </c>
      <c r="AE218" t="n">
        <v>21</v>
      </c>
      <c r="AF218" t="n">
        <v>8</v>
      </c>
      <c r="AG218" t="n">
        <v>8</v>
      </c>
      <c r="AH218" t="n">
        <v>4</v>
      </c>
      <c r="AI218" t="n">
        <v>4</v>
      </c>
      <c r="AJ218" t="n">
        <v>10</v>
      </c>
      <c r="AK218" t="n">
        <v>10</v>
      </c>
      <c r="AL218" t="n">
        <v>3</v>
      </c>
      <c r="AM218" t="n">
        <v>3</v>
      </c>
      <c r="AN218" t="n">
        <v>0</v>
      </c>
      <c r="AO218" t="n">
        <v>0</v>
      </c>
      <c r="AP218" t="inlineStr">
        <is>
          <t>No</t>
        </is>
      </c>
      <c r="AQ218" t="inlineStr">
        <is>
          <t>No</t>
        </is>
      </c>
      <c r="AS218">
        <f>HYPERLINK("https://creighton-primo.hosted.exlibrisgroup.com/primo-explore/search?tab=default_tab&amp;search_scope=EVERYTHING&amp;vid=01CRU&amp;lang=en_US&amp;offset=0&amp;query=any,contains,991001716639702656","Catalog Record")</f>
        <v/>
      </c>
      <c r="AT218">
        <f>HYPERLINK("http://www.worldcat.org/oclc/21678590","WorldCat Record")</f>
        <v/>
      </c>
      <c r="AU218" t="inlineStr">
        <is>
          <t>436126137:eng</t>
        </is>
      </c>
      <c r="AV218" t="inlineStr">
        <is>
          <t>21678590</t>
        </is>
      </c>
      <c r="AW218" t="inlineStr">
        <is>
          <t>991001716639702656</t>
        </is>
      </c>
      <c r="AX218" t="inlineStr">
        <is>
          <t>991001716639702656</t>
        </is>
      </c>
      <c r="AY218" t="inlineStr">
        <is>
          <t>2258318130002656</t>
        </is>
      </c>
      <c r="AZ218" t="inlineStr">
        <is>
          <t>BOOK</t>
        </is>
      </c>
      <c r="BB218" t="inlineStr">
        <is>
          <t>9780806123059</t>
        </is>
      </c>
      <c r="BC218" t="inlineStr">
        <is>
          <t>32285000570712</t>
        </is>
      </c>
      <c r="BD218" t="inlineStr">
        <is>
          <t>893785335</t>
        </is>
      </c>
    </row>
    <row r="219">
      <c r="A219" t="inlineStr">
        <is>
          <t>No</t>
        </is>
      </c>
      <c r="B219" t="inlineStr">
        <is>
          <t>E169.12 .S53 1970</t>
        </is>
      </c>
      <c r="C219" t="inlineStr">
        <is>
          <t>0                      E  0169120S  53          1970</t>
        </is>
      </c>
      <c r="D219" t="inlineStr">
        <is>
          <t>The pursuit of loneliness : American culture at the breaking point / [by] Philip E. Slater.</t>
        </is>
      </c>
      <c r="F219" t="inlineStr">
        <is>
          <t>No</t>
        </is>
      </c>
      <c r="G219" t="inlineStr">
        <is>
          <t>2</t>
        </is>
      </c>
      <c r="H219" t="inlineStr">
        <is>
          <t>No</t>
        </is>
      </c>
      <c r="I219" t="inlineStr">
        <is>
          <t>Yes</t>
        </is>
      </c>
      <c r="J219" t="inlineStr">
        <is>
          <t>0</t>
        </is>
      </c>
      <c r="K219" t="inlineStr">
        <is>
          <t>Slater, Philip E. (Philip Elliot), 1927-2013.</t>
        </is>
      </c>
      <c r="L219" t="inlineStr">
        <is>
          <t>Boston : Beacon Press, [1970]</t>
        </is>
      </c>
      <c r="M219" t="inlineStr">
        <is>
          <t>1970</t>
        </is>
      </c>
      <c r="O219" t="inlineStr">
        <is>
          <t>eng</t>
        </is>
      </c>
      <c r="P219" t="inlineStr">
        <is>
          <t>mau</t>
        </is>
      </c>
      <c r="R219" t="inlineStr">
        <is>
          <t xml:space="preserve">E  </t>
        </is>
      </c>
      <c r="S219" t="n">
        <v>6</v>
      </c>
      <c r="T219" t="n">
        <v>6</v>
      </c>
      <c r="U219" t="inlineStr">
        <is>
          <t>1998-02-04</t>
        </is>
      </c>
      <c r="V219" t="inlineStr">
        <is>
          <t>1998-02-04</t>
        </is>
      </c>
      <c r="W219" t="inlineStr">
        <is>
          <t>1991-04-10</t>
        </is>
      </c>
      <c r="X219" t="inlineStr">
        <is>
          <t>1991-04-10</t>
        </is>
      </c>
      <c r="Y219" t="n">
        <v>1396</v>
      </c>
      <c r="Z219" t="n">
        <v>1267</v>
      </c>
      <c r="AA219" t="n">
        <v>1684</v>
      </c>
      <c r="AB219" t="n">
        <v>9</v>
      </c>
      <c r="AC219" t="n">
        <v>10</v>
      </c>
      <c r="AD219" t="n">
        <v>39</v>
      </c>
      <c r="AE219" t="n">
        <v>55</v>
      </c>
      <c r="AF219" t="n">
        <v>18</v>
      </c>
      <c r="AG219" t="n">
        <v>25</v>
      </c>
      <c r="AH219" t="n">
        <v>9</v>
      </c>
      <c r="AI219" t="n">
        <v>11</v>
      </c>
      <c r="AJ219" t="n">
        <v>18</v>
      </c>
      <c r="AK219" t="n">
        <v>26</v>
      </c>
      <c r="AL219" t="n">
        <v>6</v>
      </c>
      <c r="AM219" t="n">
        <v>7</v>
      </c>
      <c r="AN219" t="n">
        <v>0</v>
      </c>
      <c r="AO219" t="n">
        <v>0</v>
      </c>
      <c r="AP219" t="inlineStr">
        <is>
          <t>No</t>
        </is>
      </c>
      <c r="AQ219" t="inlineStr">
        <is>
          <t>Yes</t>
        </is>
      </c>
      <c r="AR219">
        <f>HYPERLINK("http://catalog.hathitrust.org/Record/005706867","HathiTrust Record")</f>
        <v/>
      </c>
      <c r="AS219">
        <f>HYPERLINK("https://creighton-primo.hosted.exlibrisgroup.com/primo-explore/search?tab=default_tab&amp;search_scope=EVERYTHING&amp;vid=01CRU&amp;lang=en_US&amp;offset=0&amp;query=any,contains,991000207979702656","Catalog Record")</f>
        <v/>
      </c>
      <c r="AT219">
        <f>HYPERLINK("http://www.worldcat.org/oclc/65742","WorldCat Record")</f>
        <v/>
      </c>
      <c r="AU219" t="inlineStr">
        <is>
          <t>1230927:eng</t>
        </is>
      </c>
      <c r="AV219" t="inlineStr">
        <is>
          <t>65742</t>
        </is>
      </c>
      <c r="AW219" t="inlineStr">
        <is>
          <t>991000207979702656</t>
        </is>
      </c>
      <c r="AX219" t="inlineStr">
        <is>
          <t>991000207979702656</t>
        </is>
      </c>
      <c r="AY219" t="inlineStr">
        <is>
          <t>2259291350002656</t>
        </is>
      </c>
      <c r="AZ219" t="inlineStr">
        <is>
          <t>BOOK</t>
        </is>
      </c>
      <c r="BB219" t="inlineStr">
        <is>
          <t>9780807041802</t>
        </is>
      </c>
      <c r="BC219" t="inlineStr">
        <is>
          <t>32285000580299</t>
        </is>
      </c>
      <c r="BD219" t="inlineStr">
        <is>
          <t>893261401</t>
        </is>
      </c>
    </row>
    <row r="220">
      <c r="A220" t="inlineStr">
        <is>
          <t>No</t>
        </is>
      </c>
      <c r="B220" t="inlineStr">
        <is>
          <t>E169.12.B3 G6 1973</t>
        </is>
      </c>
      <c r="C220" t="inlineStr">
        <is>
          <t>0                      E  0169120B  3                  G  6           1973</t>
        </is>
      </c>
      <c r="D220" t="inlineStr">
        <is>
          <t>God's country and mine : a declaration of love spiced with a few harsh words.</t>
        </is>
      </c>
      <c r="F220" t="inlineStr">
        <is>
          <t>No</t>
        </is>
      </c>
      <c r="G220" t="inlineStr">
        <is>
          <t>1</t>
        </is>
      </c>
      <c r="H220" t="inlineStr">
        <is>
          <t>No</t>
        </is>
      </c>
      <c r="I220" t="inlineStr">
        <is>
          <t>No</t>
        </is>
      </c>
      <c r="J220" t="inlineStr">
        <is>
          <t>0</t>
        </is>
      </c>
      <c r="K220" t="inlineStr">
        <is>
          <t>Barzun, Jacques, 1907-2012.</t>
        </is>
      </c>
      <c r="L220" t="inlineStr">
        <is>
          <t>Westport, Conn. : Greenwood Press, [1973, c1954]</t>
        </is>
      </c>
      <c r="M220" t="inlineStr">
        <is>
          <t>1973</t>
        </is>
      </c>
      <c r="O220" t="inlineStr">
        <is>
          <t>eng</t>
        </is>
      </c>
      <c r="P220" t="inlineStr">
        <is>
          <t>ctu</t>
        </is>
      </c>
      <c r="R220" t="inlineStr">
        <is>
          <t xml:space="preserve">E  </t>
        </is>
      </c>
      <c r="S220" t="n">
        <v>1</v>
      </c>
      <c r="T220" t="n">
        <v>1</v>
      </c>
      <c r="U220" t="inlineStr">
        <is>
          <t>2002-04-26</t>
        </is>
      </c>
      <c r="V220" t="inlineStr">
        <is>
          <t>2002-04-26</t>
        </is>
      </c>
      <c r="W220" t="inlineStr">
        <is>
          <t>1990-07-31</t>
        </is>
      </c>
      <c r="X220" t="inlineStr">
        <is>
          <t>1990-07-31</t>
        </is>
      </c>
      <c r="Y220" t="n">
        <v>78</v>
      </c>
      <c r="Z220" t="n">
        <v>72</v>
      </c>
      <c r="AA220" t="n">
        <v>938</v>
      </c>
      <c r="AB220" t="n">
        <v>1</v>
      </c>
      <c r="AC220" t="n">
        <v>11</v>
      </c>
      <c r="AD220" t="n">
        <v>2</v>
      </c>
      <c r="AE220" t="n">
        <v>38</v>
      </c>
      <c r="AF220" t="n">
        <v>0</v>
      </c>
      <c r="AG220" t="n">
        <v>13</v>
      </c>
      <c r="AH220" t="n">
        <v>2</v>
      </c>
      <c r="AI220" t="n">
        <v>7</v>
      </c>
      <c r="AJ220" t="n">
        <v>0</v>
      </c>
      <c r="AK220" t="n">
        <v>16</v>
      </c>
      <c r="AL220" t="n">
        <v>0</v>
      </c>
      <c r="AM220" t="n">
        <v>9</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HYPERLINK("https://creighton-primo.hosted.exlibrisgroup.com/primo-explore/search?tab=default_tab&amp;search_scope=EVERYTHING&amp;vid=01CRU&amp;lang=en_US&amp;offset=0&amp;query=any,contains,991004206339702656","Catalog Record")</f>
        <v/>
      </c>
      <c r="AT220">
        <f>HYPERLINK("http://www.worldcat.org/oclc/2668046","WorldCat Record")</f>
        <v/>
      </c>
      <c r="AU220" t="inlineStr">
        <is>
          <t>836675125:eng</t>
        </is>
      </c>
      <c r="AV220" t="inlineStr">
        <is>
          <t>2668046</t>
        </is>
      </c>
      <c r="AW220" t="inlineStr">
        <is>
          <t>991004206339702656</t>
        </is>
      </c>
      <c r="AX220" t="inlineStr">
        <is>
          <t>991004206339702656</t>
        </is>
      </c>
      <c r="AY220" t="inlineStr">
        <is>
          <t>2258725330002656</t>
        </is>
      </c>
      <c r="AZ220" t="inlineStr">
        <is>
          <t>BOOK</t>
        </is>
      </c>
      <c r="BB220" t="inlineStr">
        <is>
          <t>9780837168609</t>
        </is>
      </c>
      <c r="BC220" t="inlineStr">
        <is>
          <t>32285000252287</t>
        </is>
      </c>
      <c r="BD220" t="inlineStr">
        <is>
          <t>893241153</t>
        </is>
      </c>
    </row>
    <row r="221">
      <c r="A221" t="inlineStr">
        <is>
          <t>No</t>
        </is>
      </c>
      <c r="B221" t="inlineStr">
        <is>
          <t>E173 .A753 2000</t>
        </is>
      </c>
      <c r="C221" t="inlineStr">
        <is>
          <t>0                      E  0173000A  753         2000</t>
        </is>
      </c>
      <c r="D221" t="inlineStr">
        <is>
          <t>The American reader : words that moved a nation / edited by Diane Ravitch.</t>
        </is>
      </c>
      <c r="F221" t="inlineStr">
        <is>
          <t>No</t>
        </is>
      </c>
      <c r="G221" t="inlineStr">
        <is>
          <t>1</t>
        </is>
      </c>
      <c r="H221" t="inlineStr">
        <is>
          <t>No</t>
        </is>
      </c>
      <c r="I221" t="inlineStr">
        <is>
          <t>Yes</t>
        </is>
      </c>
      <c r="J221" t="inlineStr">
        <is>
          <t>0</t>
        </is>
      </c>
      <c r="L221" t="inlineStr">
        <is>
          <t>New York, NY : Perennial, 2000.</t>
        </is>
      </c>
      <c r="M221" t="inlineStr">
        <is>
          <t>2000</t>
        </is>
      </c>
      <c r="N221" t="inlineStr">
        <is>
          <t>Rev. 2nd ed.</t>
        </is>
      </c>
      <c r="O221" t="inlineStr">
        <is>
          <t>eng</t>
        </is>
      </c>
      <c r="P221" t="inlineStr">
        <is>
          <t>nyu</t>
        </is>
      </c>
      <c r="R221" t="inlineStr">
        <is>
          <t xml:space="preserve">E  </t>
        </is>
      </c>
      <c r="S221" t="n">
        <v>2</v>
      </c>
      <c r="T221" t="n">
        <v>2</v>
      </c>
      <c r="U221" t="inlineStr">
        <is>
          <t>2000-12-05</t>
        </is>
      </c>
      <c r="V221" t="inlineStr">
        <is>
          <t>2000-12-05</t>
        </is>
      </c>
      <c r="W221" t="inlineStr">
        <is>
          <t>2000-12-05</t>
        </is>
      </c>
      <c r="X221" t="inlineStr">
        <is>
          <t>2000-12-05</t>
        </is>
      </c>
      <c r="Y221" t="n">
        <v>332</v>
      </c>
      <c r="Z221" t="n">
        <v>317</v>
      </c>
      <c r="AA221" t="n">
        <v>1538</v>
      </c>
      <c r="AB221" t="n">
        <v>4</v>
      </c>
      <c r="AC221" t="n">
        <v>16</v>
      </c>
      <c r="AD221" t="n">
        <v>13</v>
      </c>
      <c r="AE221" t="n">
        <v>37</v>
      </c>
      <c r="AF221" t="n">
        <v>4</v>
      </c>
      <c r="AG221" t="n">
        <v>12</v>
      </c>
      <c r="AH221" t="n">
        <v>4</v>
      </c>
      <c r="AI221" t="n">
        <v>7</v>
      </c>
      <c r="AJ221" t="n">
        <v>7</v>
      </c>
      <c r="AK221" t="n">
        <v>15</v>
      </c>
      <c r="AL221" t="n">
        <v>3</v>
      </c>
      <c r="AM221" t="n">
        <v>8</v>
      </c>
      <c r="AN221" t="n">
        <v>0</v>
      </c>
      <c r="AO221" t="n">
        <v>1</v>
      </c>
      <c r="AP221" t="inlineStr">
        <is>
          <t>No</t>
        </is>
      </c>
      <c r="AQ221" t="inlineStr">
        <is>
          <t>No</t>
        </is>
      </c>
      <c r="AS221">
        <f>HYPERLINK("https://creighton-primo.hosted.exlibrisgroup.com/primo-explore/search?tab=default_tab&amp;search_scope=EVERYTHING&amp;vid=01CRU&amp;lang=en_US&amp;offset=0&amp;query=any,contains,991003342599702656","Catalog Record")</f>
        <v/>
      </c>
      <c r="AT221">
        <f>HYPERLINK("http://www.worldcat.org/oclc/43798534","WorldCat Record")</f>
        <v/>
      </c>
      <c r="AU221" t="inlineStr">
        <is>
          <t>796401747:eng</t>
        </is>
      </c>
      <c r="AV221" t="inlineStr">
        <is>
          <t>43798534</t>
        </is>
      </c>
      <c r="AW221" t="inlineStr">
        <is>
          <t>991003342599702656</t>
        </is>
      </c>
      <c r="AX221" t="inlineStr">
        <is>
          <t>991003342599702656</t>
        </is>
      </c>
      <c r="AY221" t="inlineStr">
        <is>
          <t>2259408900002656</t>
        </is>
      </c>
      <c r="AZ221" t="inlineStr">
        <is>
          <t>BOOK</t>
        </is>
      </c>
      <c r="BB221" t="inlineStr">
        <is>
          <t>9780062737335</t>
        </is>
      </c>
      <c r="BC221" t="inlineStr">
        <is>
          <t>32285004269493</t>
        </is>
      </c>
      <c r="BD221" t="inlineStr">
        <is>
          <t>893780892</t>
        </is>
      </c>
    </row>
    <row r="222">
      <c r="A222" t="inlineStr">
        <is>
          <t>No</t>
        </is>
      </c>
      <c r="B222" t="inlineStr">
        <is>
          <t>E173 .C55</t>
        </is>
      </c>
      <c r="C222" t="inlineStr">
        <is>
          <t>0                      E  0173000C  55</t>
        </is>
      </c>
      <c r="D222" t="inlineStr">
        <is>
          <t>The Chronicles of America series / Allen Johnson, editor, Gerhard R. Lomer, Charles W. Jefferys, assistant editors.</t>
        </is>
      </c>
      <c r="E222" t="inlineStr">
        <is>
          <t>V.3</t>
        </is>
      </c>
      <c r="F222" t="inlineStr">
        <is>
          <t>Yes</t>
        </is>
      </c>
      <c r="G222" t="inlineStr">
        <is>
          <t>1</t>
        </is>
      </c>
      <c r="H222" t="inlineStr">
        <is>
          <t>No</t>
        </is>
      </c>
      <c r="I222" t="inlineStr">
        <is>
          <t>No</t>
        </is>
      </c>
      <c r="J222" t="inlineStr">
        <is>
          <t>0</t>
        </is>
      </c>
      <c r="L222" t="inlineStr">
        <is>
          <t>New Haven, [Conn.] : Yale University Press, [1921-1950].</t>
        </is>
      </c>
      <c r="M222" t="inlineStr">
        <is>
          <t>1921</t>
        </is>
      </c>
      <c r="O222" t="inlineStr">
        <is>
          <t>eng</t>
        </is>
      </c>
      <c r="P222" t="inlineStr">
        <is>
          <t xml:space="preserve">xx </t>
        </is>
      </c>
      <c r="R222" t="inlineStr">
        <is>
          <t xml:space="preserve">E  </t>
        </is>
      </c>
      <c r="S222" t="n">
        <v>0</v>
      </c>
      <c r="T222" t="n">
        <v>6</v>
      </c>
      <c r="V222" t="inlineStr">
        <is>
          <t>2000-12-12</t>
        </is>
      </c>
      <c r="W222" t="inlineStr">
        <is>
          <t>1996-09-30</t>
        </is>
      </c>
      <c r="X222" t="inlineStr">
        <is>
          <t>1996-09-30</t>
        </is>
      </c>
      <c r="Y222" t="n">
        <v>165</v>
      </c>
      <c r="Z222" t="n">
        <v>162</v>
      </c>
      <c r="AA222" t="n">
        <v>286</v>
      </c>
      <c r="AB222" t="n">
        <v>4</v>
      </c>
      <c r="AC222" t="n">
        <v>4</v>
      </c>
      <c r="AD222" t="n">
        <v>5</v>
      </c>
      <c r="AE222" t="n">
        <v>9</v>
      </c>
      <c r="AF222" t="n">
        <v>2</v>
      </c>
      <c r="AG222" t="n">
        <v>4</v>
      </c>
      <c r="AH222" t="n">
        <v>2</v>
      </c>
      <c r="AI222" t="n">
        <v>2</v>
      </c>
      <c r="AJ222" t="n">
        <v>0</v>
      </c>
      <c r="AK222" t="n">
        <v>1</v>
      </c>
      <c r="AL222" t="n">
        <v>2</v>
      </c>
      <c r="AM222" t="n">
        <v>2</v>
      </c>
      <c r="AN222" t="n">
        <v>0</v>
      </c>
      <c r="AO222" t="n">
        <v>1</v>
      </c>
      <c r="AP222" t="inlineStr">
        <is>
          <t>Yes</t>
        </is>
      </c>
      <c r="AQ222" t="inlineStr">
        <is>
          <t>No</t>
        </is>
      </c>
      <c r="AR222">
        <f>HYPERLINK("http://catalog.hathitrust.org/Record/100102938","HathiTrust Record")</f>
        <v/>
      </c>
      <c r="AS222">
        <f>HYPERLINK("https://creighton-primo.hosted.exlibrisgroup.com/primo-explore/search?tab=default_tab&amp;search_scope=EVERYTHING&amp;vid=01CRU&amp;lang=en_US&amp;offset=0&amp;query=any,contains,991004478349702656","Catalog Record")</f>
        <v/>
      </c>
      <c r="AT222">
        <f>HYPERLINK("http://www.worldcat.org/oclc/736786","WorldCat Record")</f>
        <v/>
      </c>
      <c r="AU222" t="inlineStr">
        <is>
          <t>1011362558:eng</t>
        </is>
      </c>
      <c r="AV222" t="inlineStr">
        <is>
          <t>736786</t>
        </is>
      </c>
      <c r="AW222" t="inlineStr">
        <is>
          <t>991004478349702656</t>
        </is>
      </c>
      <c r="AX222" t="inlineStr">
        <is>
          <t>991004478349702656</t>
        </is>
      </c>
      <c r="AY222" t="inlineStr">
        <is>
          <t>2270428300002656</t>
        </is>
      </c>
      <c r="AZ222" t="inlineStr">
        <is>
          <t>BOOK</t>
        </is>
      </c>
      <c r="BC222" t="inlineStr">
        <is>
          <t>32285002309036</t>
        </is>
      </c>
      <c r="BD222" t="inlineStr">
        <is>
          <t>893353415</t>
        </is>
      </c>
    </row>
    <row r="223">
      <c r="A223" t="inlineStr">
        <is>
          <t>No</t>
        </is>
      </c>
      <c r="B223" t="inlineStr">
        <is>
          <t>E173 .C55</t>
        </is>
      </c>
      <c r="C223" t="inlineStr">
        <is>
          <t>0                      E  0173000C  55</t>
        </is>
      </c>
      <c r="D223" t="inlineStr">
        <is>
          <t>The Chronicles of America series / Allen Johnson, editor, Gerhard R. Lomer, Charles W. Jefferys, assistant editors.</t>
        </is>
      </c>
      <c r="E223" t="inlineStr">
        <is>
          <t>V.17</t>
        </is>
      </c>
      <c r="F223" t="inlineStr">
        <is>
          <t>Yes</t>
        </is>
      </c>
      <c r="G223" t="inlineStr">
        <is>
          <t>1</t>
        </is>
      </c>
      <c r="H223" t="inlineStr">
        <is>
          <t>No</t>
        </is>
      </c>
      <c r="I223" t="inlineStr">
        <is>
          <t>No</t>
        </is>
      </c>
      <c r="J223" t="inlineStr">
        <is>
          <t>0</t>
        </is>
      </c>
      <c r="L223" t="inlineStr">
        <is>
          <t>New Haven, [Conn.] : Yale University Press, [1921-1950].</t>
        </is>
      </c>
      <c r="M223" t="inlineStr">
        <is>
          <t>1921</t>
        </is>
      </c>
      <c r="O223" t="inlineStr">
        <is>
          <t>eng</t>
        </is>
      </c>
      <c r="P223" t="inlineStr">
        <is>
          <t xml:space="preserve">xx </t>
        </is>
      </c>
      <c r="R223" t="inlineStr">
        <is>
          <t xml:space="preserve">E  </t>
        </is>
      </c>
      <c r="S223" t="n">
        <v>0</v>
      </c>
      <c r="T223" t="n">
        <v>6</v>
      </c>
      <c r="V223" t="inlineStr">
        <is>
          <t>2000-12-12</t>
        </is>
      </c>
      <c r="W223" t="inlineStr">
        <is>
          <t>1996-09-30</t>
        </is>
      </c>
      <c r="X223" t="inlineStr">
        <is>
          <t>1996-09-30</t>
        </is>
      </c>
      <c r="Y223" t="n">
        <v>165</v>
      </c>
      <c r="Z223" t="n">
        <v>162</v>
      </c>
      <c r="AA223" t="n">
        <v>286</v>
      </c>
      <c r="AB223" t="n">
        <v>4</v>
      </c>
      <c r="AC223" t="n">
        <v>4</v>
      </c>
      <c r="AD223" t="n">
        <v>5</v>
      </c>
      <c r="AE223" t="n">
        <v>9</v>
      </c>
      <c r="AF223" t="n">
        <v>2</v>
      </c>
      <c r="AG223" t="n">
        <v>4</v>
      </c>
      <c r="AH223" t="n">
        <v>2</v>
      </c>
      <c r="AI223" t="n">
        <v>2</v>
      </c>
      <c r="AJ223" t="n">
        <v>0</v>
      </c>
      <c r="AK223" t="n">
        <v>1</v>
      </c>
      <c r="AL223" t="n">
        <v>2</v>
      </c>
      <c r="AM223" t="n">
        <v>2</v>
      </c>
      <c r="AN223" t="n">
        <v>0</v>
      </c>
      <c r="AO223" t="n">
        <v>1</v>
      </c>
      <c r="AP223" t="inlineStr">
        <is>
          <t>Yes</t>
        </is>
      </c>
      <c r="AQ223" t="inlineStr">
        <is>
          <t>No</t>
        </is>
      </c>
      <c r="AR223">
        <f>HYPERLINK("http://catalog.hathitrust.org/Record/100102938","HathiTrust Record")</f>
        <v/>
      </c>
      <c r="AS223">
        <f>HYPERLINK("https://creighton-primo.hosted.exlibrisgroup.com/primo-explore/search?tab=default_tab&amp;search_scope=EVERYTHING&amp;vid=01CRU&amp;lang=en_US&amp;offset=0&amp;query=any,contains,991004478349702656","Catalog Record")</f>
        <v/>
      </c>
      <c r="AT223">
        <f>HYPERLINK("http://www.worldcat.org/oclc/736786","WorldCat Record")</f>
        <v/>
      </c>
      <c r="AU223" t="inlineStr">
        <is>
          <t>1011362558:eng</t>
        </is>
      </c>
      <c r="AV223" t="inlineStr">
        <is>
          <t>736786</t>
        </is>
      </c>
      <c r="AW223" t="inlineStr">
        <is>
          <t>991004478349702656</t>
        </is>
      </c>
      <c r="AX223" t="inlineStr">
        <is>
          <t>991004478349702656</t>
        </is>
      </c>
      <c r="AY223" t="inlineStr">
        <is>
          <t>2270428300002656</t>
        </is>
      </c>
      <c r="AZ223" t="inlineStr">
        <is>
          <t>BOOK</t>
        </is>
      </c>
      <c r="BC223" t="inlineStr">
        <is>
          <t>32285002309176</t>
        </is>
      </c>
      <c r="BD223" t="inlineStr">
        <is>
          <t>893331633</t>
        </is>
      </c>
    </row>
    <row r="224">
      <c r="A224" t="inlineStr">
        <is>
          <t>No</t>
        </is>
      </c>
      <c r="B224" t="inlineStr">
        <is>
          <t>E173 .C55</t>
        </is>
      </c>
      <c r="C224" t="inlineStr">
        <is>
          <t>0                      E  0173000C  55</t>
        </is>
      </c>
      <c r="D224" t="inlineStr">
        <is>
          <t>The Chronicles of America series / Allen Johnson, editor, Gerhard R. Lomer, Charles W. Jefferys, assistant editors.</t>
        </is>
      </c>
      <c r="E224" t="inlineStr">
        <is>
          <t>V.33</t>
        </is>
      </c>
      <c r="F224" t="inlineStr">
        <is>
          <t>Yes</t>
        </is>
      </c>
      <c r="G224" t="inlineStr">
        <is>
          <t>1</t>
        </is>
      </c>
      <c r="H224" t="inlineStr">
        <is>
          <t>No</t>
        </is>
      </c>
      <c r="I224" t="inlineStr">
        <is>
          <t>No</t>
        </is>
      </c>
      <c r="J224" t="inlineStr">
        <is>
          <t>0</t>
        </is>
      </c>
      <c r="L224" t="inlineStr">
        <is>
          <t>New Haven, [Conn.] : Yale University Press, [1921-1950].</t>
        </is>
      </c>
      <c r="M224" t="inlineStr">
        <is>
          <t>1921</t>
        </is>
      </c>
      <c r="O224" t="inlineStr">
        <is>
          <t>eng</t>
        </is>
      </c>
      <c r="P224" t="inlineStr">
        <is>
          <t xml:space="preserve">xx </t>
        </is>
      </c>
      <c r="R224" t="inlineStr">
        <is>
          <t xml:space="preserve">E  </t>
        </is>
      </c>
      <c r="S224" t="n">
        <v>0</v>
      </c>
      <c r="T224" t="n">
        <v>6</v>
      </c>
      <c r="V224" t="inlineStr">
        <is>
          <t>2000-12-12</t>
        </is>
      </c>
      <c r="W224" t="inlineStr">
        <is>
          <t>1996-09-30</t>
        </is>
      </c>
      <c r="X224" t="inlineStr">
        <is>
          <t>1996-09-30</t>
        </is>
      </c>
      <c r="Y224" t="n">
        <v>165</v>
      </c>
      <c r="Z224" t="n">
        <v>162</v>
      </c>
      <c r="AA224" t="n">
        <v>286</v>
      </c>
      <c r="AB224" t="n">
        <v>4</v>
      </c>
      <c r="AC224" t="n">
        <v>4</v>
      </c>
      <c r="AD224" t="n">
        <v>5</v>
      </c>
      <c r="AE224" t="n">
        <v>9</v>
      </c>
      <c r="AF224" t="n">
        <v>2</v>
      </c>
      <c r="AG224" t="n">
        <v>4</v>
      </c>
      <c r="AH224" t="n">
        <v>2</v>
      </c>
      <c r="AI224" t="n">
        <v>2</v>
      </c>
      <c r="AJ224" t="n">
        <v>0</v>
      </c>
      <c r="AK224" t="n">
        <v>1</v>
      </c>
      <c r="AL224" t="n">
        <v>2</v>
      </c>
      <c r="AM224" t="n">
        <v>2</v>
      </c>
      <c r="AN224" t="n">
        <v>0</v>
      </c>
      <c r="AO224" t="n">
        <v>1</v>
      </c>
      <c r="AP224" t="inlineStr">
        <is>
          <t>Yes</t>
        </is>
      </c>
      <c r="AQ224" t="inlineStr">
        <is>
          <t>No</t>
        </is>
      </c>
      <c r="AR224">
        <f>HYPERLINK("http://catalog.hathitrust.org/Record/100102938","HathiTrust Record")</f>
        <v/>
      </c>
      <c r="AS224">
        <f>HYPERLINK("https://creighton-primo.hosted.exlibrisgroup.com/primo-explore/search?tab=default_tab&amp;search_scope=EVERYTHING&amp;vid=01CRU&amp;lang=en_US&amp;offset=0&amp;query=any,contains,991004478349702656","Catalog Record")</f>
        <v/>
      </c>
      <c r="AT224">
        <f>HYPERLINK("http://www.worldcat.org/oclc/736786","WorldCat Record")</f>
        <v/>
      </c>
      <c r="AU224" t="inlineStr">
        <is>
          <t>1011362558:eng</t>
        </is>
      </c>
      <c r="AV224" t="inlineStr">
        <is>
          <t>736786</t>
        </is>
      </c>
      <c r="AW224" t="inlineStr">
        <is>
          <t>991004478349702656</t>
        </is>
      </c>
      <c r="AX224" t="inlineStr">
        <is>
          <t>991004478349702656</t>
        </is>
      </c>
      <c r="AY224" t="inlineStr">
        <is>
          <t>2270428300002656</t>
        </is>
      </c>
      <c r="AZ224" t="inlineStr">
        <is>
          <t>BOOK</t>
        </is>
      </c>
      <c r="BC224" t="inlineStr">
        <is>
          <t>32285002309333</t>
        </is>
      </c>
      <c r="BD224" t="inlineStr">
        <is>
          <t>893331631</t>
        </is>
      </c>
    </row>
    <row r="225">
      <c r="A225" t="inlineStr">
        <is>
          <t>No</t>
        </is>
      </c>
      <c r="B225" t="inlineStr">
        <is>
          <t>E173 .C55</t>
        </is>
      </c>
      <c r="C225" t="inlineStr">
        <is>
          <t>0                      E  0173000C  55</t>
        </is>
      </c>
      <c r="D225" t="inlineStr">
        <is>
          <t>The Chronicles of America series / Allen Johnson, editor, Gerhard R. Lomer, Charles W. Jefferys, assistant editors.</t>
        </is>
      </c>
      <c r="E225" t="inlineStr">
        <is>
          <t>V.48</t>
        </is>
      </c>
      <c r="F225" t="inlineStr">
        <is>
          <t>Yes</t>
        </is>
      </c>
      <c r="G225" t="inlineStr">
        <is>
          <t>1</t>
        </is>
      </c>
      <c r="H225" t="inlineStr">
        <is>
          <t>No</t>
        </is>
      </c>
      <c r="I225" t="inlineStr">
        <is>
          <t>No</t>
        </is>
      </c>
      <c r="J225" t="inlineStr">
        <is>
          <t>0</t>
        </is>
      </c>
      <c r="L225" t="inlineStr">
        <is>
          <t>New Haven, [Conn.] : Yale University Press, [1921-1950].</t>
        </is>
      </c>
      <c r="M225" t="inlineStr">
        <is>
          <t>1921</t>
        </is>
      </c>
      <c r="O225" t="inlineStr">
        <is>
          <t>eng</t>
        </is>
      </c>
      <c r="P225" t="inlineStr">
        <is>
          <t xml:space="preserve">xx </t>
        </is>
      </c>
      <c r="R225" t="inlineStr">
        <is>
          <t xml:space="preserve">E  </t>
        </is>
      </c>
      <c r="S225" t="n">
        <v>0</v>
      </c>
      <c r="T225" t="n">
        <v>6</v>
      </c>
      <c r="V225" t="inlineStr">
        <is>
          <t>2000-12-12</t>
        </is>
      </c>
      <c r="W225" t="inlineStr">
        <is>
          <t>1996-09-30</t>
        </is>
      </c>
      <c r="X225" t="inlineStr">
        <is>
          <t>1996-09-30</t>
        </is>
      </c>
      <c r="Y225" t="n">
        <v>165</v>
      </c>
      <c r="Z225" t="n">
        <v>162</v>
      </c>
      <c r="AA225" t="n">
        <v>286</v>
      </c>
      <c r="AB225" t="n">
        <v>4</v>
      </c>
      <c r="AC225" t="n">
        <v>4</v>
      </c>
      <c r="AD225" t="n">
        <v>5</v>
      </c>
      <c r="AE225" t="n">
        <v>9</v>
      </c>
      <c r="AF225" t="n">
        <v>2</v>
      </c>
      <c r="AG225" t="n">
        <v>4</v>
      </c>
      <c r="AH225" t="n">
        <v>2</v>
      </c>
      <c r="AI225" t="n">
        <v>2</v>
      </c>
      <c r="AJ225" t="n">
        <v>0</v>
      </c>
      <c r="AK225" t="n">
        <v>1</v>
      </c>
      <c r="AL225" t="n">
        <v>2</v>
      </c>
      <c r="AM225" t="n">
        <v>2</v>
      </c>
      <c r="AN225" t="n">
        <v>0</v>
      </c>
      <c r="AO225" t="n">
        <v>1</v>
      </c>
      <c r="AP225" t="inlineStr">
        <is>
          <t>Yes</t>
        </is>
      </c>
      <c r="AQ225" t="inlineStr">
        <is>
          <t>No</t>
        </is>
      </c>
      <c r="AR225">
        <f>HYPERLINK("http://catalog.hathitrust.org/Record/100102938","HathiTrust Record")</f>
        <v/>
      </c>
      <c r="AS225">
        <f>HYPERLINK("https://creighton-primo.hosted.exlibrisgroup.com/primo-explore/search?tab=default_tab&amp;search_scope=EVERYTHING&amp;vid=01CRU&amp;lang=en_US&amp;offset=0&amp;query=any,contains,991004478349702656","Catalog Record")</f>
        <v/>
      </c>
      <c r="AT225">
        <f>HYPERLINK("http://www.worldcat.org/oclc/736786","WorldCat Record")</f>
        <v/>
      </c>
      <c r="AU225" t="inlineStr">
        <is>
          <t>1011362558:eng</t>
        </is>
      </c>
      <c r="AV225" t="inlineStr">
        <is>
          <t>736786</t>
        </is>
      </c>
      <c r="AW225" t="inlineStr">
        <is>
          <t>991004478349702656</t>
        </is>
      </c>
      <c r="AX225" t="inlineStr">
        <is>
          <t>991004478349702656</t>
        </is>
      </c>
      <c r="AY225" t="inlineStr">
        <is>
          <t>2270428300002656</t>
        </is>
      </c>
      <c r="AZ225" t="inlineStr">
        <is>
          <t>BOOK</t>
        </is>
      </c>
      <c r="BC225" t="inlineStr">
        <is>
          <t>32285002309481</t>
        </is>
      </c>
      <c r="BD225" t="inlineStr">
        <is>
          <t>893350051</t>
        </is>
      </c>
    </row>
    <row r="226">
      <c r="A226" t="inlineStr">
        <is>
          <t>No</t>
        </is>
      </c>
      <c r="B226" t="inlineStr">
        <is>
          <t>E173 .C55</t>
        </is>
      </c>
      <c r="C226" t="inlineStr">
        <is>
          <t>0                      E  0173000C  55</t>
        </is>
      </c>
      <c r="D226" t="inlineStr">
        <is>
          <t>The Chronicles of America series / Allen Johnson, editor, Gerhard R. Lomer, Charles W. Jefferys, assistant editors.</t>
        </is>
      </c>
      <c r="E226" t="inlineStr">
        <is>
          <t>V.22</t>
        </is>
      </c>
      <c r="F226" t="inlineStr">
        <is>
          <t>Yes</t>
        </is>
      </c>
      <c r="G226" t="inlineStr">
        <is>
          <t>1</t>
        </is>
      </c>
      <c r="H226" t="inlineStr">
        <is>
          <t>No</t>
        </is>
      </c>
      <c r="I226" t="inlineStr">
        <is>
          <t>No</t>
        </is>
      </c>
      <c r="J226" t="inlineStr">
        <is>
          <t>0</t>
        </is>
      </c>
      <c r="L226" t="inlineStr">
        <is>
          <t>New Haven, [Conn.] : Yale University Press, [1921-1950].</t>
        </is>
      </c>
      <c r="M226" t="inlineStr">
        <is>
          <t>1921</t>
        </is>
      </c>
      <c r="O226" t="inlineStr">
        <is>
          <t>eng</t>
        </is>
      </c>
      <c r="P226" t="inlineStr">
        <is>
          <t xml:space="preserve">xx </t>
        </is>
      </c>
      <c r="R226" t="inlineStr">
        <is>
          <t xml:space="preserve">E  </t>
        </is>
      </c>
      <c r="S226" t="n">
        <v>0</v>
      </c>
      <c r="T226" t="n">
        <v>6</v>
      </c>
      <c r="V226" t="inlineStr">
        <is>
          <t>2000-12-12</t>
        </is>
      </c>
      <c r="W226" t="inlineStr">
        <is>
          <t>1996-09-30</t>
        </is>
      </c>
      <c r="X226" t="inlineStr">
        <is>
          <t>1996-09-30</t>
        </is>
      </c>
      <c r="Y226" t="n">
        <v>165</v>
      </c>
      <c r="Z226" t="n">
        <v>162</v>
      </c>
      <c r="AA226" t="n">
        <v>286</v>
      </c>
      <c r="AB226" t="n">
        <v>4</v>
      </c>
      <c r="AC226" t="n">
        <v>4</v>
      </c>
      <c r="AD226" t="n">
        <v>5</v>
      </c>
      <c r="AE226" t="n">
        <v>9</v>
      </c>
      <c r="AF226" t="n">
        <v>2</v>
      </c>
      <c r="AG226" t="n">
        <v>4</v>
      </c>
      <c r="AH226" t="n">
        <v>2</v>
      </c>
      <c r="AI226" t="n">
        <v>2</v>
      </c>
      <c r="AJ226" t="n">
        <v>0</v>
      </c>
      <c r="AK226" t="n">
        <v>1</v>
      </c>
      <c r="AL226" t="n">
        <v>2</v>
      </c>
      <c r="AM226" t="n">
        <v>2</v>
      </c>
      <c r="AN226" t="n">
        <v>0</v>
      </c>
      <c r="AO226" t="n">
        <v>1</v>
      </c>
      <c r="AP226" t="inlineStr">
        <is>
          <t>Yes</t>
        </is>
      </c>
      <c r="AQ226" t="inlineStr">
        <is>
          <t>No</t>
        </is>
      </c>
      <c r="AR226">
        <f>HYPERLINK("http://catalog.hathitrust.org/Record/100102938","HathiTrust Record")</f>
        <v/>
      </c>
      <c r="AS226">
        <f>HYPERLINK("https://creighton-primo.hosted.exlibrisgroup.com/primo-explore/search?tab=default_tab&amp;search_scope=EVERYTHING&amp;vid=01CRU&amp;lang=en_US&amp;offset=0&amp;query=any,contains,991004478349702656","Catalog Record")</f>
        <v/>
      </c>
      <c r="AT226">
        <f>HYPERLINK("http://www.worldcat.org/oclc/736786","WorldCat Record")</f>
        <v/>
      </c>
      <c r="AU226" t="inlineStr">
        <is>
          <t>1011362558:eng</t>
        </is>
      </c>
      <c r="AV226" t="inlineStr">
        <is>
          <t>736786</t>
        </is>
      </c>
      <c r="AW226" t="inlineStr">
        <is>
          <t>991004478349702656</t>
        </is>
      </c>
      <c r="AX226" t="inlineStr">
        <is>
          <t>991004478349702656</t>
        </is>
      </c>
      <c r="AY226" t="inlineStr">
        <is>
          <t>2270428300002656</t>
        </is>
      </c>
      <c r="AZ226" t="inlineStr">
        <is>
          <t>BOOK</t>
        </is>
      </c>
      <c r="BC226" t="inlineStr">
        <is>
          <t>32285002309226</t>
        </is>
      </c>
      <c r="BD226" t="inlineStr">
        <is>
          <t>893331641</t>
        </is>
      </c>
    </row>
    <row r="227">
      <c r="A227" t="inlineStr">
        <is>
          <t>No</t>
        </is>
      </c>
      <c r="B227" t="inlineStr">
        <is>
          <t>E173 .C55</t>
        </is>
      </c>
      <c r="C227" t="inlineStr">
        <is>
          <t>0                      E  0173000C  55</t>
        </is>
      </c>
      <c r="D227" t="inlineStr">
        <is>
          <t>The Chronicles of America series / Allen Johnson, editor, Gerhard R. Lomer, Charles W. Jefferys, assistant editors.</t>
        </is>
      </c>
      <c r="E227" t="inlineStr">
        <is>
          <t>V.25</t>
        </is>
      </c>
      <c r="F227" t="inlineStr">
        <is>
          <t>Yes</t>
        </is>
      </c>
      <c r="G227" t="inlineStr">
        <is>
          <t>1</t>
        </is>
      </c>
      <c r="H227" t="inlineStr">
        <is>
          <t>No</t>
        </is>
      </c>
      <c r="I227" t="inlineStr">
        <is>
          <t>No</t>
        </is>
      </c>
      <c r="J227" t="inlineStr">
        <is>
          <t>0</t>
        </is>
      </c>
      <c r="L227" t="inlineStr">
        <is>
          <t>New Haven, [Conn.] : Yale University Press, [1921-1950].</t>
        </is>
      </c>
      <c r="M227" t="inlineStr">
        <is>
          <t>1921</t>
        </is>
      </c>
      <c r="O227" t="inlineStr">
        <is>
          <t>eng</t>
        </is>
      </c>
      <c r="P227" t="inlineStr">
        <is>
          <t xml:space="preserve">xx </t>
        </is>
      </c>
      <c r="R227" t="inlineStr">
        <is>
          <t xml:space="preserve">E  </t>
        </is>
      </c>
      <c r="S227" t="n">
        <v>1</v>
      </c>
      <c r="T227" t="n">
        <v>6</v>
      </c>
      <c r="V227" t="inlineStr">
        <is>
          <t>2000-12-12</t>
        </is>
      </c>
      <c r="W227" t="inlineStr">
        <is>
          <t>1996-09-30</t>
        </is>
      </c>
      <c r="X227" t="inlineStr">
        <is>
          <t>1996-09-30</t>
        </is>
      </c>
      <c r="Y227" t="n">
        <v>165</v>
      </c>
      <c r="Z227" t="n">
        <v>162</v>
      </c>
      <c r="AA227" t="n">
        <v>286</v>
      </c>
      <c r="AB227" t="n">
        <v>4</v>
      </c>
      <c r="AC227" t="n">
        <v>4</v>
      </c>
      <c r="AD227" t="n">
        <v>5</v>
      </c>
      <c r="AE227" t="n">
        <v>9</v>
      </c>
      <c r="AF227" t="n">
        <v>2</v>
      </c>
      <c r="AG227" t="n">
        <v>4</v>
      </c>
      <c r="AH227" t="n">
        <v>2</v>
      </c>
      <c r="AI227" t="n">
        <v>2</v>
      </c>
      <c r="AJ227" t="n">
        <v>0</v>
      </c>
      <c r="AK227" t="n">
        <v>1</v>
      </c>
      <c r="AL227" t="n">
        <v>2</v>
      </c>
      <c r="AM227" t="n">
        <v>2</v>
      </c>
      <c r="AN227" t="n">
        <v>0</v>
      </c>
      <c r="AO227" t="n">
        <v>1</v>
      </c>
      <c r="AP227" t="inlineStr">
        <is>
          <t>Yes</t>
        </is>
      </c>
      <c r="AQ227" t="inlineStr">
        <is>
          <t>No</t>
        </is>
      </c>
      <c r="AR227">
        <f>HYPERLINK("http://catalog.hathitrust.org/Record/100102938","HathiTrust Record")</f>
        <v/>
      </c>
      <c r="AS227">
        <f>HYPERLINK("https://creighton-primo.hosted.exlibrisgroup.com/primo-explore/search?tab=default_tab&amp;search_scope=EVERYTHING&amp;vid=01CRU&amp;lang=en_US&amp;offset=0&amp;query=any,contains,991004478349702656","Catalog Record")</f>
        <v/>
      </c>
      <c r="AT227">
        <f>HYPERLINK("http://www.worldcat.org/oclc/736786","WorldCat Record")</f>
        <v/>
      </c>
      <c r="AU227" t="inlineStr">
        <is>
          <t>1011362558:eng</t>
        </is>
      </c>
      <c r="AV227" t="inlineStr">
        <is>
          <t>736786</t>
        </is>
      </c>
      <c r="AW227" t="inlineStr">
        <is>
          <t>991004478349702656</t>
        </is>
      </c>
      <c r="AX227" t="inlineStr">
        <is>
          <t>991004478349702656</t>
        </is>
      </c>
      <c r="AY227" t="inlineStr">
        <is>
          <t>2270428300002656</t>
        </is>
      </c>
      <c r="AZ227" t="inlineStr">
        <is>
          <t>BOOK</t>
        </is>
      </c>
      <c r="BC227" t="inlineStr">
        <is>
          <t>32285002309259</t>
        </is>
      </c>
      <c r="BD227" t="inlineStr">
        <is>
          <t>893353417</t>
        </is>
      </c>
    </row>
    <row r="228">
      <c r="A228" t="inlineStr">
        <is>
          <t>No</t>
        </is>
      </c>
      <c r="B228" t="inlineStr">
        <is>
          <t>E173 .C55</t>
        </is>
      </c>
      <c r="C228" t="inlineStr">
        <is>
          <t>0                      E  0173000C  55</t>
        </is>
      </c>
      <c r="D228" t="inlineStr">
        <is>
          <t>The Chronicles of America series / Allen Johnson, editor, Gerhard R. Lomer, Charles W. Jefferys, assistant editors.</t>
        </is>
      </c>
      <c r="E228" t="inlineStr">
        <is>
          <t>V.8</t>
        </is>
      </c>
      <c r="F228" t="inlineStr">
        <is>
          <t>Yes</t>
        </is>
      </c>
      <c r="G228" t="inlineStr">
        <is>
          <t>1</t>
        </is>
      </c>
      <c r="H228" t="inlineStr">
        <is>
          <t>No</t>
        </is>
      </c>
      <c r="I228" t="inlineStr">
        <is>
          <t>No</t>
        </is>
      </c>
      <c r="J228" t="inlineStr">
        <is>
          <t>0</t>
        </is>
      </c>
      <c r="L228" t="inlineStr">
        <is>
          <t>New Haven, [Conn.] : Yale University Press, [1921-1950].</t>
        </is>
      </c>
      <c r="M228" t="inlineStr">
        <is>
          <t>1921</t>
        </is>
      </c>
      <c r="O228" t="inlineStr">
        <is>
          <t>eng</t>
        </is>
      </c>
      <c r="P228" t="inlineStr">
        <is>
          <t xml:space="preserve">xx </t>
        </is>
      </c>
      <c r="R228" t="inlineStr">
        <is>
          <t xml:space="preserve">E  </t>
        </is>
      </c>
      <c r="S228" t="n">
        <v>0</v>
      </c>
      <c r="T228" t="n">
        <v>6</v>
      </c>
      <c r="V228" t="inlineStr">
        <is>
          <t>2000-12-12</t>
        </is>
      </c>
      <c r="W228" t="inlineStr">
        <is>
          <t>1996-09-30</t>
        </is>
      </c>
      <c r="X228" t="inlineStr">
        <is>
          <t>1996-09-30</t>
        </is>
      </c>
      <c r="Y228" t="n">
        <v>165</v>
      </c>
      <c r="Z228" t="n">
        <v>162</v>
      </c>
      <c r="AA228" t="n">
        <v>286</v>
      </c>
      <c r="AB228" t="n">
        <v>4</v>
      </c>
      <c r="AC228" t="n">
        <v>4</v>
      </c>
      <c r="AD228" t="n">
        <v>5</v>
      </c>
      <c r="AE228" t="n">
        <v>9</v>
      </c>
      <c r="AF228" t="n">
        <v>2</v>
      </c>
      <c r="AG228" t="n">
        <v>4</v>
      </c>
      <c r="AH228" t="n">
        <v>2</v>
      </c>
      <c r="AI228" t="n">
        <v>2</v>
      </c>
      <c r="AJ228" t="n">
        <v>0</v>
      </c>
      <c r="AK228" t="n">
        <v>1</v>
      </c>
      <c r="AL228" t="n">
        <v>2</v>
      </c>
      <c r="AM228" t="n">
        <v>2</v>
      </c>
      <c r="AN228" t="n">
        <v>0</v>
      </c>
      <c r="AO228" t="n">
        <v>1</v>
      </c>
      <c r="AP228" t="inlineStr">
        <is>
          <t>Yes</t>
        </is>
      </c>
      <c r="AQ228" t="inlineStr">
        <is>
          <t>No</t>
        </is>
      </c>
      <c r="AR228">
        <f>HYPERLINK("http://catalog.hathitrust.org/Record/100102938","HathiTrust Record")</f>
        <v/>
      </c>
      <c r="AS228">
        <f>HYPERLINK("https://creighton-primo.hosted.exlibrisgroup.com/primo-explore/search?tab=default_tab&amp;search_scope=EVERYTHING&amp;vid=01CRU&amp;lang=en_US&amp;offset=0&amp;query=any,contains,991004478349702656","Catalog Record")</f>
        <v/>
      </c>
      <c r="AT228">
        <f>HYPERLINK("http://www.worldcat.org/oclc/736786","WorldCat Record")</f>
        <v/>
      </c>
      <c r="AU228" t="inlineStr">
        <is>
          <t>1011362558:eng</t>
        </is>
      </c>
      <c r="AV228" t="inlineStr">
        <is>
          <t>736786</t>
        </is>
      </c>
      <c r="AW228" t="inlineStr">
        <is>
          <t>991004478349702656</t>
        </is>
      </c>
      <c r="AX228" t="inlineStr">
        <is>
          <t>991004478349702656</t>
        </is>
      </c>
      <c r="AY228" t="inlineStr">
        <is>
          <t>2270428300002656</t>
        </is>
      </c>
      <c r="AZ228" t="inlineStr">
        <is>
          <t>BOOK</t>
        </is>
      </c>
      <c r="BC228" t="inlineStr">
        <is>
          <t>32285002309085</t>
        </is>
      </c>
      <c r="BD228" t="inlineStr">
        <is>
          <t>893350050</t>
        </is>
      </c>
    </row>
    <row r="229">
      <c r="A229" t="inlineStr">
        <is>
          <t>No</t>
        </is>
      </c>
      <c r="B229" t="inlineStr">
        <is>
          <t>E173 .C55</t>
        </is>
      </c>
      <c r="C229" t="inlineStr">
        <is>
          <t>0                      E  0173000C  55</t>
        </is>
      </c>
      <c r="D229" t="inlineStr">
        <is>
          <t>The Chronicles of America series / Allen Johnson, editor, Gerhard R. Lomer, Charles W. Jefferys, assistant editors.</t>
        </is>
      </c>
      <c r="E229" t="inlineStr">
        <is>
          <t>V.11</t>
        </is>
      </c>
      <c r="F229" t="inlineStr">
        <is>
          <t>Yes</t>
        </is>
      </c>
      <c r="G229" t="inlineStr">
        <is>
          <t>1</t>
        </is>
      </c>
      <c r="H229" t="inlineStr">
        <is>
          <t>No</t>
        </is>
      </c>
      <c r="I229" t="inlineStr">
        <is>
          <t>No</t>
        </is>
      </c>
      <c r="J229" t="inlineStr">
        <is>
          <t>0</t>
        </is>
      </c>
      <c r="L229" t="inlineStr">
        <is>
          <t>New Haven, [Conn.] : Yale University Press, [1921-1950].</t>
        </is>
      </c>
      <c r="M229" t="inlineStr">
        <is>
          <t>1921</t>
        </is>
      </c>
      <c r="O229" t="inlineStr">
        <is>
          <t>eng</t>
        </is>
      </c>
      <c r="P229" t="inlineStr">
        <is>
          <t xml:space="preserve">xx </t>
        </is>
      </c>
      <c r="R229" t="inlineStr">
        <is>
          <t xml:space="preserve">E  </t>
        </is>
      </c>
      <c r="S229" t="n">
        <v>0</v>
      </c>
      <c r="T229" t="n">
        <v>6</v>
      </c>
      <c r="V229" t="inlineStr">
        <is>
          <t>2000-12-12</t>
        </is>
      </c>
      <c r="W229" t="inlineStr">
        <is>
          <t>1996-09-30</t>
        </is>
      </c>
      <c r="X229" t="inlineStr">
        <is>
          <t>1996-09-30</t>
        </is>
      </c>
      <c r="Y229" t="n">
        <v>165</v>
      </c>
      <c r="Z229" t="n">
        <v>162</v>
      </c>
      <c r="AA229" t="n">
        <v>286</v>
      </c>
      <c r="AB229" t="n">
        <v>4</v>
      </c>
      <c r="AC229" t="n">
        <v>4</v>
      </c>
      <c r="AD229" t="n">
        <v>5</v>
      </c>
      <c r="AE229" t="n">
        <v>9</v>
      </c>
      <c r="AF229" t="n">
        <v>2</v>
      </c>
      <c r="AG229" t="n">
        <v>4</v>
      </c>
      <c r="AH229" t="n">
        <v>2</v>
      </c>
      <c r="AI229" t="n">
        <v>2</v>
      </c>
      <c r="AJ229" t="n">
        <v>0</v>
      </c>
      <c r="AK229" t="n">
        <v>1</v>
      </c>
      <c r="AL229" t="n">
        <v>2</v>
      </c>
      <c r="AM229" t="n">
        <v>2</v>
      </c>
      <c r="AN229" t="n">
        <v>0</v>
      </c>
      <c r="AO229" t="n">
        <v>1</v>
      </c>
      <c r="AP229" t="inlineStr">
        <is>
          <t>Yes</t>
        </is>
      </c>
      <c r="AQ229" t="inlineStr">
        <is>
          <t>No</t>
        </is>
      </c>
      <c r="AR229">
        <f>HYPERLINK("http://catalog.hathitrust.org/Record/100102938","HathiTrust Record")</f>
        <v/>
      </c>
      <c r="AS229">
        <f>HYPERLINK("https://creighton-primo.hosted.exlibrisgroup.com/primo-explore/search?tab=default_tab&amp;search_scope=EVERYTHING&amp;vid=01CRU&amp;lang=en_US&amp;offset=0&amp;query=any,contains,991004478349702656","Catalog Record")</f>
        <v/>
      </c>
      <c r="AT229">
        <f>HYPERLINK("http://www.worldcat.org/oclc/736786","WorldCat Record")</f>
        <v/>
      </c>
      <c r="AU229" t="inlineStr">
        <is>
          <t>1011362558:eng</t>
        </is>
      </c>
      <c r="AV229" t="inlineStr">
        <is>
          <t>736786</t>
        </is>
      </c>
      <c r="AW229" t="inlineStr">
        <is>
          <t>991004478349702656</t>
        </is>
      </c>
      <c r="AX229" t="inlineStr">
        <is>
          <t>991004478349702656</t>
        </is>
      </c>
      <c r="AY229" t="inlineStr">
        <is>
          <t>2270428300002656</t>
        </is>
      </c>
      <c r="AZ229" t="inlineStr">
        <is>
          <t>BOOK</t>
        </is>
      </c>
      <c r="BC229" t="inlineStr">
        <is>
          <t>32285002309119</t>
        </is>
      </c>
      <c r="BD229" t="inlineStr">
        <is>
          <t>893350042</t>
        </is>
      </c>
    </row>
    <row r="230">
      <c r="A230" t="inlineStr">
        <is>
          <t>No</t>
        </is>
      </c>
      <c r="B230" t="inlineStr">
        <is>
          <t>E173 .C55</t>
        </is>
      </c>
      <c r="C230" t="inlineStr">
        <is>
          <t>0                      E  0173000C  55</t>
        </is>
      </c>
      <c r="D230" t="inlineStr">
        <is>
          <t>The Chronicles of America series / Allen Johnson, editor, Gerhard R. Lomer, Charles W. Jefferys, assistant editors.</t>
        </is>
      </c>
      <c r="E230" t="inlineStr">
        <is>
          <t>V.26</t>
        </is>
      </c>
      <c r="F230" t="inlineStr">
        <is>
          <t>Yes</t>
        </is>
      </c>
      <c r="G230" t="inlineStr">
        <is>
          <t>1</t>
        </is>
      </c>
      <c r="H230" t="inlineStr">
        <is>
          <t>No</t>
        </is>
      </c>
      <c r="I230" t="inlineStr">
        <is>
          <t>No</t>
        </is>
      </c>
      <c r="J230" t="inlineStr">
        <is>
          <t>0</t>
        </is>
      </c>
      <c r="L230" t="inlineStr">
        <is>
          <t>New Haven, [Conn.] : Yale University Press, [1921-1950].</t>
        </is>
      </c>
      <c r="M230" t="inlineStr">
        <is>
          <t>1921</t>
        </is>
      </c>
      <c r="O230" t="inlineStr">
        <is>
          <t>eng</t>
        </is>
      </c>
      <c r="P230" t="inlineStr">
        <is>
          <t xml:space="preserve">xx </t>
        </is>
      </c>
      <c r="R230" t="inlineStr">
        <is>
          <t xml:space="preserve">E  </t>
        </is>
      </c>
      <c r="S230" t="n">
        <v>0</v>
      </c>
      <c r="T230" t="n">
        <v>6</v>
      </c>
      <c r="V230" t="inlineStr">
        <is>
          <t>2000-12-12</t>
        </is>
      </c>
      <c r="W230" t="inlineStr">
        <is>
          <t>1996-09-30</t>
        </is>
      </c>
      <c r="X230" t="inlineStr">
        <is>
          <t>1996-09-30</t>
        </is>
      </c>
      <c r="Y230" t="n">
        <v>165</v>
      </c>
      <c r="Z230" t="n">
        <v>162</v>
      </c>
      <c r="AA230" t="n">
        <v>286</v>
      </c>
      <c r="AB230" t="n">
        <v>4</v>
      </c>
      <c r="AC230" t="n">
        <v>4</v>
      </c>
      <c r="AD230" t="n">
        <v>5</v>
      </c>
      <c r="AE230" t="n">
        <v>9</v>
      </c>
      <c r="AF230" t="n">
        <v>2</v>
      </c>
      <c r="AG230" t="n">
        <v>4</v>
      </c>
      <c r="AH230" t="n">
        <v>2</v>
      </c>
      <c r="AI230" t="n">
        <v>2</v>
      </c>
      <c r="AJ230" t="n">
        <v>0</v>
      </c>
      <c r="AK230" t="n">
        <v>1</v>
      </c>
      <c r="AL230" t="n">
        <v>2</v>
      </c>
      <c r="AM230" t="n">
        <v>2</v>
      </c>
      <c r="AN230" t="n">
        <v>0</v>
      </c>
      <c r="AO230" t="n">
        <v>1</v>
      </c>
      <c r="AP230" t="inlineStr">
        <is>
          <t>Yes</t>
        </is>
      </c>
      <c r="AQ230" t="inlineStr">
        <is>
          <t>No</t>
        </is>
      </c>
      <c r="AR230">
        <f>HYPERLINK("http://catalog.hathitrust.org/Record/100102938","HathiTrust Record")</f>
        <v/>
      </c>
      <c r="AS230">
        <f>HYPERLINK("https://creighton-primo.hosted.exlibrisgroup.com/primo-explore/search?tab=default_tab&amp;search_scope=EVERYTHING&amp;vid=01CRU&amp;lang=en_US&amp;offset=0&amp;query=any,contains,991004478349702656","Catalog Record")</f>
        <v/>
      </c>
      <c r="AT230">
        <f>HYPERLINK("http://www.worldcat.org/oclc/736786","WorldCat Record")</f>
        <v/>
      </c>
      <c r="AU230" t="inlineStr">
        <is>
          <t>1011362558:eng</t>
        </is>
      </c>
      <c r="AV230" t="inlineStr">
        <is>
          <t>736786</t>
        </is>
      </c>
      <c r="AW230" t="inlineStr">
        <is>
          <t>991004478349702656</t>
        </is>
      </c>
      <c r="AX230" t="inlineStr">
        <is>
          <t>991004478349702656</t>
        </is>
      </c>
      <c r="AY230" t="inlineStr">
        <is>
          <t>2270428300002656</t>
        </is>
      </c>
      <c r="AZ230" t="inlineStr">
        <is>
          <t>BOOK</t>
        </is>
      </c>
      <c r="BC230" t="inlineStr">
        <is>
          <t>32285002309267</t>
        </is>
      </c>
      <c r="BD230" t="inlineStr">
        <is>
          <t>893350039</t>
        </is>
      </c>
    </row>
    <row r="231">
      <c r="A231" t="inlineStr">
        <is>
          <t>No</t>
        </is>
      </c>
      <c r="B231" t="inlineStr">
        <is>
          <t>E173 .C55</t>
        </is>
      </c>
      <c r="C231" t="inlineStr">
        <is>
          <t>0                      E  0173000C  55</t>
        </is>
      </c>
      <c r="D231" t="inlineStr">
        <is>
          <t>The Chronicles of America series / Allen Johnson, editor, Gerhard R. Lomer, Charles W. Jefferys, assistant editors.</t>
        </is>
      </c>
      <c r="E231" t="inlineStr">
        <is>
          <t>V.16</t>
        </is>
      </c>
      <c r="F231" t="inlineStr">
        <is>
          <t>Yes</t>
        </is>
      </c>
      <c r="G231" t="inlineStr">
        <is>
          <t>1</t>
        </is>
      </c>
      <c r="H231" t="inlineStr">
        <is>
          <t>No</t>
        </is>
      </c>
      <c r="I231" t="inlineStr">
        <is>
          <t>No</t>
        </is>
      </c>
      <c r="J231" t="inlineStr">
        <is>
          <t>0</t>
        </is>
      </c>
      <c r="L231" t="inlineStr">
        <is>
          <t>New Haven, [Conn.] : Yale University Press, [1921-1950].</t>
        </is>
      </c>
      <c r="M231" t="inlineStr">
        <is>
          <t>1921</t>
        </is>
      </c>
      <c r="O231" t="inlineStr">
        <is>
          <t>eng</t>
        </is>
      </c>
      <c r="P231" t="inlineStr">
        <is>
          <t xml:space="preserve">xx </t>
        </is>
      </c>
      <c r="R231" t="inlineStr">
        <is>
          <t xml:space="preserve">E  </t>
        </is>
      </c>
      <c r="S231" t="n">
        <v>0</v>
      </c>
      <c r="T231" t="n">
        <v>6</v>
      </c>
      <c r="V231" t="inlineStr">
        <is>
          <t>2000-12-12</t>
        </is>
      </c>
      <c r="W231" t="inlineStr">
        <is>
          <t>1996-09-30</t>
        </is>
      </c>
      <c r="X231" t="inlineStr">
        <is>
          <t>1996-09-30</t>
        </is>
      </c>
      <c r="Y231" t="n">
        <v>165</v>
      </c>
      <c r="Z231" t="n">
        <v>162</v>
      </c>
      <c r="AA231" t="n">
        <v>286</v>
      </c>
      <c r="AB231" t="n">
        <v>4</v>
      </c>
      <c r="AC231" t="n">
        <v>4</v>
      </c>
      <c r="AD231" t="n">
        <v>5</v>
      </c>
      <c r="AE231" t="n">
        <v>9</v>
      </c>
      <c r="AF231" t="n">
        <v>2</v>
      </c>
      <c r="AG231" t="n">
        <v>4</v>
      </c>
      <c r="AH231" t="n">
        <v>2</v>
      </c>
      <c r="AI231" t="n">
        <v>2</v>
      </c>
      <c r="AJ231" t="n">
        <v>0</v>
      </c>
      <c r="AK231" t="n">
        <v>1</v>
      </c>
      <c r="AL231" t="n">
        <v>2</v>
      </c>
      <c r="AM231" t="n">
        <v>2</v>
      </c>
      <c r="AN231" t="n">
        <v>0</v>
      </c>
      <c r="AO231" t="n">
        <v>1</v>
      </c>
      <c r="AP231" t="inlineStr">
        <is>
          <t>Yes</t>
        </is>
      </c>
      <c r="AQ231" t="inlineStr">
        <is>
          <t>No</t>
        </is>
      </c>
      <c r="AR231">
        <f>HYPERLINK("http://catalog.hathitrust.org/Record/100102938","HathiTrust Record")</f>
        <v/>
      </c>
      <c r="AS231">
        <f>HYPERLINK("https://creighton-primo.hosted.exlibrisgroup.com/primo-explore/search?tab=default_tab&amp;search_scope=EVERYTHING&amp;vid=01CRU&amp;lang=en_US&amp;offset=0&amp;query=any,contains,991004478349702656","Catalog Record")</f>
        <v/>
      </c>
      <c r="AT231">
        <f>HYPERLINK("http://www.worldcat.org/oclc/736786","WorldCat Record")</f>
        <v/>
      </c>
      <c r="AU231" t="inlineStr">
        <is>
          <t>1011362558:eng</t>
        </is>
      </c>
      <c r="AV231" t="inlineStr">
        <is>
          <t>736786</t>
        </is>
      </c>
      <c r="AW231" t="inlineStr">
        <is>
          <t>991004478349702656</t>
        </is>
      </c>
      <c r="AX231" t="inlineStr">
        <is>
          <t>991004478349702656</t>
        </is>
      </c>
      <c r="AY231" t="inlineStr">
        <is>
          <t>2270428300002656</t>
        </is>
      </c>
      <c r="AZ231" t="inlineStr">
        <is>
          <t>BOOK</t>
        </is>
      </c>
      <c r="BC231" t="inlineStr">
        <is>
          <t>32285002309168</t>
        </is>
      </c>
      <c r="BD231" t="inlineStr">
        <is>
          <t>893337784</t>
        </is>
      </c>
    </row>
    <row r="232">
      <c r="A232" t="inlineStr">
        <is>
          <t>No</t>
        </is>
      </c>
      <c r="B232" t="inlineStr">
        <is>
          <t>E173 .C55</t>
        </is>
      </c>
      <c r="C232" t="inlineStr">
        <is>
          <t>0                      E  0173000C  55</t>
        </is>
      </c>
      <c r="D232" t="inlineStr">
        <is>
          <t>The Chronicles of America series / Allen Johnson, editor, Gerhard R. Lomer, Charles W. Jefferys, assistant editors.</t>
        </is>
      </c>
      <c r="E232" t="inlineStr">
        <is>
          <t>V.38</t>
        </is>
      </c>
      <c r="F232" t="inlineStr">
        <is>
          <t>Yes</t>
        </is>
      </c>
      <c r="G232" t="inlineStr">
        <is>
          <t>1</t>
        </is>
      </c>
      <c r="H232" t="inlineStr">
        <is>
          <t>No</t>
        </is>
      </c>
      <c r="I232" t="inlineStr">
        <is>
          <t>No</t>
        </is>
      </c>
      <c r="J232" t="inlineStr">
        <is>
          <t>0</t>
        </is>
      </c>
      <c r="L232" t="inlineStr">
        <is>
          <t>New Haven, [Conn.] : Yale University Press, [1921-1950].</t>
        </is>
      </c>
      <c r="M232" t="inlineStr">
        <is>
          <t>1921</t>
        </is>
      </c>
      <c r="O232" t="inlineStr">
        <is>
          <t>eng</t>
        </is>
      </c>
      <c r="P232" t="inlineStr">
        <is>
          <t xml:space="preserve">xx </t>
        </is>
      </c>
      <c r="R232" t="inlineStr">
        <is>
          <t xml:space="preserve">E  </t>
        </is>
      </c>
      <c r="S232" t="n">
        <v>0</v>
      </c>
      <c r="T232" t="n">
        <v>6</v>
      </c>
      <c r="V232" t="inlineStr">
        <is>
          <t>2000-12-12</t>
        </is>
      </c>
      <c r="W232" t="inlineStr">
        <is>
          <t>1996-09-30</t>
        </is>
      </c>
      <c r="X232" t="inlineStr">
        <is>
          <t>1996-09-30</t>
        </is>
      </c>
      <c r="Y232" t="n">
        <v>165</v>
      </c>
      <c r="Z232" t="n">
        <v>162</v>
      </c>
      <c r="AA232" t="n">
        <v>286</v>
      </c>
      <c r="AB232" t="n">
        <v>4</v>
      </c>
      <c r="AC232" t="n">
        <v>4</v>
      </c>
      <c r="AD232" t="n">
        <v>5</v>
      </c>
      <c r="AE232" t="n">
        <v>9</v>
      </c>
      <c r="AF232" t="n">
        <v>2</v>
      </c>
      <c r="AG232" t="n">
        <v>4</v>
      </c>
      <c r="AH232" t="n">
        <v>2</v>
      </c>
      <c r="AI232" t="n">
        <v>2</v>
      </c>
      <c r="AJ232" t="n">
        <v>0</v>
      </c>
      <c r="AK232" t="n">
        <v>1</v>
      </c>
      <c r="AL232" t="n">
        <v>2</v>
      </c>
      <c r="AM232" t="n">
        <v>2</v>
      </c>
      <c r="AN232" t="n">
        <v>0</v>
      </c>
      <c r="AO232" t="n">
        <v>1</v>
      </c>
      <c r="AP232" t="inlineStr">
        <is>
          <t>Yes</t>
        </is>
      </c>
      <c r="AQ232" t="inlineStr">
        <is>
          <t>No</t>
        </is>
      </c>
      <c r="AR232">
        <f>HYPERLINK("http://catalog.hathitrust.org/Record/100102938","HathiTrust Record")</f>
        <v/>
      </c>
      <c r="AS232">
        <f>HYPERLINK("https://creighton-primo.hosted.exlibrisgroup.com/primo-explore/search?tab=default_tab&amp;search_scope=EVERYTHING&amp;vid=01CRU&amp;lang=en_US&amp;offset=0&amp;query=any,contains,991004478349702656","Catalog Record")</f>
        <v/>
      </c>
      <c r="AT232">
        <f>HYPERLINK("http://www.worldcat.org/oclc/736786","WorldCat Record")</f>
        <v/>
      </c>
      <c r="AU232" t="inlineStr">
        <is>
          <t>1011362558:eng</t>
        </is>
      </c>
      <c r="AV232" t="inlineStr">
        <is>
          <t>736786</t>
        </is>
      </c>
      <c r="AW232" t="inlineStr">
        <is>
          <t>991004478349702656</t>
        </is>
      </c>
      <c r="AX232" t="inlineStr">
        <is>
          <t>991004478349702656</t>
        </is>
      </c>
      <c r="AY232" t="inlineStr">
        <is>
          <t>2270428300002656</t>
        </is>
      </c>
      <c r="AZ232" t="inlineStr">
        <is>
          <t>BOOK</t>
        </is>
      </c>
      <c r="BC232" t="inlineStr">
        <is>
          <t>32285002309382</t>
        </is>
      </c>
      <c r="BD232" t="inlineStr">
        <is>
          <t>893337782</t>
        </is>
      </c>
    </row>
    <row r="233">
      <c r="A233" t="inlineStr">
        <is>
          <t>No</t>
        </is>
      </c>
      <c r="B233" t="inlineStr">
        <is>
          <t>E173 .C55</t>
        </is>
      </c>
      <c r="C233" t="inlineStr">
        <is>
          <t>0                      E  0173000C  55</t>
        </is>
      </c>
      <c r="D233" t="inlineStr">
        <is>
          <t>The Chronicles of America series / Allen Johnson, editor, Gerhard R. Lomer, Charles W. Jefferys, assistant editors.</t>
        </is>
      </c>
      <c r="E233" t="inlineStr">
        <is>
          <t>V.42</t>
        </is>
      </c>
      <c r="F233" t="inlineStr">
        <is>
          <t>Yes</t>
        </is>
      </c>
      <c r="G233" t="inlineStr">
        <is>
          <t>1</t>
        </is>
      </c>
      <c r="H233" t="inlineStr">
        <is>
          <t>No</t>
        </is>
      </c>
      <c r="I233" t="inlineStr">
        <is>
          <t>No</t>
        </is>
      </c>
      <c r="J233" t="inlineStr">
        <is>
          <t>0</t>
        </is>
      </c>
      <c r="L233" t="inlineStr">
        <is>
          <t>New Haven, [Conn.] : Yale University Press, [1921-1950].</t>
        </is>
      </c>
      <c r="M233" t="inlineStr">
        <is>
          <t>1921</t>
        </is>
      </c>
      <c r="O233" t="inlineStr">
        <is>
          <t>eng</t>
        </is>
      </c>
      <c r="P233" t="inlineStr">
        <is>
          <t xml:space="preserve">xx </t>
        </is>
      </c>
      <c r="R233" t="inlineStr">
        <is>
          <t xml:space="preserve">E  </t>
        </is>
      </c>
      <c r="S233" t="n">
        <v>0</v>
      </c>
      <c r="T233" t="n">
        <v>6</v>
      </c>
      <c r="V233" t="inlineStr">
        <is>
          <t>2000-12-12</t>
        </is>
      </c>
      <c r="W233" t="inlineStr">
        <is>
          <t>1996-09-30</t>
        </is>
      </c>
      <c r="X233" t="inlineStr">
        <is>
          <t>1996-09-30</t>
        </is>
      </c>
      <c r="Y233" t="n">
        <v>165</v>
      </c>
      <c r="Z233" t="n">
        <v>162</v>
      </c>
      <c r="AA233" t="n">
        <v>286</v>
      </c>
      <c r="AB233" t="n">
        <v>4</v>
      </c>
      <c r="AC233" t="n">
        <v>4</v>
      </c>
      <c r="AD233" t="n">
        <v>5</v>
      </c>
      <c r="AE233" t="n">
        <v>9</v>
      </c>
      <c r="AF233" t="n">
        <v>2</v>
      </c>
      <c r="AG233" t="n">
        <v>4</v>
      </c>
      <c r="AH233" t="n">
        <v>2</v>
      </c>
      <c r="AI233" t="n">
        <v>2</v>
      </c>
      <c r="AJ233" t="n">
        <v>0</v>
      </c>
      <c r="AK233" t="n">
        <v>1</v>
      </c>
      <c r="AL233" t="n">
        <v>2</v>
      </c>
      <c r="AM233" t="n">
        <v>2</v>
      </c>
      <c r="AN233" t="n">
        <v>0</v>
      </c>
      <c r="AO233" t="n">
        <v>1</v>
      </c>
      <c r="AP233" t="inlineStr">
        <is>
          <t>Yes</t>
        </is>
      </c>
      <c r="AQ233" t="inlineStr">
        <is>
          <t>No</t>
        </is>
      </c>
      <c r="AR233">
        <f>HYPERLINK("http://catalog.hathitrust.org/Record/100102938","HathiTrust Record")</f>
        <v/>
      </c>
      <c r="AS233">
        <f>HYPERLINK("https://creighton-primo.hosted.exlibrisgroup.com/primo-explore/search?tab=default_tab&amp;search_scope=EVERYTHING&amp;vid=01CRU&amp;lang=en_US&amp;offset=0&amp;query=any,contains,991004478349702656","Catalog Record")</f>
        <v/>
      </c>
      <c r="AT233">
        <f>HYPERLINK("http://www.worldcat.org/oclc/736786","WorldCat Record")</f>
        <v/>
      </c>
      <c r="AU233" t="inlineStr">
        <is>
          <t>1011362558:eng</t>
        </is>
      </c>
      <c r="AV233" t="inlineStr">
        <is>
          <t>736786</t>
        </is>
      </c>
      <c r="AW233" t="inlineStr">
        <is>
          <t>991004478349702656</t>
        </is>
      </c>
      <c r="AX233" t="inlineStr">
        <is>
          <t>991004478349702656</t>
        </is>
      </c>
      <c r="AY233" t="inlineStr">
        <is>
          <t>2270428300002656</t>
        </is>
      </c>
      <c r="AZ233" t="inlineStr">
        <is>
          <t>BOOK</t>
        </is>
      </c>
      <c r="BC233" t="inlineStr">
        <is>
          <t>32285002309424</t>
        </is>
      </c>
      <c r="BD233" t="inlineStr">
        <is>
          <t>893350038</t>
        </is>
      </c>
    </row>
    <row r="234">
      <c r="A234" t="inlineStr">
        <is>
          <t>No</t>
        </is>
      </c>
      <c r="B234" t="inlineStr">
        <is>
          <t>E173 .C55</t>
        </is>
      </c>
      <c r="C234" t="inlineStr">
        <is>
          <t>0                      E  0173000C  55</t>
        </is>
      </c>
      <c r="D234" t="inlineStr">
        <is>
          <t>The Chronicles of America series / Allen Johnson, editor, Gerhard R. Lomer, Charles W. Jefferys, assistant editors.</t>
        </is>
      </c>
      <c r="E234" t="inlineStr">
        <is>
          <t>V.4</t>
        </is>
      </c>
      <c r="F234" t="inlineStr">
        <is>
          <t>Yes</t>
        </is>
      </c>
      <c r="G234" t="inlineStr">
        <is>
          <t>1</t>
        </is>
      </c>
      <c r="H234" t="inlineStr">
        <is>
          <t>No</t>
        </is>
      </c>
      <c r="I234" t="inlineStr">
        <is>
          <t>No</t>
        </is>
      </c>
      <c r="J234" t="inlineStr">
        <is>
          <t>0</t>
        </is>
      </c>
      <c r="L234" t="inlineStr">
        <is>
          <t>New Haven, [Conn.] : Yale University Press, [1921-1950].</t>
        </is>
      </c>
      <c r="M234" t="inlineStr">
        <is>
          <t>1921</t>
        </is>
      </c>
      <c r="O234" t="inlineStr">
        <is>
          <t>eng</t>
        </is>
      </c>
      <c r="P234" t="inlineStr">
        <is>
          <t xml:space="preserve">xx </t>
        </is>
      </c>
      <c r="R234" t="inlineStr">
        <is>
          <t xml:space="preserve">E  </t>
        </is>
      </c>
      <c r="S234" t="n">
        <v>0</v>
      </c>
      <c r="T234" t="n">
        <v>6</v>
      </c>
      <c r="V234" t="inlineStr">
        <is>
          <t>2000-12-12</t>
        </is>
      </c>
      <c r="W234" t="inlineStr">
        <is>
          <t>1996-09-30</t>
        </is>
      </c>
      <c r="X234" t="inlineStr">
        <is>
          <t>1996-09-30</t>
        </is>
      </c>
      <c r="Y234" t="n">
        <v>165</v>
      </c>
      <c r="Z234" t="n">
        <v>162</v>
      </c>
      <c r="AA234" t="n">
        <v>286</v>
      </c>
      <c r="AB234" t="n">
        <v>4</v>
      </c>
      <c r="AC234" t="n">
        <v>4</v>
      </c>
      <c r="AD234" t="n">
        <v>5</v>
      </c>
      <c r="AE234" t="n">
        <v>9</v>
      </c>
      <c r="AF234" t="n">
        <v>2</v>
      </c>
      <c r="AG234" t="n">
        <v>4</v>
      </c>
      <c r="AH234" t="n">
        <v>2</v>
      </c>
      <c r="AI234" t="n">
        <v>2</v>
      </c>
      <c r="AJ234" t="n">
        <v>0</v>
      </c>
      <c r="AK234" t="n">
        <v>1</v>
      </c>
      <c r="AL234" t="n">
        <v>2</v>
      </c>
      <c r="AM234" t="n">
        <v>2</v>
      </c>
      <c r="AN234" t="n">
        <v>0</v>
      </c>
      <c r="AO234" t="n">
        <v>1</v>
      </c>
      <c r="AP234" t="inlineStr">
        <is>
          <t>Yes</t>
        </is>
      </c>
      <c r="AQ234" t="inlineStr">
        <is>
          <t>No</t>
        </is>
      </c>
      <c r="AR234">
        <f>HYPERLINK("http://catalog.hathitrust.org/Record/100102938","HathiTrust Record")</f>
        <v/>
      </c>
      <c r="AS234">
        <f>HYPERLINK("https://creighton-primo.hosted.exlibrisgroup.com/primo-explore/search?tab=default_tab&amp;search_scope=EVERYTHING&amp;vid=01CRU&amp;lang=en_US&amp;offset=0&amp;query=any,contains,991004478349702656","Catalog Record")</f>
        <v/>
      </c>
      <c r="AT234">
        <f>HYPERLINK("http://www.worldcat.org/oclc/736786","WorldCat Record")</f>
        <v/>
      </c>
      <c r="AU234" t="inlineStr">
        <is>
          <t>1011362558:eng</t>
        </is>
      </c>
      <c r="AV234" t="inlineStr">
        <is>
          <t>736786</t>
        </is>
      </c>
      <c r="AW234" t="inlineStr">
        <is>
          <t>991004478349702656</t>
        </is>
      </c>
      <c r="AX234" t="inlineStr">
        <is>
          <t>991004478349702656</t>
        </is>
      </c>
      <c r="AY234" t="inlineStr">
        <is>
          <t>2270428300002656</t>
        </is>
      </c>
      <c r="AZ234" t="inlineStr">
        <is>
          <t>BOOK</t>
        </is>
      </c>
      <c r="BC234" t="inlineStr">
        <is>
          <t>32285002309044</t>
        </is>
      </c>
      <c r="BD234" t="inlineStr">
        <is>
          <t>893331637</t>
        </is>
      </c>
    </row>
    <row r="235">
      <c r="A235" t="inlineStr">
        <is>
          <t>No</t>
        </is>
      </c>
      <c r="B235" t="inlineStr">
        <is>
          <t>E173 .C55</t>
        </is>
      </c>
      <c r="C235" t="inlineStr">
        <is>
          <t>0                      E  0173000C  55</t>
        </is>
      </c>
      <c r="D235" t="inlineStr">
        <is>
          <t>The Chronicles of America series / Allen Johnson, editor, Gerhard R. Lomer, Charles W. Jefferys, assistant editors.</t>
        </is>
      </c>
      <c r="E235" t="inlineStr">
        <is>
          <t>V.19</t>
        </is>
      </c>
      <c r="F235" t="inlineStr">
        <is>
          <t>Yes</t>
        </is>
      </c>
      <c r="G235" t="inlineStr">
        <is>
          <t>1</t>
        </is>
      </c>
      <c r="H235" t="inlineStr">
        <is>
          <t>No</t>
        </is>
      </c>
      <c r="I235" t="inlineStr">
        <is>
          <t>No</t>
        </is>
      </c>
      <c r="J235" t="inlineStr">
        <is>
          <t>0</t>
        </is>
      </c>
      <c r="L235" t="inlineStr">
        <is>
          <t>New Haven, [Conn.] : Yale University Press, [1921-1950].</t>
        </is>
      </c>
      <c r="M235" t="inlineStr">
        <is>
          <t>1921</t>
        </is>
      </c>
      <c r="O235" t="inlineStr">
        <is>
          <t>eng</t>
        </is>
      </c>
      <c r="P235" t="inlineStr">
        <is>
          <t xml:space="preserve">xx </t>
        </is>
      </c>
      <c r="R235" t="inlineStr">
        <is>
          <t xml:space="preserve">E  </t>
        </is>
      </c>
      <c r="S235" t="n">
        <v>0</v>
      </c>
      <c r="T235" t="n">
        <v>6</v>
      </c>
      <c r="V235" t="inlineStr">
        <is>
          <t>2000-12-12</t>
        </is>
      </c>
      <c r="W235" t="inlineStr">
        <is>
          <t>1996-09-30</t>
        </is>
      </c>
      <c r="X235" t="inlineStr">
        <is>
          <t>1996-09-30</t>
        </is>
      </c>
      <c r="Y235" t="n">
        <v>165</v>
      </c>
      <c r="Z235" t="n">
        <v>162</v>
      </c>
      <c r="AA235" t="n">
        <v>286</v>
      </c>
      <c r="AB235" t="n">
        <v>4</v>
      </c>
      <c r="AC235" t="n">
        <v>4</v>
      </c>
      <c r="AD235" t="n">
        <v>5</v>
      </c>
      <c r="AE235" t="n">
        <v>9</v>
      </c>
      <c r="AF235" t="n">
        <v>2</v>
      </c>
      <c r="AG235" t="n">
        <v>4</v>
      </c>
      <c r="AH235" t="n">
        <v>2</v>
      </c>
      <c r="AI235" t="n">
        <v>2</v>
      </c>
      <c r="AJ235" t="n">
        <v>0</v>
      </c>
      <c r="AK235" t="n">
        <v>1</v>
      </c>
      <c r="AL235" t="n">
        <v>2</v>
      </c>
      <c r="AM235" t="n">
        <v>2</v>
      </c>
      <c r="AN235" t="n">
        <v>0</v>
      </c>
      <c r="AO235" t="n">
        <v>1</v>
      </c>
      <c r="AP235" t="inlineStr">
        <is>
          <t>Yes</t>
        </is>
      </c>
      <c r="AQ235" t="inlineStr">
        <is>
          <t>No</t>
        </is>
      </c>
      <c r="AR235">
        <f>HYPERLINK("http://catalog.hathitrust.org/Record/100102938","HathiTrust Record")</f>
        <v/>
      </c>
      <c r="AS235">
        <f>HYPERLINK("https://creighton-primo.hosted.exlibrisgroup.com/primo-explore/search?tab=default_tab&amp;search_scope=EVERYTHING&amp;vid=01CRU&amp;lang=en_US&amp;offset=0&amp;query=any,contains,991004478349702656","Catalog Record")</f>
        <v/>
      </c>
      <c r="AT235">
        <f>HYPERLINK("http://www.worldcat.org/oclc/736786","WorldCat Record")</f>
        <v/>
      </c>
      <c r="AU235" t="inlineStr">
        <is>
          <t>1011362558:eng</t>
        </is>
      </c>
      <c r="AV235" t="inlineStr">
        <is>
          <t>736786</t>
        </is>
      </c>
      <c r="AW235" t="inlineStr">
        <is>
          <t>991004478349702656</t>
        </is>
      </c>
      <c r="AX235" t="inlineStr">
        <is>
          <t>991004478349702656</t>
        </is>
      </c>
      <c r="AY235" t="inlineStr">
        <is>
          <t>2270428300002656</t>
        </is>
      </c>
      <c r="AZ235" t="inlineStr">
        <is>
          <t>BOOK</t>
        </is>
      </c>
      <c r="BC235" t="inlineStr">
        <is>
          <t>32285002309192</t>
        </is>
      </c>
      <c r="BD235" t="inlineStr">
        <is>
          <t>893350053</t>
        </is>
      </c>
    </row>
    <row r="236">
      <c r="A236" t="inlineStr">
        <is>
          <t>No</t>
        </is>
      </c>
      <c r="B236" t="inlineStr">
        <is>
          <t>E173 .C55</t>
        </is>
      </c>
      <c r="C236" t="inlineStr">
        <is>
          <t>0                      E  0173000C  55</t>
        </is>
      </c>
      <c r="D236" t="inlineStr">
        <is>
          <t>The Chronicles of America series / Allen Johnson, editor, Gerhard R. Lomer, Charles W. Jefferys, assistant editors.</t>
        </is>
      </c>
      <c r="E236" t="inlineStr">
        <is>
          <t>V.43</t>
        </is>
      </c>
      <c r="F236" t="inlineStr">
        <is>
          <t>Yes</t>
        </is>
      </c>
      <c r="G236" t="inlineStr">
        <is>
          <t>1</t>
        </is>
      </c>
      <c r="H236" t="inlineStr">
        <is>
          <t>No</t>
        </is>
      </c>
      <c r="I236" t="inlineStr">
        <is>
          <t>No</t>
        </is>
      </c>
      <c r="J236" t="inlineStr">
        <is>
          <t>0</t>
        </is>
      </c>
      <c r="L236" t="inlineStr">
        <is>
          <t>New Haven, [Conn.] : Yale University Press, [1921-1950].</t>
        </is>
      </c>
      <c r="M236" t="inlineStr">
        <is>
          <t>1921</t>
        </is>
      </c>
      <c r="O236" t="inlineStr">
        <is>
          <t>eng</t>
        </is>
      </c>
      <c r="P236" t="inlineStr">
        <is>
          <t xml:space="preserve">xx </t>
        </is>
      </c>
      <c r="R236" t="inlineStr">
        <is>
          <t xml:space="preserve">E  </t>
        </is>
      </c>
      <c r="S236" t="n">
        <v>0</v>
      </c>
      <c r="T236" t="n">
        <v>6</v>
      </c>
      <c r="V236" t="inlineStr">
        <is>
          <t>2000-12-12</t>
        </is>
      </c>
      <c r="W236" t="inlineStr">
        <is>
          <t>1996-09-30</t>
        </is>
      </c>
      <c r="X236" t="inlineStr">
        <is>
          <t>1996-09-30</t>
        </is>
      </c>
      <c r="Y236" t="n">
        <v>165</v>
      </c>
      <c r="Z236" t="n">
        <v>162</v>
      </c>
      <c r="AA236" t="n">
        <v>286</v>
      </c>
      <c r="AB236" t="n">
        <v>4</v>
      </c>
      <c r="AC236" t="n">
        <v>4</v>
      </c>
      <c r="AD236" t="n">
        <v>5</v>
      </c>
      <c r="AE236" t="n">
        <v>9</v>
      </c>
      <c r="AF236" t="n">
        <v>2</v>
      </c>
      <c r="AG236" t="n">
        <v>4</v>
      </c>
      <c r="AH236" t="n">
        <v>2</v>
      </c>
      <c r="AI236" t="n">
        <v>2</v>
      </c>
      <c r="AJ236" t="n">
        <v>0</v>
      </c>
      <c r="AK236" t="n">
        <v>1</v>
      </c>
      <c r="AL236" t="n">
        <v>2</v>
      </c>
      <c r="AM236" t="n">
        <v>2</v>
      </c>
      <c r="AN236" t="n">
        <v>0</v>
      </c>
      <c r="AO236" t="n">
        <v>1</v>
      </c>
      <c r="AP236" t="inlineStr">
        <is>
          <t>Yes</t>
        </is>
      </c>
      <c r="AQ236" t="inlineStr">
        <is>
          <t>No</t>
        </is>
      </c>
      <c r="AR236">
        <f>HYPERLINK("http://catalog.hathitrust.org/Record/100102938","HathiTrust Record")</f>
        <v/>
      </c>
      <c r="AS236">
        <f>HYPERLINK("https://creighton-primo.hosted.exlibrisgroup.com/primo-explore/search?tab=default_tab&amp;search_scope=EVERYTHING&amp;vid=01CRU&amp;lang=en_US&amp;offset=0&amp;query=any,contains,991004478349702656","Catalog Record")</f>
        <v/>
      </c>
      <c r="AT236">
        <f>HYPERLINK("http://www.worldcat.org/oclc/736786","WorldCat Record")</f>
        <v/>
      </c>
      <c r="AU236" t="inlineStr">
        <is>
          <t>1011362558:eng</t>
        </is>
      </c>
      <c r="AV236" t="inlineStr">
        <is>
          <t>736786</t>
        </is>
      </c>
      <c r="AW236" t="inlineStr">
        <is>
          <t>991004478349702656</t>
        </is>
      </c>
      <c r="AX236" t="inlineStr">
        <is>
          <t>991004478349702656</t>
        </is>
      </c>
      <c r="AY236" t="inlineStr">
        <is>
          <t>2270428300002656</t>
        </is>
      </c>
      <c r="AZ236" t="inlineStr">
        <is>
          <t>BOOK</t>
        </is>
      </c>
      <c r="BC236" t="inlineStr">
        <is>
          <t>32285002309432</t>
        </is>
      </c>
      <c r="BD236" t="inlineStr">
        <is>
          <t>893350052</t>
        </is>
      </c>
    </row>
    <row r="237">
      <c r="A237" t="inlineStr">
        <is>
          <t>No</t>
        </is>
      </c>
      <c r="B237" t="inlineStr">
        <is>
          <t>E173 .C55</t>
        </is>
      </c>
      <c r="C237" t="inlineStr">
        <is>
          <t>0                      E  0173000C  55</t>
        </is>
      </c>
      <c r="D237" t="inlineStr">
        <is>
          <t>The Chronicles of America series / Allen Johnson, editor, Gerhard R. Lomer, Charles W. Jefferys, assistant editors.</t>
        </is>
      </c>
      <c r="E237" t="inlineStr">
        <is>
          <t>V.49</t>
        </is>
      </c>
      <c r="F237" t="inlineStr">
        <is>
          <t>Yes</t>
        </is>
      </c>
      <c r="G237" t="inlineStr">
        <is>
          <t>1</t>
        </is>
      </c>
      <c r="H237" t="inlineStr">
        <is>
          <t>No</t>
        </is>
      </c>
      <c r="I237" t="inlineStr">
        <is>
          <t>No</t>
        </is>
      </c>
      <c r="J237" t="inlineStr">
        <is>
          <t>0</t>
        </is>
      </c>
      <c r="L237" t="inlineStr">
        <is>
          <t>New Haven, [Conn.] : Yale University Press, [1921-1950].</t>
        </is>
      </c>
      <c r="M237" t="inlineStr">
        <is>
          <t>1921</t>
        </is>
      </c>
      <c r="O237" t="inlineStr">
        <is>
          <t>eng</t>
        </is>
      </c>
      <c r="P237" t="inlineStr">
        <is>
          <t xml:space="preserve">xx </t>
        </is>
      </c>
      <c r="R237" t="inlineStr">
        <is>
          <t xml:space="preserve">E  </t>
        </is>
      </c>
      <c r="S237" t="n">
        <v>0</v>
      </c>
      <c r="T237" t="n">
        <v>6</v>
      </c>
      <c r="V237" t="inlineStr">
        <is>
          <t>2000-12-12</t>
        </is>
      </c>
      <c r="W237" t="inlineStr">
        <is>
          <t>1996-09-30</t>
        </is>
      </c>
      <c r="X237" t="inlineStr">
        <is>
          <t>1996-09-30</t>
        </is>
      </c>
      <c r="Y237" t="n">
        <v>165</v>
      </c>
      <c r="Z237" t="n">
        <v>162</v>
      </c>
      <c r="AA237" t="n">
        <v>286</v>
      </c>
      <c r="AB237" t="n">
        <v>4</v>
      </c>
      <c r="AC237" t="n">
        <v>4</v>
      </c>
      <c r="AD237" t="n">
        <v>5</v>
      </c>
      <c r="AE237" t="n">
        <v>9</v>
      </c>
      <c r="AF237" t="n">
        <v>2</v>
      </c>
      <c r="AG237" t="n">
        <v>4</v>
      </c>
      <c r="AH237" t="n">
        <v>2</v>
      </c>
      <c r="AI237" t="n">
        <v>2</v>
      </c>
      <c r="AJ237" t="n">
        <v>0</v>
      </c>
      <c r="AK237" t="n">
        <v>1</v>
      </c>
      <c r="AL237" t="n">
        <v>2</v>
      </c>
      <c r="AM237" t="n">
        <v>2</v>
      </c>
      <c r="AN237" t="n">
        <v>0</v>
      </c>
      <c r="AO237" t="n">
        <v>1</v>
      </c>
      <c r="AP237" t="inlineStr">
        <is>
          <t>Yes</t>
        </is>
      </c>
      <c r="AQ237" t="inlineStr">
        <is>
          <t>No</t>
        </is>
      </c>
      <c r="AR237">
        <f>HYPERLINK("http://catalog.hathitrust.org/Record/100102938","HathiTrust Record")</f>
        <v/>
      </c>
      <c r="AS237">
        <f>HYPERLINK("https://creighton-primo.hosted.exlibrisgroup.com/primo-explore/search?tab=default_tab&amp;search_scope=EVERYTHING&amp;vid=01CRU&amp;lang=en_US&amp;offset=0&amp;query=any,contains,991004478349702656","Catalog Record")</f>
        <v/>
      </c>
      <c r="AT237">
        <f>HYPERLINK("http://www.worldcat.org/oclc/736786","WorldCat Record")</f>
        <v/>
      </c>
      <c r="AU237" t="inlineStr">
        <is>
          <t>1011362558:eng</t>
        </is>
      </c>
      <c r="AV237" t="inlineStr">
        <is>
          <t>736786</t>
        </is>
      </c>
      <c r="AW237" t="inlineStr">
        <is>
          <t>991004478349702656</t>
        </is>
      </c>
      <c r="AX237" t="inlineStr">
        <is>
          <t>991004478349702656</t>
        </is>
      </c>
      <c r="AY237" t="inlineStr">
        <is>
          <t>2270428300002656</t>
        </is>
      </c>
      <c r="AZ237" t="inlineStr">
        <is>
          <t>BOOK</t>
        </is>
      </c>
      <c r="BC237" t="inlineStr">
        <is>
          <t>32285002309499</t>
        </is>
      </c>
      <c r="BD237" t="inlineStr">
        <is>
          <t>893331635</t>
        </is>
      </c>
    </row>
    <row r="238">
      <c r="A238" t="inlineStr">
        <is>
          <t>No</t>
        </is>
      </c>
      <c r="B238" t="inlineStr">
        <is>
          <t>E173 .C55</t>
        </is>
      </c>
      <c r="C238" t="inlineStr">
        <is>
          <t>0                      E  0173000C  55</t>
        </is>
      </c>
      <c r="D238" t="inlineStr">
        <is>
          <t>The Chronicles of America series / Allen Johnson, editor, Gerhard R. Lomer, Charles W. Jefferys, assistant editors.</t>
        </is>
      </c>
      <c r="E238" t="inlineStr">
        <is>
          <t>V.54</t>
        </is>
      </c>
      <c r="F238" t="inlineStr">
        <is>
          <t>Yes</t>
        </is>
      </c>
      <c r="G238" t="inlineStr">
        <is>
          <t>1</t>
        </is>
      </c>
      <c r="H238" t="inlineStr">
        <is>
          <t>No</t>
        </is>
      </c>
      <c r="I238" t="inlineStr">
        <is>
          <t>No</t>
        </is>
      </c>
      <c r="J238" t="inlineStr">
        <is>
          <t>0</t>
        </is>
      </c>
      <c r="L238" t="inlineStr">
        <is>
          <t>New Haven, [Conn.] : Yale University Press, [1921-1950].</t>
        </is>
      </c>
      <c r="M238" t="inlineStr">
        <is>
          <t>1921</t>
        </is>
      </c>
      <c r="O238" t="inlineStr">
        <is>
          <t>eng</t>
        </is>
      </c>
      <c r="P238" t="inlineStr">
        <is>
          <t xml:space="preserve">xx </t>
        </is>
      </c>
      <c r="R238" t="inlineStr">
        <is>
          <t xml:space="preserve">E  </t>
        </is>
      </c>
      <c r="S238" t="n">
        <v>0</v>
      </c>
      <c r="T238" t="n">
        <v>6</v>
      </c>
      <c r="V238" t="inlineStr">
        <is>
          <t>2000-12-12</t>
        </is>
      </c>
      <c r="W238" t="inlineStr">
        <is>
          <t>1996-09-30</t>
        </is>
      </c>
      <c r="X238" t="inlineStr">
        <is>
          <t>1996-09-30</t>
        </is>
      </c>
      <c r="Y238" t="n">
        <v>165</v>
      </c>
      <c r="Z238" t="n">
        <v>162</v>
      </c>
      <c r="AA238" t="n">
        <v>286</v>
      </c>
      <c r="AB238" t="n">
        <v>4</v>
      </c>
      <c r="AC238" t="n">
        <v>4</v>
      </c>
      <c r="AD238" t="n">
        <v>5</v>
      </c>
      <c r="AE238" t="n">
        <v>9</v>
      </c>
      <c r="AF238" t="n">
        <v>2</v>
      </c>
      <c r="AG238" t="n">
        <v>4</v>
      </c>
      <c r="AH238" t="n">
        <v>2</v>
      </c>
      <c r="AI238" t="n">
        <v>2</v>
      </c>
      <c r="AJ238" t="n">
        <v>0</v>
      </c>
      <c r="AK238" t="n">
        <v>1</v>
      </c>
      <c r="AL238" t="n">
        <v>2</v>
      </c>
      <c r="AM238" t="n">
        <v>2</v>
      </c>
      <c r="AN238" t="n">
        <v>0</v>
      </c>
      <c r="AO238" t="n">
        <v>1</v>
      </c>
      <c r="AP238" t="inlineStr">
        <is>
          <t>Yes</t>
        </is>
      </c>
      <c r="AQ238" t="inlineStr">
        <is>
          <t>No</t>
        </is>
      </c>
      <c r="AR238">
        <f>HYPERLINK("http://catalog.hathitrust.org/Record/100102938","HathiTrust Record")</f>
        <v/>
      </c>
      <c r="AS238">
        <f>HYPERLINK("https://creighton-primo.hosted.exlibrisgroup.com/primo-explore/search?tab=default_tab&amp;search_scope=EVERYTHING&amp;vid=01CRU&amp;lang=en_US&amp;offset=0&amp;query=any,contains,991004478349702656","Catalog Record")</f>
        <v/>
      </c>
      <c r="AT238">
        <f>HYPERLINK("http://www.worldcat.org/oclc/736786","WorldCat Record")</f>
        <v/>
      </c>
      <c r="AU238" t="inlineStr">
        <is>
          <t>1011362558:eng</t>
        </is>
      </c>
      <c r="AV238" t="inlineStr">
        <is>
          <t>736786</t>
        </is>
      </c>
      <c r="AW238" t="inlineStr">
        <is>
          <t>991004478349702656</t>
        </is>
      </c>
      <c r="AX238" t="inlineStr">
        <is>
          <t>991004478349702656</t>
        </is>
      </c>
      <c r="AY238" t="inlineStr">
        <is>
          <t>2270428300002656</t>
        </is>
      </c>
      <c r="AZ238" t="inlineStr">
        <is>
          <t>BOOK</t>
        </is>
      </c>
      <c r="BC238" t="inlineStr">
        <is>
          <t>32285002309549</t>
        </is>
      </c>
      <c r="BD238" t="inlineStr">
        <is>
          <t>893319271</t>
        </is>
      </c>
    </row>
    <row r="239">
      <c r="A239" t="inlineStr">
        <is>
          <t>No</t>
        </is>
      </c>
      <c r="B239" t="inlineStr">
        <is>
          <t>E173 .C55</t>
        </is>
      </c>
      <c r="C239" t="inlineStr">
        <is>
          <t>0                      E  0173000C  55</t>
        </is>
      </c>
      <c r="D239" t="inlineStr">
        <is>
          <t>The Chronicles of America series / Allen Johnson, editor, Gerhard R. Lomer, Charles W. Jefferys, assistant editors.</t>
        </is>
      </c>
      <c r="E239" t="inlineStr">
        <is>
          <t>V.32</t>
        </is>
      </c>
      <c r="F239" t="inlineStr">
        <is>
          <t>Yes</t>
        </is>
      </c>
      <c r="G239" t="inlineStr">
        <is>
          <t>1</t>
        </is>
      </c>
      <c r="H239" t="inlineStr">
        <is>
          <t>No</t>
        </is>
      </c>
      <c r="I239" t="inlineStr">
        <is>
          <t>No</t>
        </is>
      </c>
      <c r="J239" t="inlineStr">
        <is>
          <t>0</t>
        </is>
      </c>
      <c r="L239" t="inlineStr">
        <is>
          <t>New Haven, [Conn.] : Yale University Press, [1921-1950].</t>
        </is>
      </c>
      <c r="M239" t="inlineStr">
        <is>
          <t>1921</t>
        </is>
      </c>
      <c r="O239" t="inlineStr">
        <is>
          <t>eng</t>
        </is>
      </c>
      <c r="P239" t="inlineStr">
        <is>
          <t xml:space="preserve">xx </t>
        </is>
      </c>
      <c r="R239" t="inlineStr">
        <is>
          <t xml:space="preserve">E  </t>
        </is>
      </c>
      <c r="S239" t="n">
        <v>0</v>
      </c>
      <c r="T239" t="n">
        <v>6</v>
      </c>
      <c r="V239" t="inlineStr">
        <is>
          <t>2000-12-12</t>
        </is>
      </c>
      <c r="W239" t="inlineStr">
        <is>
          <t>1996-09-30</t>
        </is>
      </c>
      <c r="X239" t="inlineStr">
        <is>
          <t>1996-09-30</t>
        </is>
      </c>
      <c r="Y239" t="n">
        <v>165</v>
      </c>
      <c r="Z239" t="n">
        <v>162</v>
      </c>
      <c r="AA239" t="n">
        <v>286</v>
      </c>
      <c r="AB239" t="n">
        <v>4</v>
      </c>
      <c r="AC239" t="n">
        <v>4</v>
      </c>
      <c r="AD239" t="n">
        <v>5</v>
      </c>
      <c r="AE239" t="n">
        <v>9</v>
      </c>
      <c r="AF239" t="n">
        <v>2</v>
      </c>
      <c r="AG239" t="n">
        <v>4</v>
      </c>
      <c r="AH239" t="n">
        <v>2</v>
      </c>
      <c r="AI239" t="n">
        <v>2</v>
      </c>
      <c r="AJ239" t="n">
        <v>0</v>
      </c>
      <c r="AK239" t="n">
        <v>1</v>
      </c>
      <c r="AL239" t="n">
        <v>2</v>
      </c>
      <c r="AM239" t="n">
        <v>2</v>
      </c>
      <c r="AN239" t="n">
        <v>0</v>
      </c>
      <c r="AO239" t="n">
        <v>1</v>
      </c>
      <c r="AP239" t="inlineStr">
        <is>
          <t>Yes</t>
        </is>
      </c>
      <c r="AQ239" t="inlineStr">
        <is>
          <t>No</t>
        </is>
      </c>
      <c r="AR239">
        <f>HYPERLINK("http://catalog.hathitrust.org/Record/100102938","HathiTrust Record")</f>
        <v/>
      </c>
      <c r="AS239">
        <f>HYPERLINK("https://creighton-primo.hosted.exlibrisgroup.com/primo-explore/search?tab=default_tab&amp;search_scope=EVERYTHING&amp;vid=01CRU&amp;lang=en_US&amp;offset=0&amp;query=any,contains,991004478349702656","Catalog Record")</f>
        <v/>
      </c>
      <c r="AT239">
        <f>HYPERLINK("http://www.worldcat.org/oclc/736786","WorldCat Record")</f>
        <v/>
      </c>
      <c r="AU239" t="inlineStr">
        <is>
          <t>1011362558:eng</t>
        </is>
      </c>
      <c r="AV239" t="inlineStr">
        <is>
          <t>736786</t>
        </is>
      </c>
      <c r="AW239" t="inlineStr">
        <is>
          <t>991004478349702656</t>
        </is>
      </c>
      <c r="AX239" t="inlineStr">
        <is>
          <t>991004478349702656</t>
        </is>
      </c>
      <c r="AY239" t="inlineStr">
        <is>
          <t>2270428300002656</t>
        </is>
      </c>
      <c r="AZ239" t="inlineStr">
        <is>
          <t>BOOK</t>
        </is>
      </c>
      <c r="BC239" t="inlineStr">
        <is>
          <t>32285002309325</t>
        </is>
      </c>
      <c r="BD239" t="inlineStr">
        <is>
          <t>893353414</t>
        </is>
      </c>
    </row>
    <row r="240">
      <c r="A240" t="inlineStr">
        <is>
          <t>No</t>
        </is>
      </c>
      <c r="B240" t="inlineStr">
        <is>
          <t>E173 .C55</t>
        </is>
      </c>
      <c r="C240" t="inlineStr">
        <is>
          <t>0                      E  0173000C  55</t>
        </is>
      </c>
      <c r="D240" t="inlineStr">
        <is>
          <t>The Chronicles of America series / Allen Johnson, editor, Gerhard R. Lomer, Charles W. Jefferys, assistant editors.</t>
        </is>
      </c>
      <c r="E240" t="inlineStr">
        <is>
          <t>V.37</t>
        </is>
      </c>
      <c r="F240" t="inlineStr">
        <is>
          <t>Yes</t>
        </is>
      </c>
      <c r="G240" t="inlineStr">
        <is>
          <t>1</t>
        </is>
      </c>
      <c r="H240" t="inlineStr">
        <is>
          <t>No</t>
        </is>
      </c>
      <c r="I240" t="inlineStr">
        <is>
          <t>No</t>
        </is>
      </c>
      <c r="J240" t="inlineStr">
        <is>
          <t>0</t>
        </is>
      </c>
      <c r="L240" t="inlineStr">
        <is>
          <t>New Haven, [Conn.] : Yale University Press, [1921-1950].</t>
        </is>
      </c>
      <c r="M240" t="inlineStr">
        <is>
          <t>1921</t>
        </is>
      </c>
      <c r="O240" t="inlineStr">
        <is>
          <t>eng</t>
        </is>
      </c>
      <c r="P240" t="inlineStr">
        <is>
          <t xml:space="preserve">xx </t>
        </is>
      </c>
      <c r="R240" t="inlineStr">
        <is>
          <t xml:space="preserve">E  </t>
        </is>
      </c>
      <c r="S240" t="n">
        <v>0</v>
      </c>
      <c r="T240" t="n">
        <v>6</v>
      </c>
      <c r="V240" t="inlineStr">
        <is>
          <t>2000-12-12</t>
        </is>
      </c>
      <c r="W240" t="inlineStr">
        <is>
          <t>1996-09-30</t>
        </is>
      </c>
      <c r="X240" t="inlineStr">
        <is>
          <t>1996-09-30</t>
        </is>
      </c>
      <c r="Y240" t="n">
        <v>165</v>
      </c>
      <c r="Z240" t="n">
        <v>162</v>
      </c>
      <c r="AA240" t="n">
        <v>286</v>
      </c>
      <c r="AB240" t="n">
        <v>4</v>
      </c>
      <c r="AC240" t="n">
        <v>4</v>
      </c>
      <c r="AD240" t="n">
        <v>5</v>
      </c>
      <c r="AE240" t="n">
        <v>9</v>
      </c>
      <c r="AF240" t="n">
        <v>2</v>
      </c>
      <c r="AG240" t="n">
        <v>4</v>
      </c>
      <c r="AH240" t="n">
        <v>2</v>
      </c>
      <c r="AI240" t="n">
        <v>2</v>
      </c>
      <c r="AJ240" t="n">
        <v>0</v>
      </c>
      <c r="AK240" t="n">
        <v>1</v>
      </c>
      <c r="AL240" t="n">
        <v>2</v>
      </c>
      <c r="AM240" t="n">
        <v>2</v>
      </c>
      <c r="AN240" t="n">
        <v>0</v>
      </c>
      <c r="AO240" t="n">
        <v>1</v>
      </c>
      <c r="AP240" t="inlineStr">
        <is>
          <t>Yes</t>
        </is>
      </c>
      <c r="AQ240" t="inlineStr">
        <is>
          <t>No</t>
        </is>
      </c>
      <c r="AR240">
        <f>HYPERLINK("http://catalog.hathitrust.org/Record/100102938","HathiTrust Record")</f>
        <v/>
      </c>
      <c r="AS240">
        <f>HYPERLINK("https://creighton-primo.hosted.exlibrisgroup.com/primo-explore/search?tab=default_tab&amp;search_scope=EVERYTHING&amp;vid=01CRU&amp;lang=en_US&amp;offset=0&amp;query=any,contains,991004478349702656","Catalog Record")</f>
        <v/>
      </c>
      <c r="AT240">
        <f>HYPERLINK("http://www.worldcat.org/oclc/736786","WorldCat Record")</f>
        <v/>
      </c>
      <c r="AU240" t="inlineStr">
        <is>
          <t>1011362558:eng</t>
        </is>
      </c>
      <c r="AV240" t="inlineStr">
        <is>
          <t>736786</t>
        </is>
      </c>
      <c r="AW240" t="inlineStr">
        <is>
          <t>991004478349702656</t>
        </is>
      </c>
      <c r="AX240" t="inlineStr">
        <is>
          <t>991004478349702656</t>
        </is>
      </c>
      <c r="AY240" t="inlineStr">
        <is>
          <t>2270428300002656</t>
        </is>
      </c>
      <c r="AZ240" t="inlineStr">
        <is>
          <t>BOOK</t>
        </is>
      </c>
      <c r="BC240" t="inlineStr">
        <is>
          <t>32285002309374</t>
        </is>
      </c>
      <c r="BD240" t="inlineStr">
        <is>
          <t>893331629</t>
        </is>
      </c>
    </row>
    <row r="241">
      <c r="A241" t="inlineStr">
        <is>
          <t>No</t>
        </is>
      </c>
      <c r="B241" t="inlineStr">
        <is>
          <t>E173 .C55</t>
        </is>
      </c>
      <c r="C241" t="inlineStr">
        <is>
          <t>0                      E  0173000C  55</t>
        </is>
      </c>
      <c r="D241" t="inlineStr">
        <is>
          <t>The Chronicles of America series / Allen Johnson, editor, Gerhard R. Lomer, Charles W. Jefferys, assistant editors.</t>
        </is>
      </c>
      <c r="E241" t="inlineStr">
        <is>
          <t>V.31</t>
        </is>
      </c>
      <c r="F241" t="inlineStr">
        <is>
          <t>Yes</t>
        </is>
      </c>
      <c r="G241" t="inlineStr">
        <is>
          <t>1</t>
        </is>
      </c>
      <c r="H241" t="inlineStr">
        <is>
          <t>No</t>
        </is>
      </c>
      <c r="I241" t="inlineStr">
        <is>
          <t>No</t>
        </is>
      </c>
      <c r="J241" t="inlineStr">
        <is>
          <t>0</t>
        </is>
      </c>
      <c r="L241" t="inlineStr">
        <is>
          <t>New Haven, [Conn.] : Yale University Press, [1921-1950].</t>
        </is>
      </c>
      <c r="M241" t="inlineStr">
        <is>
          <t>1921</t>
        </is>
      </c>
      <c r="O241" t="inlineStr">
        <is>
          <t>eng</t>
        </is>
      </c>
      <c r="P241" t="inlineStr">
        <is>
          <t xml:space="preserve">xx </t>
        </is>
      </c>
      <c r="R241" t="inlineStr">
        <is>
          <t xml:space="preserve">E  </t>
        </is>
      </c>
      <c r="S241" t="n">
        <v>0</v>
      </c>
      <c r="T241" t="n">
        <v>6</v>
      </c>
      <c r="V241" t="inlineStr">
        <is>
          <t>2000-12-12</t>
        </is>
      </c>
      <c r="W241" t="inlineStr">
        <is>
          <t>1996-09-30</t>
        </is>
      </c>
      <c r="X241" t="inlineStr">
        <is>
          <t>1996-09-30</t>
        </is>
      </c>
      <c r="Y241" t="n">
        <v>165</v>
      </c>
      <c r="Z241" t="n">
        <v>162</v>
      </c>
      <c r="AA241" t="n">
        <v>286</v>
      </c>
      <c r="AB241" t="n">
        <v>4</v>
      </c>
      <c r="AC241" t="n">
        <v>4</v>
      </c>
      <c r="AD241" t="n">
        <v>5</v>
      </c>
      <c r="AE241" t="n">
        <v>9</v>
      </c>
      <c r="AF241" t="n">
        <v>2</v>
      </c>
      <c r="AG241" t="n">
        <v>4</v>
      </c>
      <c r="AH241" t="n">
        <v>2</v>
      </c>
      <c r="AI241" t="n">
        <v>2</v>
      </c>
      <c r="AJ241" t="n">
        <v>0</v>
      </c>
      <c r="AK241" t="n">
        <v>1</v>
      </c>
      <c r="AL241" t="n">
        <v>2</v>
      </c>
      <c r="AM241" t="n">
        <v>2</v>
      </c>
      <c r="AN241" t="n">
        <v>0</v>
      </c>
      <c r="AO241" t="n">
        <v>1</v>
      </c>
      <c r="AP241" t="inlineStr">
        <is>
          <t>Yes</t>
        </is>
      </c>
      <c r="AQ241" t="inlineStr">
        <is>
          <t>No</t>
        </is>
      </c>
      <c r="AR241">
        <f>HYPERLINK("http://catalog.hathitrust.org/Record/100102938","HathiTrust Record")</f>
        <v/>
      </c>
      <c r="AS241">
        <f>HYPERLINK("https://creighton-primo.hosted.exlibrisgroup.com/primo-explore/search?tab=default_tab&amp;search_scope=EVERYTHING&amp;vid=01CRU&amp;lang=en_US&amp;offset=0&amp;query=any,contains,991004478349702656","Catalog Record")</f>
        <v/>
      </c>
      <c r="AT241">
        <f>HYPERLINK("http://www.worldcat.org/oclc/736786","WorldCat Record")</f>
        <v/>
      </c>
      <c r="AU241" t="inlineStr">
        <is>
          <t>1011362558:eng</t>
        </is>
      </c>
      <c r="AV241" t="inlineStr">
        <is>
          <t>736786</t>
        </is>
      </c>
      <c r="AW241" t="inlineStr">
        <is>
          <t>991004478349702656</t>
        </is>
      </c>
      <c r="AX241" t="inlineStr">
        <is>
          <t>991004478349702656</t>
        </is>
      </c>
      <c r="AY241" t="inlineStr">
        <is>
          <t>2270428300002656</t>
        </is>
      </c>
      <c r="AZ241" t="inlineStr">
        <is>
          <t>BOOK</t>
        </is>
      </c>
      <c r="BC241" t="inlineStr">
        <is>
          <t>32285002309317</t>
        </is>
      </c>
      <c r="BD241" t="inlineStr">
        <is>
          <t>893350049</t>
        </is>
      </c>
    </row>
    <row r="242">
      <c r="A242" t="inlineStr">
        <is>
          <t>No</t>
        </is>
      </c>
      <c r="B242" t="inlineStr">
        <is>
          <t>E173 .C55</t>
        </is>
      </c>
      <c r="C242" t="inlineStr">
        <is>
          <t>0                      E  0173000C  55</t>
        </is>
      </c>
      <c r="D242" t="inlineStr">
        <is>
          <t>The Chronicles of America series / Allen Johnson, editor, Gerhard R. Lomer, Charles W. Jefferys, assistant editors.</t>
        </is>
      </c>
      <c r="E242" t="inlineStr">
        <is>
          <t>V.14</t>
        </is>
      </c>
      <c r="F242" t="inlineStr">
        <is>
          <t>Yes</t>
        </is>
      </c>
      <c r="G242" t="inlineStr">
        <is>
          <t>1</t>
        </is>
      </c>
      <c r="H242" t="inlineStr">
        <is>
          <t>No</t>
        </is>
      </c>
      <c r="I242" t="inlineStr">
        <is>
          <t>No</t>
        </is>
      </c>
      <c r="J242" t="inlineStr">
        <is>
          <t>0</t>
        </is>
      </c>
      <c r="L242" t="inlineStr">
        <is>
          <t>New Haven, [Conn.] : Yale University Press, [1921-1950].</t>
        </is>
      </c>
      <c r="M242" t="inlineStr">
        <is>
          <t>1921</t>
        </is>
      </c>
      <c r="O242" t="inlineStr">
        <is>
          <t>eng</t>
        </is>
      </c>
      <c r="P242" t="inlineStr">
        <is>
          <t xml:space="preserve">xx </t>
        </is>
      </c>
      <c r="R242" t="inlineStr">
        <is>
          <t xml:space="preserve">E  </t>
        </is>
      </c>
      <c r="S242" t="n">
        <v>0</v>
      </c>
      <c r="T242" t="n">
        <v>6</v>
      </c>
      <c r="V242" t="inlineStr">
        <is>
          <t>2000-12-12</t>
        </is>
      </c>
      <c r="W242" t="inlineStr">
        <is>
          <t>1996-09-30</t>
        </is>
      </c>
      <c r="X242" t="inlineStr">
        <is>
          <t>1996-09-30</t>
        </is>
      </c>
      <c r="Y242" t="n">
        <v>165</v>
      </c>
      <c r="Z242" t="n">
        <v>162</v>
      </c>
      <c r="AA242" t="n">
        <v>286</v>
      </c>
      <c r="AB242" t="n">
        <v>4</v>
      </c>
      <c r="AC242" t="n">
        <v>4</v>
      </c>
      <c r="AD242" t="n">
        <v>5</v>
      </c>
      <c r="AE242" t="n">
        <v>9</v>
      </c>
      <c r="AF242" t="n">
        <v>2</v>
      </c>
      <c r="AG242" t="n">
        <v>4</v>
      </c>
      <c r="AH242" t="n">
        <v>2</v>
      </c>
      <c r="AI242" t="n">
        <v>2</v>
      </c>
      <c r="AJ242" t="n">
        <v>0</v>
      </c>
      <c r="AK242" t="n">
        <v>1</v>
      </c>
      <c r="AL242" t="n">
        <v>2</v>
      </c>
      <c r="AM242" t="n">
        <v>2</v>
      </c>
      <c r="AN242" t="n">
        <v>0</v>
      </c>
      <c r="AO242" t="n">
        <v>1</v>
      </c>
      <c r="AP242" t="inlineStr">
        <is>
          <t>Yes</t>
        </is>
      </c>
      <c r="AQ242" t="inlineStr">
        <is>
          <t>No</t>
        </is>
      </c>
      <c r="AR242">
        <f>HYPERLINK("http://catalog.hathitrust.org/Record/100102938","HathiTrust Record")</f>
        <v/>
      </c>
      <c r="AS242">
        <f>HYPERLINK("https://creighton-primo.hosted.exlibrisgroup.com/primo-explore/search?tab=default_tab&amp;search_scope=EVERYTHING&amp;vid=01CRU&amp;lang=en_US&amp;offset=0&amp;query=any,contains,991004478349702656","Catalog Record")</f>
        <v/>
      </c>
      <c r="AT242">
        <f>HYPERLINK("http://www.worldcat.org/oclc/736786","WorldCat Record")</f>
        <v/>
      </c>
      <c r="AU242" t="inlineStr">
        <is>
          <t>1011362558:eng</t>
        </is>
      </c>
      <c r="AV242" t="inlineStr">
        <is>
          <t>736786</t>
        </is>
      </c>
      <c r="AW242" t="inlineStr">
        <is>
          <t>991004478349702656</t>
        </is>
      </c>
      <c r="AX242" t="inlineStr">
        <is>
          <t>991004478349702656</t>
        </is>
      </c>
      <c r="AY242" t="inlineStr">
        <is>
          <t>2270428300002656</t>
        </is>
      </c>
      <c r="AZ242" t="inlineStr">
        <is>
          <t>BOOK</t>
        </is>
      </c>
      <c r="BC242" t="inlineStr">
        <is>
          <t>32285002309143</t>
        </is>
      </c>
      <c r="BD242" t="inlineStr">
        <is>
          <t>893350041</t>
        </is>
      </c>
    </row>
    <row r="243">
      <c r="A243" t="inlineStr">
        <is>
          <t>No</t>
        </is>
      </c>
      <c r="B243" t="inlineStr">
        <is>
          <t>E173 .C55</t>
        </is>
      </c>
      <c r="C243" t="inlineStr">
        <is>
          <t>0                      E  0173000C  55</t>
        </is>
      </c>
      <c r="D243" t="inlineStr">
        <is>
          <t>The Chronicles of America series / Allen Johnson, editor, Gerhard R. Lomer, Charles W. Jefferys, assistant editors.</t>
        </is>
      </c>
      <c r="E243" t="inlineStr">
        <is>
          <t>V.18</t>
        </is>
      </c>
      <c r="F243" t="inlineStr">
        <is>
          <t>Yes</t>
        </is>
      </c>
      <c r="G243" t="inlineStr">
        <is>
          <t>1</t>
        </is>
      </c>
      <c r="H243" t="inlineStr">
        <is>
          <t>No</t>
        </is>
      </c>
      <c r="I243" t="inlineStr">
        <is>
          <t>No</t>
        </is>
      </c>
      <c r="J243" t="inlineStr">
        <is>
          <t>0</t>
        </is>
      </c>
      <c r="L243" t="inlineStr">
        <is>
          <t>New Haven, [Conn.] : Yale University Press, [1921-1950].</t>
        </is>
      </c>
      <c r="M243" t="inlineStr">
        <is>
          <t>1921</t>
        </is>
      </c>
      <c r="O243" t="inlineStr">
        <is>
          <t>eng</t>
        </is>
      </c>
      <c r="P243" t="inlineStr">
        <is>
          <t xml:space="preserve">xx </t>
        </is>
      </c>
      <c r="R243" t="inlineStr">
        <is>
          <t xml:space="preserve">E  </t>
        </is>
      </c>
      <c r="S243" t="n">
        <v>0</v>
      </c>
      <c r="T243" t="n">
        <v>6</v>
      </c>
      <c r="V243" t="inlineStr">
        <is>
          <t>2000-12-12</t>
        </is>
      </c>
      <c r="W243" t="inlineStr">
        <is>
          <t>1996-09-30</t>
        </is>
      </c>
      <c r="X243" t="inlineStr">
        <is>
          <t>1996-09-30</t>
        </is>
      </c>
      <c r="Y243" t="n">
        <v>165</v>
      </c>
      <c r="Z243" t="n">
        <v>162</v>
      </c>
      <c r="AA243" t="n">
        <v>286</v>
      </c>
      <c r="AB243" t="n">
        <v>4</v>
      </c>
      <c r="AC243" t="n">
        <v>4</v>
      </c>
      <c r="AD243" t="n">
        <v>5</v>
      </c>
      <c r="AE243" t="n">
        <v>9</v>
      </c>
      <c r="AF243" t="n">
        <v>2</v>
      </c>
      <c r="AG243" t="n">
        <v>4</v>
      </c>
      <c r="AH243" t="n">
        <v>2</v>
      </c>
      <c r="AI243" t="n">
        <v>2</v>
      </c>
      <c r="AJ243" t="n">
        <v>0</v>
      </c>
      <c r="AK243" t="n">
        <v>1</v>
      </c>
      <c r="AL243" t="n">
        <v>2</v>
      </c>
      <c r="AM243" t="n">
        <v>2</v>
      </c>
      <c r="AN243" t="n">
        <v>0</v>
      </c>
      <c r="AO243" t="n">
        <v>1</v>
      </c>
      <c r="AP243" t="inlineStr">
        <is>
          <t>Yes</t>
        </is>
      </c>
      <c r="AQ243" t="inlineStr">
        <is>
          <t>No</t>
        </is>
      </c>
      <c r="AR243">
        <f>HYPERLINK("http://catalog.hathitrust.org/Record/100102938","HathiTrust Record")</f>
        <v/>
      </c>
      <c r="AS243">
        <f>HYPERLINK("https://creighton-primo.hosted.exlibrisgroup.com/primo-explore/search?tab=default_tab&amp;search_scope=EVERYTHING&amp;vid=01CRU&amp;lang=en_US&amp;offset=0&amp;query=any,contains,991004478349702656","Catalog Record")</f>
        <v/>
      </c>
      <c r="AT243">
        <f>HYPERLINK("http://www.worldcat.org/oclc/736786","WorldCat Record")</f>
        <v/>
      </c>
      <c r="AU243" t="inlineStr">
        <is>
          <t>1011362558:eng</t>
        </is>
      </c>
      <c r="AV243" t="inlineStr">
        <is>
          <t>736786</t>
        </is>
      </c>
      <c r="AW243" t="inlineStr">
        <is>
          <t>991004478349702656</t>
        </is>
      </c>
      <c r="AX243" t="inlineStr">
        <is>
          <t>991004478349702656</t>
        </is>
      </c>
      <c r="AY243" t="inlineStr">
        <is>
          <t>2270428300002656</t>
        </is>
      </c>
      <c r="AZ243" t="inlineStr">
        <is>
          <t>BOOK</t>
        </is>
      </c>
      <c r="BC243" t="inlineStr">
        <is>
          <t>32285002309184</t>
        </is>
      </c>
      <c r="BD243" t="inlineStr">
        <is>
          <t>893350054</t>
        </is>
      </c>
    </row>
    <row r="244">
      <c r="A244" t="inlineStr">
        <is>
          <t>No</t>
        </is>
      </c>
      <c r="B244" t="inlineStr">
        <is>
          <t>E173 .C55</t>
        </is>
      </c>
      <c r="C244" t="inlineStr">
        <is>
          <t>0                      E  0173000C  55</t>
        </is>
      </c>
      <c r="D244" t="inlineStr">
        <is>
          <t>The Chronicles of America series / Allen Johnson, editor, Gerhard R. Lomer, Charles W. Jefferys, assistant editors.</t>
        </is>
      </c>
      <c r="E244" t="inlineStr">
        <is>
          <t>V.5</t>
        </is>
      </c>
      <c r="F244" t="inlineStr">
        <is>
          <t>Yes</t>
        </is>
      </c>
      <c r="G244" t="inlineStr">
        <is>
          <t>1</t>
        </is>
      </c>
      <c r="H244" t="inlineStr">
        <is>
          <t>No</t>
        </is>
      </c>
      <c r="I244" t="inlineStr">
        <is>
          <t>No</t>
        </is>
      </c>
      <c r="J244" t="inlineStr">
        <is>
          <t>0</t>
        </is>
      </c>
      <c r="L244" t="inlineStr">
        <is>
          <t>New Haven, [Conn.] : Yale University Press, [1921-1950].</t>
        </is>
      </c>
      <c r="M244" t="inlineStr">
        <is>
          <t>1921</t>
        </is>
      </c>
      <c r="O244" t="inlineStr">
        <is>
          <t>eng</t>
        </is>
      </c>
      <c r="P244" t="inlineStr">
        <is>
          <t xml:space="preserve">xx </t>
        </is>
      </c>
      <c r="R244" t="inlineStr">
        <is>
          <t xml:space="preserve">E  </t>
        </is>
      </c>
      <c r="S244" t="n">
        <v>0</v>
      </c>
      <c r="T244" t="n">
        <v>6</v>
      </c>
      <c r="V244" t="inlineStr">
        <is>
          <t>2000-12-12</t>
        </is>
      </c>
      <c r="W244" t="inlineStr">
        <is>
          <t>1996-09-30</t>
        </is>
      </c>
      <c r="X244" t="inlineStr">
        <is>
          <t>1996-09-30</t>
        </is>
      </c>
      <c r="Y244" t="n">
        <v>165</v>
      </c>
      <c r="Z244" t="n">
        <v>162</v>
      </c>
      <c r="AA244" t="n">
        <v>286</v>
      </c>
      <c r="AB244" t="n">
        <v>4</v>
      </c>
      <c r="AC244" t="n">
        <v>4</v>
      </c>
      <c r="AD244" t="n">
        <v>5</v>
      </c>
      <c r="AE244" t="n">
        <v>9</v>
      </c>
      <c r="AF244" t="n">
        <v>2</v>
      </c>
      <c r="AG244" t="n">
        <v>4</v>
      </c>
      <c r="AH244" t="n">
        <v>2</v>
      </c>
      <c r="AI244" t="n">
        <v>2</v>
      </c>
      <c r="AJ244" t="n">
        <v>0</v>
      </c>
      <c r="AK244" t="n">
        <v>1</v>
      </c>
      <c r="AL244" t="n">
        <v>2</v>
      </c>
      <c r="AM244" t="n">
        <v>2</v>
      </c>
      <c r="AN244" t="n">
        <v>0</v>
      </c>
      <c r="AO244" t="n">
        <v>1</v>
      </c>
      <c r="AP244" t="inlineStr">
        <is>
          <t>Yes</t>
        </is>
      </c>
      <c r="AQ244" t="inlineStr">
        <is>
          <t>No</t>
        </is>
      </c>
      <c r="AR244">
        <f>HYPERLINK("http://catalog.hathitrust.org/Record/100102938","HathiTrust Record")</f>
        <v/>
      </c>
      <c r="AS244">
        <f>HYPERLINK("https://creighton-primo.hosted.exlibrisgroup.com/primo-explore/search?tab=default_tab&amp;search_scope=EVERYTHING&amp;vid=01CRU&amp;lang=en_US&amp;offset=0&amp;query=any,contains,991004478349702656","Catalog Record")</f>
        <v/>
      </c>
      <c r="AT244">
        <f>HYPERLINK("http://www.worldcat.org/oclc/736786","WorldCat Record")</f>
        <v/>
      </c>
      <c r="AU244" t="inlineStr">
        <is>
          <t>1011362558:eng</t>
        </is>
      </c>
      <c r="AV244" t="inlineStr">
        <is>
          <t>736786</t>
        </is>
      </c>
      <c r="AW244" t="inlineStr">
        <is>
          <t>991004478349702656</t>
        </is>
      </c>
      <c r="AX244" t="inlineStr">
        <is>
          <t>991004478349702656</t>
        </is>
      </c>
      <c r="AY244" t="inlineStr">
        <is>
          <t>2270428300002656</t>
        </is>
      </c>
      <c r="AZ244" t="inlineStr">
        <is>
          <t>BOOK</t>
        </is>
      </c>
      <c r="BC244" t="inlineStr">
        <is>
          <t>32285002309051</t>
        </is>
      </c>
      <c r="BD244" t="inlineStr">
        <is>
          <t>893350046</t>
        </is>
      </c>
    </row>
    <row r="245">
      <c r="A245" t="inlineStr">
        <is>
          <t>No</t>
        </is>
      </c>
      <c r="B245" t="inlineStr">
        <is>
          <t>E173 .C55</t>
        </is>
      </c>
      <c r="C245" t="inlineStr">
        <is>
          <t>0                      E  0173000C  55</t>
        </is>
      </c>
      <c r="D245" t="inlineStr">
        <is>
          <t>The Chronicles of America series / Allen Johnson, editor, Gerhard R. Lomer, Charles W. Jefferys, assistant editors.</t>
        </is>
      </c>
      <c r="E245" t="inlineStr">
        <is>
          <t>V.46</t>
        </is>
      </c>
      <c r="F245" t="inlineStr">
        <is>
          <t>Yes</t>
        </is>
      </c>
      <c r="G245" t="inlineStr">
        <is>
          <t>1</t>
        </is>
      </c>
      <c r="H245" t="inlineStr">
        <is>
          <t>No</t>
        </is>
      </c>
      <c r="I245" t="inlineStr">
        <is>
          <t>No</t>
        </is>
      </c>
      <c r="J245" t="inlineStr">
        <is>
          <t>0</t>
        </is>
      </c>
      <c r="L245" t="inlineStr">
        <is>
          <t>New Haven, [Conn.] : Yale University Press, [1921-1950].</t>
        </is>
      </c>
      <c r="M245" t="inlineStr">
        <is>
          <t>1921</t>
        </is>
      </c>
      <c r="O245" t="inlineStr">
        <is>
          <t>eng</t>
        </is>
      </c>
      <c r="P245" t="inlineStr">
        <is>
          <t xml:space="preserve">xx </t>
        </is>
      </c>
      <c r="R245" t="inlineStr">
        <is>
          <t xml:space="preserve">E  </t>
        </is>
      </c>
      <c r="S245" t="n">
        <v>0</v>
      </c>
      <c r="T245" t="n">
        <v>6</v>
      </c>
      <c r="V245" t="inlineStr">
        <is>
          <t>2000-12-12</t>
        </is>
      </c>
      <c r="W245" t="inlineStr">
        <is>
          <t>1996-09-30</t>
        </is>
      </c>
      <c r="X245" t="inlineStr">
        <is>
          <t>1996-09-30</t>
        </is>
      </c>
      <c r="Y245" t="n">
        <v>165</v>
      </c>
      <c r="Z245" t="n">
        <v>162</v>
      </c>
      <c r="AA245" t="n">
        <v>286</v>
      </c>
      <c r="AB245" t="n">
        <v>4</v>
      </c>
      <c r="AC245" t="n">
        <v>4</v>
      </c>
      <c r="AD245" t="n">
        <v>5</v>
      </c>
      <c r="AE245" t="n">
        <v>9</v>
      </c>
      <c r="AF245" t="n">
        <v>2</v>
      </c>
      <c r="AG245" t="n">
        <v>4</v>
      </c>
      <c r="AH245" t="n">
        <v>2</v>
      </c>
      <c r="AI245" t="n">
        <v>2</v>
      </c>
      <c r="AJ245" t="n">
        <v>0</v>
      </c>
      <c r="AK245" t="n">
        <v>1</v>
      </c>
      <c r="AL245" t="n">
        <v>2</v>
      </c>
      <c r="AM245" t="n">
        <v>2</v>
      </c>
      <c r="AN245" t="n">
        <v>0</v>
      </c>
      <c r="AO245" t="n">
        <v>1</v>
      </c>
      <c r="AP245" t="inlineStr">
        <is>
          <t>Yes</t>
        </is>
      </c>
      <c r="AQ245" t="inlineStr">
        <is>
          <t>No</t>
        </is>
      </c>
      <c r="AR245">
        <f>HYPERLINK("http://catalog.hathitrust.org/Record/100102938","HathiTrust Record")</f>
        <v/>
      </c>
      <c r="AS245">
        <f>HYPERLINK("https://creighton-primo.hosted.exlibrisgroup.com/primo-explore/search?tab=default_tab&amp;search_scope=EVERYTHING&amp;vid=01CRU&amp;lang=en_US&amp;offset=0&amp;query=any,contains,991004478349702656","Catalog Record")</f>
        <v/>
      </c>
      <c r="AT245">
        <f>HYPERLINK("http://www.worldcat.org/oclc/736786","WorldCat Record")</f>
        <v/>
      </c>
      <c r="AU245" t="inlineStr">
        <is>
          <t>1011362558:eng</t>
        </is>
      </c>
      <c r="AV245" t="inlineStr">
        <is>
          <t>736786</t>
        </is>
      </c>
      <c r="AW245" t="inlineStr">
        <is>
          <t>991004478349702656</t>
        </is>
      </c>
      <c r="AX245" t="inlineStr">
        <is>
          <t>991004478349702656</t>
        </is>
      </c>
      <c r="AY245" t="inlineStr">
        <is>
          <t>2270428300002656</t>
        </is>
      </c>
      <c r="AZ245" t="inlineStr">
        <is>
          <t>BOOK</t>
        </is>
      </c>
      <c r="BC245" t="inlineStr">
        <is>
          <t>32285002309465</t>
        </is>
      </c>
      <c r="BD245" t="inlineStr">
        <is>
          <t>893337781</t>
        </is>
      </c>
    </row>
    <row r="246">
      <c r="A246" t="inlineStr">
        <is>
          <t>No</t>
        </is>
      </c>
      <c r="B246" t="inlineStr">
        <is>
          <t>E173 .C55</t>
        </is>
      </c>
      <c r="C246" t="inlineStr">
        <is>
          <t>0                      E  0173000C  55</t>
        </is>
      </c>
      <c r="D246" t="inlineStr">
        <is>
          <t>The Chronicles of America series / Allen Johnson, editor, Gerhard R. Lomer, Charles W. Jefferys, assistant editors.</t>
        </is>
      </c>
      <c r="E246" t="inlineStr">
        <is>
          <t>V.28</t>
        </is>
      </c>
      <c r="F246" t="inlineStr">
        <is>
          <t>Yes</t>
        </is>
      </c>
      <c r="G246" t="inlineStr">
        <is>
          <t>1</t>
        </is>
      </c>
      <c r="H246" t="inlineStr">
        <is>
          <t>No</t>
        </is>
      </c>
      <c r="I246" t="inlineStr">
        <is>
          <t>No</t>
        </is>
      </c>
      <c r="J246" t="inlineStr">
        <is>
          <t>0</t>
        </is>
      </c>
      <c r="L246" t="inlineStr">
        <is>
          <t>New Haven, [Conn.] : Yale University Press, [1921-1950].</t>
        </is>
      </c>
      <c r="M246" t="inlineStr">
        <is>
          <t>1921</t>
        </is>
      </c>
      <c r="O246" t="inlineStr">
        <is>
          <t>eng</t>
        </is>
      </c>
      <c r="P246" t="inlineStr">
        <is>
          <t xml:space="preserve">xx </t>
        </is>
      </c>
      <c r="R246" t="inlineStr">
        <is>
          <t xml:space="preserve">E  </t>
        </is>
      </c>
      <c r="S246" t="n">
        <v>0</v>
      </c>
      <c r="T246" t="n">
        <v>6</v>
      </c>
      <c r="V246" t="inlineStr">
        <is>
          <t>2000-12-12</t>
        </is>
      </c>
      <c r="W246" t="inlineStr">
        <is>
          <t>1996-09-30</t>
        </is>
      </c>
      <c r="X246" t="inlineStr">
        <is>
          <t>1996-09-30</t>
        </is>
      </c>
      <c r="Y246" t="n">
        <v>165</v>
      </c>
      <c r="Z246" t="n">
        <v>162</v>
      </c>
      <c r="AA246" t="n">
        <v>286</v>
      </c>
      <c r="AB246" t="n">
        <v>4</v>
      </c>
      <c r="AC246" t="n">
        <v>4</v>
      </c>
      <c r="AD246" t="n">
        <v>5</v>
      </c>
      <c r="AE246" t="n">
        <v>9</v>
      </c>
      <c r="AF246" t="n">
        <v>2</v>
      </c>
      <c r="AG246" t="n">
        <v>4</v>
      </c>
      <c r="AH246" t="n">
        <v>2</v>
      </c>
      <c r="AI246" t="n">
        <v>2</v>
      </c>
      <c r="AJ246" t="n">
        <v>0</v>
      </c>
      <c r="AK246" t="n">
        <v>1</v>
      </c>
      <c r="AL246" t="n">
        <v>2</v>
      </c>
      <c r="AM246" t="n">
        <v>2</v>
      </c>
      <c r="AN246" t="n">
        <v>0</v>
      </c>
      <c r="AO246" t="n">
        <v>1</v>
      </c>
      <c r="AP246" t="inlineStr">
        <is>
          <t>Yes</t>
        </is>
      </c>
      <c r="AQ246" t="inlineStr">
        <is>
          <t>No</t>
        </is>
      </c>
      <c r="AR246">
        <f>HYPERLINK("http://catalog.hathitrust.org/Record/100102938","HathiTrust Record")</f>
        <v/>
      </c>
      <c r="AS246">
        <f>HYPERLINK("https://creighton-primo.hosted.exlibrisgroup.com/primo-explore/search?tab=default_tab&amp;search_scope=EVERYTHING&amp;vid=01CRU&amp;lang=en_US&amp;offset=0&amp;query=any,contains,991004478349702656","Catalog Record")</f>
        <v/>
      </c>
      <c r="AT246">
        <f>HYPERLINK("http://www.worldcat.org/oclc/736786","WorldCat Record")</f>
        <v/>
      </c>
      <c r="AU246" t="inlineStr">
        <is>
          <t>1011362558:eng</t>
        </is>
      </c>
      <c r="AV246" t="inlineStr">
        <is>
          <t>736786</t>
        </is>
      </c>
      <c r="AW246" t="inlineStr">
        <is>
          <t>991004478349702656</t>
        </is>
      </c>
      <c r="AX246" t="inlineStr">
        <is>
          <t>991004478349702656</t>
        </is>
      </c>
      <c r="AY246" t="inlineStr">
        <is>
          <t>2270428300002656</t>
        </is>
      </c>
      <c r="AZ246" t="inlineStr">
        <is>
          <t>BOOK</t>
        </is>
      </c>
      <c r="BC246" t="inlineStr">
        <is>
          <t>32285002309283</t>
        </is>
      </c>
      <c r="BD246" t="inlineStr">
        <is>
          <t>893353416</t>
        </is>
      </c>
    </row>
    <row r="247">
      <c r="A247" t="inlineStr">
        <is>
          <t>No</t>
        </is>
      </c>
      <c r="B247" t="inlineStr">
        <is>
          <t>E173 .C55</t>
        </is>
      </c>
      <c r="C247" t="inlineStr">
        <is>
          <t>0                      E  0173000C  55</t>
        </is>
      </c>
      <c r="D247" t="inlineStr">
        <is>
          <t>The Chronicles of America series / Allen Johnson, editor, Gerhard R. Lomer, Charles W. Jefferys, assistant editors.</t>
        </is>
      </c>
      <c r="E247" t="inlineStr">
        <is>
          <t>V.20</t>
        </is>
      </c>
      <c r="F247" t="inlineStr">
        <is>
          <t>Yes</t>
        </is>
      </c>
      <c r="G247" t="inlineStr">
        <is>
          <t>1</t>
        </is>
      </c>
      <c r="H247" t="inlineStr">
        <is>
          <t>No</t>
        </is>
      </c>
      <c r="I247" t="inlineStr">
        <is>
          <t>No</t>
        </is>
      </c>
      <c r="J247" t="inlineStr">
        <is>
          <t>0</t>
        </is>
      </c>
      <c r="L247" t="inlineStr">
        <is>
          <t>New Haven, [Conn.] : Yale University Press, [1921-1950].</t>
        </is>
      </c>
      <c r="M247" t="inlineStr">
        <is>
          <t>1921</t>
        </is>
      </c>
      <c r="O247" t="inlineStr">
        <is>
          <t>eng</t>
        </is>
      </c>
      <c r="P247" t="inlineStr">
        <is>
          <t xml:space="preserve">xx </t>
        </is>
      </c>
      <c r="R247" t="inlineStr">
        <is>
          <t xml:space="preserve">E  </t>
        </is>
      </c>
      <c r="S247" t="n">
        <v>0</v>
      </c>
      <c r="T247" t="n">
        <v>6</v>
      </c>
      <c r="V247" t="inlineStr">
        <is>
          <t>2000-12-12</t>
        </is>
      </c>
      <c r="W247" t="inlineStr">
        <is>
          <t>1996-09-30</t>
        </is>
      </c>
      <c r="X247" t="inlineStr">
        <is>
          <t>1996-09-30</t>
        </is>
      </c>
      <c r="Y247" t="n">
        <v>165</v>
      </c>
      <c r="Z247" t="n">
        <v>162</v>
      </c>
      <c r="AA247" t="n">
        <v>286</v>
      </c>
      <c r="AB247" t="n">
        <v>4</v>
      </c>
      <c r="AC247" t="n">
        <v>4</v>
      </c>
      <c r="AD247" t="n">
        <v>5</v>
      </c>
      <c r="AE247" t="n">
        <v>9</v>
      </c>
      <c r="AF247" t="n">
        <v>2</v>
      </c>
      <c r="AG247" t="n">
        <v>4</v>
      </c>
      <c r="AH247" t="n">
        <v>2</v>
      </c>
      <c r="AI247" t="n">
        <v>2</v>
      </c>
      <c r="AJ247" t="n">
        <v>0</v>
      </c>
      <c r="AK247" t="n">
        <v>1</v>
      </c>
      <c r="AL247" t="n">
        <v>2</v>
      </c>
      <c r="AM247" t="n">
        <v>2</v>
      </c>
      <c r="AN247" t="n">
        <v>0</v>
      </c>
      <c r="AO247" t="n">
        <v>1</v>
      </c>
      <c r="AP247" t="inlineStr">
        <is>
          <t>Yes</t>
        </is>
      </c>
      <c r="AQ247" t="inlineStr">
        <is>
          <t>No</t>
        </is>
      </c>
      <c r="AR247">
        <f>HYPERLINK("http://catalog.hathitrust.org/Record/100102938","HathiTrust Record")</f>
        <v/>
      </c>
      <c r="AS247">
        <f>HYPERLINK("https://creighton-primo.hosted.exlibrisgroup.com/primo-explore/search?tab=default_tab&amp;search_scope=EVERYTHING&amp;vid=01CRU&amp;lang=en_US&amp;offset=0&amp;query=any,contains,991004478349702656","Catalog Record")</f>
        <v/>
      </c>
      <c r="AT247">
        <f>HYPERLINK("http://www.worldcat.org/oclc/736786","WorldCat Record")</f>
        <v/>
      </c>
      <c r="AU247" t="inlineStr">
        <is>
          <t>1011362558:eng</t>
        </is>
      </c>
      <c r="AV247" t="inlineStr">
        <is>
          <t>736786</t>
        </is>
      </c>
      <c r="AW247" t="inlineStr">
        <is>
          <t>991004478349702656</t>
        </is>
      </c>
      <c r="AX247" t="inlineStr">
        <is>
          <t>991004478349702656</t>
        </is>
      </c>
      <c r="AY247" t="inlineStr">
        <is>
          <t>2270428300002656</t>
        </is>
      </c>
      <c r="AZ247" t="inlineStr">
        <is>
          <t>BOOK</t>
        </is>
      </c>
      <c r="BC247" t="inlineStr">
        <is>
          <t>32285002309200</t>
        </is>
      </c>
      <c r="BD247" t="inlineStr">
        <is>
          <t>893331643</t>
        </is>
      </c>
    </row>
    <row r="248">
      <c r="A248" t="inlineStr">
        <is>
          <t>No</t>
        </is>
      </c>
      <c r="B248" t="inlineStr">
        <is>
          <t>E173 .C55</t>
        </is>
      </c>
      <c r="C248" t="inlineStr">
        <is>
          <t>0                      E  0173000C  55</t>
        </is>
      </c>
      <c r="D248" t="inlineStr">
        <is>
          <t>The Chronicles of America series / Allen Johnson, editor, Gerhard R. Lomer, Charles W. Jefferys, assistant editors.</t>
        </is>
      </c>
      <c r="E248" t="inlineStr">
        <is>
          <t>V.29</t>
        </is>
      </c>
      <c r="F248" t="inlineStr">
        <is>
          <t>Yes</t>
        </is>
      </c>
      <c r="G248" t="inlineStr">
        <is>
          <t>1</t>
        </is>
      </c>
      <c r="H248" t="inlineStr">
        <is>
          <t>No</t>
        </is>
      </c>
      <c r="I248" t="inlineStr">
        <is>
          <t>No</t>
        </is>
      </c>
      <c r="J248" t="inlineStr">
        <is>
          <t>0</t>
        </is>
      </c>
      <c r="L248" t="inlineStr">
        <is>
          <t>New Haven, [Conn.] : Yale University Press, [1921-1950].</t>
        </is>
      </c>
      <c r="M248" t="inlineStr">
        <is>
          <t>1921</t>
        </is>
      </c>
      <c r="O248" t="inlineStr">
        <is>
          <t>eng</t>
        </is>
      </c>
      <c r="P248" t="inlineStr">
        <is>
          <t xml:space="preserve">xx </t>
        </is>
      </c>
      <c r="R248" t="inlineStr">
        <is>
          <t xml:space="preserve">E  </t>
        </is>
      </c>
      <c r="S248" t="n">
        <v>0</v>
      </c>
      <c r="T248" t="n">
        <v>6</v>
      </c>
      <c r="V248" t="inlineStr">
        <is>
          <t>2000-12-12</t>
        </is>
      </c>
      <c r="W248" t="inlineStr">
        <is>
          <t>1996-09-30</t>
        </is>
      </c>
      <c r="X248" t="inlineStr">
        <is>
          <t>1996-09-30</t>
        </is>
      </c>
      <c r="Y248" t="n">
        <v>165</v>
      </c>
      <c r="Z248" t="n">
        <v>162</v>
      </c>
      <c r="AA248" t="n">
        <v>286</v>
      </c>
      <c r="AB248" t="n">
        <v>4</v>
      </c>
      <c r="AC248" t="n">
        <v>4</v>
      </c>
      <c r="AD248" t="n">
        <v>5</v>
      </c>
      <c r="AE248" t="n">
        <v>9</v>
      </c>
      <c r="AF248" t="n">
        <v>2</v>
      </c>
      <c r="AG248" t="n">
        <v>4</v>
      </c>
      <c r="AH248" t="n">
        <v>2</v>
      </c>
      <c r="AI248" t="n">
        <v>2</v>
      </c>
      <c r="AJ248" t="n">
        <v>0</v>
      </c>
      <c r="AK248" t="n">
        <v>1</v>
      </c>
      <c r="AL248" t="n">
        <v>2</v>
      </c>
      <c r="AM248" t="n">
        <v>2</v>
      </c>
      <c r="AN248" t="n">
        <v>0</v>
      </c>
      <c r="AO248" t="n">
        <v>1</v>
      </c>
      <c r="AP248" t="inlineStr">
        <is>
          <t>Yes</t>
        </is>
      </c>
      <c r="AQ248" t="inlineStr">
        <is>
          <t>No</t>
        </is>
      </c>
      <c r="AR248">
        <f>HYPERLINK("http://catalog.hathitrust.org/Record/100102938","HathiTrust Record")</f>
        <v/>
      </c>
      <c r="AS248">
        <f>HYPERLINK("https://creighton-primo.hosted.exlibrisgroup.com/primo-explore/search?tab=default_tab&amp;search_scope=EVERYTHING&amp;vid=01CRU&amp;lang=en_US&amp;offset=0&amp;query=any,contains,991004478349702656","Catalog Record")</f>
        <v/>
      </c>
      <c r="AT248">
        <f>HYPERLINK("http://www.worldcat.org/oclc/736786","WorldCat Record")</f>
        <v/>
      </c>
      <c r="AU248" t="inlineStr">
        <is>
          <t>1011362558:eng</t>
        </is>
      </c>
      <c r="AV248" t="inlineStr">
        <is>
          <t>736786</t>
        </is>
      </c>
      <c r="AW248" t="inlineStr">
        <is>
          <t>991004478349702656</t>
        </is>
      </c>
      <c r="AX248" t="inlineStr">
        <is>
          <t>991004478349702656</t>
        </is>
      </c>
      <c r="AY248" t="inlineStr">
        <is>
          <t>2270428300002656</t>
        </is>
      </c>
      <c r="AZ248" t="inlineStr">
        <is>
          <t>BOOK</t>
        </is>
      </c>
      <c r="BC248" t="inlineStr">
        <is>
          <t>32285002309291</t>
        </is>
      </c>
      <c r="BD248" t="inlineStr">
        <is>
          <t>893331632</t>
        </is>
      </c>
    </row>
    <row r="249">
      <c r="A249" t="inlineStr">
        <is>
          <t>No</t>
        </is>
      </c>
      <c r="B249" t="inlineStr">
        <is>
          <t>E173 .C55</t>
        </is>
      </c>
      <c r="C249" t="inlineStr">
        <is>
          <t>0                      E  0173000C  55</t>
        </is>
      </c>
      <c r="D249" t="inlineStr">
        <is>
          <t>The Chronicles of America series / Allen Johnson, editor, Gerhard R. Lomer, Charles W. Jefferys, assistant editors.</t>
        </is>
      </c>
      <c r="E249" t="inlineStr">
        <is>
          <t>V.27</t>
        </is>
      </c>
      <c r="F249" t="inlineStr">
        <is>
          <t>Yes</t>
        </is>
      </c>
      <c r="G249" t="inlineStr">
        <is>
          <t>1</t>
        </is>
      </c>
      <c r="H249" t="inlineStr">
        <is>
          <t>No</t>
        </is>
      </c>
      <c r="I249" t="inlineStr">
        <is>
          <t>No</t>
        </is>
      </c>
      <c r="J249" t="inlineStr">
        <is>
          <t>0</t>
        </is>
      </c>
      <c r="L249" t="inlineStr">
        <is>
          <t>New Haven, [Conn.] : Yale University Press, [1921-1950].</t>
        </is>
      </c>
      <c r="M249" t="inlineStr">
        <is>
          <t>1921</t>
        </is>
      </c>
      <c r="O249" t="inlineStr">
        <is>
          <t>eng</t>
        </is>
      </c>
      <c r="P249" t="inlineStr">
        <is>
          <t xml:space="preserve">xx </t>
        </is>
      </c>
      <c r="R249" t="inlineStr">
        <is>
          <t xml:space="preserve">E  </t>
        </is>
      </c>
      <c r="S249" t="n">
        <v>0</v>
      </c>
      <c r="T249" t="n">
        <v>6</v>
      </c>
      <c r="V249" t="inlineStr">
        <is>
          <t>2000-12-12</t>
        </is>
      </c>
      <c r="W249" t="inlineStr">
        <is>
          <t>1996-09-30</t>
        </is>
      </c>
      <c r="X249" t="inlineStr">
        <is>
          <t>1996-09-30</t>
        </is>
      </c>
      <c r="Y249" t="n">
        <v>165</v>
      </c>
      <c r="Z249" t="n">
        <v>162</v>
      </c>
      <c r="AA249" t="n">
        <v>286</v>
      </c>
      <c r="AB249" t="n">
        <v>4</v>
      </c>
      <c r="AC249" t="n">
        <v>4</v>
      </c>
      <c r="AD249" t="n">
        <v>5</v>
      </c>
      <c r="AE249" t="n">
        <v>9</v>
      </c>
      <c r="AF249" t="n">
        <v>2</v>
      </c>
      <c r="AG249" t="n">
        <v>4</v>
      </c>
      <c r="AH249" t="n">
        <v>2</v>
      </c>
      <c r="AI249" t="n">
        <v>2</v>
      </c>
      <c r="AJ249" t="n">
        <v>0</v>
      </c>
      <c r="AK249" t="n">
        <v>1</v>
      </c>
      <c r="AL249" t="n">
        <v>2</v>
      </c>
      <c r="AM249" t="n">
        <v>2</v>
      </c>
      <c r="AN249" t="n">
        <v>0</v>
      </c>
      <c r="AO249" t="n">
        <v>1</v>
      </c>
      <c r="AP249" t="inlineStr">
        <is>
          <t>Yes</t>
        </is>
      </c>
      <c r="AQ249" t="inlineStr">
        <is>
          <t>No</t>
        </is>
      </c>
      <c r="AR249">
        <f>HYPERLINK("http://catalog.hathitrust.org/Record/100102938","HathiTrust Record")</f>
        <v/>
      </c>
      <c r="AS249">
        <f>HYPERLINK("https://creighton-primo.hosted.exlibrisgroup.com/primo-explore/search?tab=default_tab&amp;search_scope=EVERYTHING&amp;vid=01CRU&amp;lang=en_US&amp;offset=0&amp;query=any,contains,991004478349702656","Catalog Record")</f>
        <v/>
      </c>
      <c r="AT249">
        <f>HYPERLINK("http://www.worldcat.org/oclc/736786","WorldCat Record")</f>
        <v/>
      </c>
      <c r="AU249" t="inlineStr">
        <is>
          <t>1011362558:eng</t>
        </is>
      </c>
      <c r="AV249" t="inlineStr">
        <is>
          <t>736786</t>
        </is>
      </c>
      <c r="AW249" t="inlineStr">
        <is>
          <t>991004478349702656</t>
        </is>
      </c>
      <c r="AX249" t="inlineStr">
        <is>
          <t>991004478349702656</t>
        </is>
      </c>
      <c r="AY249" t="inlineStr">
        <is>
          <t>2270428300002656</t>
        </is>
      </c>
      <c r="AZ249" t="inlineStr">
        <is>
          <t>BOOK</t>
        </is>
      </c>
      <c r="BC249" t="inlineStr">
        <is>
          <t>32285002309275</t>
        </is>
      </c>
      <c r="BD249" t="inlineStr">
        <is>
          <t>893331640</t>
        </is>
      </c>
    </row>
    <row r="250">
      <c r="A250" t="inlineStr">
        <is>
          <t>No</t>
        </is>
      </c>
      <c r="B250" t="inlineStr">
        <is>
          <t>E173 .C55</t>
        </is>
      </c>
      <c r="C250" t="inlineStr">
        <is>
          <t>0                      E  0173000C  55</t>
        </is>
      </c>
      <c r="D250" t="inlineStr">
        <is>
          <t>The Chronicles of America series / Allen Johnson, editor, Gerhard R. Lomer, Charles W. Jefferys, assistant editors.</t>
        </is>
      </c>
      <c r="E250" t="inlineStr">
        <is>
          <t>V.44</t>
        </is>
      </c>
      <c r="F250" t="inlineStr">
        <is>
          <t>Yes</t>
        </is>
      </c>
      <c r="G250" t="inlineStr">
        <is>
          <t>1</t>
        </is>
      </c>
      <c r="H250" t="inlineStr">
        <is>
          <t>No</t>
        </is>
      </c>
      <c r="I250" t="inlineStr">
        <is>
          <t>No</t>
        </is>
      </c>
      <c r="J250" t="inlineStr">
        <is>
          <t>0</t>
        </is>
      </c>
      <c r="L250" t="inlineStr">
        <is>
          <t>New Haven, [Conn.] : Yale University Press, [1921-1950].</t>
        </is>
      </c>
      <c r="M250" t="inlineStr">
        <is>
          <t>1921</t>
        </is>
      </c>
      <c r="O250" t="inlineStr">
        <is>
          <t>eng</t>
        </is>
      </c>
      <c r="P250" t="inlineStr">
        <is>
          <t xml:space="preserve">xx </t>
        </is>
      </c>
      <c r="R250" t="inlineStr">
        <is>
          <t xml:space="preserve">E  </t>
        </is>
      </c>
      <c r="S250" t="n">
        <v>0</v>
      </c>
      <c r="T250" t="n">
        <v>6</v>
      </c>
      <c r="V250" t="inlineStr">
        <is>
          <t>2000-12-12</t>
        </is>
      </c>
      <c r="W250" t="inlineStr">
        <is>
          <t>1996-09-30</t>
        </is>
      </c>
      <c r="X250" t="inlineStr">
        <is>
          <t>1996-09-30</t>
        </is>
      </c>
      <c r="Y250" t="n">
        <v>165</v>
      </c>
      <c r="Z250" t="n">
        <v>162</v>
      </c>
      <c r="AA250" t="n">
        <v>286</v>
      </c>
      <c r="AB250" t="n">
        <v>4</v>
      </c>
      <c r="AC250" t="n">
        <v>4</v>
      </c>
      <c r="AD250" t="n">
        <v>5</v>
      </c>
      <c r="AE250" t="n">
        <v>9</v>
      </c>
      <c r="AF250" t="n">
        <v>2</v>
      </c>
      <c r="AG250" t="n">
        <v>4</v>
      </c>
      <c r="AH250" t="n">
        <v>2</v>
      </c>
      <c r="AI250" t="n">
        <v>2</v>
      </c>
      <c r="AJ250" t="n">
        <v>0</v>
      </c>
      <c r="AK250" t="n">
        <v>1</v>
      </c>
      <c r="AL250" t="n">
        <v>2</v>
      </c>
      <c r="AM250" t="n">
        <v>2</v>
      </c>
      <c r="AN250" t="n">
        <v>0</v>
      </c>
      <c r="AO250" t="n">
        <v>1</v>
      </c>
      <c r="AP250" t="inlineStr">
        <is>
          <t>Yes</t>
        </is>
      </c>
      <c r="AQ250" t="inlineStr">
        <is>
          <t>No</t>
        </is>
      </c>
      <c r="AR250">
        <f>HYPERLINK("http://catalog.hathitrust.org/Record/100102938","HathiTrust Record")</f>
        <v/>
      </c>
      <c r="AS250">
        <f>HYPERLINK("https://creighton-primo.hosted.exlibrisgroup.com/primo-explore/search?tab=default_tab&amp;search_scope=EVERYTHING&amp;vid=01CRU&amp;lang=en_US&amp;offset=0&amp;query=any,contains,991004478349702656","Catalog Record")</f>
        <v/>
      </c>
      <c r="AT250">
        <f>HYPERLINK("http://www.worldcat.org/oclc/736786","WorldCat Record")</f>
        <v/>
      </c>
      <c r="AU250" t="inlineStr">
        <is>
          <t>1011362558:eng</t>
        </is>
      </c>
      <c r="AV250" t="inlineStr">
        <is>
          <t>736786</t>
        </is>
      </c>
      <c r="AW250" t="inlineStr">
        <is>
          <t>991004478349702656</t>
        </is>
      </c>
      <c r="AX250" t="inlineStr">
        <is>
          <t>991004478349702656</t>
        </is>
      </c>
      <c r="AY250" t="inlineStr">
        <is>
          <t>2270428300002656</t>
        </is>
      </c>
      <c r="AZ250" t="inlineStr">
        <is>
          <t>BOOK</t>
        </is>
      </c>
      <c r="BC250" t="inlineStr">
        <is>
          <t>32285002309440</t>
        </is>
      </c>
      <c r="BD250" t="inlineStr">
        <is>
          <t>893350047</t>
        </is>
      </c>
    </row>
    <row r="251">
      <c r="A251" t="inlineStr">
        <is>
          <t>No</t>
        </is>
      </c>
      <c r="B251" t="inlineStr">
        <is>
          <t>E173 .C55</t>
        </is>
      </c>
      <c r="C251" t="inlineStr">
        <is>
          <t>0                      E  0173000C  55</t>
        </is>
      </c>
      <c r="D251" t="inlineStr">
        <is>
          <t>The Chronicles of America series / Allen Johnson, editor, Gerhard R. Lomer, Charles W. Jefferys, assistant editors.</t>
        </is>
      </c>
      <c r="E251" t="inlineStr">
        <is>
          <t>V.21</t>
        </is>
      </c>
      <c r="F251" t="inlineStr">
        <is>
          <t>Yes</t>
        </is>
      </c>
      <c r="G251" t="inlineStr">
        <is>
          <t>1</t>
        </is>
      </c>
      <c r="H251" t="inlineStr">
        <is>
          <t>No</t>
        </is>
      </c>
      <c r="I251" t="inlineStr">
        <is>
          <t>No</t>
        </is>
      </c>
      <c r="J251" t="inlineStr">
        <is>
          <t>0</t>
        </is>
      </c>
      <c r="L251" t="inlineStr">
        <is>
          <t>New Haven, [Conn.] : Yale University Press, [1921-1950].</t>
        </is>
      </c>
      <c r="M251" t="inlineStr">
        <is>
          <t>1921</t>
        </is>
      </c>
      <c r="O251" t="inlineStr">
        <is>
          <t>eng</t>
        </is>
      </c>
      <c r="P251" t="inlineStr">
        <is>
          <t xml:space="preserve">xx </t>
        </is>
      </c>
      <c r="R251" t="inlineStr">
        <is>
          <t xml:space="preserve">E  </t>
        </is>
      </c>
      <c r="S251" t="n">
        <v>0</v>
      </c>
      <c r="T251" t="n">
        <v>6</v>
      </c>
      <c r="V251" t="inlineStr">
        <is>
          <t>2000-12-12</t>
        </is>
      </c>
      <c r="W251" t="inlineStr">
        <is>
          <t>1996-09-30</t>
        </is>
      </c>
      <c r="X251" t="inlineStr">
        <is>
          <t>1996-09-30</t>
        </is>
      </c>
      <c r="Y251" t="n">
        <v>165</v>
      </c>
      <c r="Z251" t="n">
        <v>162</v>
      </c>
      <c r="AA251" t="n">
        <v>286</v>
      </c>
      <c r="AB251" t="n">
        <v>4</v>
      </c>
      <c r="AC251" t="n">
        <v>4</v>
      </c>
      <c r="AD251" t="n">
        <v>5</v>
      </c>
      <c r="AE251" t="n">
        <v>9</v>
      </c>
      <c r="AF251" t="n">
        <v>2</v>
      </c>
      <c r="AG251" t="n">
        <v>4</v>
      </c>
      <c r="AH251" t="n">
        <v>2</v>
      </c>
      <c r="AI251" t="n">
        <v>2</v>
      </c>
      <c r="AJ251" t="n">
        <v>0</v>
      </c>
      <c r="AK251" t="n">
        <v>1</v>
      </c>
      <c r="AL251" t="n">
        <v>2</v>
      </c>
      <c r="AM251" t="n">
        <v>2</v>
      </c>
      <c r="AN251" t="n">
        <v>0</v>
      </c>
      <c r="AO251" t="n">
        <v>1</v>
      </c>
      <c r="AP251" t="inlineStr">
        <is>
          <t>Yes</t>
        </is>
      </c>
      <c r="AQ251" t="inlineStr">
        <is>
          <t>No</t>
        </is>
      </c>
      <c r="AR251">
        <f>HYPERLINK("http://catalog.hathitrust.org/Record/100102938","HathiTrust Record")</f>
        <v/>
      </c>
      <c r="AS251">
        <f>HYPERLINK("https://creighton-primo.hosted.exlibrisgroup.com/primo-explore/search?tab=default_tab&amp;search_scope=EVERYTHING&amp;vid=01CRU&amp;lang=en_US&amp;offset=0&amp;query=any,contains,991004478349702656","Catalog Record")</f>
        <v/>
      </c>
      <c r="AT251">
        <f>HYPERLINK("http://www.worldcat.org/oclc/736786","WorldCat Record")</f>
        <v/>
      </c>
      <c r="AU251" t="inlineStr">
        <is>
          <t>1011362558:eng</t>
        </is>
      </c>
      <c r="AV251" t="inlineStr">
        <is>
          <t>736786</t>
        </is>
      </c>
      <c r="AW251" t="inlineStr">
        <is>
          <t>991004478349702656</t>
        </is>
      </c>
      <c r="AX251" t="inlineStr">
        <is>
          <t>991004478349702656</t>
        </is>
      </c>
      <c r="AY251" t="inlineStr">
        <is>
          <t>2270428300002656</t>
        </is>
      </c>
      <c r="AZ251" t="inlineStr">
        <is>
          <t>BOOK</t>
        </is>
      </c>
      <c r="BC251" t="inlineStr">
        <is>
          <t>32285002309218</t>
        </is>
      </c>
      <c r="BD251" t="inlineStr">
        <is>
          <t>893331642</t>
        </is>
      </c>
    </row>
    <row r="252">
      <c r="A252" t="inlineStr">
        <is>
          <t>No</t>
        </is>
      </c>
      <c r="B252" t="inlineStr">
        <is>
          <t>E173 .C55</t>
        </is>
      </c>
      <c r="C252" t="inlineStr">
        <is>
          <t>0                      E  0173000C  55</t>
        </is>
      </c>
      <c r="D252" t="inlineStr">
        <is>
          <t>The Chronicles of America series / Allen Johnson, editor, Gerhard R. Lomer, Charles W. Jefferys, assistant editors.</t>
        </is>
      </c>
      <c r="E252" t="inlineStr">
        <is>
          <t>V.36</t>
        </is>
      </c>
      <c r="F252" t="inlineStr">
        <is>
          <t>Yes</t>
        </is>
      </c>
      <c r="G252" t="inlineStr">
        <is>
          <t>1</t>
        </is>
      </c>
      <c r="H252" t="inlineStr">
        <is>
          <t>No</t>
        </is>
      </c>
      <c r="I252" t="inlineStr">
        <is>
          <t>No</t>
        </is>
      </c>
      <c r="J252" t="inlineStr">
        <is>
          <t>0</t>
        </is>
      </c>
      <c r="L252" t="inlineStr">
        <is>
          <t>New Haven, [Conn.] : Yale University Press, [1921-1950].</t>
        </is>
      </c>
      <c r="M252" t="inlineStr">
        <is>
          <t>1921</t>
        </is>
      </c>
      <c r="O252" t="inlineStr">
        <is>
          <t>eng</t>
        </is>
      </c>
      <c r="P252" t="inlineStr">
        <is>
          <t xml:space="preserve">xx </t>
        </is>
      </c>
      <c r="R252" t="inlineStr">
        <is>
          <t xml:space="preserve">E  </t>
        </is>
      </c>
      <c r="S252" t="n">
        <v>0</v>
      </c>
      <c r="T252" t="n">
        <v>6</v>
      </c>
      <c r="V252" t="inlineStr">
        <is>
          <t>2000-12-12</t>
        </is>
      </c>
      <c r="W252" t="inlineStr">
        <is>
          <t>1996-09-30</t>
        </is>
      </c>
      <c r="X252" t="inlineStr">
        <is>
          <t>1996-09-30</t>
        </is>
      </c>
      <c r="Y252" t="n">
        <v>165</v>
      </c>
      <c r="Z252" t="n">
        <v>162</v>
      </c>
      <c r="AA252" t="n">
        <v>286</v>
      </c>
      <c r="AB252" t="n">
        <v>4</v>
      </c>
      <c r="AC252" t="n">
        <v>4</v>
      </c>
      <c r="AD252" t="n">
        <v>5</v>
      </c>
      <c r="AE252" t="n">
        <v>9</v>
      </c>
      <c r="AF252" t="n">
        <v>2</v>
      </c>
      <c r="AG252" t="n">
        <v>4</v>
      </c>
      <c r="AH252" t="n">
        <v>2</v>
      </c>
      <c r="AI252" t="n">
        <v>2</v>
      </c>
      <c r="AJ252" t="n">
        <v>0</v>
      </c>
      <c r="AK252" t="n">
        <v>1</v>
      </c>
      <c r="AL252" t="n">
        <v>2</v>
      </c>
      <c r="AM252" t="n">
        <v>2</v>
      </c>
      <c r="AN252" t="n">
        <v>0</v>
      </c>
      <c r="AO252" t="n">
        <v>1</v>
      </c>
      <c r="AP252" t="inlineStr">
        <is>
          <t>Yes</t>
        </is>
      </c>
      <c r="AQ252" t="inlineStr">
        <is>
          <t>No</t>
        </is>
      </c>
      <c r="AR252">
        <f>HYPERLINK("http://catalog.hathitrust.org/Record/100102938","HathiTrust Record")</f>
        <v/>
      </c>
      <c r="AS252">
        <f>HYPERLINK("https://creighton-primo.hosted.exlibrisgroup.com/primo-explore/search?tab=default_tab&amp;search_scope=EVERYTHING&amp;vid=01CRU&amp;lang=en_US&amp;offset=0&amp;query=any,contains,991004478349702656","Catalog Record")</f>
        <v/>
      </c>
      <c r="AT252">
        <f>HYPERLINK("http://www.worldcat.org/oclc/736786","WorldCat Record")</f>
        <v/>
      </c>
      <c r="AU252" t="inlineStr">
        <is>
          <t>1011362558:eng</t>
        </is>
      </c>
      <c r="AV252" t="inlineStr">
        <is>
          <t>736786</t>
        </is>
      </c>
      <c r="AW252" t="inlineStr">
        <is>
          <t>991004478349702656</t>
        </is>
      </c>
      <c r="AX252" t="inlineStr">
        <is>
          <t>991004478349702656</t>
        </is>
      </c>
      <c r="AY252" t="inlineStr">
        <is>
          <t>2270428300002656</t>
        </is>
      </c>
      <c r="AZ252" t="inlineStr">
        <is>
          <t>BOOK</t>
        </is>
      </c>
      <c r="BC252" t="inlineStr">
        <is>
          <t>32285002309366</t>
        </is>
      </c>
      <c r="BD252" t="inlineStr">
        <is>
          <t>893319273</t>
        </is>
      </c>
    </row>
    <row r="253">
      <c r="A253" t="inlineStr">
        <is>
          <t>No</t>
        </is>
      </c>
      <c r="B253" t="inlineStr">
        <is>
          <t>E173 .C55</t>
        </is>
      </c>
      <c r="C253" t="inlineStr">
        <is>
          <t>0                      E  0173000C  55</t>
        </is>
      </c>
      <c r="D253" t="inlineStr">
        <is>
          <t>The Chronicles of America series / Allen Johnson, editor, Gerhard R. Lomer, Charles W. Jefferys, assistant editors.</t>
        </is>
      </c>
      <c r="E253" t="inlineStr">
        <is>
          <t>V.45</t>
        </is>
      </c>
      <c r="F253" t="inlineStr">
        <is>
          <t>Yes</t>
        </is>
      </c>
      <c r="G253" t="inlineStr">
        <is>
          <t>1</t>
        </is>
      </c>
      <c r="H253" t="inlineStr">
        <is>
          <t>No</t>
        </is>
      </c>
      <c r="I253" t="inlineStr">
        <is>
          <t>No</t>
        </is>
      </c>
      <c r="J253" t="inlineStr">
        <is>
          <t>0</t>
        </is>
      </c>
      <c r="L253" t="inlineStr">
        <is>
          <t>New Haven, [Conn.] : Yale University Press, [1921-1950].</t>
        </is>
      </c>
      <c r="M253" t="inlineStr">
        <is>
          <t>1921</t>
        </is>
      </c>
      <c r="O253" t="inlineStr">
        <is>
          <t>eng</t>
        </is>
      </c>
      <c r="P253" t="inlineStr">
        <is>
          <t xml:space="preserve">xx </t>
        </is>
      </c>
      <c r="R253" t="inlineStr">
        <is>
          <t xml:space="preserve">E  </t>
        </is>
      </c>
      <c r="S253" t="n">
        <v>1</v>
      </c>
      <c r="T253" t="n">
        <v>6</v>
      </c>
      <c r="U253" t="inlineStr">
        <is>
          <t>2000-12-12</t>
        </is>
      </c>
      <c r="V253" t="inlineStr">
        <is>
          <t>2000-12-12</t>
        </is>
      </c>
      <c r="W253" t="inlineStr">
        <is>
          <t>1996-09-30</t>
        </is>
      </c>
      <c r="X253" t="inlineStr">
        <is>
          <t>1996-09-30</t>
        </is>
      </c>
      <c r="Y253" t="n">
        <v>165</v>
      </c>
      <c r="Z253" t="n">
        <v>162</v>
      </c>
      <c r="AA253" t="n">
        <v>286</v>
      </c>
      <c r="AB253" t="n">
        <v>4</v>
      </c>
      <c r="AC253" t="n">
        <v>4</v>
      </c>
      <c r="AD253" t="n">
        <v>5</v>
      </c>
      <c r="AE253" t="n">
        <v>9</v>
      </c>
      <c r="AF253" t="n">
        <v>2</v>
      </c>
      <c r="AG253" t="n">
        <v>4</v>
      </c>
      <c r="AH253" t="n">
        <v>2</v>
      </c>
      <c r="AI253" t="n">
        <v>2</v>
      </c>
      <c r="AJ253" t="n">
        <v>0</v>
      </c>
      <c r="AK253" t="n">
        <v>1</v>
      </c>
      <c r="AL253" t="n">
        <v>2</v>
      </c>
      <c r="AM253" t="n">
        <v>2</v>
      </c>
      <c r="AN253" t="n">
        <v>0</v>
      </c>
      <c r="AO253" t="n">
        <v>1</v>
      </c>
      <c r="AP253" t="inlineStr">
        <is>
          <t>Yes</t>
        </is>
      </c>
      <c r="AQ253" t="inlineStr">
        <is>
          <t>No</t>
        </is>
      </c>
      <c r="AR253">
        <f>HYPERLINK("http://catalog.hathitrust.org/Record/100102938","HathiTrust Record")</f>
        <v/>
      </c>
      <c r="AS253">
        <f>HYPERLINK("https://creighton-primo.hosted.exlibrisgroup.com/primo-explore/search?tab=default_tab&amp;search_scope=EVERYTHING&amp;vid=01CRU&amp;lang=en_US&amp;offset=0&amp;query=any,contains,991004478349702656","Catalog Record")</f>
        <v/>
      </c>
      <c r="AT253">
        <f>HYPERLINK("http://www.worldcat.org/oclc/736786","WorldCat Record")</f>
        <v/>
      </c>
      <c r="AU253" t="inlineStr">
        <is>
          <t>1011362558:eng</t>
        </is>
      </c>
      <c r="AV253" t="inlineStr">
        <is>
          <t>736786</t>
        </is>
      </c>
      <c r="AW253" t="inlineStr">
        <is>
          <t>991004478349702656</t>
        </is>
      </c>
      <c r="AX253" t="inlineStr">
        <is>
          <t>991004478349702656</t>
        </is>
      </c>
      <c r="AY253" t="inlineStr">
        <is>
          <t>2270428300002656</t>
        </is>
      </c>
      <c r="AZ253" t="inlineStr">
        <is>
          <t>BOOK</t>
        </is>
      </c>
      <c r="BC253" t="inlineStr">
        <is>
          <t>32285002309457</t>
        </is>
      </c>
      <c r="BD253" t="inlineStr">
        <is>
          <t>893331628</t>
        </is>
      </c>
    </row>
    <row r="254">
      <c r="A254" t="inlineStr">
        <is>
          <t>No</t>
        </is>
      </c>
      <c r="B254" t="inlineStr">
        <is>
          <t>E173 .C55</t>
        </is>
      </c>
      <c r="C254" t="inlineStr">
        <is>
          <t>0                      E  0173000C  55</t>
        </is>
      </c>
      <c r="D254" t="inlineStr">
        <is>
          <t>The Chronicles of America series / Allen Johnson, editor, Gerhard R. Lomer, Charles W. Jefferys, assistant editors.</t>
        </is>
      </c>
      <c r="E254" t="inlineStr">
        <is>
          <t>V.41</t>
        </is>
      </c>
      <c r="F254" t="inlineStr">
        <is>
          <t>Yes</t>
        </is>
      </c>
      <c r="G254" t="inlineStr">
        <is>
          <t>1</t>
        </is>
      </c>
      <c r="H254" t="inlineStr">
        <is>
          <t>No</t>
        </is>
      </c>
      <c r="I254" t="inlineStr">
        <is>
          <t>No</t>
        </is>
      </c>
      <c r="J254" t="inlineStr">
        <is>
          <t>0</t>
        </is>
      </c>
      <c r="L254" t="inlineStr">
        <is>
          <t>New Haven, [Conn.] : Yale University Press, [1921-1950].</t>
        </is>
      </c>
      <c r="M254" t="inlineStr">
        <is>
          <t>1921</t>
        </is>
      </c>
      <c r="O254" t="inlineStr">
        <is>
          <t>eng</t>
        </is>
      </c>
      <c r="P254" t="inlineStr">
        <is>
          <t xml:space="preserve">xx </t>
        </is>
      </c>
      <c r="R254" t="inlineStr">
        <is>
          <t xml:space="preserve">E  </t>
        </is>
      </c>
      <c r="S254" t="n">
        <v>0</v>
      </c>
      <c r="T254" t="n">
        <v>6</v>
      </c>
      <c r="V254" t="inlineStr">
        <is>
          <t>2000-12-12</t>
        </is>
      </c>
      <c r="W254" t="inlineStr">
        <is>
          <t>1996-09-30</t>
        </is>
      </c>
      <c r="X254" t="inlineStr">
        <is>
          <t>1996-09-30</t>
        </is>
      </c>
      <c r="Y254" t="n">
        <v>165</v>
      </c>
      <c r="Z254" t="n">
        <v>162</v>
      </c>
      <c r="AA254" t="n">
        <v>286</v>
      </c>
      <c r="AB254" t="n">
        <v>4</v>
      </c>
      <c r="AC254" t="n">
        <v>4</v>
      </c>
      <c r="AD254" t="n">
        <v>5</v>
      </c>
      <c r="AE254" t="n">
        <v>9</v>
      </c>
      <c r="AF254" t="n">
        <v>2</v>
      </c>
      <c r="AG254" t="n">
        <v>4</v>
      </c>
      <c r="AH254" t="n">
        <v>2</v>
      </c>
      <c r="AI254" t="n">
        <v>2</v>
      </c>
      <c r="AJ254" t="n">
        <v>0</v>
      </c>
      <c r="AK254" t="n">
        <v>1</v>
      </c>
      <c r="AL254" t="n">
        <v>2</v>
      </c>
      <c r="AM254" t="n">
        <v>2</v>
      </c>
      <c r="AN254" t="n">
        <v>0</v>
      </c>
      <c r="AO254" t="n">
        <v>1</v>
      </c>
      <c r="AP254" t="inlineStr">
        <is>
          <t>Yes</t>
        </is>
      </c>
      <c r="AQ254" t="inlineStr">
        <is>
          <t>No</t>
        </is>
      </c>
      <c r="AR254">
        <f>HYPERLINK("http://catalog.hathitrust.org/Record/100102938","HathiTrust Record")</f>
        <v/>
      </c>
      <c r="AS254">
        <f>HYPERLINK("https://creighton-primo.hosted.exlibrisgroup.com/primo-explore/search?tab=default_tab&amp;search_scope=EVERYTHING&amp;vid=01CRU&amp;lang=en_US&amp;offset=0&amp;query=any,contains,991004478349702656","Catalog Record")</f>
        <v/>
      </c>
      <c r="AT254">
        <f>HYPERLINK("http://www.worldcat.org/oclc/736786","WorldCat Record")</f>
        <v/>
      </c>
      <c r="AU254" t="inlineStr">
        <is>
          <t>1011362558:eng</t>
        </is>
      </c>
      <c r="AV254" t="inlineStr">
        <is>
          <t>736786</t>
        </is>
      </c>
      <c r="AW254" t="inlineStr">
        <is>
          <t>991004478349702656</t>
        </is>
      </c>
      <c r="AX254" t="inlineStr">
        <is>
          <t>991004478349702656</t>
        </is>
      </c>
      <c r="AY254" t="inlineStr">
        <is>
          <t>2270428300002656</t>
        </is>
      </c>
      <c r="AZ254" t="inlineStr">
        <is>
          <t>BOOK</t>
        </is>
      </c>
      <c r="BC254" t="inlineStr">
        <is>
          <t>32285002309416</t>
        </is>
      </c>
      <c r="BD254" t="inlineStr">
        <is>
          <t>893350048</t>
        </is>
      </c>
    </row>
    <row r="255">
      <c r="A255" t="inlineStr">
        <is>
          <t>No</t>
        </is>
      </c>
      <c r="B255" t="inlineStr">
        <is>
          <t>E173 .C55</t>
        </is>
      </c>
      <c r="C255" t="inlineStr">
        <is>
          <t>0                      E  0173000C  55</t>
        </is>
      </c>
      <c r="D255" t="inlineStr">
        <is>
          <t>The Chronicles of America series / Allen Johnson, editor, Gerhard R. Lomer, Charles W. Jefferys, assistant editors.</t>
        </is>
      </c>
      <c r="E255" t="inlineStr">
        <is>
          <t>V.52</t>
        </is>
      </c>
      <c r="F255" t="inlineStr">
        <is>
          <t>Yes</t>
        </is>
      </c>
      <c r="G255" t="inlineStr">
        <is>
          <t>1</t>
        </is>
      </c>
      <c r="H255" t="inlineStr">
        <is>
          <t>No</t>
        </is>
      </c>
      <c r="I255" t="inlineStr">
        <is>
          <t>No</t>
        </is>
      </c>
      <c r="J255" t="inlineStr">
        <is>
          <t>0</t>
        </is>
      </c>
      <c r="L255" t="inlineStr">
        <is>
          <t>New Haven, [Conn.] : Yale University Press, [1921-1950].</t>
        </is>
      </c>
      <c r="M255" t="inlineStr">
        <is>
          <t>1921</t>
        </is>
      </c>
      <c r="O255" t="inlineStr">
        <is>
          <t>eng</t>
        </is>
      </c>
      <c r="P255" t="inlineStr">
        <is>
          <t xml:space="preserve">xx </t>
        </is>
      </c>
      <c r="R255" t="inlineStr">
        <is>
          <t xml:space="preserve">E  </t>
        </is>
      </c>
      <c r="S255" t="n">
        <v>0</v>
      </c>
      <c r="T255" t="n">
        <v>6</v>
      </c>
      <c r="V255" t="inlineStr">
        <is>
          <t>2000-12-12</t>
        </is>
      </c>
      <c r="W255" t="inlineStr">
        <is>
          <t>1996-09-30</t>
        </is>
      </c>
      <c r="X255" t="inlineStr">
        <is>
          <t>1996-09-30</t>
        </is>
      </c>
      <c r="Y255" t="n">
        <v>165</v>
      </c>
      <c r="Z255" t="n">
        <v>162</v>
      </c>
      <c r="AA255" t="n">
        <v>286</v>
      </c>
      <c r="AB255" t="n">
        <v>4</v>
      </c>
      <c r="AC255" t="n">
        <v>4</v>
      </c>
      <c r="AD255" t="n">
        <v>5</v>
      </c>
      <c r="AE255" t="n">
        <v>9</v>
      </c>
      <c r="AF255" t="n">
        <v>2</v>
      </c>
      <c r="AG255" t="n">
        <v>4</v>
      </c>
      <c r="AH255" t="n">
        <v>2</v>
      </c>
      <c r="AI255" t="n">
        <v>2</v>
      </c>
      <c r="AJ255" t="n">
        <v>0</v>
      </c>
      <c r="AK255" t="n">
        <v>1</v>
      </c>
      <c r="AL255" t="n">
        <v>2</v>
      </c>
      <c r="AM255" t="n">
        <v>2</v>
      </c>
      <c r="AN255" t="n">
        <v>0</v>
      </c>
      <c r="AO255" t="n">
        <v>1</v>
      </c>
      <c r="AP255" t="inlineStr">
        <is>
          <t>Yes</t>
        </is>
      </c>
      <c r="AQ255" t="inlineStr">
        <is>
          <t>No</t>
        </is>
      </c>
      <c r="AR255">
        <f>HYPERLINK("http://catalog.hathitrust.org/Record/100102938","HathiTrust Record")</f>
        <v/>
      </c>
      <c r="AS255">
        <f>HYPERLINK("https://creighton-primo.hosted.exlibrisgroup.com/primo-explore/search?tab=default_tab&amp;search_scope=EVERYTHING&amp;vid=01CRU&amp;lang=en_US&amp;offset=0&amp;query=any,contains,991004478349702656","Catalog Record")</f>
        <v/>
      </c>
      <c r="AT255">
        <f>HYPERLINK("http://www.worldcat.org/oclc/736786","WorldCat Record")</f>
        <v/>
      </c>
      <c r="AU255" t="inlineStr">
        <is>
          <t>1011362558:eng</t>
        </is>
      </c>
      <c r="AV255" t="inlineStr">
        <is>
          <t>736786</t>
        </is>
      </c>
      <c r="AW255" t="inlineStr">
        <is>
          <t>991004478349702656</t>
        </is>
      </c>
      <c r="AX255" t="inlineStr">
        <is>
          <t>991004478349702656</t>
        </is>
      </c>
      <c r="AY255" t="inlineStr">
        <is>
          <t>2270428300002656</t>
        </is>
      </c>
      <c r="AZ255" t="inlineStr">
        <is>
          <t>BOOK</t>
        </is>
      </c>
      <c r="BC255" t="inlineStr">
        <is>
          <t>32285002309523</t>
        </is>
      </c>
      <c r="BD255" t="inlineStr">
        <is>
          <t>893337779</t>
        </is>
      </c>
    </row>
    <row r="256">
      <c r="A256" t="inlineStr">
        <is>
          <t>No</t>
        </is>
      </c>
      <c r="B256" t="inlineStr">
        <is>
          <t>E173 .C55</t>
        </is>
      </c>
      <c r="C256" t="inlineStr">
        <is>
          <t>0                      E  0173000C  55</t>
        </is>
      </c>
      <c r="D256" t="inlineStr">
        <is>
          <t>The Chronicles of America series / Allen Johnson, editor, Gerhard R. Lomer, Charles W. Jefferys, assistant editors.</t>
        </is>
      </c>
      <c r="E256" t="inlineStr">
        <is>
          <t>V.55</t>
        </is>
      </c>
      <c r="F256" t="inlineStr">
        <is>
          <t>Yes</t>
        </is>
      </c>
      <c r="G256" t="inlineStr">
        <is>
          <t>1</t>
        </is>
      </c>
      <c r="H256" t="inlineStr">
        <is>
          <t>No</t>
        </is>
      </c>
      <c r="I256" t="inlineStr">
        <is>
          <t>No</t>
        </is>
      </c>
      <c r="J256" t="inlineStr">
        <is>
          <t>0</t>
        </is>
      </c>
      <c r="L256" t="inlineStr">
        <is>
          <t>New Haven, [Conn.] : Yale University Press, [1921-1950].</t>
        </is>
      </c>
      <c r="M256" t="inlineStr">
        <is>
          <t>1921</t>
        </is>
      </c>
      <c r="O256" t="inlineStr">
        <is>
          <t>eng</t>
        </is>
      </c>
      <c r="P256" t="inlineStr">
        <is>
          <t xml:space="preserve">xx </t>
        </is>
      </c>
      <c r="R256" t="inlineStr">
        <is>
          <t xml:space="preserve">E  </t>
        </is>
      </c>
      <c r="S256" t="n">
        <v>0</v>
      </c>
      <c r="T256" t="n">
        <v>6</v>
      </c>
      <c r="V256" t="inlineStr">
        <is>
          <t>2000-12-12</t>
        </is>
      </c>
      <c r="W256" t="inlineStr">
        <is>
          <t>1996-09-30</t>
        </is>
      </c>
      <c r="X256" t="inlineStr">
        <is>
          <t>1996-09-30</t>
        </is>
      </c>
      <c r="Y256" t="n">
        <v>165</v>
      </c>
      <c r="Z256" t="n">
        <v>162</v>
      </c>
      <c r="AA256" t="n">
        <v>286</v>
      </c>
      <c r="AB256" t="n">
        <v>4</v>
      </c>
      <c r="AC256" t="n">
        <v>4</v>
      </c>
      <c r="AD256" t="n">
        <v>5</v>
      </c>
      <c r="AE256" t="n">
        <v>9</v>
      </c>
      <c r="AF256" t="n">
        <v>2</v>
      </c>
      <c r="AG256" t="n">
        <v>4</v>
      </c>
      <c r="AH256" t="n">
        <v>2</v>
      </c>
      <c r="AI256" t="n">
        <v>2</v>
      </c>
      <c r="AJ256" t="n">
        <v>0</v>
      </c>
      <c r="AK256" t="n">
        <v>1</v>
      </c>
      <c r="AL256" t="n">
        <v>2</v>
      </c>
      <c r="AM256" t="n">
        <v>2</v>
      </c>
      <c r="AN256" t="n">
        <v>0</v>
      </c>
      <c r="AO256" t="n">
        <v>1</v>
      </c>
      <c r="AP256" t="inlineStr">
        <is>
          <t>Yes</t>
        </is>
      </c>
      <c r="AQ256" t="inlineStr">
        <is>
          <t>No</t>
        </is>
      </c>
      <c r="AR256">
        <f>HYPERLINK("http://catalog.hathitrust.org/Record/100102938","HathiTrust Record")</f>
        <v/>
      </c>
      <c r="AS256">
        <f>HYPERLINK("https://creighton-primo.hosted.exlibrisgroup.com/primo-explore/search?tab=default_tab&amp;search_scope=EVERYTHING&amp;vid=01CRU&amp;lang=en_US&amp;offset=0&amp;query=any,contains,991004478349702656","Catalog Record")</f>
        <v/>
      </c>
      <c r="AT256">
        <f>HYPERLINK("http://www.worldcat.org/oclc/736786","WorldCat Record")</f>
        <v/>
      </c>
      <c r="AU256" t="inlineStr">
        <is>
          <t>1011362558:eng</t>
        </is>
      </c>
      <c r="AV256" t="inlineStr">
        <is>
          <t>736786</t>
        </is>
      </c>
      <c r="AW256" t="inlineStr">
        <is>
          <t>991004478349702656</t>
        </is>
      </c>
      <c r="AX256" t="inlineStr">
        <is>
          <t>991004478349702656</t>
        </is>
      </c>
      <c r="AY256" t="inlineStr">
        <is>
          <t>2270428300002656</t>
        </is>
      </c>
      <c r="AZ256" t="inlineStr">
        <is>
          <t>BOOK</t>
        </is>
      </c>
      <c r="BC256" t="inlineStr">
        <is>
          <t>32285002309556</t>
        </is>
      </c>
      <c r="BD256" t="inlineStr">
        <is>
          <t>893331634</t>
        </is>
      </c>
    </row>
    <row r="257">
      <c r="A257" t="inlineStr">
        <is>
          <t>No</t>
        </is>
      </c>
      <c r="B257" t="inlineStr">
        <is>
          <t>E173 .C55</t>
        </is>
      </c>
      <c r="C257" t="inlineStr">
        <is>
          <t>0                      E  0173000C  55</t>
        </is>
      </c>
      <c r="D257" t="inlineStr">
        <is>
          <t>The Chronicles of America series / Allen Johnson, editor, Gerhard R. Lomer, Charles W. Jefferys, assistant editors.</t>
        </is>
      </c>
      <c r="E257" t="inlineStr">
        <is>
          <t>V.53</t>
        </is>
      </c>
      <c r="F257" t="inlineStr">
        <is>
          <t>Yes</t>
        </is>
      </c>
      <c r="G257" t="inlineStr">
        <is>
          <t>1</t>
        </is>
      </c>
      <c r="H257" t="inlineStr">
        <is>
          <t>No</t>
        </is>
      </c>
      <c r="I257" t="inlineStr">
        <is>
          <t>No</t>
        </is>
      </c>
      <c r="J257" t="inlineStr">
        <is>
          <t>0</t>
        </is>
      </c>
      <c r="L257" t="inlineStr">
        <is>
          <t>New Haven, [Conn.] : Yale University Press, [1921-1950].</t>
        </is>
      </c>
      <c r="M257" t="inlineStr">
        <is>
          <t>1921</t>
        </is>
      </c>
      <c r="O257" t="inlineStr">
        <is>
          <t>eng</t>
        </is>
      </c>
      <c r="P257" t="inlineStr">
        <is>
          <t xml:space="preserve">xx </t>
        </is>
      </c>
      <c r="R257" t="inlineStr">
        <is>
          <t xml:space="preserve">E  </t>
        </is>
      </c>
      <c r="S257" t="n">
        <v>0</v>
      </c>
      <c r="T257" t="n">
        <v>6</v>
      </c>
      <c r="V257" t="inlineStr">
        <is>
          <t>2000-12-12</t>
        </is>
      </c>
      <c r="W257" t="inlineStr">
        <is>
          <t>1996-09-30</t>
        </is>
      </c>
      <c r="X257" t="inlineStr">
        <is>
          <t>1996-09-30</t>
        </is>
      </c>
      <c r="Y257" t="n">
        <v>165</v>
      </c>
      <c r="Z257" t="n">
        <v>162</v>
      </c>
      <c r="AA257" t="n">
        <v>286</v>
      </c>
      <c r="AB257" t="n">
        <v>4</v>
      </c>
      <c r="AC257" t="n">
        <v>4</v>
      </c>
      <c r="AD257" t="n">
        <v>5</v>
      </c>
      <c r="AE257" t="n">
        <v>9</v>
      </c>
      <c r="AF257" t="n">
        <v>2</v>
      </c>
      <c r="AG257" t="n">
        <v>4</v>
      </c>
      <c r="AH257" t="n">
        <v>2</v>
      </c>
      <c r="AI257" t="n">
        <v>2</v>
      </c>
      <c r="AJ257" t="n">
        <v>0</v>
      </c>
      <c r="AK257" t="n">
        <v>1</v>
      </c>
      <c r="AL257" t="n">
        <v>2</v>
      </c>
      <c r="AM257" t="n">
        <v>2</v>
      </c>
      <c r="AN257" t="n">
        <v>0</v>
      </c>
      <c r="AO257" t="n">
        <v>1</v>
      </c>
      <c r="AP257" t="inlineStr">
        <is>
          <t>Yes</t>
        </is>
      </c>
      <c r="AQ257" t="inlineStr">
        <is>
          <t>No</t>
        </is>
      </c>
      <c r="AR257">
        <f>HYPERLINK("http://catalog.hathitrust.org/Record/100102938","HathiTrust Record")</f>
        <v/>
      </c>
      <c r="AS257">
        <f>HYPERLINK("https://creighton-primo.hosted.exlibrisgroup.com/primo-explore/search?tab=default_tab&amp;search_scope=EVERYTHING&amp;vid=01CRU&amp;lang=en_US&amp;offset=0&amp;query=any,contains,991004478349702656","Catalog Record")</f>
        <v/>
      </c>
      <c r="AT257">
        <f>HYPERLINK("http://www.worldcat.org/oclc/736786","WorldCat Record")</f>
        <v/>
      </c>
      <c r="AU257" t="inlineStr">
        <is>
          <t>1011362558:eng</t>
        </is>
      </c>
      <c r="AV257" t="inlineStr">
        <is>
          <t>736786</t>
        </is>
      </c>
      <c r="AW257" t="inlineStr">
        <is>
          <t>991004478349702656</t>
        </is>
      </c>
      <c r="AX257" t="inlineStr">
        <is>
          <t>991004478349702656</t>
        </is>
      </c>
      <c r="AY257" t="inlineStr">
        <is>
          <t>2270428300002656</t>
        </is>
      </c>
      <c r="AZ257" t="inlineStr">
        <is>
          <t>BOOK</t>
        </is>
      </c>
      <c r="BC257" t="inlineStr">
        <is>
          <t>32285002309531</t>
        </is>
      </c>
      <c r="BD257" t="inlineStr">
        <is>
          <t>893331627</t>
        </is>
      </c>
    </row>
    <row r="258">
      <c r="A258" t="inlineStr">
        <is>
          <t>No</t>
        </is>
      </c>
      <c r="B258" t="inlineStr">
        <is>
          <t>E173 .C55</t>
        </is>
      </c>
      <c r="C258" t="inlineStr">
        <is>
          <t>0                      E  0173000C  55</t>
        </is>
      </c>
      <c r="D258" t="inlineStr">
        <is>
          <t>The Chronicles of America series / Allen Johnson, editor, Gerhard R. Lomer, Charles W. Jefferys, assistant editors.</t>
        </is>
      </c>
      <c r="E258" t="inlineStr">
        <is>
          <t>V.2</t>
        </is>
      </c>
      <c r="F258" t="inlineStr">
        <is>
          <t>Yes</t>
        </is>
      </c>
      <c r="G258" t="inlineStr">
        <is>
          <t>1</t>
        </is>
      </c>
      <c r="H258" t="inlineStr">
        <is>
          <t>No</t>
        </is>
      </c>
      <c r="I258" t="inlineStr">
        <is>
          <t>No</t>
        </is>
      </c>
      <c r="J258" t="inlineStr">
        <is>
          <t>0</t>
        </is>
      </c>
      <c r="L258" t="inlineStr">
        <is>
          <t>New Haven, [Conn.] : Yale University Press, [1921-1950].</t>
        </is>
      </c>
      <c r="M258" t="inlineStr">
        <is>
          <t>1921</t>
        </is>
      </c>
      <c r="O258" t="inlineStr">
        <is>
          <t>eng</t>
        </is>
      </c>
      <c r="P258" t="inlineStr">
        <is>
          <t xml:space="preserve">xx </t>
        </is>
      </c>
      <c r="R258" t="inlineStr">
        <is>
          <t xml:space="preserve">E  </t>
        </is>
      </c>
      <c r="S258" t="n">
        <v>0</v>
      </c>
      <c r="T258" t="n">
        <v>6</v>
      </c>
      <c r="V258" t="inlineStr">
        <is>
          <t>2000-12-12</t>
        </is>
      </c>
      <c r="W258" t="inlineStr">
        <is>
          <t>1996-09-30</t>
        </is>
      </c>
      <c r="X258" t="inlineStr">
        <is>
          <t>1996-09-30</t>
        </is>
      </c>
      <c r="Y258" t="n">
        <v>165</v>
      </c>
      <c r="Z258" t="n">
        <v>162</v>
      </c>
      <c r="AA258" t="n">
        <v>286</v>
      </c>
      <c r="AB258" t="n">
        <v>4</v>
      </c>
      <c r="AC258" t="n">
        <v>4</v>
      </c>
      <c r="AD258" t="n">
        <v>5</v>
      </c>
      <c r="AE258" t="n">
        <v>9</v>
      </c>
      <c r="AF258" t="n">
        <v>2</v>
      </c>
      <c r="AG258" t="n">
        <v>4</v>
      </c>
      <c r="AH258" t="n">
        <v>2</v>
      </c>
      <c r="AI258" t="n">
        <v>2</v>
      </c>
      <c r="AJ258" t="n">
        <v>0</v>
      </c>
      <c r="AK258" t="n">
        <v>1</v>
      </c>
      <c r="AL258" t="n">
        <v>2</v>
      </c>
      <c r="AM258" t="n">
        <v>2</v>
      </c>
      <c r="AN258" t="n">
        <v>0</v>
      </c>
      <c r="AO258" t="n">
        <v>1</v>
      </c>
      <c r="AP258" t="inlineStr">
        <is>
          <t>Yes</t>
        </is>
      </c>
      <c r="AQ258" t="inlineStr">
        <is>
          <t>No</t>
        </is>
      </c>
      <c r="AR258">
        <f>HYPERLINK("http://catalog.hathitrust.org/Record/100102938","HathiTrust Record")</f>
        <v/>
      </c>
      <c r="AS258">
        <f>HYPERLINK("https://creighton-primo.hosted.exlibrisgroup.com/primo-explore/search?tab=default_tab&amp;search_scope=EVERYTHING&amp;vid=01CRU&amp;lang=en_US&amp;offset=0&amp;query=any,contains,991004478349702656","Catalog Record")</f>
        <v/>
      </c>
      <c r="AT258">
        <f>HYPERLINK("http://www.worldcat.org/oclc/736786","WorldCat Record")</f>
        <v/>
      </c>
      <c r="AU258" t="inlineStr">
        <is>
          <t>1011362558:eng</t>
        </is>
      </c>
      <c r="AV258" t="inlineStr">
        <is>
          <t>736786</t>
        </is>
      </c>
      <c r="AW258" t="inlineStr">
        <is>
          <t>991004478349702656</t>
        </is>
      </c>
      <c r="AX258" t="inlineStr">
        <is>
          <t>991004478349702656</t>
        </is>
      </c>
      <c r="AY258" t="inlineStr">
        <is>
          <t>2270428300002656</t>
        </is>
      </c>
      <c r="AZ258" t="inlineStr">
        <is>
          <t>BOOK</t>
        </is>
      </c>
      <c r="BC258" t="inlineStr">
        <is>
          <t>32285002309028</t>
        </is>
      </c>
      <c r="BD258" t="inlineStr">
        <is>
          <t>893319274</t>
        </is>
      </c>
    </row>
    <row r="259">
      <c r="A259" t="inlineStr">
        <is>
          <t>No</t>
        </is>
      </c>
      <c r="B259" t="inlineStr">
        <is>
          <t>E173 .C55</t>
        </is>
      </c>
      <c r="C259" t="inlineStr">
        <is>
          <t>0                      E  0173000C  55</t>
        </is>
      </c>
      <c r="D259" t="inlineStr">
        <is>
          <t>The Chronicles of America series / Allen Johnson, editor, Gerhard R. Lomer, Charles W. Jefferys, assistant editors.</t>
        </is>
      </c>
      <c r="E259" t="inlineStr">
        <is>
          <t>V.24</t>
        </is>
      </c>
      <c r="F259" t="inlineStr">
        <is>
          <t>Yes</t>
        </is>
      </c>
      <c r="G259" t="inlineStr">
        <is>
          <t>1</t>
        </is>
      </c>
      <c r="H259" t="inlineStr">
        <is>
          <t>No</t>
        </is>
      </c>
      <c r="I259" t="inlineStr">
        <is>
          <t>No</t>
        </is>
      </c>
      <c r="J259" t="inlineStr">
        <is>
          <t>0</t>
        </is>
      </c>
      <c r="L259" t="inlineStr">
        <is>
          <t>New Haven, [Conn.] : Yale University Press, [1921-1950].</t>
        </is>
      </c>
      <c r="M259" t="inlineStr">
        <is>
          <t>1921</t>
        </is>
      </c>
      <c r="O259" t="inlineStr">
        <is>
          <t>eng</t>
        </is>
      </c>
      <c r="P259" t="inlineStr">
        <is>
          <t xml:space="preserve">xx </t>
        </is>
      </c>
      <c r="R259" t="inlineStr">
        <is>
          <t xml:space="preserve">E  </t>
        </is>
      </c>
      <c r="S259" t="n">
        <v>0</v>
      </c>
      <c r="T259" t="n">
        <v>6</v>
      </c>
      <c r="V259" t="inlineStr">
        <is>
          <t>2000-12-12</t>
        </is>
      </c>
      <c r="W259" t="inlineStr">
        <is>
          <t>1996-09-30</t>
        </is>
      </c>
      <c r="X259" t="inlineStr">
        <is>
          <t>1996-09-30</t>
        </is>
      </c>
      <c r="Y259" t="n">
        <v>165</v>
      </c>
      <c r="Z259" t="n">
        <v>162</v>
      </c>
      <c r="AA259" t="n">
        <v>286</v>
      </c>
      <c r="AB259" t="n">
        <v>4</v>
      </c>
      <c r="AC259" t="n">
        <v>4</v>
      </c>
      <c r="AD259" t="n">
        <v>5</v>
      </c>
      <c r="AE259" t="n">
        <v>9</v>
      </c>
      <c r="AF259" t="n">
        <v>2</v>
      </c>
      <c r="AG259" t="n">
        <v>4</v>
      </c>
      <c r="AH259" t="n">
        <v>2</v>
      </c>
      <c r="AI259" t="n">
        <v>2</v>
      </c>
      <c r="AJ259" t="n">
        <v>0</v>
      </c>
      <c r="AK259" t="n">
        <v>1</v>
      </c>
      <c r="AL259" t="n">
        <v>2</v>
      </c>
      <c r="AM259" t="n">
        <v>2</v>
      </c>
      <c r="AN259" t="n">
        <v>0</v>
      </c>
      <c r="AO259" t="n">
        <v>1</v>
      </c>
      <c r="AP259" t="inlineStr">
        <is>
          <t>Yes</t>
        </is>
      </c>
      <c r="AQ259" t="inlineStr">
        <is>
          <t>No</t>
        </is>
      </c>
      <c r="AR259">
        <f>HYPERLINK("http://catalog.hathitrust.org/Record/100102938","HathiTrust Record")</f>
        <v/>
      </c>
      <c r="AS259">
        <f>HYPERLINK("https://creighton-primo.hosted.exlibrisgroup.com/primo-explore/search?tab=default_tab&amp;search_scope=EVERYTHING&amp;vid=01CRU&amp;lang=en_US&amp;offset=0&amp;query=any,contains,991004478349702656","Catalog Record")</f>
        <v/>
      </c>
      <c r="AT259">
        <f>HYPERLINK("http://www.worldcat.org/oclc/736786","WorldCat Record")</f>
        <v/>
      </c>
      <c r="AU259" t="inlineStr">
        <is>
          <t>1011362558:eng</t>
        </is>
      </c>
      <c r="AV259" t="inlineStr">
        <is>
          <t>736786</t>
        </is>
      </c>
      <c r="AW259" t="inlineStr">
        <is>
          <t>991004478349702656</t>
        </is>
      </c>
      <c r="AX259" t="inlineStr">
        <is>
          <t>991004478349702656</t>
        </is>
      </c>
      <c r="AY259" t="inlineStr">
        <is>
          <t>2270428300002656</t>
        </is>
      </c>
      <c r="AZ259" t="inlineStr">
        <is>
          <t>BOOK</t>
        </is>
      </c>
      <c r="BC259" t="inlineStr">
        <is>
          <t>32285002309242</t>
        </is>
      </c>
      <c r="BD259" t="inlineStr">
        <is>
          <t>893337783</t>
        </is>
      </c>
    </row>
    <row r="260">
      <c r="A260" t="inlineStr">
        <is>
          <t>No</t>
        </is>
      </c>
      <c r="B260" t="inlineStr">
        <is>
          <t>E173 .C55</t>
        </is>
      </c>
      <c r="C260" t="inlineStr">
        <is>
          <t>0                      E  0173000C  55</t>
        </is>
      </c>
      <c r="D260" t="inlineStr">
        <is>
          <t>The Chronicles of America series / Allen Johnson, editor, Gerhard R. Lomer, Charles W. Jefferys, assistant editors.</t>
        </is>
      </c>
      <c r="E260" t="inlineStr">
        <is>
          <t>V.9</t>
        </is>
      </c>
      <c r="F260" t="inlineStr">
        <is>
          <t>Yes</t>
        </is>
      </c>
      <c r="G260" t="inlineStr">
        <is>
          <t>1</t>
        </is>
      </c>
      <c r="H260" t="inlineStr">
        <is>
          <t>No</t>
        </is>
      </c>
      <c r="I260" t="inlineStr">
        <is>
          <t>No</t>
        </is>
      </c>
      <c r="J260" t="inlineStr">
        <is>
          <t>0</t>
        </is>
      </c>
      <c r="L260" t="inlineStr">
        <is>
          <t>New Haven, [Conn.] : Yale University Press, [1921-1950].</t>
        </is>
      </c>
      <c r="M260" t="inlineStr">
        <is>
          <t>1921</t>
        </is>
      </c>
      <c r="O260" t="inlineStr">
        <is>
          <t>eng</t>
        </is>
      </c>
      <c r="P260" t="inlineStr">
        <is>
          <t xml:space="preserve">xx </t>
        </is>
      </c>
      <c r="R260" t="inlineStr">
        <is>
          <t xml:space="preserve">E  </t>
        </is>
      </c>
      <c r="S260" t="n">
        <v>0</v>
      </c>
      <c r="T260" t="n">
        <v>6</v>
      </c>
      <c r="V260" t="inlineStr">
        <is>
          <t>2000-12-12</t>
        </is>
      </c>
      <c r="W260" t="inlineStr">
        <is>
          <t>1996-09-30</t>
        </is>
      </c>
      <c r="X260" t="inlineStr">
        <is>
          <t>1996-09-30</t>
        </is>
      </c>
      <c r="Y260" t="n">
        <v>165</v>
      </c>
      <c r="Z260" t="n">
        <v>162</v>
      </c>
      <c r="AA260" t="n">
        <v>286</v>
      </c>
      <c r="AB260" t="n">
        <v>4</v>
      </c>
      <c r="AC260" t="n">
        <v>4</v>
      </c>
      <c r="AD260" t="n">
        <v>5</v>
      </c>
      <c r="AE260" t="n">
        <v>9</v>
      </c>
      <c r="AF260" t="n">
        <v>2</v>
      </c>
      <c r="AG260" t="n">
        <v>4</v>
      </c>
      <c r="AH260" t="n">
        <v>2</v>
      </c>
      <c r="AI260" t="n">
        <v>2</v>
      </c>
      <c r="AJ260" t="n">
        <v>0</v>
      </c>
      <c r="AK260" t="n">
        <v>1</v>
      </c>
      <c r="AL260" t="n">
        <v>2</v>
      </c>
      <c r="AM260" t="n">
        <v>2</v>
      </c>
      <c r="AN260" t="n">
        <v>0</v>
      </c>
      <c r="AO260" t="n">
        <v>1</v>
      </c>
      <c r="AP260" t="inlineStr">
        <is>
          <t>Yes</t>
        </is>
      </c>
      <c r="AQ260" t="inlineStr">
        <is>
          <t>No</t>
        </is>
      </c>
      <c r="AR260">
        <f>HYPERLINK("http://catalog.hathitrust.org/Record/100102938","HathiTrust Record")</f>
        <v/>
      </c>
      <c r="AS260">
        <f>HYPERLINK("https://creighton-primo.hosted.exlibrisgroup.com/primo-explore/search?tab=default_tab&amp;search_scope=EVERYTHING&amp;vid=01CRU&amp;lang=en_US&amp;offset=0&amp;query=any,contains,991004478349702656","Catalog Record")</f>
        <v/>
      </c>
      <c r="AT260">
        <f>HYPERLINK("http://www.worldcat.org/oclc/736786","WorldCat Record")</f>
        <v/>
      </c>
      <c r="AU260" t="inlineStr">
        <is>
          <t>1011362558:eng</t>
        </is>
      </c>
      <c r="AV260" t="inlineStr">
        <is>
          <t>736786</t>
        </is>
      </c>
      <c r="AW260" t="inlineStr">
        <is>
          <t>991004478349702656</t>
        </is>
      </c>
      <c r="AX260" t="inlineStr">
        <is>
          <t>991004478349702656</t>
        </is>
      </c>
      <c r="AY260" t="inlineStr">
        <is>
          <t>2270428300002656</t>
        </is>
      </c>
      <c r="AZ260" t="inlineStr">
        <is>
          <t>BOOK</t>
        </is>
      </c>
      <c r="BC260" t="inlineStr">
        <is>
          <t>32285002309093</t>
        </is>
      </c>
      <c r="BD260" t="inlineStr">
        <is>
          <t>893353412</t>
        </is>
      </c>
    </row>
    <row r="261">
      <c r="A261" t="inlineStr">
        <is>
          <t>No</t>
        </is>
      </c>
      <c r="B261" t="inlineStr">
        <is>
          <t>E173 .C55</t>
        </is>
      </c>
      <c r="C261" t="inlineStr">
        <is>
          <t>0                      E  0173000C  55</t>
        </is>
      </c>
      <c r="D261" t="inlineStr">
        <is>
          <t>The Chronicles of America series / Allen Johnson, editor, Gerhard R. Lomer, Charles W. Jefferys, assistant editors.</t>
        </is>
      </c>
      <c r="E261" t="inlineStr">
        <is>
          <t>V.7</t>
        </is>
      </c>
      <c r="F261" t="inlineStr">
        <is>
          <t>Yes</t>
        </is>
      </c>
      <c r="G261" t="inlineStr">
        <is>
          <t>1</t>
        </is>
      </c>
      <c r="H261" t="inlineStr">
        <is>
          <t>No</t>
        </is>
      </c>
      <c r="I261" t="inlineStr">
        <is>
          <t>No</t>
        </is>
      </c>
      <c r="J261" t="inlineStr">
        <is>
          <t>0</t>
        </is>
      </c>
      <c r="L261" t="inlineStr">
        <is>
          <t>New Haven, [Conn.] : Yale University Press, [1921-1950].</t>
        </is>
      </c>
      <c r="M261" t="inlineStr">
        <is>
          <t>1921</t>
        </is>
      </c>
      <c r="O261" t="inlineStr">
        <is>
          <t>eng</t>
        </is>
      </c>
      <c r="P261" t="inlineStr">
        <is>
          <t xml:space="preserve">xx </t>
        </is>
      </c>
      <c r="R261" t="inlineStr">
        <is>
          <t xml:space="preserve">E  </t>
        </is>
      </c>
      <c r="S261" t="n">
        <v>0</v>
      </c>
      <c r="T261" t="n">
        <v>6</v>
      </c>
      <c r="V261" t="inlineStr">
        <is>
          <t>2000-12-12</t>
        </is>
      </c>
      <c r="W261" t="inlineStr">
        <is>
          <t>1996-09-30</t>
        </is>
      </c>
      <c r="X261" t="inlineStr">
        <is>
          <t>1996-09-30</t>
        </is>
      </c>
      <c r="Y261" t="n">
        <v>165</v>
      </c>
      <c r="Z261" t="n">
        <v>162</v>
      </c>
      <c r="AA261" t="n">
        <v>286</v>
      </c>
      <c r="AB261" t="n">
        <v>4</v>
      </c>
      <c r="AC261" t="n">
        <v>4</v>
      </c>
      <c r="AD261" t="n">
        <v>5</v>
      </c>
      <c r="AE261" t="n">
        <v>9</v>
      </c>
      <c r="AF261" t="n">
        <v>2</v>
      </c>
      <c r="AG261" t="n">
        <v>4</v>
      </c>
      <c r="AH261" t="n">
        <v>2</v>
      </c>
      <c r="AI261" t="n">
        <v>2</v>
      </c>
      <c r="AJ261" t="n">
        <v>0</v>
      </c>
      <c r="AK261" t="n">
        <v>1</v>
      </c>
      <c r="AL261" t="n">
        <v>2</v>
      </c>
      <c r="AM261" t="n">
        <v>2</v>
      </c>
      <c r="AN261" t="n">
        <v>0</v>
      </c>
      <c r="AO261" t="n">
        <v>1</v>
      </c>
      <c r="AP261" t="inlineStr">
        <is>
          <t>Yes</t>
        </is>
      </c>
      <c r="AQ261" t="inlineStr">
        <is>
          <t>No</t>
        </is>
      </c>
      <c r="AR261">
        <f>HYPERLINK("http://catalog.hathitrust.org/Record/100102938","HathiTrust Record")</f>
        <v/>
      </c>
      <c r="AS261">
        <f>HYPERLINK("https://creighton-primo.hosted.exlibrisgroup.com/primo-explore/search?tab=default_tab&amp;search_scope=EVERYTHING&amp;vid=01CRU&amp;lang=en_US&amp;offset=0&amp;query=any,contains,991004478349702656","Catalog Record")</f>
        <v/>
      </c>
      <c r="AT261">
        <f>HYPERLINK("http://www.worldcat.org/oclc/736786","WorldCat Record")</f>
        <v/>
      </c>
      <c r="AU261" t="inlineStr">
        <is>
          <t>1011362558:eng</t>
        </is>
      </c>
      <c r="AV261" t="inlineStr">
        <is>
          <t>736786</t>
        </is>
      </c>
      <c r="AW261" t="inlineStr">
        <is>
          <t>991004478349702656</t>
        </is>
      </c>
      <c r="AX261" t="inlineStr">
        <is>
          <t>991004478349702656</t>
        </is>
      </c>
      <c r="AY261" t="inlineStr">
        <is>
          <t>2270428300002656</t>
        </is>
      </c>
      <c r="AZ261" t="inlineStr">
        <is>
          <t>BOOK</t>
        </is>
      </c>
      <c r="BC261" t="inlineStr">
        <is>
          <t>32285002309077</t>
        </is>
      </c>
      <c r="BD261" t="inlineStr">
        <is>
          <t>893331626</t>
        </is>
      </c>
    </row>
    <row r="262">
      <c r="A262" t="inlineStr">
        <is>
          <t>No</t>
        </is>
      </c>
      <c r="B262" t="inlineStr">
        <is>
          <t>E173 .C55</t>
        </is>
      </c>
      <c r="C262" t="inlineStr">
        <is>
          <t>0                      E  0173000C  55</t>
        </is>
      </c>
      <c r="D262" t="inlineStr">
        <is>
          <t>The Chronicles of America series / Allen Johnson, editor, Gerhard R. Lomer, Charles W. Jefferys, assistant editors.</t>
        </is>
      </c>
      <c r="E262" t="inlineStr">
        <is>
          <t>V.30</t>
        </is>
      </c>
      <c r="F262" t="inlineStr">
        <is>
          <t>Yes</t>
        </is>
      </c>
      <c r="G262" t="inlineStr">
        <is>
          <t>1</t>
        </is>
      </c>
      <c r="H262" t="inlineStr">
        <is>
          <t>No</t>
        </is>
      </c>
      <c r="I262" t="inlineStr">
        <is>
          <t>No</t>
        </is>
      </c>
      <c r="J262" t="inlineStr">
        <is>
          <t>0</t>
        </is>
      </c>
      <c r="L262" t="inlineStr">
        <is>
          <t>New Haven, [Conn.] : Yale University Press, [1921-1950].</t>
        </is>
      </c>
      <c r="M262" t="inlineStr">
        <is>
          <t>1921</t>
        </is>
      </c>
      <c r="O262" t="inlineStr">
        <is>
          <t>eng</t>
        </is>
      </c>
      <c r="P262" t="inlineStr">
        <is>
          <t xml:space="preserve">xx </t>
        </is>
      </c>
      <c r="R262" t="inlineStr">
        <is>
          <t xml:space="preserve">E  </t>
        </is>
      </c>
      <c r="S262" t="n">
        <v>0</v>
      </c>
      <c r="T262" t="n">
        <v>6</v>
      </c>
      <c r="V262" t="inlineStr">
        <is>
          <t>2000-12-12</t>
        </is>
      </c>
      <c r="W262" t="inlineStr">
        <is>
          <t>1996-09-30</t>
        </is>
      </c>
      <c r="X262" t="inlineStr">
        <is>
          <t>1996-09-30</t>
        </is>
      </c>
      <c r="Y262" t="n">
        <v>165</v>
      </c>
      <c r="Z262" t="n">
        <v>162</v>
      </c>
      <c r="AA262" t="n">
        <v>286</v>
      </c>
      <c r="AB262" t="n">
        <v>4</v>
      </c>
      <c r="AC262" t="n">
        <v>4</v>
      </c>
      <c r="AD262" t="n">
        <v>5</v>
      </c>
      <c r="AE262" t="n">
        <v>9</v>
      </c>
      <c r="AF262" t="n">
        <v>2</v>
      </c>
      <c r="AG262" t="n">
        <v>4</v>
      </c>
      <c r="AH262" t="n">
        <v>2</v>
      </c>
      <c r="AI262" t="n">
        <v>2</v>
      </c>
      <c r="AJ262" t="n">
        <v>0</v>
      </c>
      <c r="AK262" t="n">
        <v>1</v>
      </c>
      <c r="AL262" t="n">
        <v>2</v>
      </c>
      <c r="AM262" t="n">
        <v>2</v>
      </c>
      <c r="AN262" t="n">
        <v>0</v>
      </c>
      <c r="AO262" t="n">
        <v>1</v>
      </c>
      <c r="AP262" t="inlineStr">
        <is>
          <t>Yes</t>
        </is>
      </c>
      <c r="AQ262" t="inlineStr">
        <is>
          <t>No</t>
        </is>
      </c>
      <c r="AR262">
        <f>HYPERLINK("http://catalog.hathitrust.org/Record/100102938","HathiTrust Record")</f>
        <v/>
      </c>
      <c r="AS262">
        <f>HYPERLINK("https://creighton-primo.hosted.exlibrisgroup.com/primo-explore/search?tab=default_tab&amp;search_scope=EVERYTHING&amp;vid=01CRU&amp;lang=en_US&amp;offset=0&amp;query=any,contains,991004478349702656","Catalog Record")</f>
        <v/>
      </c>
      <c r="AT262">
        <f>HYPERLINK("http://www.worldcat.org/oclc/736786","WorldCat Record")</f>
        <v/>
      </c>
      <c r="AU262" t="inlineStr">
        <is>
          <t>1011362558:eng</t>
        </is>
      </c>
      <c r="AV262" t="inlineStr">
        <is>
          <t>736786</t>
        </is>
      </c>
      <c r="AW262" t="inlineStr">
        <is>
          <t>991004478349702656</t>
        </is>
      </c>
      <c r="AX262" t="inlineStr">
        <is>
          <t>991004478349702656</t>
        </is>
      </c>
      <c r="AY262" t="inlineStr">
        <is>
          <t>2270428300002656</t>
        </is>
      </c>
      <c r="AZ262" t="inlineStr">
        <is>
          <t>BOOK</t>
        </is>
      </c>
      <c r="BC262" t="inlineStr">
        <is>
          <t>32285002309309</t>
        </is>
      </c>
      <c r="BD262" t="inlineStr">
        <is>
          <t>893331639</t>
        </is>
      </c>
    </row>
    <row r="263">
      <c r="A263" t="inlineStr">
        <is>
          <t>No</t>
        </is>
      </c>
      <c r="B263" t="inlineStr">
        <is>
          <t>E173 .C55</t>
        </is>
      </c>
      <c r="C263" t="inlineStr">
        <is>
          <t>0                      E  0173000C  55</t>
        </is>
      </c>
      <c r="D263" t="inlineStr">
        <is>
          <t>The Chronicles of America series / Allen Johnson, editor, Gerhard R. Lomer, Charles W. Jefferys, assistant editors.</t>
        </is>
      </c>
      <c r="E263" t="inlineStr">
        <is>
          <t>V.56</t>
        </is>
      </c>
      <c r="F263" t="inlineStr">
        <is>
          <t>Yes</t>
        </is>
      </c>
      <c r="G263" t="inlineStr">
        <is>
          <t>1</t>
        </is>
      </c>
      <c r="H263" t="inlineStr">
        <is>
          <t>No</t>
        </is>
      </c>
      <c r="I263" t="inlineStr">
        <is>
          <t>No</t>
        </is>
      </c>
      <c r="J263" t="inlineStr">
        <is>
          <t>0</t>
        </is>
      </c>
      <c r="L263" t="inlineStr">
        <is>
          <t>New Haven, [Conn.] : Yale University Press, [1921-1950].</t>
        </is>
      </c>
      <c r="M263" t="inlineStr">
        <is>
          <t>1921</t>
        </is>
      </c>
      <c r="O263" t="inlineStr">
        <is>
          <t>eng</t>
        </is>
      </c>
      <c r="P263" t="inlineStr">
        <is>
          <t xml:space="preserve">xx </t>
        </is>
      </c>
      <c r="R263" t="inlineStr">
        <is>
          <t xml:space="preserve">E  </t>
        </is>
      </c>
      <c r="S263" t="n">
        <v>0</v>
      </c>
      <c r="T263" t="n">
        <v>6</v>
      </c>
      <c r="V263" t="inlineStr">
        <is>
          <t>2000-12-12</t>
        </is>
      </c>
      <c r="W263" t="inlineStr">
        <is>
          <t>1996-09-30</t>
        </is>
      </c>
      <c r="X263" t="inlineStr">
        <is>
          <t>1996-09-30</t>
        </is>
      </c>
      <c r="Y263" t="n">
        <v>165</v>
      </c>
      <c r="Z263" t="n">
        <v>162</v>
      </c>
      <c r="AA263" t="n">
        <v>286</v>
      </c>
      <c r="AB263" t="n">
        <v>4</v>
      </c>
      <c r="AC263" t="n">
        <v>4</v>
      </c>
      <c r="AD263" t="n">
        <v>5</v>
      </c>
      <c r="AE263" t="n">
        <v>9</v>
      </c>
      <c r="AF263" t="n">
        <v>2</v>
      </c>
      <c r="AG263" t="n">
        <v>4</v>
      </c>
      <c r="AH263" t="n">
        <v>2</v>
      </c>
      <c r="AI263" t="n">
        <v>2</v>
      </c>
      <c r="AJ263" t="n">
        <v>0</v>
      </c>
      <c r="AK263" t="n">
        <v>1</v>
      </c>
      <c r="AL263" t="n">
        <v>2</v>
      </c>
      <c r="AM263" t="n">
        <v>2</v>
      </c>
      <c r="AN263" t="n">
        <v>0</v>
      </c>
      <c r="AO263" t="n">
        <v>1</v>
      </c>
      <c r="AP263" t="inlineStr">
        <is>
          <t>Yes</t>
        </is>
      </c>
      <c r="AQ263" t="inlineStr">
        <is>
          <t>No</t>
        </is>
      </c>
      <c r="AR263">
        <f>HYPERLINK("http://catalog.hathitrust.org/Record/100102938","HathiTrust Record")</f>
        <v/>
      </c>
      <c r="AS263">
        <f>HYPERLINK("https://creighton-primo.hosted.exlibrisgroup.com/primo-explore/search?tab=default_tab&amp;search_scope=EVERYTHING&amp;vid=01CRU&amp;lang=en_US&amp;offset=0&amp;query=any,contains,991004478349702656","Catalog Record")</f>
        <v/>
      </c>
      <c r="AT263">
        <f>HYPERLINK("http://www.worldcat.org/oclc/736786","WorldCat Record")</f>
        <v/>
      </c>
      <c r="AU263" t="inlineStr">
        <is>
          <t>1011362558:eng</t>
        </is>
      </c>
      <c r="AV263" t="inlineStr">
        <is>
          <t>736786</t>
        </is>
      </c>
      <c r="AW263" t="inlineStr">
        <is>
          <t>991004478349702656</t>
        </is>
      </c>
      <c r="AX263" t="inlineStr">
        <is>
          <t>991004478349702656</t>
        </is>
      </c>
      <c r="AY263" t="inlineStr">
        <is>
          <t>2270428300002656</t>
        </is>
      </c>
      <c r="AZ263" t="inlineStr">
        <is>
          <t>BOOK</t>
        </is>
      </c>
      <c r="BC263" t="inlineStr">
        <is>
          <t>32285002309564</t>
        </is>
      </c>
      <c r="BD263" t="inlineStr">
        <is>
          <t>893350045</t>
        </is>
      </c>
    </row>
    <row r="264">
      <c r="A264" t="inlineStr">
        <is>
          <t>No</t>
        </is>
      </c>
      <c r="B264" t="inlineStr">
        <is>
          <t>E173 .C55</t>
        </is>
      </c>
      <c r="C264" t="inlineStr">
        <is>
          <t>0                      E  0173000C  55</t>
        </is>
      </c>
      <c r="D264" t="inlineStr">
        <is>
          <t>The Chronicles of America series / Allen Johnson, editor, Gerhard R. Lomer, Charles W. Jefferys, assistant editors.</t>
        </is>
      </c>
      <c r="E264" t="inlineStr">
        <is>
          <t>V.12</t>
        </is>
      </c>
      <c r="F264" t="inlineStr">
        <is>
          <t>Yes</t>
        </is>
      </c>
      <c r="G264" t="inlineStr">
        <is>
          <t>1</t>
        </is>
      </c>
      <c r="H264" t="inlineStr">
        <is>
          <t>No</t>
        </is>
      </c>
      <c r="I264" t="inlineStr">
        <is>
          <t>No</t>
        </is>
      </c>
      <c r="J264" t="inlineStr">
        <is>
          <t>0</t>
        </is>
      </c>
      <c r="L264" t="inlineStr">
        <is>
          <t>New Haven, [Conn.] : Yale University Press, [1921-1950].</t>
        </is>
      </c>
      <c r="M264" t="inlineStr">
        <is>
          <t>1921</t>
        </is>
      </c>
      <c r="O264" t="inlineStr">
        <is>
          <t>eng</t>
        </is>
      </c>
      <c r="P264" t="inlineStr">
        <is>
          <t xml:space="preserve">xx </t>
        </is>
      </c>
      <c r="R264" t="inlineStr">
        <is>
          <t xml:space="preserve">E  </t>
        </is>
      </c>
      <c r="S264" t="n">
        <v>0</v>
      </c>
      <c r="T264" t="n">
        <v>6</v>
      </c>
      <c r="V264" t="inlineStr">
        <is>
          <t>2000-12-12</t>
        </is>
      </c>
      <c r="W264" t="inlineStr">
        <is>
          <t>1996-09-30</t>
        </is>
      </c>
      <c r="X264" t="inlineStr">
        <is>
          <t>1996-09-30</t>
        </is>
      </c>
      <c r="Y264" t="n">
        <v>165</v>
      </c>
      <c r="Z264" t="n">
        <v>162</v>
      </c>
      <c r="AA264" t="n">
        <v>286</v>
      </c>
      <c r="AB264" t="n">
        <v>4</v>
      </c>
      <c r="AC264" t="n">
        <v>4</v>
      </c>
      <c r="AD264" t="n">
        <v>5</v>
      </c>
      <c r="AE264" t="n">
        <v>9</v>
      </c>
      <c r="AF264" t="n">
        <v>2</v>
      </c>
      <c r="AG264" t="n">
        <v>4</v>
      </c>
      <c r="AH264" t="n">
        <v>2</v>
      </c>
      <c r="AI264" t="n">
        <v>2</v>
      </c>
      <c r="AJ264" t="n">
        <v>0</v>
      </c>
      <c r="AK264" t="n">
        <v>1</v>
      </c>
      <c r="AL264" t="n">
        <v>2</v>
      </c>
      <c r="AM264" t="n">
        <v>2</v>
      </c>
      <c r="AN264" t="n">
        <v>0</v>
      </c>
      <c r="AO264" t="n">
        <v>1</v>
      </c>
      <c r="AP264" t="inlineStr">
        <is>
          <t>Yes</t>
        </is>
      </c>
      <c r="AQ264" t="inlineStr">
        <is>
          <t>No</t>
        </is>
      </c>
      <c r="AR264">
        <f>HYPERLINK("http://catalog.hathitrust.org/Record/100102938","HathiTrust Record")</f>
        <v/>
      </c>
      <c r="AS264">
        <f>HYPERLINK("https://creighton-primo.hosted.exlibrisgroup.com/primo-explore/search?tab=default_tab&amp;search_scope=EVERYTHING&amp;vid=01CRU&amp;lang=en_US&amp;offset=0&amp;query=any,contains,991004478349702656","Catalog Record")</f>
        <v/>
      </c>
      <c r="AT264">
        <f>HYPERLINK("http://www.worldcat.org/oclc/736786","WorldCat Record")</f>
        <v/>
      </c>
      <c r="AU264" t="inlineStr">
        <is>
          <t>1011362558:eng</t>
        </is>
      </c>
      <c r="AV264" t="inlineStr">
        <is>
          <t>736786</t>
        </is>
      </c>
      <c r="AW264" t="inlineStr">
        <is>
          <t>991004478349702656</t>
        </is>
      </c>
      <c r="AX264" t="inlineStr">
        <is>
          <t>991004478349702656</t>
        </is>
      </c>
      <c r="AY264" t="inlineStr">
        <is>
          <t>2270428300002656</t>
        </is>
      </c>
      <c r="AZ264" t="inlineStr">
        <is>
          <t>BOOK</t>
        </is>
      </c>
      <c r="BC264" t="inlineStr">
        <is>
          <t>32285002309127</t>
        </is>
      </c>
      <c r="BD264" t="inlineStr">
        <is>
          <t>893337785</t>
        </is>
      </c>
    </row>
    <row r="265">
      <c r="A265" t="inlineStr">
        <is>
          <t>No</t>
        </is>
      </c>
      <c r="B265" t="inlineStr">
        <is>
          <t>E173 .C55</t>
        </is>
      </c>
      <c r="C265" t="inlineStr">
        <is>
          <t>0                      E  0173000C  55</t>
        </is>
      </c>
      <c r="D265" t="inlineStr">
        <is>
          <t>The Chronicles of America series / Allen Johnson, editor, Gerhard R. Lomer, Charles W. Jefferys, assistant editors.</t>
        </is>
      </c>
      <c r="E265" t="inlineStr">
        <is>
          <t>V.50</t>
        </is>
      </c>
      <c r="F265" t="inlineStr">
        <is>
          <t>Yes</t>
        </is>
      </c>
      <c r="G265" t="inlineStr">
        <is>
          <t>1</t>
        </is>
      </c>
      <c r="H265" t="inlineStr">
        <is>
          <t>No</t>
        </is>
      </c>
      <c r="I265" t="inlineStr">
        <is>
          <t>No</t>
        </is>
      </c>
      <c r="J265" t="inlineStr">
        <is>
          <t>0</t>
        </is>
      </c>
      <c r="L265" t="inlineStr">
        <is>
          <t>New Haven, [Conn.] : Yale University Press, [1921-1950].</t>
        </is>
      </c>
      <c r="M265" t="inlineStr">
        <is>
          <t>1921</t>
        </is>
      </c>
      <c r="O265" t="inlineStr">
        <is>
          <t>eng</t>
        </is>
      </c>
      <c r="P265" t="inlineStr">
        <is>
          <t xml:space="preserve">xx </t>
        </is>
      </c>
      <c r="R265" t="inlineStr">
        <is>
          <t xml:space="preserve">E  </t>
        </is>
      </c>
      <c r="S265" t="n">
        <v>0</v>
      </c>
      <c r="T265" t="n">
        <v>6</v>
      </c>
      <c r="V265" t="inlineStr">
        <is>
          <t>2000-12-12</t>
        </is>
      </c>
      <c r="W265" t="inlineStr">
        <is>
          <t>1996-09-30</t>
        </is>
      </c>
      <c r="X265" t="inlineStr">
        <is>
          <t>1996-09-30</t>
        </is>
      </c>
      <c r="Y265" t="n">
        <v>165</v>
      </c>
      <c r="Z265" t="n">
        <v>162</v>
      </c>
      <c r="AA265" t="n">
        <v>286</v>
      </c>
      <c r="AB265" t="n">
        <v>4</v>
      </c>
      <c r="AC265" t="n">
        <v>4</v>
      </c>
      <c r="AD265" t="n">
        <v>5</v>
      </c>
      <c r="AE265" t="n">
        <v>9</v>
      </c>
      <c r="AF265" t="n">
        <v>2</v>
      </c>
      <c r="AG265" t="n">
        <v>4</v>
      </c>
      <c r="AH265" t="n">
        <v>2</v>
      </c>
      <c r="AI265" t="n">
        <v>2</v>
      </c>
      <c r="AJ265" t="n">
        <v>0</v>
      </c>
      <c r="AK265" t="n">
        <v>1</v>
      </c>
      <c r="AL265" t="n">
        <v>2</v>
      </c>
      <c r="AM265" t="n">
        <v>2</v>
      </c>
      <c r="AN265" t="n">
        <v>0</v>
      </c>
      <c r="AO265" t="n">
        <v>1</v>
      </c>
      <c r="AP265" t="inlineStr">
        <is>
          <t>Yes</t>
        </is>
      </c>
      <c r="AQ265" t="inlineStr">
        <is>
          <t>No</t>
        </is>
      </c>
      <c r="AR265">
        <f>HYPERLINK("http://catalog.hathitrust.org/Record/100102938","HathiTrust Record")</f>
        <v/>
      </c>
      <c r="AS265">
        <f>HYPERLINK("https://creighton-primo.hosted.exlibrisgroup.com/primo-explore/search?tab=default_tab&amp;search_scope=EVERYTHING&amp;vid=01CRU&amp;lang=en_US&amp;offset=0&amp;query=any,contains,991004478349702656","Catalog Record")</f>
        <v/>
      </c>
      <c r="AT265">
        <f>HYPERLINK("http://www.worldcat.org/oclc/736786","WorldCat Record")</f>
        <v/>
      </c>
      <c r="AU265" t="inlineStr">
        <is>
          <t>1011362558:eng</t>
        </is>
      </c>
      <c r="AV265" t="inlineStr">
        <is>
          <t>736786</t>
        </is>
      </c>
      <c r="AW265" t="inlineStr">
        <is>
          <t>991004478349702656</t>
        </is>
      </c>
      <c r="AX265" t="inlineStr">
        <is>
          <t>991004478349702656</t>
        </is>
      </c>
      <c r="AY265" t="inlineStr">
        <is>
          <t>2270428300002656</t>
        </is>
      </c>
      <c r="AZ265" t="inlineStr">
        <is>
          <t>BOOK</t>
        </is>
      </c>
      <c r="BC265" t="inlineStr">
        <is>
          <t>32285002309507</t>
        </is>
      </c>
      <c r="BD265" t="inlineStr">
        <is>
          <t>893337780</t>
        </is>
      </c>
    </row>
    <row r="266">
      <c r="A266" t="inlineStr">
        <is>
          <t>No</t>
        </is>
      </c>
      <c r="B266" t="inlineStr">
        <is>
          <t>E173 .C55</t>
        </is>
      </c>
      <c r="C266" t="inlineStr">
        <is>
          <t>0                      E  0173000C  55</t>
        </is>
      </c>
      <c r="D266" t="inlineStr">
        <is>
          <t>The Chronicles of America series / Allen Johnson, editor, Gerhard R. Lomer, Charles W. Jefferys, assistant editors.</t>
        </is>
      </c>
      <c r="E266" t="inlineStr">
        <is>
          <t>V.15</t>
        </is>
      </c>
      <c r="F266" t="inlineStr">
        <is>
          <t>Yes</t>
        </is>
      </c>
      <c r="G266" t="inlineStr">
        <is>
          <t>1</t>
        </is>
      </c>
      <c r="H266" t="inlineStr">
        <is>
          <t>No</t>
        </is>
      </c>
      <c r="I266" t="inlineStr">
        <is>
          <t>No</t>
        </is>
      </c>
      <c r="J266" t="inlineStr">
        <is>
          <t>0</t>
        </is>
      </c>
      <c r="L266" t="inlineStr">
        <is>
          <t>New Haven, [Conn.] : Yale University Press, [1921-1950].</t>
        </is>
      </c>
      <c r="M266" t="inlineStr">
        <is>
          <t>1921</t>
        </is>
      </c>
      <c r="O266" t="inlineStr">
        <is>
          <t>eng</t>
        </is>
      </c>
      <c r="P266" t="inlineStr">
        <is>
          <t xml:space="preserve">xx </t>
        </is>
      </c>
      <c r="R266" t="inlineStr">
        <is>
          <t xml:space="preserve">E  </t>
        </is>
      </c>
      <c r="S266" t="n">
        <v>0</v>
      </c>
      <c r="T266" t="n">
        <v>6</v>
      </c>
      <c r="V266" t="inlineStr">
        <is>
          <t>2000-12-12</t>
        </is>
      </c>
      <c r="W266" t="inlineStr">
        <is>
          <t>1996-09-30</t>
        </is>
      </c>
      <c r="X266" t="inlineStr">
        <is>
          <t>1996-09-30</t>
        </is>
      </c>
      <c r="Y266" t="n">
        <v>165</v>
      </c>
      <c r="Z266" t="n">
        <v>162</v>
      </c>
      <c r="AA266" t="n">
        <v>286</v>
      </c>
      <c r="AB266" t="n">
        <v>4</v>
      </c>
      <c r="AC266" t="n">
        <v>4</v>
      </c>
      <c r="AD266" t="n">
        <v>5</v>
      </c>
      <c r="AE266" t="n">
        <v>9</v>
      </c>
      <c r="AF266" t="n">
        <v>2</v>
      </c>
      <c r="AG266" t="n">
        <v>4</v>
      </c>
      <c r="AH266" t="n">
        <v>2</v>
      </c>
      <c r="AI266" t="n">
        <v>2</v>
      </c>
      <c r="AJ266" t="n">
        <v>0</v>
      </c>
      <c r="AK266" t="n">
        <v>1</v>
      </c>
      <c r="AL266" t="n">
        <v>2</v>
      </c>
      <c r="AM266" t="n">
        <v>2</v>
      </c>
      <c r="AN266" t="n">
        <v>0</v>
      </c>
      <c r="AO266" t="n">
        <v>1</v>
      </c>
      <c r="AP266" t="inlineStr">
        <is>
          <t>Yes</t>
        </is>
      </c>
      <c r="AQ266" t="inlineStr">
        <is>
          <t>No</t>
        </is>
      </c>
      <c r="AR266">
        <f>HYPERLINK("http://catalog.hathitrust.org/Record/100102938","HathiTrust Record")</f>
        <v/>
      </c>
      <c r="AS266">
        <f>HYPERLINK("https://creighton-primo.hosted.exlibrisgroup.com/primo-explore/search?tab=default_tab&amp;search_scope=EVERYTHING&amp;vid=01CRU&amp;lang=en_US&amp;offset=0&amp;query=any,contains,991004478349702656","Catalog Record")</f>
        <v/>
      </c>
      <c r="AT266">
        <f>HYPERLINK("http://www.worldcat.org/oclc/736786","WorldCat Record")</f>
        <v/>
      </c>
      <c r="AU266" t="inlineStr">
        <is>
          <t>1011362558:eng</t>
        </is>
      </c>
      <c r="AV266" t="inlineStr">
        <is>
          <t>736786</t>
        </is>
      </c>
      <c r="AW266" t="inlineStr">
        <is>
          <t>991004478349702656</t>
        </is>
      </c>
      <c r="AX266" t="inlineStr">
        <is>
          <t>991004478349702656</t>
        </is>
      </c>
      <c r="AY266" t="inlineStr">
        <is>
          <t>2270428300002656</t>
        </is>
      </c>
      <c r="AZ266" t="inlineStr">
        <is>
          <t>BOOK</t>
        </is>
      </c>
      <c r="BC266" t="inlineStr">
        <is>
          <t>32285002309150</t>
        </is>
      </c>
      <c r="BD266" t="inlineStr">
        <is>
          <t>893331644</t>
        </is>
      </c>
    </row>
    <row r="267">
      <c r="A267" t="inlineStr">
        <is>
          <t>No</t>
        </is>
      </c>
      <c r="B267" t="inlineStr">
        <is>
          <t>E173 .C55</t>
        </is>
      </c>
      <c r="C267" t="inlineStr">
        <is>
          <t>0                      E  0173000C  55</t>
        </is>
      </c>
      <c r="D267" t="inlineStr">
        <is>
          <t>The Chronicles of America series / Allen Johnson, editor, Gerhard R. Lomer, Charles W. Jefferys, assistant editors.</t>
        </is>
      </c>
      <c r="E267" t="inlineStr">
        <is>
          <t>V.35</t>
        </is>
      </c>
      <c r="F267" t="inlineStr">
        <is>
          <t>Yes</t>
        </is>
      </c>
      <c r="G267" t="inlineStr">
        <is>
          <t>1</t>
        </is>
      </c>
      <c r="H267" t="inlineStr">
        <is>
          <t>No</t>
        </is>
      </c>
      <c r="I267" t="inlineStr">
        <is>
          <t>No</t>
        </is>
      </c>
      <c r="J267" t="inlineStr">
        <is>
          <t>0</t>
        </is>
      </c>
      <c r="L267" t="inlineStr">
        <is>
          <t>New Haven, [Conn.] : Yale University Press, [1921-1950].</t>
        </is>
      </c>
      <c r="M267" t="inlineStr">
        <is>
          <t>1921</t>
        </is>
      </c>
      <c r="O267" t="inlineStr">
        <is>
          <t>eng</t>
        </is>
      </c>
      <c r="P267" t="inlineStr">
        <is>
          <t xml:space="preserve">xx </t>
        </is>
      </c>
      <c r="R267" t="inlineStr">
        <is>
          <t xml:space="preserve">E  </t>
        </is>
      </c>
      <c r="S267" t="n">
        <v>0</v>
      </c>
      <c r="T267" t="n">
        <v>6</v>
      </c>
      <c r="V267" t="inlineStr">
        <is>
          <t>2000-12-12</t>
        </is>
      </c>
      <c r="W267" t="inlineStr">
        <is>
          <t>1996-09-30</t>
        </is>
      </c>
      <c r="X267" t="inlineStr">
        <is>
          <t>1996-09-30</t>
        </is>
      </c>
      <c r="Y267" t="n">
        <v>165</v>
      </c>
      <c r="Z267" t="n">
        <v>162</v>
      </c>
      <c r="AA267" t="n">
        <v>286</v>
      </c>
      <c r="AB267" t="n">
        <v>4</v>
      </c>
      <c r="AC267" t="n">
        <v>4</v>
      </c>
      <c r="AD267" t="n">
        <v>5</v>
      </c>
      <c r="AE267" t="n">
        <v>9</v>
      </c>
      <c r="AF267" t="n">
        <v>2</v>
      </c>
      <c r="AG267" t="n">
        <v>4</v>
      </c>
      <c r="AH267" t="n">
        <v>2</v>
      </c>
      <c r="AI267" t="n">
        <v>2</v>
      </c>
      <c r="AJ267" t="n">
        <v>0</v>
      </c>
      <c r="AK267" t="n">
        <v>1</v>
      </c>
      <c r="AL267" t="n">
        <v>2</v>
      </c>
      <c r="AM267" t="n">
        <v>2</v>
      </c>
      <c r="AN267" t="n">
        <v>0</v>
      </c>
      <c r="AO267" t="n">
        <v>1</v>
      </c>
      <c r="AP267" t="inlineStr">
        <is>
          <t>Yes</t>
        </is>
      </c>
      <c r="AQ267" t="inlineStr">
        <is>
          <t>No</t>
        </is>
      </c>
      <c r="AR267">
        <f>HYPERLINK("http://catalog.hathitrust.org/Record/100102938","HathiTrust Record")</f>
        <v/>
      </c>
      <c r="AS267">
        <f>HYPERLINK("https://creighton-primo.hosted.exlibrisgroup.com/primo-explore/search?tab=default_tab&amp;search_scope=EVERYTHING&amp;vid=01CRU&amp;lang=en_US&amp;offset=0&amp;query=any,contains,991004478349702656","Catalog Record")</f>
        <v/>
      </c>
      <c r="AT267">
        <f>HYPERLINK("http://www.worldcat.org/oclc/736786","WorldCat Record")</f>
        <v/>
      </c>
      <c r="AU267" t="inlineStr">
        <is>
          <t>1011362558:eng</t>
        </is>
      </c>
      <c r="AV267" t="inlineStr">
        <is>
          <t>736786</t>
        </is>
      </c>
      <c r="AW267" t="inlineStr">
        <is>
          <t>991004478349702656</t>
        </is>
      </c>
      <c r="AX267" t="inlineStr">
        <is>
          <t>991004478349702656</t>
        </is>
      </c>
      <c r="AY267" t="inlineStr">
        <is>
          <t>2270428300002656</t>
        </is>
      </c>
      <c r="AZ267" t="inlineStr">
        <is>
          <t>BOOK</t>
        </is>
      </c>
      <c r="BC267" t="inlineStr">
        <is>
          <t>32285002309358</t>
        </is>
      </c>
      <c r="BD267" t="inlineStr">
        <is>
          <t>893331638</t>
        </is>
      </c>
    </row>
    <row r="268">
      <c r="A268" t="inlineStr">
        <is>
          <t>No</t>
        </is>
      </c>
      <c r="B268" t="inlineStr">
        <is>
          <t>E173 .C55</t>
        </is>
      </c>
      <c r="C268" t="inlineStr">
        <is>
          <t>0                      E  0173000C  55</t>
        </is>
      </c>
      <c r="D268" t="inlineStr">
        <is>
          <t>The Chronicles of America series / Allen Johnson, editor, Gerhard R. Lomer, Charles W. Jefferys, assistant editors.</t>
        </is>
      </c>
      <c r="E268" t="inlineStr">
        <is>
          <t>V.40</t>
        </is>
      </c>
      <c r="F268" t="inlineStr">
        <is>
          <t>Yes</t>
        </is>
      </c>
      <c r="G268" t="inlineStr">
        <is>
          <t>1</t>
        </is>
      </c>
      <c r="H268" t="inlineStr">
        <is>
          <t>No</t>
        </is>
      </c>
      <c r="I268" t="inlineStr">
        <is>
          <t>No</t>
        </is>
      </c>
      <c r="J268" t="inlineStr">
        <is>
          <t>0</t>
        </is>
      </c>
      <c r="L268" t="inlineStr">
        <is>
          <t>New Haven, [Conn.] : Yale University Press, [1921-1950].</t>
        </is>
      </c>
      <c r="M268" t="inlineStr">
        <is>
          <t>1921</t>
        </is>
      </c>
      <c r="O268" t="inlineStr">
        <is>
          <t>eng</t>
        </is>
      </c>
      <c r="P268" t="inlineStr">
        <is>
          <t xml:space="preserve">xx </t>
        </is>
      </c>
      <c r="R268" t="inlineStr">
        <is>
          <t xml:space="preserve">E  </t>
        </is>
      </c>
      <c r="S268" t="n">
        <v>0</v>
      </c>
      <c r="T268" t="n">
        <v>6</v>
      </c>
      <c r="V268" t="inlineStr">
        <is>
          <t>2000-12-12</t>
        </is>
      </c>
      <c r="W268" t="inlineStr">
        <is>
          <t>1996-09-30</t>
        </is>
      </c>
      <c r="X268" t="inlineStr">
        <is>
          <t>1996-09-30</t>
        </is>
      </c>
      <c r="Y268" t="n">
        <v>165</v>
      </c>
      <c r="Z268" t="n">
        <v>162</v>
      </c>
      <c r="AA268" t="n">
        <v>286</v>
      </c>
      <c r="AB268" t="n">
        <v>4</v>
      </c>
      <c r="AC268" t="n">
        <v>4</v>
      </c>
      <c r="AD268" t="n">
        <v>5</v>
      </c>
      <c r="AE268" t="n">
        <v>9</v>
      </c>
      <c r="AF268" t="n">
        <v>2</v>
      </c>
      <c r="AG268" t="n">
        <v>4</v>
      </c>
      <c r="AH268" t="n">
        <v>2</v>
      </c>
      <c r="AI268" t="n">
        <v>2</v>
      </c>
      <c r="AJ268" t="n">
        <v>0</v>
      </c>
      <c r="AK268" t="n">
        <v>1</v>
      </c>
      <c r="AL268" t="n">
        <v>2</v>
      </c>
      <c r="AM268" t="n">
        <v>2</v>
      </c>
      <c r="AN268" t="n">
        <v>0</v>
      </c>
      <c r="AO268" t="n">
        <v>1</v>
      </c>
      <c r="AP268" t="inlineStr">
        <is>
          <t>Yes</t>
        </is>
      </c>
      <c r="AQ268" t="inlineStr">
        <is>
          <t>No</t>
        </is>
      </c>
      <c r="AR268">
        <f>HYPERLINK("http://catalog.hathitrust.org/Record/100102938","HathiTrust Record")</f>
        <v/>
      </c>
      <c r="AS268">
        <f>HYPERLINK("https://creighton-primo.hosted.exlibrisgroup.com/primo-explore/search?tab=default_tab&amp;search_scope=EVERYTHING&amp;vid=01CRU&amp;lang=en_US&amp;offset=0&amp;query=any,contains,991004478349702656","Catalog Record")</f>
        <v/>
      </c>
      <c r="AT268">
        <f>HYPERLINK("http://www.worldcat.org/oclc/736786","WorldCat Record")</f>
        <v/>
      </c>
      <c r="AU268" t="inlineStr">
        <is>
          <t>1011362558:eng</t>
        </is>
      </c>
      <c r="AV268" t="inlineStr">
        <is>
          <t>736786</t>
        </is>
      </c>
      <c r="AW268" t="inlineStr">
        <is>
          <t>991004478349702656</t>
        </is>
      </c>
      <c r="AX268" t="inlineStr">
        <is>
          <t>991004478349702656</t>
        </is>
      </c>
      <c r="AY268" t="inlineStr">
        <is>
          <t>2270428300002656</t>
        </is>
      </c>
      <c r="AZ268" t="inlineStr">
        <is>
          <t>BOOK</t>
        </is>
      </c>
      <c r="BC268" t="inlineStr">
        <is>
          <t>32285002309408</t>
        </is>
      </c>
      <c r="BD268" t="inlineStr">
        <is>
          <t>893331636</t>
        </is>
      </c>
    </row>
    <row r="269">
      <c r="A269" t="inlineStr">
        <is>
          <t>No</t>
        </is>
      </c>
      <c r="B269" t="inlineStr">
        <is>
          <t>E173 .C55</t>
        </is>
      </c>
      <c r="C269" t="inlineStr">
        <is>
          <t>0                      E  0173000C  55</t>
        </is>
      </c>
      <c r="D269" t="inlineStr">
        <is>
          <t>The Chronicles of America series / Allen Johnson, editor, Gerhard R. Lomer, Charles W. Jefferys, assistant editors.</t>
        </is>
      </c>
      <c r="E269" t="inlineStr">
        <is>
          <t>V.10</t>
        </is>
      </c>
      <c r="F269" t="inlineStr">
        <is>
          <t>Yes</t>
        </is>
      </c>
      <c r="G269" t="inlineStr">
        <is>
          <t>1</t>
        </is>
      </c>
      <c r="H269" t="inlineStr">
        <is>
          <t>No</t>
        </is>
      </c>
      <c r="I269" t="inlineStr">
        <is>
          <t>No</t>
        </is>
      </c>
      <c r="J269" t="inlineStr">
        <is>
          <t>0</t>
        </is>
      </c>
      <c r="L269" t="inlineStr">
        <is>
          <t>New Haven, [Conn.] : Yale University Press, [1921-1950].</t>
        </is>
      </c>
      <c r="M269" t="inlineStr">
        <is>
          <t>1921</t>
        </is>
      </c>
      <c r="O269" t="inlineStr">
        <is>
          <t>eng</t>
        </is>
      </c>
      <c r="P269" t="inlineStr">
        <is>
          <t xml:space="preserve">xx </t>
        </is>
      </c>
      <c r="R269" t="inlineStr">
        <is>
          <t xml:space="preserve">E  </t>
        </is>
      </c>
      <c r="S269" t="n">
        <v>0</v>
      </c>
      <c r="T269" t="n">
        <v>6</v>
      </c>
      <c r="V269" t="inlineStr">
        <is>
          <t>2000-12-12</t>
        </is>
      </c>
      <c r="W269" t="inlineStr">
        <is>
          <t>1996-09-30</t>
        </is>
      </c>
      <c r="X269" t="inlineStr">
        <is>
          <t>1996-09-30</t>
        </is>
      </c>
      <c r="Y269" t="n">
        <v>165</v>
      </c>
      <c r="Z269" t="n">
        <v>162</v>
      </c>
      <c r="AA269" t="n">
        <v>286</v>
      </c>
      <c r="AB269" t="n">
        <v>4</v>
      </c>
      <c r="AC269" t="n">
        <v>4</v>
      </c>
      <c r="AD269" t="n">
        <v>5</v>
      </c>
      <c r="AE269" t="n">
        <v>9</v>
      </c>
      <c r="AF269" t="n">
        <v>2</v>
      </c>
      <c r="AG269" t="n">
        <v>4</v>
      </c>
      <c r="AH269" t="n">
        <v>2</v>
      </c>
      <c r="AI269" t="n">
        <v>2</v>
      </c>
      <c r="AJ269" t="n">
        <v>0</v>
      </c>
      <c r="AK269" t="n">
        <v>1</v>
      </c>
      <c r="AL269" t="n">
        <v>2</v>
      </c>
      <c r="AM269" t="n">
        <v>2</v>
      </c>
      <c r="AN269" t="n">
        <v>0</v>
      </c>
      <c r="AO269" t="n">
        <v>1</v>
      </c>
      <c r="AP269" t="inlineStr">
        <is>
          <t>Yes</t>
        </is>
      </c>
      <c r="AQ269" t="inlineStr">
        <is>
          <t>No</t>
        </is>
      </c>
      <c r="AR269">
        <f>HYPERLINK("http://catalog.hathitrust.org/Record/100102938","HathiTrust Record")</f>
        <v/>
      </c>
      <c r="AS269">
        <f>HYPERLINK("https://creighton-primo.hosted.exlibrisgroup.com/primo-explore/search?tab=default_tab&amp;search_scope=EVERYTHING&amp;vid=01CRU&amp;lang=en_US&amp;offset=0&amp;query=any,contains,991004478349702656","Catalog Record")</f>
        <v/>
      </c>
      <c r="AT269">
        <f>HYPERLINK("http://www.worldcat.org/oclc/736786","WorldCat Record")</f>
        <v/>
      </c>
      <c r="AU269" t="inlineStr">
        <is>
          <t>1011362558:eng</t>
        </is>
      </c>
      <c r="AV269" t="inlineStr">
        <is>
          <t>736786</t>
        </is>
      </c>
      <c r="AW269" t="inlineStr">
        <is>
          <t>991004478349702656</t>
        </is>
      </c>
      <c r="AX269" t="inlineStr">
        <is>
          <t>991004478349702656</t>
        </is>
      </c>
      <c r="AY269" t="inlineStr">
        <is>
          <t>2270428300002656</t>
        </is>
      </c>
      <c r="AZ269" t="inlineStr">
        <is>
          <t>BOOK</t>
        </is>
      </c>
      <c r="BC269" t="inlineStr">
        <is>
          <t>32285002309101</t>
        </is>
      </c>
      <c r="BD269" t="inlineStr">
        <is>
          <t>893350043</t>
        </is>
      </c>
    </row>
    <row r="270">
      <c r="A270" t="inlineStr">
        <is>
          <t>No</t>
        </is>
      </c>
      <c r="B270" t="inlineStr">
        <is>
          <t>E173 .C55</t>
        </is>
      </c>
      <c r="C270" t="inlineStr">
        <is>
          <t>0                      E  0173000C  55</t>
        </is>
      </c>
      <c r="D270" t="inlineStr">
        <is>
          <t>The Chronicles of America series / Allen Johnson, editor, Gerhard R. Lomer, Charles W. Jefferys, assistant editors.</t>
        </is>
      </c>
      <c r="E270" t="inlineStr">
        <is>
          <t>V.23</t>
        </is>
      </c>
      <c r="F270" t="inlineStr">
        <is>
          <t>Yes</t>
        </is>
      </c>
      <c r="G270" t="inlineStr">
        <is>
          <t>1</t>
        </is>
      </c>
      <c r="H270" t="inlineStr">
        <is>
          <t>No</t>
        </is>
      </c>
      <c r="I270" t="inlineStr">
        <is>
          <t>No</t>
        </is>
      </c>
      <c r="J270" t="inlineStr">
        <is>
          <t>0</t>
        </is>
      </c>
      <c r="L270" t="inlineStr">
        <is>
          <t>New Haven, [Conn.] : Yale University Press, [1921-1950].</t>
        </is>
      </c>
      <c r="M270" t="inlineStr">
        <is>
          <t>1921</t>
        </is>
      </c>
      <c r="O270" t="inlineStr">
        <is>
          <t>eng</t>
        </is>
      </c>
      <c r="P270" t="inlineStr">
        <is>
          <t xml:space="preserve">xx </t>
        </is>
      </c>
      <c r="R270" t="inlineStr">
        <is>
          <t xml:space="preserve">E  </t>
        </is>
      </c>
      <c r="S270" t="n">
        <v>0</v>
      </c>
      <c r="T270" t="n">
        <v>6</v>
      </c>
      <c r="V270" t="inlineStr">
        <is>
          <t>2000-12-12</t>
        </is>
      </c>
      <c r="W270" t="inlineStr">
        <is>
          <t>1996-09-30</t>
        </is>
      </c>
      <c r="X270" t="inlineStr">
        <is>
          <t>1996-09-30</t>
        </is>
      </c>
      <c r="Y270" t="n">
        <v>165</v>
      </c>
      <c r="Z270" t="n">
        <v>162</v>
      </c>
      <c r="AA270" t="n">
        <v>286</v>
      </c>
      <c r="AB270" t="n">
        <v>4</v>
      </c>
      <c r="AC270" t="n">
        <v>4</v>
      </c>
      <c r="AD270" t="n">
        <v>5</v>
      </c>
      <c r="AE270" t="n">
        <v>9</v>
      </c>
      <c r="AF270" t="n">
        <v>2</v>
      </c>
      <c r="AG270" t="n">
        <v>4</v>
      </c>
      <c r="AH270" t="n">
        <v>2</v>
      </c>
      <c r="AI270" t="n">
        <v>2</v>
      </c>
      <c r="AJ270" t="n">
        <v>0</v>
      </c>
      <c r="AK270" t="n">
        <v>1</v>
      </c>
      <c r="AL270" t="n">
        <v>2</v>
      </c>
      <c r="AM270" t="n">
        <v>2</v>
      </c>
      <c r="AN270" t="n">
        <v>0</v>
      </c>
      <c r="AO270" t="n">
        <v>1</v>
      </c>
      <c r="AP270" t="inlineStr">
        <is>
          <t>Yes</t>
        </is>
      </c>
      <c r="AQ270" t="inlineStr">
        <is>
          <t>No</t>
        </is>
      </c>
      <c r="AR270">
        <f>HYPERLINK("http://catalog.hathitrust.org/Record/100102938","HathiTrust Record")</f>
        <v/>
      </c>
      <c r="AS270">
        <f>HYPERLINK("https://creighton-primo.hosted.exlibrisgroup.com/primo-explore/search?tab=default_tab&amp;search_scope=EVERYTHING&amp;vid=01CRU&amp;lang=en_US&amp;offset=0&amp;query=any,contains,991004478349702656","Catalog Record")</f>
        <v/>
      </c>
      <c r="AT270">
        <f>HYPERLINK("http://www.worldcat.org/oclc/736786","WorldCat Record")</f>
        <v/>
      </c>
      <c r="AU270" t="inlineStr">
        <is>
          <t>1011362558:eng</t>
        </is>
      </c>
      <c r="AV270" t="inlineStr">
        <is>
          <t>736786</t>
        </is>
      </c>
      <c r="AW270" t="inlineStr">
        <is>
          <t>991004478349702656</t>
        </is>
      </c>
      <c r="AX270" t="inlineStr">
        <is>
          <t>991004478349702656</t>
        </is>
      </c>
      <c r="AY270" t="inlineStr">
        <is>
          <t>2270428300002656</t>
        </is>
      </c>
      <c r="AZ270" t="inlineStr">
        <is>
          <t>BOOK</t>
        </is>
      </c>
      <c r="BC270" t="inlineStr">
        <is>
          <t>32285002309234</t>
        </is>
      </c>
      <c r="BD270" t="inlineStr">
        <is>
          <t>893350040</t>
        </is>
      </c>
    </row>
    <row r="271">
      <c r="A271" t="inlineStr">
        <is>
          <t>No</t>
        </is>
      </c>
      <c r="B271" t="inlineStr">
        <is>
          <t>E173 .C55</t>
        </is>
      </c>
      <c r="C271" t="inlineStr">
        <is>
          <t>0                      E  0173000C  55</t>
        </is>
      </c>
      <c r="D271" t="inlineStr">
        <is>
          <t>The Chronicles of America series / Allen Johnson, editor, Gerhard R. Lomer, Charles W. Jefferys, assistant editors.</t>
        </is>
      </c>
      <c r="E271" t="inlineStr">
        <is>
          <t>V.51</t>
        </is>
      </c>
      <c r="F271" t="inlineStr">
        <is>
          <t>Yes</t>
        </is>
      </c>
      <c r="G271" t="inlineStr">
        <is>
          <t>1</t>
        </is>
      </c>
      <c r="H271" t="inlineStr">
        <is>
          <t>No</t>
        </is>
      </c>
      <c r="I271" t="inlineStr">
        <is>
          <t>No</t>
        </is>
      </c>
      <c r="J271" t="inlineStr">
        <is>
          <t>0</t>
        </is>
      </c>
      <c r="L271" t="inlineStr">
        <is>
          <t>New Haven, [Conn.] : Yale University Press, [1921-1950].</t>
        </is>
      </c>
      <c r="M271" t="inlineStr">
        <is>
          <t>1921</t>
        </is>
      </c>
      <c r="O271" t="inlineStr">
        <is>
          <t>eng</t>
        </is>
      </c>
      <c r="P271" t="inlineStr">
        <is>
          <t xml:space="preserve">xx </t>
        </is>
      </c>
      <c r="R271" t="inlineStr">
        <is>
          <t xml:space="preserve">E  </t>
        </is>
      </c>
      <c r="S271" t="n">
        <v>0</v>
      </c>
      <c r="T271" t="n">
        <v>6</v>
      </c>
      <c r="V271" t="inlineStr">
        <is>
          <t>2000-12-12</t>
        </is>
      </c>
      <c r="W271" t="inlineStr">
        <is>
          <t>1996-09-30</t>
        </is>
      </c>
      <c r="X271" t="inlineStr">
        <is>
          <t>1996-09-30</t>
        </is>
      </c>
      <c r="Y271" t="n">
        <v>165</v>
      </c>
      <c r="Z271" t="n">
        <v>162</v>
      </c>
      <c r="AA271" t="n">
        <v>286</v>
      </c>
      <c r="AB271" t="n">
        <v>4</v>
      </c>
      <c r="AC271" t="n">
        <v>4</v>
      </c>
      <c r="AD271" t="n">
        <v>5</v>
      </c>
      <c r="AE271" t="n">
        <v>9</v>
      </c>
      <c r="AF271" t="n">
        <v>2</v>
      </c>
      <c r="AG271" t="n">
        <v>4</v>
      </c>
      <c r="AH271" t="n">
        <v>2</v>
      </c>
      <c r="AI271" t="n">
        <v>2</v>
      </c>
      <c r="AJ271" t="n">
        <v>0</v>
      </c>
      <c r="AK271" t="n">
        <v>1</v>
      </c>
      <c r="AL271" t="n">
        <v>2</v>
      </c>
      <c r="AM271" t="n">
        <v>2</v>
      </c>
      <c r="AN271" t="n">
        <v>0</v>
      </c>
      <c r="AO271" t="n">
        <v>1</v>
      </c>
      <c r="AP271" t="inlineStr">
        <is>
          <t>Yes</t>
        </is>
      </c>
      <c r="AQ271" t="inlineStr">
        <is>
          <t>No</t>
        </is>
      </c>
      <c r="AR271">
        <f>HYPERLINK("http://catalog.hathitrust.org/Record/100102938","HathiTrust Record")</f>
        <v/>
      </c>
      <c r="AS271">
        <f>HYPERLINK("https://creighton-primo.hosted.exlibrisgroup.com/primo-explore/search?tab=default_tab&amp;search_scope=EVERYTHING&amp;vid=01CRU&amp;lang=en_US&amp;offset=0&amp;query=any,contains,991004478349702656","Catalog Record")</f>
        <v/>
      </c>
      <c r="AT271">
        <f>HYPERLINK("http://www.worldcat.org/oclc/736786","WorldCat Record")</f>
        <v/>
      </c>
      <c r="AU271" t="inlineStr">
        <is>
          <t>1011362558:eng</t>
        </is>
      </c>
      <c r="AV271" t="inlineStr">
        <is>
          <t>736786</t>
        </is>
      </c>
      <c r="AW271" t="inlineStr">
        <is>
          <t>991004478349702656</t>
        </is>
      </c>
      <c r="AX271" t="inlineStr">
        <is>
          <t>991004478349702656</t>
        </is>
      </c>
      <c r="AY271" t="inlineStr">
        <is>
          <t>2270428300002656</t>
        </is>
      </c>
      <c r="AZ271" t="inlineStr">
        <is>
          <t>BOOK</t>
        </is>
      </c>
      <c r="BC271" t="inlineStr">
        <is>
          <t>32285002309515</t>
        </is>
      </c>
      <c r="BD271" t="inlineStr">
        <is>
          <t>893350037</t>
        </is>
      </c>
    </row>
    <row r="272">
      <c r="A272" t="inlineStr">
        <is>
          <t>No</t>
        </is>
      </c>
      <c r="B272" t="inlineStr">
        <is>
          <t>E173 .C55</t>
        </is>
      </c>
      <c r="C272" t="inlineStr">
        <is>
          <t>0                      E  0173000C  55</t>
        </is>
      </c>
      <c r="D272" t="inlineStr">
        <is>
          <t>The Chronicles of America series / Allen Johnson, editor, Gerhard R. Lomer, Charles W. Jefferys, assistant editors.</t>
        </is>
      </c>
      <c r="E272" t="inlineStr">
        <is>
          <t>V.1</t>
        </is>
      </c>
      <c r="F272" t="inlineStr">
        <is>
          <t>Yes</t>
        </is>
      </c>
      <c r="G272" t="inlineStr">
        <is>
          <t>1</t>
        </is>
      </c>
      <c r="H272" t="inlineStr">
        <is>
          <t>No</t>
        </is>
      </c>
      <c r="I272" t="inlineStr">
        <is>
          <t>No</t>
        </is>
      </c>
      <c r="J272" t="inlineStr">
        <is>
          <t>0</t>
        </is>
      </c>
      <c r="L272" t="inlineStr">
        <is>
          <t>New Haven, [Conn.] : Yale University Press, [1921-1950].</t>
        </is>
      </c>
      <c r="M272" t="inlineStr">
        <is>
          <t>1921</t>
        </is>
      </c>
      <c r="O272" t="inlineStr">
        <is>
          <t>eng</t>
        </is>
      </c>
      <c r="P272" t="inlineStr">
        <is>
          <t xml:space="preserve">xx </t>
        </is>
      </c>
      <c r="R272" t="inlineStr">
        <is>
          <t xml:space="preserve">E  </t>
        </is>
      </c>
      <c r="S272" t="n">
        <v>0</v>
      </c>
      <c r="T272" t="n">
        <v>6</v>
      </c>
      <c r="V272" t="inlineStr">
        <is>
          <t>2000-12-12</t>
        </is>
      </c>
      <c r="W272" t="inlineStr">
        <is>
          <t>1996-09-30</t>
        </is>
      </c>
      <c r="X272" t="inlineStr">
        <is>
          <t>1996-09-30</t>
        </is>
      </c>
      <c r="Y272" t="n">
        <v>165</v>
      </c>
      <c r="Z272" t="n">
        <v>162</v>
      </c>
      <c r="AA272" t="n">
        <v>286</v>
      </c>
      <c r="AB272" t="n">
        <v>4</v>
      </c>
      <c r="AC272" t="n">
        <v>4</v>
      </c>
      <c r="AD272" t="n">
        <v>5</v>
      </c>
      <c r="AE272" t="n">
        <v>9</v>
      </c>
      <c r="AF272" t="n">
        <v>2</v>
      </c>
      <c r="AG272" t="n">
        <v>4</v>
      </c>
      <c r="AH272" t="n">
        <v>2</v>
      </c>
      <c r="AI272" t="n">
        <v>2</v>
      </c>
      <c r="AJ272" t="n">
        <v>0</v>
      </c>
      <c r="AK272" t="n">
        <v>1</v>
      </c>
      <c r="AL272" t="n">
        <v>2</v>
      </c>
      <c r="AM272" t="n">
        <v>2</v>
      </c>
      <c r="AN272" t="n">
        <v>0</v>
      </c>
      <c r="AO272" t="n">
        <v>1</v>
      </c>
      <c r="AP272" t="inlineStr">
        <is>
          <t>Yes</t>
        </is>
      </c>
      <c r="AQ272" t="inlineStr">
        <is>
          <t>No</t>
        </is>
      </c>
      <c r="AR272">
        <f>HYPERLINK("http://catalog.hathitrust.org/Record/100102938","HathiTrust Record")</f>
        <v/>
      </c>
      <c r="AS272">
        <f>HYPERLINK("https://creighton-primo.hosted.exlibrisgroup.com/primo-explore/search?tab=default_tab&amp;search_scope=EVERYTHING&amp;vid=01CRU&amp;lang=en_US&amp;offset=0&amp;query=any,contains,991004478349702656","Catalog Record")</f>
        <v/>
      </c>
      <c r="AT272">
        <f>HYPERLINK("http://www.worldcat.org/oclc/736786","WorldCat Record")</f>
        <v/>
      </c>
      <c r="AU272" t="inlineStr">
        <is>
          <t>1011362558:eng</t>
        </is>
      </c>
      <c r="AV272" t="inlineStr">
        <is>
          <t>736786</t>
        </is>
      </c>
      <c r="AW272" t="inlineStr">
        <is>
          <t>991004478349702656</t>
        </is>
      </c>
      <c r="AX272" t="inlineStr">
        <is>
          <t>991004478349702656</t>
        </is>
      </c>
      <c r="AY272" t="inlineStr">
        <is>
          <t>2270428300002656</t>
        </is>
      </c>
      <c r="AZ272" t="inlineStr">
        <is>
          <t>BOOK</t>
        </is>
      </c>
      <c r="BC272" t="inlineStr">
        <is>
          <t>32285002309010</t>
        </is>
      </c>
      <c r="BD272" t="inlineStr">
        <is>
          <t>893353418</t>
        </is>
      </c>
    </row>
    <row r="273">
      <c r="A273" t="inlineStr">
        <is>
          <t>No</t>
        </is>
      </c>
      <c r="B273" t="inlineStr">
        <is>
          <t>E173 .C55</t>
        </is>
      </c>
      <c r="C273" t="inlineStr">
        <is>
          <t>0                      E  0173000C  55</t>
        </is>
      </c>
      <c r="D273" t="inlineStr">
        <is>
          <t>The Chronicles of America series / Allen Johnson, editor, Gerhard R. Lomer, Charles W. Jefferys, assistant editors.</t>
        </is>
      </c>
      <c r="E273" t="inlineStr">
        <is>
          <t>V.34</t>
        </is>
      </c>
      <c r="F273" t="inlineStr">
        <is>
          <t>Yes</t>
        </is>
      </c>
      <c r="G273" t="inlineStr">
        <is>
          <t>1</t>
        </is>
      </c>
      <c r="H273" t="inlineStr">
        <is>
          <t>No</t>
        </is>
      </c>
      <c r="I273" t="inlineStr">
        <is>
          <t>No</t>
        </is>
      </c>
      <c r="J273" t="inlineStr">
        <is>
          <t>0</t>
        </is>
      </c>
      <c r="L273" t="inlineStr">
        <is>
          <t>New Haven, [Conn.] : Yale University Press, [1921-1950].</t>
        </is>
      </c>
      <c r="M273" t="inlineStr">
        <is>
          <t>1921</t>
        </is>
      </c>
      <c r="O273" t="inlineStr">
        <is>
          <t>eng</t>
        </is>
      </c>
      <c r="P273" t="inlineStr">
        <is>
          <t xml:space="preserve">xx </t>
        </is>
      </c>
      <c r="R273" t="inlineStr">
        <is>
          <t xml:space="preserve">E  </t>
        </is>
      </c>
      <c r="S273" t="n">
        <v>0</v>
      </c>
      <c r="T273" t="n">
        <v>6</v>
      </c>
      <c r="V273" t="inlineStr">
        <is>
          <t>2000-12-12</t>
        </is>
      </c>
      <c r="W273" t="inlineStr">
        <is>
          <t>1996-09-30</t>
        </is>
      </c>
      <c r="X273" t="inlineStr">
        <is>
          <t>1996-09-30</t>
        </is>
      </c>
      <c r="Y273" t="n">
        <v>165</v>
      </c>
      <c r="Z273" t="n">
        <v>162</v>
      </c>
      <c r="AA273" t="n">
        <v>286</v>
      </c>
      <c r="AB273" t="n">
        <v>4</v>
      </c>
      <c r="AC273" t="n">
        <v>4</v>
      </c>
      <c r="AD273" t="n">
        <v>5</v>
      </c>
      <c r="AE273" t="n">
        <v>9</v>
      </c>
      <c r="AF273" t="n">
        <v>2</v>
      </c>
      <c r="AG273" t="n">
        <v>4</v>
      </c>
      <c r="AH273" t="n">
        <v>2</v>
      </c>
      <c r="AI273" t="n">
        <v>2</v>
      </c>
      <c r="AJ273" t="n">
        <v>0</v>
      </c>
      <c r="AK273" t="n">
        <v>1</v>
      </c>
      <c r="AL273" t="n">
        <v>2</v>
      </c>
      <c r="AM273" t="n">
        <v>2</v>
      </c>
      <c r="AN273" t="n">
        <v>0</v>
      </c>
      <c r="AO273" t="n">
        <v>1</v>
      </c>
      <c r="AP273" t="inlineStr">
        <is>
          <t>Yes</t>
        </is>
      </c>
      <c r="AQ273" t="inlineStr">
        <is>
          <t>No</t>
        </is>
      </c>
      <c r="AR273">
        <f>HYPERLINK("http://catalog.hathitrust.org/Record/100102938","HathiTrust Record")</f>
        <v/>
      </c>
      <c r="AS273">
        <f>HYPERLINK("https://creighton-primo.hosted.exlibrisgroup.com/primo-explore/search?tab=default_tab&amp;search_scope=EVERYTHING&amp;vid=01CRU&amp;lang=en_US&amp;offset=0&amp;query=any,contains,991004478349702656","Catalog Record")</f>
        <v/>
      </c>
      <c r="AT273">
        <f>HYPERLINK("http://www.worldcat.org/oclc/736786","WorldCat Record")</f>
        <v/>
      </c>
      <c r="AU273" t="inlineStr">
        <is>
          <t>1011362558:eng</t>
        </is>
      </c>
      <c r="AV273" t="inlineStr">
        <is>
          <t>736786</t>
        </is>
      </c>
      <c r="AW273" t="inlineStr">
        <is>
          <t>991004478349702656</t>
        </is>
      </c>
      <c r="AX273" t="inlineStr">
        <is>
          <t>991004478349702656</t>
        </is>
      </c>
      <c r="AY273" t="inlineStr">
        <is>
          <t>2270428300002656</t>
        </is>
      </c>
      <c r="AZ273" t="inlineStr">
        <is>
          <t>BOOK</t>
        </is>
      </c>
      <c r="BC273" t="inlineStr">
        <is>
          <t>32285002309341</t>
        </is>
      </c>
      <c r="BD273" t="inlineStr">
        <is>
          <t>893331630</t>
        </is>
      </c>
    </row>
    <row r="274">
      <c r="A274" t="inlineStr">
        <is>
          <t>No</t>
        </is>
      </c>
      <c r="B274" t="inlineStr">
        <is>
          <t>E173 .C55</t>
        </is>
      </c>
      <c r="C274" t="inlineStr">
        <is>
          <t>0                      E  0173000C  55</t>
        </is>
      </c>
      <c r="D274" t="inlineStr">
        <is>
          <t>The Chronicles of America series / Allen Johnson, editor, Gerhard R. Lomer, Charles W. Jefferys, assistant editors.</t>
        </is>
      </c>
      <c r="E274" t="inlineStr">
        <is>
          <t>V.6</t>
        </is>
      </c>
      <c r="F274" t="inlineStr">
        <is>
          <t>Yes</t>
        </is>
      </c>
      <c r="G274" t="inlineStr">
        <is>
          <t>1</t>
        </is>
      </c>
      <c r="H274" t="inlineStr">
        <is>
          <t>No</t>
        </is>
      </c>
      <c r="I274" t="inlineStr">
        <is>
          <t>No</t>
        </is>
      </c>
      <c r="J274" t="inlineStr">
        <is>
          <t>0</t>
        </is>
      </c>
      <c r="L274" t="inlineStr">
        <is>
          <t>New Haven, [Conn.] : Yale University Press, [1921-1950].</t>
        </is>
      </c>
      <c r="M274" t="inlineStr">
        <is>
          <t>1921</t>
        </is>
      </c>
      <c r="O274" t="inlineStr">
        <is>
          <t>eng</t>
        </is>
      </c>
      <c r="P274" t="inlineStr">
        <is>
          <t xml:space="preserve">xx </t>
        </is>
      </c>
      <c r="R274" t="inlineStr">
        <is>
          <t xml:space="preserve">E  </t>
        </is>
      </c>
      <c r="S274" t="n">
        <v>4</v>
      </c>
      <c r="T274" t="n">
        <v>6</v>
      </c>
      <c r="U274" t="inlineStr">
        <is>
          <t>1997-03-12</t>
        </is>
      </c>
      <c r="V274" t="inlineStr">
        <is>
          <t>2000-12-12</t>
        </is>
      </c>
      <c r="W274" t="inlineStr">
        <is>
          <t>1996-09-30</t>
        </is>
      </c>
      <c r="X274" t="inlineStr">
        <is>
          <t>1996-09-30</t>
        </is>
      </c>
      <c r="Y274" t="n">
        <v>165</v>
      </c>
      <c r="Z274" t="n">
        <v>162</v>
      </c>
      <c r="AA274" t="n">
        <v>286</v>
      </c>
      <c r="AB274" t="n">
        <v>4</v>
      </c>
      <c r="AC274" t="n">
        <v>4</v>
      </c>
      <c r="AD274" t="n">
        <v>5</v>
      </c>
      <c r="AE274" t="n">
        <v>9</v>
      </c>
      <c r="AF274" t="n">
        <v>2</v>
      </c>
      <c r="AG274" t="n">
        <v>4</v>
      </c>
      <c r="AH274" t="n">
        <v>2</v>
      </c>
      <c r="AI274" t="n">
        <v>2</v>
      </c>
      <c r="AJ274" t="n">
        <v>0</v>
      </c>
      <c r="AK274" t="n">
        <v>1</v>
      </c>
      <c r="AL274" t="n">
        <v>2</v>
      </c>
      <c r="AM274" t="n">
        <v>2</v>
      </c>
      <c r="AN274" t="n">
        <v>0</v>
      </c>
      <c r="AO274" t="n">
        <v>1</v>
      </c>
      <c r="AP274" t="inlineStr">
        <is>
          <t>Yes</t>
        </is>
      </c>
      <c r="AQ274" t="inlineStr">
        <is>
          <t>No</t>
        </is>
      </c>
      <c r="AR274">
        <f>HYPERLINK("http://catalog.hathitrust.org/Record/100102938","HathiTrust Record")</f>
        <v/>
      </c>
      <c r="AS274">
        <f>HYPERLINK("https://creighton-primo.hosted.exlibrisgroup.com/primo-explore/search?tab=default_tab&amp;search_scope=EVERYTHING&amp;vid=01CRU&amp;lang=en_US&amp;offset=0&amp;query=any,contains,991004478349702656","Catalog Record")</f>
        <v/>
      </c>
      <c r="AT274">
        <f>HYPERLINK("http://www.worldcat.org/oclc/736786","WorldCat Record")</f>
        <v/>
      </c>
      <c r="AU274" t="inlineStr">
        <is>
          <t>1011362558:eng</t>
        </is>
      </c>
      <c r="AV274" t="inlineStr">
        <is>
          <t>736786</t>
        </is>
      </c>
      <c r="AW274" t="inlineStr">
        <is>
          <t>991004478349702656</t>
        </is>
      </c>
      <c r="AX274" t="inlineStr">
        <is>
          <t>991004478349702656</t>
        </is>
      </c>
      <c r="AY274" t="inlineStr">
        <is>
          <t>2270428300002656</t>
        </is>
      </c>
      <c r="AZ274" t="inlineStr">
        <is>
          <t>BOOK</t>
        </is>
      </c>
      <c r="BC274" t="inlineStr">
        <is>
          <t>32285002309069</t>
        </is>
      </c>
      <c r="BD274" t="inlineStr">
        <is>
          <t>893350044</t>
        </is>
      </c>
    </row>
    <row r="275">
      <c r="A275" t="inlineStr">
        <is>
          <t>No</t>
        </is>
      </c>
      <c r="B275" t="inlineStr">
        <is>
          <t>E173 .C55</t>
        </is>
      </c>
      <c r="C275" t="inlineStr">
        <is>
          <t>0                      E  0173000C  55</t>
        </is>
      </c>
      <c r="D275" t="inlineStr">
        <is>
          <t>The Chronicles of America series / Allen Johnson, editor, Gerhard R. Lomer, Charles W. Jefferys, assistant editors.</t>
        </is>
      </c>
      <c r="E275" t="inlineStr">
        <is>
          <t>V.13</t>
        </is>
      </c>
      <c r="F275" t="inlineStr">
        <is>
          <t>Yes</t>
        </is>
      </c>
      <c r="G275" t="inlineStr">
        <is>
          <t>1</t>
        </is>
      </c>
      <c r="H275" t="inlineStr">
        <is>
          <t>No</t>
        </is>
      </c>
      <c r="I275" t="inlineStr">
        <is>
          <t>No</t>
        </is>
      </c>
      <c r="J275" t="inlineStr">
        <is>
          <t>0</t>
        </is>
      </c>
      <c r="L275" t="inlineStr">
        <is>
          <t>New Haven, [Conn.] : Yale University Press, [1921-1950].</t>
        </is>
      </c>
      <c r="M275" t="inlineStr">
        <is>
          <t>1921</t>
        </is>
      </c>
      <c r="O275" t="inlineStr">
        <is>
          <t>eng</t>
        </is>
      </c>
      <c r="P275" t="inlineStr">
        <is>
          <t xml:space="preserve">xx </t>
        </is>
      </c>
      <c r="R275" t="inlineStr">
        <is>
          <t xml:space="preserve">E  </t>
        </is>
      </c>
      <c r="S275" t="n">
        <v>0</v>
      </c>
      <c r="T275" t="n">
        <v>6</v>
      </c>
      <c r="V275" t="inlineStr">
        <is>
          <t>2000-12-12</t>
        </is>
      </c>
      <c r="W275" t="inlineStr">
        <is>
          <t>1996-09-30</t>
        </is>
      </c>
      <c r="X275" t="inlineStr">
        <is>
          <t>1996-09-30</t>
        </is>
      </c>
      <c r="Y275" t="n">
        <v>165</v>
      </c>
      <c r="Z275" t="n">
        <v>162</v>
      </c>
      <c r="AA275" t="n">
        <v>286</v>
      </c>
      <c r="AB275" t="n">
        <v>4</v>
      </c>
      <c r="AC275" t="n">
        <v>4</v>
      </c>
      <c r="AD275" t="n">
        <v>5</v>
      </c>
      <c r="AE275" t="n">
        <v>9</v>
      </c>
      <c r="AF275" t="n">
        <v>2</v>
      </c>
      <c r="AG275" t="n">
        <v>4</v>
      </c>
      <c r="AH275" t="n">
        <v>2</v>
      </c>
      <c r="AI275" t="n">
        <v>2</v>
      </c>
      <c r="AJ275" t="n">
        <v>0</v>
      </c>
      <c r="AK275" t="n">
        <v>1</v>
      </c>
      <c r="AL275" t="n">
        <v>2</v>
      </c>
      <c r="AM275" t="n">
        <v>2</v>
      </c>
      <c r="AN275" t="n">
        <v>0</v>
      </c>
      <c r="AO275" t="n">
        <v>1</v>
      </c>
      <c r="AP275" t="inlineStr">
        <is>
          <t>Yes</t>
        </is>
      </c>
      <c r="AQ275" t="inlineStr">
        <is>
          <t>No</t>
        </is>
      </c>
      <c r="AR275">
        <f>HYPERLINK("http://catalog.hathitrust.org/Record/100102938","HathiTrust Record")</f>
        <v/>
      </c>
      <c r="AS275">
        <f>HYPERLINK("https://creighton-primo.hosted.exlibrisgroup.com/primo-explore/search?tab=default_tab&amp;search_scope=EVERYTHING&amp;vid=01CRU&amp;lang=en_US&amp;offset=0&amp;query=any,contains,991004478349702656","Catalog Record")</f>
        <v/>
      </c>
      <c r="AT275">
        <f>HYPERLINK("http://www.worldcat.org/oclc/736786","WorldCat Record")</f>
        <v/>
      </c>
      <c r="AU275" t="inlineStr">
        <is>
          <t>1011362558:eng</t>
        </is>
      </c>
      <c r="AV275" t="inlineStr">
        <is>
          <t>736786</t>
        </is>
      </c>
      <c r="AW275" t="inlineStr">
        <is>
          <t>991004478349702656</t>
        </is>
      </c>
      <c r="AX275" t="inlineStr">
        <is>
          <t>991004478349702656</t>
        </is>
      </c>
      <c r="AY275" t="inlineStr">
        <is>
          <t>2270428300002656</t>
        </is>
      </c>
      <c r="AZ275" t="inlineStr">
        <is>
          <t>BOOK</t>
        </is>
      </c>
      <c r="BC275" t="inlineStr">
        <is>
          <t>32285002309135</t>
        </is>
      </c>
      <c r="BD275" t="inlineStr">
        <is>
          <t>893319275</t>
        </is>
      </c>
    </row>
    <row r="276">
      <c r="A276" t="inlineStr">
        <is>
          <t>No</t>
        </is>
      </c>
      <c r="B276" t="inlineStr">
        <is>
          <t>E173 .C55</t>
        </is>
      </c>
      <c r="C276" t="inlineStr">
        <is>
          <t>0                      E  0173000C  55</t>
        </is>
      </c>
      <c r="D276" t="inlineStr">
        <is>
          <t>The Chronicles of America series / Allen Johnson, editor, Gerhard R. Lomer, Charles W. Jefferys, assistant editors.</t>
        </is>
      </c>
      <c r="E276" t="inlineStr">
        <is>
          <t>V.47</t>
        </is>
      </c>
      <c r="F276" t="inlineStr">
        <is>
          <t>Yes</t>
        </is>
      </c>
      <c r="G276" t="inlineStr">
        <is>
          <t>1</t>
        </is>
      </c>
      <c r="H276" t="inlineStr">
        <is>
          <t>No</t>
        </is>
      </c>
      <c r="I276" t="inlineStr">
        <is>
          <t>No</t>
        </is>
      </c>
      <c r="J276" t="inlineStr">
        <is>
          <t>0</t>
        </is>
      </c>
      <c r="L276" t="inlineStr">
        <is>
          <t>New Haven, [Conn.] : Yale University Press, [1921-1950].</t>
        </is>
      </c>
      <c r="M276" t="inlineStr">
        <is>
          <t>1921</t>
        </is>
      </c>
      <c r="O276" t="inlineStr">
        <is>
          <t>eng</t>
        </is>
      </c>
      <c r="P276" t="inlineStr">
        <is>
          <t xml:space="preserve">xx </t>
        </is>
      </c>
      <c r="R276" t="inlineStr">
        <is>
          <t xml:space="preserve">E  </t>
        </is>
      </c>
      <c r="S276" t="n">
        <v>0</v>
      </c>
      <c r="T276" t="n">
        <v>6</v>
      </c>
      <c r="V276" t="inlineStr">
        <is>
          <t>2000-12-12</t>
        </is>
      </c>
      <c r="W276" t="inlineStr">
        <is>
          <t>1996-09-30</t>
        </is>
      </c>
      <c r="X276" t="inlineStr">
        <is>
          <t>1996-09-30</t>
        </is>
      </c>
      <c r="Y276" t="n">
        <v>165</v>
      </c>
      <c r="Z276" t="n">
        <v>162</v>
      </c>
      <c r="AA276" t="n">
        <v>286</v>
      </c>
      <c r="AB276" t="n">
        <v>4</v>
      </c>
      <c r="AC276" t="n">
        <v>4</v>
      </c>
      <c r="AD276" t="n">
        <v>5</v>
      </c>
      <c r="AE276" t="n">
        <v>9</v>
      </c>
      <c r="AF276" t="n">
        <v>2</v>
      </c>
      <c r="AG276" t="n">
        <v>4</v>
      </c>
      <c r="AH276" t="n">
        <v>2</v>
      </c>
      <c r="AI276" t="n">
        <v>2</v>
      </c>
      <c r="AJ276" t="n">
        <v>0</v>
      </c>
      <c r="AK276" t="n">
        <v>1</v>
      </c>
      <c r="AL276" t="n">
        <v>2</v>
      </c>
      <c r="AM276" t="n">
        <v>2</v>
      </c>
      <c r="AN276" t="n">
        <v>0</v>
      </c>
      <c r="AO276" t="n">
        <v>1</v>
      </c>
      <c r="AP276" t="inlineStr">
        <is>
          <t>Yes</t>
        </is>
      </c>
      <c r="AQ276" t="inlineStr">
        <is>
          <t>No</t>
        </is>
      </c>
      <c r="AR276">
        <f>HYPERLINK("http://catalog.hathitrust.org/Record/100102938","HathiTrust Record")</f>
        <v/>
      </c>
      <c r="AS276">
        <f>HYPERLINK("https://creighton-primo.hosted.exlibrisgroup.com/primo-explore/search?tab=default_tab&amp;search_scope=EVERYTHING&amp;vid=01CRU&amp;lang=en_US&amp;offset=0&amp;query=any,contains,991004478349702656","Catalog Record")</f>
        <v/>
      </c>
      <c r="AT276">
        <f>HYPERLINK("http://www.worldcat.org/oclc/736786","WorldCat Record")</f>
        <v/>
      </c>
      <c r="AU276" t="inlineStr">
        <is>
          <t>1011362558:eng</t>
        </is>
      </c>
      <c r="AV276" t="inlineStr">
        <is>
          <t>736786</t>
        </is>
      </c>
      <c r="AW276" t="inlineStr">
        <is>
          <t>991004478349702656</t>
        </is>
      </c>
      <c r="AX276" t="inlineStr">
        <is>
          <t>991004478349702656</t>
        </is>
      </c>
      <c r="AY276" t="inlineStr">
        <is>
          <t>2270428300002656</t>
        </is>
      </c>
      <c r="AZ276" t="inlineStr">
        <is>
          <t>BOOK</t>
        </is>
      </c>
      <c r="BC276" t="inlineStr">
        <is>
          <t>32285002309473</t>
        </is>
      </c>
      <c r="BD276" t="inlineStr">
        <is>
          <t>893353413</t>
        </is>
      </c>
    </row>
    <row r="277">
      <c r="A277" t="inlineStr">
        <is>
          <t>No</t>
        </is>
      </c>
      <c r="B277" t="inlineStr">
        <is>
          <t>E173 .C55</t>
        </is>
      </c>
      <c r="C277" t="inlineStr">
        <is>
          <t>0                      E  0173000C  55</t>
        </is>
      </c>
      <c r="D277" t="inlineStr">
        <is>
          <t>The Chronicles of America series / Allen Johnson, editor, Gerhard R. Lomer, Charles W. Jefferys, assistant editors.</t>
        </is>
      </c>
      <c r="E277" t="inlineStr">
        <is>
          <t>V.39</t>
        </is>
      </c>
      <c r="F277" t="inlineStr">
        <is>
          <t>Yes</t>
        </is>
      </c>
      <c r="G277" t="inlineStr">
        <is>
          <t>1</t>
        </is>
      </c>
      <c r="H277" t="inlineStr">
        <is>
          <t>No</t>
        </is>
      </c>
      <c r="I277" t="inlineStr">
        <is>
          <t>No</t>
        </is>
      </c>
      <c r="J277" t="inlineStr">
        <is>
          <t>0</t>
        </is>
      </c>
      <c r="L277" t="inlineStr">
        <is>
          <t>New Haven, [Conn.] : Yale University Press, [1921-1950].</t>
        </is>
      </c>
      <c r="M277" t="inlineStr">
        <is>
          <t>1921</t>
        </is>
      </c>
      <c r="O277" t="inlineStr">
        <is>
          <t>eng</t>
        </is>
      </c>
      <c r="P277" t="inlineStr">
        <is>
          <t xml:space="preserve">xx </t>
        </is>
      </c>
      <c r="R277" t="inlineStr">
        <is>
          <t xml:space="preserve">E  </t>
        </is>
      </c>
      <c r="S277" t="n">
        <v>0</v>
      </c>
      <c r="T277" t="n">
        <v>6</v>
      </c>
      <c r="V277" t="inlineStr">
        <is>
          <t>2000-12-12</t>
        </is>
      </c>
      <c r="W277" t="inlineStr">
        <is>
          <t>1996-09-30</t>
        </is>
      </c>
      <c r="X277" t="inlineStr">
        <is>
          <t>1996-09-30</t>
        </is>
      </c>
      <c r="Y277" t="n">
        <v>165</v>
      </c>
      <c r="Z277" t="n">
        <v>162</v>
      </c>
      <c r="AA277" t="n">
        <v>286</v>
      </c>
      <c r="AB277" t="n">
        <v>4</v>
      </c>
      <c r="AC277" t="n">
        <v>4</v>
      </c>
      <c r="AD277" t="n">
        <v>5</v>
      </c>
      <c r="AE277" t="n">
        <v>9</v>
      </c>
      <c r="AF277" t="n">
        <v>2</v>
      </c>
      <c r="AG277" t="n">
        <v>4</v>
      </c>
      <c r="AH277" t="n">
        <v>2</v>
      </c>
      <c r="AI277" t="n">
        <v>2</v>
      </c>
      <c r="AJ277" t="n">
        <v>0</v>
      </c>
      <c r="AK277" t="n">
        <v>1</v>
      </c>
      <c r="AL277" t="n">
        <v>2</v>
      </c>
      <c r="AM277" t="n">
        <v>2</v>
      </c>
      <c r="AN277" t="n">
        <v>0</v>
      </c>
      <c r="AO277" t="n">
        <v>1</v>
      </c>
      <c r="AP277" t="inlineStr">
        <is>
          <t>Yes</t>
        </is>
      </c>
      <c r="AQ277" t="inlineStr">
        <is>
          <t>No</t>
        </is>
      </c>
      <c r="AR277">
        <f>HYPERLINK("http://catalog.hathitrust.org/Record/100102938","HathiTrust Record")</f>
        <v/>
      </c>
      <c r="AS277">
        <f>HYPERLINK("https://creighton-primo.hosted.exlibrisgroup.com/primo-explore/search?tab=default_tab&amp;search_scope=EVERYTHING&amp;vid=01CRU&amp;lang=en_US&amp;offset=0&amp;query=any,contains,991004478349702656","Catalog Record")</f>
        <v/>
      </c>
      <c r="AT277">
        <f>HYPERLINK("http://www.worldcat.org/oclc/736786","WorldCat Record")</f>
        <v/>
      </c>
      <c r="AU277" t="inlineStr">
        <is>
          <t>1011362558:eng</t>
        </is>
      </c>
      <c r="AV277" t="inlineStr">
        <is>
          <t>736786</t>
        </is>
      </c>
      <c r="AW277" t="inlineStr">
        <is>
          <t>991004478349702656</t>
        </is>
      </c>
      <c r="AX277" t="inlineStr">
        <is>
          <t>991004478349702656</t>
        </is>
      </c>
      <c r="AY277" t="inlineStr">
        <is>
          <t>2270428300002656</t>
        </is>
      </c>
      <c r="AZ277" t="inlineStr">
        <is>
          <t>BOOK</t>
        </is>
      </c>
      <c r="BC277" t="inlineStr">
        <is>
          <t>32285002309390</t>
        </is>
      </c>
      <c r="BD277" t="inlineStr">
        <is>
          <t>893319272</t>
        </is>
      </c>
    </row>
    <row r="278">
      <c r="A278" t="inlineStr">
        <is>
          <t>No</t>
        </is>
      </c>
      <c r="B278" t="inlineStr">
        <is>
          <t>E173 .C7 no.6</t>
        </is>
      </c>
      <c r="C278" t="inlineStr">
        <is>
          <t>0                      E  0173000C  7                                                       no.6</t>
        </is>
      </c>
      <c r="D278" t="inlineStr">
        <is>
          <t>The Wilson administration and civil liberties, 1917-1921 / by Harry N. Scheiber.</t>
        </is>
      </c>
      <c r="E278" t="inlineStr">
        <is>
          <t>no.6*</t>
        </is>
      </c>
      <c r="F278" t="inlineStr">
        <is>
          <t>No</t>
        </is>
      </c>
      <c r="G278" t="inlineStr">
        <is>
          <t>1</t>
        </is>
      </c>
      <c r="H278" t="inlineStr">
        <is>
          <t>No</t>
        </is>
      </c>
      <c r="I278" t="inlineStr">
        <is>
          <t>No</t>
        </is>
      </c>
      <c r="J278" t="inlineStr">
        <is>
          <t>0</t>
        </is>
      </c>
      <c r="K278" t="inlineStr">
        <is>
          <t>Scheiber, Harry N.</t>
        </is>
      </c>
      <c r="L278" t="inlineStr">
        <is>
          <t>Ithaca, N.Y. : Cornell University Press, [1960]</t>
        </is>
      </c>
      <c r="M278" t="inlineStr">
        <is>
          <t>1960</t>
        </is>
      </c>
      <c r="O278" t="inlineStr">
        <is>
          <t>eng</t>
        </is>
      </c>
      <c r="P278" t="inlineStr">
        <is>
          <t>nyu</t>
        </is>
      </c>
      <c r="Q278" t="inlineStr">
        <is>
          <t>Cornell studies in American history, literature and folklore ; no. 6</t>
        </is>
      </c>
      <c r="R278" t="inlineStr">
        <is>
          <t xml:space="preserve">E  </t>
        </is>
      </c>
      <c r="S278" t="n">
        <v>0</v>
      </c>
      <c r="T278" t="n">
        <v>0</v>
      </c>
      <c r="U278" t="inlineStr">
        <is>
          <t>2001-11-09</t>
        </is>
      </c>
      <c r="V278" t="inlineStr">
        <is>
          <t>2001-11-09</t>
        </is>
      </c>
      <c r="W278" t="inlineStr">
        <is>
          <t>1991-01-08</t>
        </is>
      </c>
      <c r="X278" t="inlineStr">
        <is>
          <t>1991-01-08</t>
        </is>
      </c>
      <c r="Y278" t="n">
        <v>228</v>
      </c>
      <c r="Z278" t="n">
        <v>219</v>
      </c>
      <c r="AA278" t="n">
        <v>239</v>
      </c>
      <c r="AB278" t="n">
        <v>2</v>
      </c>
      <c r="AC278" t="n">
        <v>3</v>
      </c>
      <c r="AD278" t="n">
        <v>10</v>
      </c>
      <c r="AE278" t="n">
        <v>11</v>
      </c>
      <c r="AF278" t="n">
        <v>4</v>
      </c>
      <c r="AG278" t="n">
        <v>4</v>
      </c>
      <c r="AH278" t="n">
        <v>2</v>
      </c>
      <c r="AI278" t="n">
        <v>2</v>
      </c>
      <c r="AJ278" t="n">
        <v>6</v>
      </c>
      <c r="AK278" t="n">
        <v>6</v>
      </c>
      <c r="AL278" t="n">
        <v>1</v>
      </c>
      <c r="AM278" t="n">
        <v>1</v>
      </c>
      <c r="AN278" t="n">
        <v>0</v>
      </c>
      <c r="AO278" t="n">
        <v>1</v>
      </c>
      <c r="AP278" t="inlineStr">
        <is>
          <t>No</t>
        </is>
      </c>
      <c r="AQ278" t="inlineStr">
        <is>
          <t>No</t>
        </is>
      </c>
      <c r="AS278">
        <f>HYPERLINK("https://creighton-primo.hosted.exlibrisgroup.com/primo-explore/search?tab=default_tab&amp;search_scope=EVERYTHING&amp;vid=01CRU&amp;lang=en_US&amp;offset=0&amp;query=any,contains,991003022219702656","Catalog Record")</f>
        <v/>
      </c>
      <c r="AT278">
        <f>HYPERLINK("http://www.worldcat.org/oclc/587048","WorldCat Record")</f>
        <v/>
      </c>
      <c r="AU278" t="inlineStr">
        <is>
          <t>1756336:eng</t>
        </is>
      </c>
      <c r="AV278" t="inlineStr">
        <is>
          <t>587048</t>
        </is>
      </c>
      <c r="AW278" t="inlineStr">
        <is>
          <t>991003022219702656</t>
        </is>
      </c>
      <c r="AX278" t="inlineStr">
        <is>
          <t>991003022219702656</t>
        </is>
      </c>
      <c r="AY278" t="inlineStr">
        <is>
          <t>2267219510002656</t>
        </is>
      </c>
      <c r="AZ278" t="inlineStr">
        <is>
          <t>BOOK</t>
        </is>
      </c>
      <c r="BC278" t="inlineStr">
        <is>
          <t>32285000424332</t>
        </is>
      </c>
      <c r="BD278" t="inlineStr">
        <is>
          <t>893786874</t>
        </is>
      </c>
    </row>
    <row r="279">
      <c r="A279" t="inlineStr">
        <is>
          <t>No</t>
        </is>
      </c>
      <c r="B279" t="inlineStr">
        <is>
          <t>E173 .D38 1973</t>
        </is>
      </c>
      <c r="C279" t="inlineStr">
        <is>
          <t>0                      E  0173000D  38          1973</t>
        </is>
      </c>
      <c r="D279" t="inlineStr">
        <is>
          <t>America's major wars : crusaders, critics, and scholars, 1775-1972 / Leslie E. Decker and Robert Seager II, editors.</t>
        </is>
      </c>
      <c r="E279" t="inlineStr">
        <is>
          <t>V. 2</t>
        </is>
      </c>
      <c r="F279" t="inlineStr">
        <is>
          <t>Yes</t>
        </is>
      </c>
      <c r="G279" t="inlineStr">
        <is>
          <t>1</t>
        </is>
      </c>
      <c r="H279" t="inlineStr">
        <is>
          <t>No</t>
        </is>
      </c>
      <c r="I279" t="inlineStr">
        <is>
          <t>No</t>
        </is>
      </c>
      <c r="J279" t="inlineStr">
        <is>
          <t>0</t>
        </is>
      </c>
      <c r="K279" t="inlineStr">
        <is>
          <t>Decker, Leslie E. (Leslie Edward), 1930-, compiler.</t>
        </is>
      </c>
      <c r="L279" t="inlineStr">
        <is>
          <t>Reading, Mass. : Addison-Wesley Pub. Co., [1973]</t>
        </is>
      </c>
      <c r="M279" t="inlineStr">
        <is>
          <t>1973</t>
        </is>
      </c>
      <c r="O279" t="inlineStr">
        <is>
          <t>eng</t>
        </is>
      </c>
      <c r="P279" t="inlineStr">
        <is>
          <t>mau</t>
        </is>
      </c>
      <c r="Q279" t="inlineStr">
        <is>
          <t>Addison-Wesley series in history</t>
        </is>
      </c>
      <c r="R279" t="inlineStr">
        <is>
          <t xml:space="preserve">E  </t>
        </is>
      </c>
      <c r="S279" t="n">
        <v>1</v>
      </c>
      <c r="T279" t="n">
        <v>1</v>
      </c>
      <c r="U279" t="inlineStr">
        <is>
          <t>2002-10-08</t>
        </is>
      </c>
      <c r="V279" t="inlineStr">
        <is>
          <t>2002-10-08</t>
        </is>
      </c>
      <c r="W279" t="inlineStr">
        <is>
          <t>2002-09-26</t>
        </is>
      </c>
      <c r="X279" t="inlineStr">
        <is>
          <t>2002-09-26</t>
        </is>
      </c>
      <c r="Y279" t="n">
        <v>368</v>
      </c>
      <c r="Z279" t="n">
        <v>345</v>
      </c>
      <c r="AA279" t="n">
        <v>347</v>
      </c>
      <c r="AB279" t="n">
        <v>3</v>
      </c>
      <c r="AC279" t="n">
        <v>3</v>
      </c>
      <c r="AD279" t="n">
        <v>16</v>
      </c>
      <c r="AE279" t="n">
        <v>16</v>
      </c>
      <c r="AF279" t="n">
        <v>8</v>
      </c>
      <c r="AG279" t="n">
        <v>8</v>
      </c>
      <c r="AH279" t="n">
        <v>1</v>
      </c>
      <c r="AI279" t="n">
        <v>1</v>
      </c>
      <c r="AJ279" t="n">
        <v>12</v>
      </c>
      <c r="AK279" t="n">
        <v>12</v>
      </c>
      <c r="AL279" t="n">
        <v>2</v>
      </c>
      <c r="AM279" t="n">
        <v>2</v>
      </c>
      <c r="AN279" t="n">
        <v>0</v>
      </c>
      <c r="AO279" t="n">
        <v>0</v>
      </c>
      <c r="AP279" t="inlineStr">
        <is>
          <t>No</t>
        </is>
      </c>
      <c r="AQ279" t="inlineStr">
        <is>
          <t>Yes</t>
        </is>
      </c>
      <c r="AR279">
        <f>HYPERLINK("http://catalog.hathitrust.org/Record/000329505","HathiTrust Record")</f>
        <v/>
      </c>
      <c r="AS279">
        <f>HYPERLINK("https://creighton-primo.hosted.exlibrisgroup.com/primo-explore/search?tab=default_tab&amp;search_scope=EVERYTHING&amp;vid=01CRU&amp;lang=en_US&amp;offset=0&amp;query=any,contains,991003896639702656","Catalog Record")</f>
        <v/>
      </c>
      <c r="AT279">
        <f>HYPERLINK("http://www.worldcat.org/oclc/661571","WorldCat Record")</f>
        <v/>
      </c>
      <c r="AU279" t="inlineStr">
        <is>
          <t>10141782386:eng</t>
        </is>
      </c>
      <c r="AV279" t="inlineStr">
        <is>
          <t>661571</t>
        </is>
      </c>
      <c r="AW279" t="inlineStr">
        <is>
          <t>991003896639702656</t>
        </is>
      </c>
      <c r="AX279" t="inlineStr">
        <is>
          <t>991003896639702656</t>
        </is>
      </c>
      <c r="AY279" t="inlineStr">
        <is>
          <t>2268820250002656</t>
        </is>
      </c>
      <c r="AZ279" t="inlineStr">
        <is>
          <t>BOOK</t>
        </is>
      </c>
      <c r="BC279" t="inlineStr">
        <is>
          <t>32285004653605</t>
        </is>
      </c>
      <c r="BD279" t="inlineStr">
        <is>
          <t>893687100</t>
        </is>
      </c>
    </row>
    <row r="280">
      <c r="A280" t="inlineStr">
        <is>
          <t>No</t>
        </is>
      </c>
      <c r="B280" t="inlineStr">
        <is>
          <t>E174.5 .E52 1965</t>
        </is>
      </c>
      <c r="C280" t="inlineStr">
        <is>
          <t>0                      E  0174500E  52          1965</t>
        </is>
      </c>
      <c r="D280" t="inlineStr">
        <is>
          <t>Encyclopedia of American history, edited by Richard B. Morris.</t>
        </is>
      </c>
      <c r="F280" t="inlineStr">
        <is>
          <t>No</t>
        </is>
      </c>
      <c r="G280" t="inlineStr">
        <is>
          <t>1</t>
        </is>
      </c>
      <c r="H280" t="inlineStr">
        <is>
          <t>No</t>
        </is>
      </c>
      <c r="I280" t="inlineStr">
        <is>
          <t>Yes</t>
        </is>
      </c>
      <c r="J280" t="inlineStr">
        <is>
          <t>0</t>
        </is>
      </c>
      <c r="K280" t="inlineStr">
        <is>
          <t>Morris, Richard B. (Richard Brandon), 1904-1989 editor.</t>
        </is>
      </c>
      <c r="L280" t="inlineStr">
        <is>
          <t>New York, Harper &amp; Row [1965]</t>
        </is>
      </c>
      <c r="M280" t="inlineStr">
        <is>
          <t>1965</t>
        </is>
      </c>
      <c r="N280" t="inlineStr">
        <is>
          <t>Updated and rev.</t>
        </is>
      </c>
      <c r="O280" t="inlineStr">
        <is>
          <t>eng</t>
        </is>
      </c>
      <c r="P280" t="inlineStr">
        <is>
          <t>nyu</t>
        </is>
      </c>
      <c r="R280" t="inlineStr">
        <is>
          <t xml:space="preserve">E  </t>
        </is>
      </c>
      <c r="S280" t="n">
        <v>1</v>
      </c>
      <c r="T280" t="n">
        <v>1</v>
      </c>
      <c r="U280" t="inlineStr">
        <is>
          <t>2000-12-12</t>
        </is>
      </c>
      <c r="V280" t="inlineStr">
        <is>
          <t>2000-12-12</t>
        </is>
      </c>
      <c r="W280" t="inlineStr">
        <is>
          <t>1997-06-24</t>
        </is>
      </c>
      <c r="X280" t="inlineStr">
        <is>
          <t>1997-06-24</t>
        </is>
      </c>
      <c r="Y280" t="n">
        <v>804</v>
      </c>
      <c r="Z280" t="n">
        <v>719</v>
      </c>
      <c r="AA280" t="n">
        <v>3168</v>
      </c>
      <c r="AB280" t="n">
        <v>8</v>
      </c>
      <c r="AC280" t="n">
        <v>30</v>
      </c>
      <c r="AD280" t="n">
        <v>16</v>
      </c>
      <c r="AE280" t="n">
        <v>56</v>
      </c>
      <c r="AF280" t="n">
        <v>6</v>
      </c>
      <c r="AG280" t="n">
        <v>19</v>
      </c>
      <c r="AH280" t="n">
        <v>2</v>
      </c>
      <c r="AI280" t="n">
        <v>7</v>
      </c>
      <c r="AJ280" t="n">
        <v>10</v>
      </c>
      <c r="AK280" t="n">
        <v>21</v>
      </c>
      <c r="AL280" t="n">
        <v>2</v>
      </c>
      <c r="AM280" t="n">
        <v>13</v>
      </c>
      <c r="AN280" t="n">
        <v>0</v>
      </c>
      <c r="AO280" t="n">
        <v>4</v>
      </c>
      <c r="AP280" t="inlineStr">
        <is>
          <t>No</t>
        </is>
      </c>
      <c r="AQ280" t="inlineStr">
        <is>
          <t>Yes</t>
        </is>
      </c>
      <c r="AR280">
        <f>HYPERLINK("http://catalog.hathitrust.org/Record/000329680","HathiTrust Record")</f>
        <v/>
      </c>
      <c r="AS280">
        <f>HYPERLINK("https://creighton-primo.hosted.exlibrisgroup.com/primo-explore/search?tab=default_tab&amp;search_scope=EVERYTHING&amp;vid=01CRU&amp;lang=en_US&amp;offset=0&amp;query=any,contains,991002740869702656","Catalog Record")</f>
        <v/>
      </c>
      <c r="AT280">
        <f>HYPERLINK("http://www.worldcat.org/oclc/421047","WorldCat Record")</f>
        <v/>
      </c>
      <c r="AU280" t="inlineStr">
        <is>
          <t>4915101410:eng</t>
        </is>
      </c>
      <c r="AV280" t="inlineStr">
        <is>
          <t>421047</t>
        </is>
      </c>
      <c r="AW280" t="inlineStr">
        <is>
          <t>991002740869702656</t>
        </is>
      </c>
      <c r="AX280" t="inlineStr">
        <is>
          <t>991002740869702656</t>
        </is>
      </c>
      <c r="AY280" t="inlineStr">
        <is>
          <t>2270544500002656</t>
        </is>
      </c>
      <c r="AZ280" t="inlineStr">
        <is>
          <t>BOOK</t>
        </is>
      </c>
      <c r="BC280" t="inlineStr">
        <is>
          <t>32285002831310</t>
        </is>
      </c>
      <c r="BD280" t="inlineStr">
        <is>
          <t>893716858</t>
        </is>
      </c>
    </row>
    <row r="281">
      <c r="A281" t="inlineStr">
        <is>
          <t>No</t>
        </is>
      </c>
      <c r="B281" t="inlineStr">
        <is>
          <t>E175 .A1777</t>
        </is>
      </c>
      <c r="C281" t="inlineStr">
        <is>
          <t>0                      E  0175000A  1777</t>
        </is>
      </c>
      <c r="D281" t="inlineStr">
        <is>
          <t>Henry Adams, the middle years.</t>
        </is>
      </c>
      <c r="F281" t="inlineStr">
        <is>
          <t>No</t>
        </is>
      </c>
      <c r="G281" t="inlineStr">
        <is>
          <t>1</t>
        </is>
      </c>
      <c r="H281" t="inlineStr">
        <is>
          <t>No</t>
        </is>
      </c>
      <c r="I281" t="inlineStr">
        <is>
          <t>No</t>
        </is>
      </c>
      <c r="J281" t="inlineStr">
        <is>
          <t>0</t>
        </is>
      </c>
      <c r="K281" t="inlineStr">
        <is>
          <t>Samuels, Ernest, 1903-1996.</t>
        </is>
      </c>
      <c r="L281" t="inlineStr">
        <is>
          <t>Cambridge, Belknap Press of Harvard University Press, 1958.</t>
        </is>
      </c>
      <c r="M281" t="inlineStr">
        <is>
          <t>1958</t>
        </is>
      </c>
      <c r="O281" t="inlineStr">
        <is>
          <t>eng</t>
        </is>
      </c>
      <c r="P281" t="inlineStr">
        <is>
          <t>mau</t>
        </is>
      </c>
      <c r="R281" t="inlineStr">
        <is>
          <t xml:space="preserve">E  </t>
        </is>
      </c>
      <c r="S281" t="n">
        <v>6</v>
      </c>
      <c r="T281" t="n">
        <v>6</v>
      </c>
      <c r="U281" t="inlineStr">
        <is>
          <t>1999-09-27</t>
        </is>
      </c>
      <c r="V281" t="inlineStr">
        <is>
          <t>1999-09-27</t>
        </is>
      </c>
      <c r="W281" t="inlineStr">
        <is>
          <t>1997-04-04</t>
        </is>
      </c>
      <c r="X281" t="inlineStr">
        <is>
          <t>1997-04-04</t>
        </is>
      </c>
      <c r="Y281" t="n">
        <v>1157</v>
      </c>
      <c r="Z281" t="n">
        <v>1056</v>
      </c>
      <c r="AA281" t="n">
        <v>1143</v>
      </c>
      <c r="AB281" t="n">
        <v>8</v>
      </c>
      <c r="AC281" t="n">
        <v>8</v>
      </c>
      <c r="AD281" t="n">
        <v>43</v>
      </c>
      <c r="AE281" t="n">
        <v>44</v>
      </c>
      <c r="AF281" t="n">
        <v>18</v>
      </c>
      <c r="AG281" t="n">
        <v>19</v>
      </c>
      <c r="AH281" t="n">
        <v>9</v>
      </c>
      <c r="AI281" t="n">
        <v>9</v>
      </c>
      <c r="AJ281" t="n">
        <v>20</v>
      </c>
      <c r="AK281" t="n">
        <v>20</v>
      </c>
      <c r="AL281" t="n">
        <v>7</v>
      </c>
      <c r="AM281" t="n">
        <v>7</v>
      </c>
      <c r="AN281" t="n">
        <v>0</v>
      </c>
      <c r="AO281" t="n">
        <v>0</v>
      </c>
      <c r="AP281" t="inlineStr">
        <is>
          <t>No</t>
        </is>
      </c>
      <c r="AQ281" t="inlineStr">
        <is>
          <t>No</t>
        </is>
      </c>
      <c r="AR281">
        <f>HYPERLINK("http://catalog.hathitrust.org/Record/000330544","HathiTrust Record")</f>
        <v/>
      </c>
      <c r="AS281">
        <f>HYPERLINK("https://creighton-primo.hosted.exlibrisgroup.com/primo-explore/search?tab=default_tab&amp;search_scope=EVERYTHING&amp;vid=01CRU&amp;lang=en_US&amp;offset=0&amp;query=any,contains,991002739999702656","Catalog Record")</f>
        <v/>
      </c>
      <c r="AT281">
        <f>HYPERLINK("http://www.worldcat.org/oclc/420712","WorldCat Record")</f>
        <v/>
      </c>
      <c r="AU281" t="inlineStr">
        <is>
          <t>9279200:eng</t>
        </is>
      </c>
      <c r="AV281" t="inlineStr">
        <is>
          <t>420712</t>
        </is>
      </c>
      <c r="AW281" t="inlineStr">
        <is>
          <t>991002739999702656</t>
        </is>
      </c>
      <c r="AX281" t="inlineStr">
        <is>
          <t>991002739999702656</t>
        </is>
      </c>
      <c r="AY281" t="inlineStr">
        <is>
          <t>2270739720002656</t>
        </is>
      </c>
      <c r="AZ281" t="inlineStr">
        <is>
          <t>BOOK</t>
        </is>
      </c>
      <c r="BC281" t="inlineStr">
        <is>
          <t>32285002502572</t>
        </is>
      </c>
      <c r="BD281" t="inlineStr">
        <is>
          <t>893867618</t>
        </is>
      </c>
    </row>
    <row r="282">
      <c r="A282" t="inlineStr">
        <is>
          <t>No</t>
        </is>
      </c>
      <c r="B282" t="inlineStr">
        <is>
          <t>E175 .B3</t>
        </is>
      </c>
      <c r="C282" t="inlineStr">
        <is>
          <t>0                      E  0175000B  3</t>
        </is>
      </c>
      <c r="D282" t="inlineStr">
        <is>
          <t>The middle group of American historians, by John Spencer Bassett ...</t>
        </is>
      </c>
      <c r="F282" t="inlineStr">
        <is>
          <t>No</t>
        </is>
      </c>
      <c r="G282" t="inlineStr">
        <is>
          <t>1</t>
        </is>
      </c>
      <c r="H282" t="inlineStr">
        <is>
          <t>No</t>
        </is>
      </c>
      <c r="I282" t="inlineStr">
        <is>
          <t>No</t>
        </is>
      </c>
      <c r="J282" t="inlineStr">
        <is>
          <t>0</t>
        </is>
      </c>
      <c r="K282" t="inlineStr">
        <is>
          <t>Bassett, John Spencer, 1867-1928.</t>
        </is>
      </c>
      <c r="L282" t="inlineStr">
        <is>
          <t>New York, Macmillan Company, 1917.</t>
        </is>
      </c>
      <c r="M282" t="inlineStr">
        <is>
          <t>1917</t>
        </is>
      </c>
      <c r="O282" t="inlineStr">
        <is>
          <t>eng</t>
        </is>
      </c>
      <c r="P282" t="inlineStr">
        <is>
          <t>nyu</t>
        </is>
      </c>
      <c r="R282" t="inlineStr">
        <is>
          <t xml:space="preserve">E  </t>
        </is>
      </c>
      <c r="S282" t="n">
        <v>1</v>
      </c>
      <c r="T282" t="n">
        <v>1</v>
      </c>
      <c r="U282" t="inlineStr">
        <is>
          <t>2005-11-01</t>
        </is>
      </c>
      <c r="V282" t="inlineStr">
        <is>
          <t>2005-11-01</t>
        </is>
      </c>
      <c r="W282" t="inlineStr">
        <is>
          <t>1997-04-04</t>
        </is>
      </c>
      <c r="X282" t="inlineStr">
        <is>
          <t>1997-04-04</t>
        </is>
      </c>
      <c r="Y282" t="n">
        <v>364</v>
      </c>
      <c r="Z282" t="n">
        <v>332</v>
      </c>
      <c r="AA282" t="n">
        <v>348</v>
      </c>
      <c r="AB282" t="n">
        <v>4</v>
      </c>
      <c r="AC282" t="n">
        <v>4</v>
      </c>
      <c r="AD282" t="n">
        <v>12</v>
      </c>
      <c r="AE282" t="n">
        <v>14</v>
      </c>
      <c r="AF282" t="n">
        <v>2</v>
      </c>
      <c r="AG282" t="n">
        <v>2</v>
      </c>
      <c r="AH282" t="n">
        <v>4</v>
      </c>
      <c r="AI282" t="n">
        <v>6</v>
      </c>
      <c r="AJ282" t="n">
        <v>6</v>
      </c>
      <c r="AK282" t="n">
        <v>6</v>
      </c>
      <c r="AL282" t="n">
        <v>3</v>
      </c>
      <c r="AM282" t="n">
        <v>3</v>
      </c>
      <c r="AN282" t="n">
        <v>0</v>
      </c>
      <c r="AO282" t="n">
        <v>0</v>
      </c>
      <c r="AP282" t="inlineStr">
        <is>
          <t>Yes</t>
        </is>
      </c>
      <c r="AQ282" t="inlineStr">
        <is>
          <t>No</t>
        </is>
      </c>
      <c r="AR282">
        <f>HYPERLINK("http://catalog.hathitrust.org/Record/000622029","HathiTrust Record")</f>
        <v/>
      </c>
      <c r="AS282">
        <f>HYPERLINK("https://creighton-primo.hosted.exlibrisgroup.com/primo-explore/search?tab=default_tab&amp;search_scope=EVERYTHING&amp;vid=01CRU&amp;lang=en_US&amp;offset=0&amp;query=any,contains,991002522709702656","Catalog Record")</f>
        <v/>
      </c>
      <c r="AT282">
        <f>HYPERLINK("http://www.worldcat.org/oclc/366168","WorldCat Record")</f>
        <v/>
      </c>
      <c r="AU282" t="inlineStr">
        <is>
          <t>5612548297:eng</t>
        </is>
      </c>
      <c r="AV282" t="inlineStr">
        <is>
          <t>366168</t>
        </is>
      </c>
      <c r="AW282" t="inlineStr">
        <is>
          <t>991002522709702656</t>
        </is>
      </c>
      <c r="AX282" t="inlineStr">
        <is>
          <t>991002522709702656</t>
        </is>
      </c>
      <c r="AY282" t="inlineStr">
        <is>
          <t>2264373880002656</t>
        </is>
      </c>
      <c r="AZ282" t="inlineStr">
        <is>
          <t>BOOK</t>
        </is>
      </c>
      <c r="BC282" t="inlineStr">
        <is>
          <t>32285002502598</t>
        </is>
      </c>
      <c r="BD282" t="inlineStr">
        <is>
          <t>893609951</t>
        </is>
      </c>
    </row>
    <row r="283">
      <c r="A283" t="inlineStr">
        <is>
          <t>No</t>
        </is>
      </c>
      <c r="B283" t="inlineStr">
        <is>
          <t>E175 .B74 1993</t>
        </is>
      </c>
      <c r="C283" t="inlineStr">
        <is>
          <t>0                      E  0175000B  74          1993</t>
        </is>
      </c>
      <c r="D283" t="inlineStr">
        <is>
          <t>American progressive history : an experiment in modernization / Ernst A. Breisach.</t>
        </is>
      </c>
      <c r="F283" t="inlineStr">
        <is>
          <t>No</t>
        </is>
      </c>
      <c r="G283" t="inlineStr">
        <is>
          <t>1</t>
        </is>
      </c>
      <c r="H283" t="inlineStr">
        <is>
          <t>No</t>
        </is>
      </c>
      <c r="I283" t="inlineStr">
        <is>
          <t>No</t>
        </is>
      </c>
      <c r="J283" t="inlineStr">
        <is>
          <t>0</t>
        </is>
      </c>
      <c r="K283" t="inlineStr">
        <is>
          <t>Breisach, Ernst.</t>
        </is>
      </c>
      <c r="L283" t="inlineStr">
        <is>
          <t>Chicago : University of Chicago Press, 1993.</t>
        </is>
      </c>
      <c r="M283" t="inlineStr">
        <is>
          <t>1993</t>
        </is>
      </c>
      <c r="O283" t="inlineStr">
        <is>
          <t>eng</t>
        </is>
      </c>
      <c r="P283" t="inlineStr">
        <is>
          <t>ilu</t>
        </is>
      </c>
      <c r="R283" t="inlineStr">
        <is>
          <t xml:space="preserve">E  </t>
        </is>
      </c>
      <c r="S283" t="n">
        <v>2</v>
      </c>
      <c r="T283" t="n">
        <v>2</v>
      </c>
      <c r="U283" t="inlineStr">
        <is>
          <t>1997-12-19</t>
        </is>
      </c>
      <c r="V283" t="inlineStr">
        <is>
          <t>1997-12-19</t>
        </is>
      </c>
      <c r="W283" t="inlineStr">
        <is>
          <t>1994-03-22</t>
        </is>
      </c>
      <c r="X283" t="inlineStr">
        <is>
          <t>1994-03-22</t>
        </is>
      </c>
      <c r="Y283" t="n">
        <v>568</v>
      </c>
      <c r="Z283" t="n">
        <v>490</v>
      </c>
      <c r="AA283" t="n">
        <v>494</v>
      </c>
      <c r="AB283" t="n">
        <v>4</v>
      </c>
      <c r="AC283" t="n">
        <v>4</v>
      </c>
      <c r="AD283" t="n">
        <v>27</v>
      </c>
      <c r="AE283" t="n">
        <v>27</v>
      </c>
      <c r="AF283" t="n">
        <v>10</v>
      </c>
      <c r="AG283" t="n">
        <v>10</v>
      </c>
      <c r="AH283" t="n">
        <v>6</v>
      </c>
      <c r="AI283" t="n">
        <v>6</v>
      </c>
      <c r="AJ283" t="n">
        <v>13</v>
      </c>
      <c r="AK283" t="n">
        <v>13</v>
      </c>
      <c r="AL283" t="n">
        <v>3</v>
      </c>
      <c r="AM283" t="n">
        <v>3</v>
      </c>
      <c r="AN283" t="n">
        <v>0</v>
      </c>
      <c r="AO283" t="n">
        <v>0</v>
      </c>
      <c r="AP283" t="inlineStr">
        <is>
          <t>No</t>
        </is>
      </c>
      <c r="AQ283" t="inlineStr">
        <is>
          <t>No</t>
        </is>
      </c>
      <c r="AS283">
        <f>HYPERLINK("https://creighton-primo.hosted.exlibrisgroup.com/primo-explore/search?tab=default_tab&amp;search_scope=EVERYTHING&amp;vid=01CRU&amp;lang=en_US&amp;offset=0&amp;query=any,contains,991002075199702656","Catalog Record")</f>
        <v/>
      </c>
      <c r="AT283">
        <f>HYPERLINK("http://www.worldcat.org/oclc/26590685","WorldCat Record")</f>
        <v/>
      </c>
      <c r="AU283" t="inlineStr">
        <is>
          <t>836784633:eng</t>
        </is>
      </c>
      <c r="AV283" t="inlineStr">
        <is>
          <t>26590685</t>
        </is>
      </c>
      <c r="AW283" t="inlineStr">
        <is>
          <t>991002075199702656</t>
        </is>
      </c>
      <c r="AX283" t="inlineStr">
        <is>
          <t>991002075199702656</t>
        </is>
      </c>
      <c r="AY283" t="inlineStr">
        <is>
          <t>2271778380002656</t>
        </is>
      </c>
      <c r="AZ283" t="inlineStr">
        <is>
          <t>BOOK</t>
        </is>
      </c>
      <c r="BB283" t="inlineStr">
        <is>
          <t>9780226072760</t>
        </is>
      </c>
      <c r="BC283" t="inlineStr">
        <is>
          <t>32285001857266</t>
        </is>
      </c>
      <c r="BD283" t="inlineStr">
        <is>
          <t>893779392</t>
        </is>
      </c>
    </row>
    <row r="284">
      <c r="A284" t="inlineStr">
        <is>
          <t>No</t>
        </is>
      </c>
      <c r="B284" t="inlineStr">
        <is>
          <t>E175 .H54 2004</t>
        </is>
      </c>
      <c r="C284" t="inlineStr">
        <is>
          <t>0                      E  0175000H  54          2004</t>
        </is>
      </c>
      <c r="D284" t="inlineStr">
        <is>
          <t>Past imperfect : facts, fictions, fraud- American history from Bancroft and Parkman to Ambrose, Bellesiles, Ellis, and Goodwin / Peter Charles Hoffer.</t>
        </is>
      </c>
      <c r="F284" t="inlineStr">
        <is>
          <t>No</t>
        </is>
      </c>
      <c r="G284" t="inlineStr">
        <is>
          <t>1</t>
        </is>
      </c>
      <c r="H284" t="inlineStr">
        <is>
          <t>No</t>
        </is>
      </c>
      <c r="I284" t="inlineStr">
        <is>
          <t>No</t>
        </is>
      </c>
      <c r="J284" t="inlineStr">
        <is>
          <t>0</t>
        </is>
      </c>
      <c r="K284" t="inlineStr">
        <is>
          <t>Hoffer, Peter Charles, 1944-</t>
        </is>
      </c>
      <c r="L284" t="inlineStr">
        <is>
          <t>New York : PublicAffairs, 2004.</t>
        </is>
      </c>
      <c r="M284" t="inlineStr">
        <is>
          <t>2004</t>
        </is>
      </c>
      <c r="N284" t="inlineStr">
        <is>
          <t>1st ed.</t>
        </is>
      </c>
      <c r="O284" t="inlineStr">
        <is>
          <t>eng</t>
        </is>
      </c>
      <c r="P284" t="inlineStr">
        <is>
          <t>nyu</t>
        </is>
      </c>
      <c r="R284" t="inlineStr">
        <is>
          <t xml:space="preserve">E  </t>
        </is>
      </c>
      <c r="S284" t="n">
        <v>2</v>
      </c>
      <c r="T284" t="n">
        <v>2</v>
      </c>
      <c r="U284" t="inlineStr">
        <is>
          <t>2005-11-16</t>
        </is>
      </c>
      <c r="V284" t="inlineStr">
        <is>
          <t>2005-11-16</t>
        </is>
      </c>
      <c r="W284" t="inlineStr">
        <is>
          <t>2005-10-18</t>
        </is>
      </c>
      <c r="X284" t="inlineStr">
        <is>
          <t>2005-10-18</t>
        </is>
      </c>
      <c r="Y284" t="n">
        <v>944</v>
      </c>
      <c r="Z284" t="n">
        <v>890</v>
      </c>
      <c r="AA284" t="n">
        <v>1016</v>
      </c>
      <c r="AB284" t="n">
        <v>8</v>
      </c>
      <c r="AC284" t="n">
        <v>9</v>
      </c>
      <c r="AD284" t="n">
        <v>39</v>
      </c>
      <c r="AE284" t="n">
        <v>44</v>
      </c>
      <c r="AF284" t="n">
        <v>18</v>
      </c>
      <c r="AG284" t="n">
        <v>20</v>
      </c>
      <c r="AH284" t="n">
        <v>8</v>
      </c>
      <c r="AI284" t="n">
        <v>9</v>
      </c>
      <c r="AJ284" t="n">
        <v>16</v>
      </c>
      <c r="AK284" t="n">
        <v>17</v>
      </c>
      <c r="AL284" t="n">
        <v>7</v>
      </c>
      <c r="AM284" t="n">
        <v>8</v>
      </c>
      <c r="AN284" t="n">
        <v>0</v>
      </c>
      <c r="AO284" t="n">
        <v>0</v>
      </c>
      <c r="AP284" t="inlineStr">
        <is>
          <t>No</t>
        </is>
      </c>
      <c r="AQ284" t="inlineStr">
        <is>
          <t>Yes</t>
        </is>
      </c>
      <c r="AR284">
        <f>HYPERLINK("http://catalog.hathitrust.org/Record/004768952","HathiTrust Record")</f>
        <v/>
      </c>
      <c r="AS284">
        <f>HYPERLINK("https://creighton-primo.hosted.exlibrisgroup.com/primo-explore/search?tab=default_tab&amp;search_scope=EVERYTHING&amp;vid=01CRU&amp;lang=en_US&amp;offset=0&amp;query=any,contains,991004653209702656","Catalog Record")</f>
        <v/>
      </c>
      <c r="AT284">
        <f>HYPERLINK("http://www.worldcat.org/oclc/55682098","WorldCat Record")</f>
        <v/>
      </c>
      <c r="AU284" t="inlineStr">
        <is>
          <t>197284296:eng</t>
        </is>
      </c>
      <c r="AV284" t="inlineStr">
        <is>
          <t>55682098</t>
        </is>
      </c>
      <c r="AW284" t="inlineStr">
        <is>
          <t>991004653209702656</t>
        </is>
      </c>
      <c r="AX284" t="inlineStr">
        <is>
          <t>991004653209702656</t>
        </is>
      </c>
      <c r="AY284" t="inlineStr">
        <is>
          <t>2271497140002656</t>
        </is>
      </c>
      <c r="AZ284" t="inlineStr">
        <is>
          <t>BOOK</t>
        </is>
      </c>
      <c r="BB284" t="inlineStr">
        <is>
          <t>9781586482442</t>
        </is>
      </c>
      <c r="BC284" t="inlineStr">
        <is>
          <t>32285005140396</t>
        </is>
      </c>
      <c r="BD284" t="inlineStr">
        <is>
          <t>893600083</t>
        </is>
      </c>
    </row>
    <row r="285">
      <c r="A285" t="inlineStr">
        <is>
          <t>No</t>
        </is>
      </c>
      <c r="B285" t="inlineStr">
        <is>
          <t>E175 .H65 1962</t>
        </is>
      </c>
      <c r="C285" t="inlineStr">
        <is>
          <t>0                      E  0175000H  65          1962</t>
        </is>
      </c>
      <c r="D285" t="inlineStr">
        <is>
          <t>The reconstruction of American history / edited by John Higham.</t>
        </is>
      </c>
      <c r="F285" t="inlineStr">
        <is>
          <t>No</t>
        </is>
      </c>
      <c r="G285" t="inlineStr">
        <is>
          <t>1</t>
        </is>
      </c>
      <c r="H285" t="inlineStr">
        <is>
          <t>No</t>
        </is>
      </c>
      <c r="I285" t="inlineStr">
        <is>
          <t>No</t>
        </is>
      </c>
      <c r="J285" t="inlineStr">
        <is>
          <t>0</t>
        </is>
      </c>
      <c r="L285" t="inlineStr">
        <is>
          <t>New York : Harper, [1962]</t>
        </is>
      </c>
      <c r="M285" t="inlineStr">
        <is>
          <t>1962</t>
        </is>
      </c>
      <c r="O285" t="inlineStr">
        <is>
          <t>eng</t>
        </is>
      </c>
      <c r="P285" t="inlineStr">
        <is>
          <t>nyu</t>
        </is>
      </c>
      <c r="Q285" t="inlineStr">
        <is>
          <t>Harper torchbooks. The Academy library, TB1068</t>
        </is>
      </c>
      <c r="R285" t="inlineStr">
        <is>
          <t xml:space="preserve">E  </t>
        </is>
      </c>
      <c r="S285" t="n">
        <v>1</v>
      </c>
      <c r="T285" t="n">
        <v>1</v>
      </c>
      <c r="U285" t="inlineStr">
        <is>
          <t>2001-07-25</t>
        </is>
      </c>
      <c r="V285" t="inlineStr">
        <is>
          <t>2001-07-25</t>
        </is>
      </c>
      <c r="W285" t="inlineStr">
        <is>
          <t>2001-07-24</t>
        </is>
      </c>
      <c r="X285" t="inlineStr">
        <is>
          <t>2001-07-24</t>
        </is>
      </c>
      <c r="Y285" t="n">
        <v>545</v>
      </c>
      <c r="Z285" t="n">
        <v>474</v>
      </c>
      <c r="AA285" t="n">
        <v>1023</v>
      </c>
      <c r="AB285" t="n">
        <v>3</v>
      </c>
      <c r="AC285" t="n">
        <v>7</v>
      </c>
      <c r="AD285" t="n">
        <v>14</v>
      </c>
      <c r="AE285" t="n">
        <v>40</v>
      </c>
      <c r="AF285" t="n">
        <v>3</v>
      </c>
      <c r="AG285" t="n">
        <v>16</v>
      </c>
      <c r="AH285" t="n">
        <v>6</v>
      </c>
      <c r="AI285" t="n">
        <v>9</v>
      </c>
      <c r="AJ285" t="n">
        <v>9</v>
      </c>
      <c r="AK285" t="n">
        <v>21</v>
      </c>
      <c r="AL285" t="n">
        <v>2</v>
      </c>
      <c r="AM285" t="n">
        <v>6</v>
      </c>
      <c r="AN285" t="n">
        <v>0</v>
      </c>
      <c r="AO285" t="n">
        <v>0</v>
      </c>
      <c r="AP285" t="inlineStr">
        <is>
          <t>No</t>
        </is>
      </c>
      <c r="AQ285" t="inlineStr">
        <is>
          <t>No</t>
        </is>
      </c>
      <c r="AS285">
        <f>HYPERLINK("https://creighton-primo.hosted.exlibrisgroup.com/primo-explore/search?tab=default_tab&amp;search_scope=EVERYTHING&amp;vid=01CRU&amp;lang=en_US&amp;offset=0&amp;query=any,contains,991003590599702656","Catalog Record")</f>
        <v/>
      </c>
      <c r="AT285">
        <f>HYPERLINK("http://www.worldcat.org/oclc/234613","WorldCat Record")</f>
        <v/>
      </c>
      <c r="AU285" t="inlineStr">
        <is>
          <t>189833250:eng</t>
        </is>
      </c>
      <c r="AV285" t="inlineStr">
        <is>
          <t>234613</t>
        </is>
      </c>
      <c r="AW285" t="inlineStr">
        <is>
          <t>991003590599702656</t>
        </is>
      </c>
      <c r="AX285" t="inlineStr">
        <is>
          <t>991003590599702656</t>
        </is>
      </c>
      <c r="AY285" t="inlineStr">
        <is>
          <t>2257512850002656</t>
        </is>
      </c>
      <c r="AZ285" t="inlineStr">
        <is>
          <t>BOOK</t>
        </is>
      </c>
      <c r="BC285" t="inlineStr">
        <is>
          <t>32285004334743</t>
        </is>
      </c>
      <c r="BD285" t="inlineStr">
        <is>
          <t>893318150</t>
        </is>
      </c>
    </row>
    <row r="286">
      <c r="A286" t="inlineStr">
        <is>
          <t>No</t>
        </is>
      </c>
      <c r="B286" t="inlineStr">
        <is>
          <t>E175 .M45 1994</t>
        </is>
      </c>
      <c r="C286" t="inlineStr">
        <is>
          <t>0                      E  0175000M  45          1994</t>
        </is>
      </c>
      <c r="D286" t="inlineStr">
        <is>
          <t>Nonfiction for the classroom : Milton Meltzer on writing, history, and social responsibility / edited and with an introduction by E. Wendy Saul.</t>
        </is>
      </c>
      <c r="F286" t="inlineStr">
        <is>
          <t>No</t>
        </is>
      </c>
      <c r="G286" t="inlineStr">
        <is>
          <t>1</t>
        </is>
      </c>
      <c r="H286" t="inlineStr">
        <is>
          <t>No</t>
        </is>
      </c>
      <c r="I286" t="inlineStr">
        <is>
          <t>No</t>
        </is>
      </c>
      <c r="J286" t="inlineStr">
        <is>
          <t>0</t>
        </is>
      </c>
      <c r="K286" t="inlineStr">
        <is>
          <t>Meltzer, Milton, 1915-2009.</t>
        </is>
      </c>
      <c r="L286" t="inlineStr">
        <is>
          <t>New York : Teachers College Press, c1994.</t>
        </is>
      </c>
      <c r="M286" t="inlineStr">
        <is>
          <t>1994</t>
        </is>
      </c>
      <c r="O286" t="inlineStr">
        <is>
          <t>eng</t>
        </is>
      </c>
      <c r="P286" t="inlineStr">
        <is>
          <t>nyu</t>
        </is>
      </c>
      <c r="Q286" t="inlineStr">
        <is>
          <t>Language and literacy series</t>
        </is>
      </c>
      <c r="R286" t="inlineStr">
        <is>
          <t xml:space="preserve">E  </t>
        </is>
      </c>
      <c r="S286" t="n">
        <v>1</v>
      </c>
      <c r="T286" t="n">
        <v>1</v>
      </c>
      <c r="U286" t="inlineStr">
        <is>
          <t>2003-12-08</t>
        </is>
      </c>
      <c r="V286" t="inlineStr">
        <is>
          <t>2003-12-08</t>
        </is>
      </c>
      <c r="W286" t="inlineStr">
        <is>
          <t>1995-04-05</t>
        </is>
      </c>
      <c r="X286" t="inlineStr">
        <is>
          <t>1995-04-05</t>
        </is>
      </c>
      <c r="Y286" t="n">
        <v>482</v>
      </c>
      <c r="Z286" t="n">
        <v>440</v>
      </c>
      <c r="AA286" t="n">
        <v>446</v>
      </c>
      <c r="AB286" t="n">
        <v>4</v>
      </c>
      <c r="AC286" t="n">
        <v>4</v>
      </c>
      <c r="AD286" t="n">
        <v>18</v>
      </c>
      <c r="AE286" t="n">
        <v>18</v>
      </c>
      <c r="AF286" t="n">
        <v>5</v>
      </c>
      <c r="AG286" t="n">
        <v>5</v>
      </c>
      <c r="AH286" t="n">
        <v>5</v>
      </c>
      <c r="AI286" t="n">
        <v>5</v>
      </c>
      <c r="AJ286" t="n">
        <v>11</v>
      </c>
      <c r="AK286" t="n">
        <v>11</v>
      </c>
      <c r="AL286" t="n">
        <v>3</v>
      </c>
      <c r="AM286" t="n">
        <v>3</v>
      </c>
      <c r="AN286" t="n">
        <v>0</v>
      </c>
      <c r="AO286" t="n">
        <v>0</v>
      </c>
      <c r="AP286" t="inlineStr">
        <is>
          <t>No</t>
        </is>
      </c>
      <c r="AQ286" t="inlineStr">
        <is>
          <t>No</t>
        </is>
      </c>
      <c r="AS286">
        <f>HYPERLINK("https://creighton-primo.hosted.exlibrisgroup.com/primo-explore/search?tab=default_tab&amp;search_scope=EVERYTHING&amp;vid=01CRU&amp;lang=en_US&amp;offset=0&amp;query=any,contains,991002360589702656","Catalog Record")</f>
        <v/>
      </c>
      <c r="AT286">
        <f>HYPERLINK("http://www.worldcat.org/oclc/30701207","WorldCat Record")</f>
        <v/>
      </c>
      <c r="AU286" t="inlineStr">
        <is>
          <t>2452581923:eng</t>
        </is>
      </c>
      <c r="AV286" t="inlineStr">
        <is>
          <t>30701207</t>
        </is>
      </c>
      <c r="AW286" t="inlineStr">
        <is>
          <t>991002360589702656</t>
        </is>
      </c>
      <c r="AX286" t="inlineStr">
        <is>
          <t>991002360589702656</t>
        </is>
      </c>
      <c r="AY286" t="inlineStr">
        <is>
          <t>2264030160002656</t>
        </is>
      </c>
      <c r="AZ286" t="inlineStr">
        <is>
          <t>BOOK</t>
        </is>
      </c>
      <c r="BB286" t="inlineStr">
        <is>
          <t>9780807733776</t>
        </is>
      </c>
      <c r="BC286" t="inlineStr">
        <is>
          <t>32285002016839</t>
        </is>
      </c>
      <c r="BD286" t="inlineStr">
        <is>
          <t>893251123</t>
        </is>
      </c>
    </row>
    <row r="287">
      <c r="A287" t="inlineStr">
        <is>
          <t>No</t>
        </is>
      </c>
      <c r="B287" t="inlineStr">
        <is>
          <t>E175 .N63 1985</t>
        </is>
      </c>
      <c r="C287" t="inlineStr">
        <is>
          <t>0                      E  0175000N  63          1985</t>
        </is>
      </c>
      <c r="D287" t="inlineStr">
        <is>
          <t>The end of American history : democracy, capitalism, and the metaphor of two worlds in Anglo-American historical writing, 1880-1980 / David W. Noble.</t>
        </is>
      </c>
      <c r="F287" t="inlineStr">
        <is>
          <t>No</t>
        </is>
      </c>
      <c r="G287" t="inlineStr">
        <is>
          <t>1</t>
        </is>
      </c>
      <c r="H287" t="inlineStr">
        <is>
          <t>No</t>
        </is>
      </c>
      <c r="I287" t="inlineStr">
        <is>
          <t>No</t>
        </is>
      </c>
      <c r="J287" t="inlineStr">
        <is>
          <t>0</t>
        </is>
      </c>
      <c r="K287" t="inlineStr">
        <is>
          <t>Noble, David W.</t>
        </is>
      </c>
      <c r="L287" t="inlineStr">
        <is>
          <t>Minneapolis : University of Minnesota Press, c1985.</t>
        </is>
      </c>
      <c r="M287" t="inlineStr">
        <is>
          <t>1986</t>
        </is>
      </c>
      <c r="O287" t="inlineStr">
        <is>
          <t>eng</t>
        </is>
      </c>
      <c r="P287" t="inlineStr">
        <is>
          <t>mnu</t>
        </is>
      </c>
      <c r="R287" t="inlineStr">
        <is>
          <t xml:space="preserve">E  </t>
        </is>
      </c>
      <c r="S287" t="n">
        <v>2</v>
      </c>
      <c r="T287" t="n">
        <v>2</v>
      </c>
      <c r="U287" t="inlineStr">
        <is>
          <t>1997-10-16</t>
        </is>
      </c>
      <c r="V287" t="inlineStr">
        <is>
          <t>1997-10-16</t>
        </is>
      </c>
      <c r="W287" t="inlineStr">
        <is>
          <t>1991-01-08</t>
        </is>
      </c>
      <c r="X287" t="inlineStr">
        <is>
          <t>1991-01-08</t>
        </is>
      </c>
      <c r="Y287" t="n">
        <v>637</v>
      </c>
      <c r="Z287" t="n">
        <v>554</v>
      </c>
      <c r="AA287" t="n">
        <v>733</v>
      </c>
      <c r="AB287" t="n">
        <v>6</v>
      </c>
      <c r="AC287" t="n">
        <v>6</v>
      </c>
      <c r="AD287" t="n">
        <v>27</v>
      </c>
      <c r="AE287" t="n">
        <v>34</v>
      </c>
      <c r="AF287" t="n">
        <v>9</v>
      </c>
      <c r="AG287" t="n">
        <v>14</v>
      </c>
      <c r="AH287" t="n">
        <v>6</v>
      </c>
      <c r="AI287" t="n">
        <v>9</v>
      </c>
      <c r="AJ287" t="n">
        <v>16</v>
      </c>
      <c r="AK287" t="n">
        <v>17</v>
      </c>
      <c r="AL287" t="n">
        <v>4</v>
      </c>
      <c r="AM287" t="n">
        <v>4</v>
      </c>
      <c r="AN287" t="n">
        <v>0</v>
      </c>
      <c r="AO287" t="n">
        <v>0</v>
      </c>
      <c r="AP287" t="inlineStr">
        <is>
          <t>No</t>
        </is>
      </c>
      <c r="AQ287" t="inlineStr">
        <is>
          <t>No</t>
        </is>
      </c>
      <c r="AS287">
        <f>HYPERLINK("https://creighton-primo.hosted.exlibrisgroup.com/primo-explore/search?tab=default_tab&amp;search_scope=EVERYTHING&amp;vid=01CRU&amp;lang=en_US&amp;offset=0&amp;query=any,contains,991000588809702656","Catalog Record")</f>
        <v/>
      </c>
      <c r="AT287">
        <f>HYPERLINK("http://www.worldcat.org/oclc/11783412","WorldCat Record")</f>
        <v/>
      </c>
      <c r="AU287" t="inlineStr">
        <is>
          <t>4603676:eng</t>
        </is>
      </c>
      <c r="AV287" t="inlineStr">
        <is>
          <t>11783412</t>
        </is>
      </c>
      <c r="AW287" t="inlineStr">
        <is>
          <t>991000588809702656</t>
        </is>
      </c>
      <c r="AX287" t="inlineStr">
        <is>
          <t>991000588809702656</t>
        </is>
      </c>
      <c r="AY287" t="inlineStr">
        <is>
          <t>2255418610002656</t>
        </is>
      </c>
      <c r="AZ287" t="inlineStr">
        <is>
          <t>BOOK</t>
        </is>
      </c>
      <c r="BB287" t="inlineStr">
        <is>
          <t>9780816614165</t>
        </is>
      </c>
      <c r="BC287" t="inlineStr">
        <is>
          <t>32285000424456</t>
        </is>
      </c>
      <c r="BD287" t="inlineStr">
        <is>
          <t>893608076</t>
        </is>
      </c>
    </row>
    <row r="288">
      <c r="A288" t="inlineStr">
        <is>
          <t>No</t>
        </is>
      </c>
      <c r="B288" t="inlineStr">
        <is>
          <t>E175 .W47 1980</t>
        </is>
      </c>
      <c r="C288" t="inlineStr">
        <is>
          <t>0                      E  0175000W  47          1980</t>
        </is>
      </c>
      <c r="D288" t="inlineStr">
        <is>
          <t>American historical explanations : a strategy for grounded inquiry / Gene Wise.</t>
        </is>
      </c>
      <c r="F288" t="inlineStr">
        <is>
          <t>No</t>
        </is>
      </c>
      <c r="G288" t="inlineStr">
        <is>
          <t>1</t>
        </is>
      </c>
      <c r="H288" t="inlineStr">
        <is>
          <t>No</t>
        </is>
      </c>
      <c r="I288" t="inlineStr">
        <is>
          <t>No</t>
        </is>
      </c>
      <c r="J288" t="inlineStr">
        <is>
          <t>0</t>
        </is>
      </c>
      <c r="K288" t="inlineStr">
        <is>
          <t>Wise, Gene.</t>
        </is>
      </c>
      <c r="L288" t="inlineStr">
        <is>
          <t>Minneapolis : University of Minnesota, c1980.</t>
        </is>
      </c>
      <c r="M288" t="inlineStr">
        <is>
          <t>1980</t>
        </is>
      </c>
      <c r="N288" t="inlineStr">
        <is>
          <t>2d ed., rev.</t>
        </is>
      </c>
      <c r="O288" t="inlineStr">
        <is>
          <t>eng</t>
        </is>
      </c>
      <c r="P288" t="inlineStr">
        <is>
          <t>mnu</t>
        </is>
      </c>
      <c r="R288" t="inlineStr">
        <is>
          <t xml:space="preserve">E  </t>
        </is>
      </c>
      <c r="S288" t="n">
        <v>2</v>
      </c>
      <c r="T288" t="n">
        <v>2</v>
      </c>
      <c r="U288" t="inlineStr">
        <is>
          <t>1997-10-16</t>
        </is>
      </c>
      <c r="V288" t="inlineStr">
        <is>
          <t>1997-10-16</t>
        </is>
      </c>
      <c r="W288" t="inlineStr">
        <is>
          <t>1991-01-08</t>
        </is>
      </c>
      <c r="X288" t="inlineStr">
        <is>
          <t>1991-01-08</t>
        </is>
      </c>
      <c r="Y288" t="n">
        <v>524</v>
      </c>
      <c r="Z288" t="n">
        <v>480</v>
      </c>
      <c r="AA288" t="n">
        <v>1033</v>
      </c>
      <c r="AB288" t="n">
        <v>6</v>
      </c>
      <c r="AC288" t="n">
        <v>9</v>
      </c>
      <c r="AD288" t="n">
        <v>23</v>
      </c>
      <c r="AE288" t="n">
        <v>45</v>
      </c>
      <c r="AF288" t="n">
        <v>8</v>
      </c>
      <c r="AG288" t="n">
        <v>19</v>
      </c>
      <c r="AH288" t="n">
        <v>9</v>
      </c>
      <c r="AI288" t="n">
        <v>10</v>
      </c>
      <c r="AJ288" t="n">
        <v>10</v>
      </c>
      <c r="AK288" t="n">
        <v>18</v>
      </c>
      <c r="AL288" t="n">
        <v>4</v>
      </c>
      <c r="AM288" t="n">
        <v>7</v>
      </c>
      <c r="AN288" t="n">
        <v>0</v>
      </c>
      <c r="AO288" t="n">
        <v>1</v>
      </c>
      <c r="AP288" t="inlineStr">
        <is>
          <t>No</t>
        </is>
      </c>
      <c r="AQ288" t="inlineStr">
        <is>
          <t>No</t>
        </is>
      </c>
      <c r="AS288">
        <f>HYPERLINK("https://creighton-primo.hosted.exlibrisgroup.com/primo-explore/search?tab=default_tab&amp;search_scope=EVERYTHING&amp;vid=01CRU&amp;lang=en_US&amp;offset=0&amp;query=any,contains,991004981619702656","Catalog Record")</f>
        <v/>
      </c>
      <c r="AT288">
        <f>HYPERLINK("http://www.worldcat.org/oclc/6422938","WorldCat Record")</f>
        <v/>
      </c>
      <c r="AU288" t="inlineStr">
        <is>
          <t>794203183:eng</t>
        </is>
      </c>
      <c r="AV288" t="inlineStr">
        <is>
          <t>6422938</t>
        </is>
      </c>
      <c r="AW288" t="inlineStr">
        <is>
          <t>991004981619702656</t>
        </is>
      </c>
      <c r="AX288" t="inlineStr">
        <is>
          <t>991004981619702656</t>
        </is>
      </c>
      <c r="AY288" t="inlineStr">
        <is>
          <t>2269143440002656</t>
        </is>
      </c>
      <c r="AZ288" t="inlineStr">
        <is>
          <t>BOOK</t>
        </is>
      </c>
      <c r="BB288" t="inlineStr">
        <is>
          <t>9780816609543</t>
        </is>
      </c>
      <c r="BC288" t="inlineStr">
        <is>
          <t>32285000424480</t>
        </is>
      </c>
      <c r="BD288" t="inlineStr">
        <is>
          <t>893810775</t>
        </is>
      </c>
    </row>
    <row r="289">
      <c r="A289" t="inlineStr">
        <is>
          <t>No</t>
        </is>
      </c>
      <c r="B289" t="inlineStr">
        <is>
          <t>E175.45 .C8</t>
        </is>
      </c>
      <c r="C289" t="inlineStr">
        <is>
          <t>0                      E  0175450C  8</t>
        </is>
      </c>
      <c r="D289" t="inlineStr">
        <is>
          <t>Pastmasters : some essays on American historians / edited by Marcus Cunliffe and Robin W. Winks.</t>
        </is>
      </c>
      <c r="F289" t="inlineStr">
        <is>
          <t>No</t>
        </is>
      </c>
      <c r="G289" t="inlineStr">
        <is>
          <t>1</t>
        </is>
      </c>
      <c r="H289" t="inlineStr">
        <is>
          <t>No</t>
        </is>
      </c>
      <c r="I289" t="inlineStr">
        <is>
          <t>No</t>
        </is>
      </c>
      <c r="J289" t="inlineStr">
        <is>
          <t>0</t>
        </is>
      </c>
      <c r="K289" t="inlineStr">
        <is>
          <t>Cunliffe, Marcus, 1922-1990.</t>
        </is>
      </c>
      <c r="L289" t="inlineStr">
        <is>
          <t>New York : Harper &amp; Row, [1969]</t>
        </is>
      </c>
      <c r="M289" t="inlineStr">
        <is>
          <t>1969</t>
        </is>
      </c>
      <c r="N289" t="inlineStr">
        <is>
          <t>[1st ed.]</t>
        </is>
      </c>
      <c r="O289" t="inlineStr">
        <is>
          <t>eng</t>
        </is>
      </c>
      <c r="P289" t="inlineStr">
        <is>
          <t>nyu</t>
        </is>
      </c>
      <c r="R289" t="inlineStr">
        <is>
          <t xml:space="preserve">E  </t>
        </is>
      </c>
      <c r="S289" t="n">
        <v>1</v>
      </c>
      <c r="T289" t="n">
        <v>1</v>
      </c>
      <c r="U289" t="inlineStr">
        <is>
          <t>1994-10-05</t>
        </is>
      </c>
      <c r="V289" t="inlineStr">
        <is>
          <t>1994-10-05</t>
        </is>
      </c>
      <c r="W289" t="inlineStr">
        <is>
          <t>1992-02-03</t>
        </is>
      </c>
      <c r="X289" t="inlineStr">
        <is>
          <t>1992-02-03</t>
        </is>
      </c>
      <c r="Y289" t="n">
        <v>1058</v>
      </c>
      <c r="Z289" t="n">
        <v>951</v>
      </c>
      <c r="AA289" t="n">
        <v>1014</v>
      </c>
      <c r="AB289" t="n">
        <v>9</v>
      </c>
      <c r="AC289" t="n">
        <v>9</v>
      </c>
      <c r="AD289" t="n">
        <v>49</v>
      </c>
      <c r="AE289" t="n">
        <v>49</v>
      </c>
      <c r="AF289" t="n">
        <v>20</v>
      </c>
      <c r="AG289" t="n">
        <v>20</v>
      </c>
      <c r="AH289" t="n">
        <v>11</v>
      </c>
      <c r="AI289" t="n">
        <v>11</v>
      </c>
      <c r="AJ289" t="n">
        <v>22</v>
      </c>
      <c r="AK289" t="n">
        <v>22</v>
      </c>
      <c r="AL289" t="n">
        <v>8</v>
      </c>
      <c r="AM289" t="n">
        <v>8</v>
      </c>
      <c r="AN289" t="n">
        <v>0</v>
      </c>
      <c r="AO289" t="n">
        <v>0</v>
      </c>
      <c r="AP289" t="inlineStr">
        <is>
          <t>No</t>
        </is>
      </c>
      <c r="AQ289" t="inlineStr">
        <is>
          <t>Yes</t>
        </is>
      </c>
      <c r="AR289">
        <f>HYPERLINK("http://catalog.hathitrust.org/Record/000333094","HathiTrust Record")</f>
        <v/>
      </c>
      <c r="AS289">
        <f>HYPERLINK("https://creighton-primo.hosted.exlibrisgroup.com/primo-explore/search?tab=default_tab&amp;search_scope=EVERYTHING&amp;vid=01CRU&amp;lang=en_US&amp;offset=0&amp;query=any,contains,991000082939702656","Catalog Record")</f>
        <v/>
      </c>
      <c r="AT289">
        <f>HYPERLINK("http://www.worldcat.org/oclc/32434","WorldCat Record")</f>
        <v/>
      </c>
      <c r="AU289" t="inlineStr">
        <is>
          <t>1186132:eng</t>
        </is>
      </c>
      <c r="AV289" t="inlineStr">
        <is>
          <t>32434</t>
        </is>
      </c>
      <c r="AW289" t="inlineStr">
        <is>
          <t>991000082939702656</t>
        </is>
      </c>
      <c r="AX289" t="inlineStr">
        <is>
          <t>991000082939702656</t>
        </is>
      </c>
      <c r="AY289" t="inlineStr">
        <is>
          <t>2258359680002656</t>
        </is>
      </c>
      <c r="AZ289" t="inlineStr">
        <is>
          <t>BOOK</t>
        </is>
      </c>
      <c r="BC289" t="inlineStr">
        <is>
          <t>32285000933076</t>
        </is>
      </c>
      <c r="BD289" t="inlineStr">
        <is>
          <t>893613876</t>
        </is>
      </c>
    </row>
    <row r="290">
      <c r="A290" t="inlineStr">
        <is>
          <t>No</t>
        </is>
      </c>
      <c r="B290" t="inlineStr">
        <is>
          <t>E175.45 .H6</t>
        </is>
      </c>
      <c r="C290" t="inlineStr">
        <is>
          <t>0                      E  0175450H  6</t>
        </is>
      </c>
      <c r="D290" t="inlineStr">
        <is>
          <t>The progressive historians : Turner, Beard, Parrington.</t>
        </is>
      </c>
      <c r="F290" t="inlineStr">
        <is>
          <t>No</t>
        </is>
      </c>
      <c r="G290" t="inlineStr">
        <is>
          <t>1</t>
        </is>
      </c>
      <c r="H290" t="inlineStr">
        <is>
          <t>No</t>
        </is>
      </c>
      <c r="I290" t="inlineStr">
        <is>
          <t>No</t>
        </is>
      </c>
      <c r="J290" t="inlineStr">
        <is>
          <t>0</t>
        </is>
      </c>
      <c r="K290" t="inlineStr">
        <is>
          <t>Hofstadter, Richard, 1916-1970.</t>
        </is>
      </c>
      <c r="L290" t="inlineStr">
        <is>
          <t>New York : Knopf, 1968.</t>
        </is>
      </c>
      <c r="M290" t="inlineStr">
        <is>
          <t>1968</t>
        </is>
      </c>
      <c r="N290" t="inlineStr">
        <is>
          <t>[1st ed.]</t>
        </is>
      </c>
      <c r="O290" t="inlineStr">
        <is>
          <t>eng</t>
        </is>
      </c>
      <c r="P290" t="inlineStr">
        <is>
          <t>nyu</t>
        </is>
      </c>
      <c r="R290" t="inlineStr">
        <is>
          <t xml:space="preserve">E  </t>
        </is>
      </c>
      <c r="S290" t="n">
        <v>12</v>
      </c>
      <c r="T290" t="n">
        <v>12</v>
      </c>
      <c r="U290" t="inlineStr">
        <is>
          <t>2003-10-29</t>
        </is>
      </c>
      <c r="V290" t="inlineStr">
        <is>
          <t>2003-10-29</t>
        </is>
      </c>
      <c r="W290" t="inlineStr">
        <is>
          <t>1992-02-03</t>
        </is>
      </c>
      <c r="X290" t="inlineStr">
        <is>
          <t>1992-02-03</t>
        </is>
      </c>
      <c r="Y290" t="n">
        <v>1436</v>
      </c>
      <c r="Z290" t="n">
        <v>1303</v>
      </c>
      <c r="AA290" t="n">
        <v>1471</v>
      </c>
      <c r="AB290" t="n">
        <v>10</v>
      </c>
      <c r="AC290" t="n">
        <v>11</v>
      </c>
      <c r="AD290" t="n">
        <v>55</v>
      </c>
      <c r="AE290" t="n">
        <v>59</v>
      </c>
      <c r="AF290" t="n">
        <v>23</v>
      </c>
      <c r="AG290" t="n">
        <v>24</v>
      </c>
      <c r="AH290" t="n">
        <v>9</v>
      </c>
      <c r="AI290" t="n">
        <v>11</v>
      </c>
      <c r="AJ290" t="n">
        <v>25</v>
      </c>
      <c r="AK290" t="n">
        <v>27</v>
      </c>
      <c r="AL290" t="n">
        <v>9</v>
      </c>
      <c r="AM290" t="n">
        <v>10</v>
      </c>
      <c r="AN290" t="n">
        <v>1</v>
      </c>
      <c r="AO290" t="n">
        <v>1</v>
      </c>
      <c r="AP290" t="inlineStr">
        <is>
          <t>No</t>
        </is>
      </c>
      <c r="AQ290" t="inlineStr">
        <is>
          <t>Yes</t>
        </is>
      </c>
      <c r="AR290">
        <f>HYPERLINK("http://catalog.hathitrust.org/Record/000333122","HathiTrust Record")</f>
        <v/>
      </c>
      <c r="AS290">
        <f>HYPERLINK("https://creighton-primo.hosted.exlibrisgroup.com/primo-explore/search?tab=default_tab&amp;search_scope=EVERYTHING&amp;vid=01CRU&amp;lang=en_US&amp;offset=0&amp;query=any,contains,991002740899702656","Catalog Record")</f>
        <v/>
      </c>
      <c r="AT290">
        <f>HYPERLINK("http://www.worldcat.org/oclc/421055","WorldCat Record")</f>
        <v/>
      </c>
      <c r="AU290" t="inlineStr">
        <is>
          <t>8683596:eng</t>
        </is>
      </c>
      <c r="AV290" t="inlineStr">
        <is>
          <t>421055</t>
        </is>
      </c>
      <c r="AW290" t="inlineStr">
        <is>
          <t>991002740899702656</t>
        </is>
      </c>
      <c r="AX290" t="inlineStr">
        <is>
          <t>991002740899702656</t>
        </is>
      </c>
      <c r="AY290" t="inlineStr">
        <is>
          <t>2270549830002656</t>
        </is>
      </c>
      <c r="AZ290" t="inlineStr">
        <is>
          <t>BOOK</t>
        </is>
      </c>
      <c r="BC290" t="inlineStr">
        <is>
          <t>32285000933068</t>
        </is>
      </c>
      <c r="BD290" t="inlineStr">
        <is>
          <t>893245573</t>
        </is>
      </c>
    </row>
    <row r="291">
      <c r="A291" t="inlineStr">
        <is>
          <t>No</t>
        </is>
      </c>
      <c r="B291" t="inlineStr">
        <is>
          <t>E175.45 .J3 1965</t>
        </is>
      </c>
      <c r="C291" t="inlineStr">
        <is>
          <t>0                      E  0175450J  3           1965</t>
        </is>
      </c>
      <c r="D291" t="inlineStr">
        <is>
          <t>Turner, Bolton, and Webb : three historians of the American frontier / Wilbur R. Jacobs, John W. Caughey, and Joe B. Frantz.</t>
        </is>
      </c>
      <c r="F291" t="inlineStr">
        <is>
          <t>No</t>
        </is>
      </c>
      <c r="G291" t="inlineStr">
        <is>
          <t>1</t>
        </is>
      </c>
      <c r="H291" t="inlineStr">
        <is>
          <t>No</t>
        </is>
      </c>
      <c r="I291" t="inlineStr">
        <is>
          <t>No</t>
        </is>
      </c>
      <c r="J291" t="inlineStr">
        <is>
          <t>0</t>
        </is>
      </c>
      <c r="K291" t="inlineStr">
        <is>
          <t>Jacobs, Wilbur R.</t>
        </is>
      </c>
      <c r="L291" t="inlineStr">
        <is>
          <t>Seattle : University of Washington Press, [1965]</t>
        </is>
      </c>
      <c r="M291" t="inlineStr">
        <is>
          <t>1965</t>
        </is>
      </c>
      <c r="O291" t="inlineStr">
        <is>
          <t>eng</t>
        </is>
      </c>
      <c r="P291" t="inlineStr">
        <is>
          <t>wau</t>
        </is>
      </c>
      <c r="R291" t="inlineStr">
        <is>
          <t xml:space="preserve">E  </t>
        </is>
      </c>
      <c r="S291" t="n">
        <v>11</v>
      </c>
      <c r="T291" t="n">
        <v>11</v>
      </c>
      <c r="U291" t="inlineStr">
        <is>
          <t>2004-09-21</t>
        </is>
      </c>
      <c r="V291" t="inlineStr">
        <is>
          <t>2004-09-21</t>
        </is>
      </c>
      <c r="W291" t="inlineStr">
        <is>
          <t>1991-01-08</t>
        </is>
      </c>
      <c r="X291" t="inlineStr">
        <is>
          <t>1991-01-08</t>
        </is>
      </c>
      <c r="Y291" t="n">
        <v>616</v>
      </c>
      <c r="Z291" t="n">
        <v>581</v>
      </c>
      <c r="AA291" t="n">
        <v>803</v>
      </c>
      <c r="AB291" t="n">
        <v>7</v>
      </c>
      <c r="AC291" t="n">
        <v>7</v>
      </c>
      <c r="AD291" t="n">
        <v>30</v>
      </c>
      <c r="AE291" t="n">
        <v>40</v>
      </c>
      <c r="AF291" t="n">
        <v>12</v>
      </c>
      <c r="AG291" t="n">
        <v>15</v>
      </c>
      <c r="AH291" t="n">
        <v>4</v>
      </c>
      <c r="AI291" t="n">
        <v>8</v>
      </c>
      <c r="AJ291" t="n">
        <v>13</v>
      </c>
      <c r="AK291" t="n">
        <v>21</v>
      </c>
      <c r="AL291" t="n">
        <v>6</v>
      </c>
      <c r="AM291" t="n">
        <v>6</v>
      </c>
      <c r="AN291" t="n">
        <v>0</v>
      </c>
      <c r="AO291" t="n">
        <v>0</v>
      </c>
      <c r="AP291" t="inlineStr">
        <is>
          <t>No</t>
        </is>
      </c>
      <c r="AQ291" t="inlineStr">
        <is>
          <t>Yes</t>
        </is>
      </c>
      <c r="AR291">
        <f>HYPERLINK("http://catalog.hathitrust.org/Record/003009932","HathiTrust Record")</f>
        <v/>
      </c>
      <c r="AS291">
        <f>HYPERLINK("https://creighton-primo.hosted.exlibrisgroup.com/primo-explore/search?tab=default_tab&amp;search_scope=EVERYTHING&amp;vid=01CRU&amp;lang=en_US&amp;offset=0&amp;query=any,contains,991005006469702656","Catalog Record")</f>
        <v/>
      </c>
      <c r="AT291">
        <f>HYPERLINK("http://www.worldcat.org/oclc/6575135","WorldCat Record")</f>
        <v/>
      </c>
      <c r="AU291" t="inlineStr">
        <is>
          <t>796412723:eng</t>
        </is>
      </c>
      <c r="AV291" t="inlineStr">
        <is>
          <t>6575135</t>
        </is>
      </c>
      <c r="AW291" t="inlineStr">
        <is>
          <t>991005006469702656</t>
        </is>
      </c>
      <c r="AX291" t="inlineStr">
        <is>
          <t>991005006469702656</t>
        </is>
      </c>
      <c r="AY291" t="inlineStr">
        <is>
          <t>2260123060002656</t>
        </is>
      </c>
      <c r="AZ291" t="inlineStr">
        <is>
          <t>BOOK</t>
        </is>
      </c>
      <c r="BC291" t="inlineStr">
        <is>
          <t>32285000424514</t>
        </is>
      </c>
      <c r="BD291" t="inlineStr">
        <is>
          <t>893344505</t>
        </is>
      </c>
    </row>
    <row r="292">
      <c r="A292" t="inlineStr">
        <is>
          <t>No</t>
        </is>
      </c>
      <c r="B292" t="inlineStr">
        <is>
          <t>E175.45 .M3</t>
        </is>
      </c>
      <c r="C292" t="inlineStr">
        <is>
          <t>0                      E  0175450M  3</t>
        </is>
      </c>
      <c r="D292" t="inlineStr">
        <is>
          <t>The Marcus W. Jernegan essays in American historiography, by his former students at the University of Chicago, edited by William T. Hutchinson.</t>
        </is>
      </c>
      <c r="F292" t="inlineStr">
        <is>
          <t>No</t>
        </is>
      </c>
      <c r="G292" t="inlineStr">
        <is>
          <t>1</t>
        </is>
      </c>
      <c r="H292" t="inlineStr">
        <is>
          <t>No</t>
        </is>
      </c>
      <c r="I292" t="inlineStr">
        <is>
          <t>Yes</t>
        </is>
      </c>
      <c r="J292" t="inlineStr">
        <is>
          <t>0</t>
        </is>
      </c>
      <c r="L292" t="inlineStr">
        <is>
          <t>Chicago, Ill., The University of Chicago Press [1937]</t>
        </is>
      </c>
      <c r="M292" t="inlineStr">
        <is>
          <t>1937</t>
        </is>
      </c>
      <c r="O292" t="inlineStr">
        <is>
          <t>eng</t>
        </is>
      </c>
      <c r="P292" t="inlineStr">
        <is>
          <t>ilu</t>
        </is>
      </c>
      <c r="R292" t="inlineStr">
        <is>
          <t xml:space="preserve">E  </t>
        </is>
      </c>
      <c r="S292" t="n">
        <v>3</v>
      </c>
      <c r="T292" t="n">
        <v>3</v>
      </c>
      <c r="U292" t="inlineStr">
        <is>
          <t>2000-09-22</t>
        </is>
      </c>
      <c r="V292" t="inlineStr">
        <is>
          <t>2000-09-22</t>
        </is>
      </c>
      <c r="W292" t="inlineStr">
        <is>
          <t>1997-04-04</t>
        </is>
      </c>
      <c r="X292" t="inlineStr">
        <is>
          <t>1997-04-04</t>
        </is>
      </c>
      <c r="Y292" t="n">
        <v>396</v>
      </c>
      <c r="Z292" t="n">
        <v>373</v>
      </c>
      <c r="AA292" t="n">
        <v>762</v>
      </c>
      <c r="AB292" t="n">
        <v>5</v>
      </c>
      <c r="AC292" t="n">
        <v>7</v>
      </c>
      <c r="AD292" t="n">
        <v>18</v>
      </c>
      <c r="AE292" t="n">
        <v>40</v>
      </c>
      <c r="AF292" t="n">
        <v>6</v>
      </c>
      <c r="AG292" t="n">
        <v>18</v>
      </c>
      <c r="AH292" t="n">
        <v>3</v>
      </c>
      <c r="AI292" t="n">
        <v>6</v>
      </c>
      <c r="AJ292" t="n">
        <v>10</v>
      </c>
      <c r="AK292" t="n">
        <v>21</v>
      </c>
      <c r="AL292" t="n">
        <v>4</v>
      </c>
      <c r="AM292" t="n">
        <v>6</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HYPERLINK("https://creighton-primo.hosted.exlibrisgroup.com/primo-explore/search?tab=default_tab&amp;search_scope=EVERYTHING&amp;vid=01CRU&amp;lang=en_US&amp;offset=0&amp;query=any,contains,991001180839702656","Catalog Record")</f>
        <v/>
      </c>
      <c r="AT292">
        <f>HYPERLINK("http://www.worldcat.org/oclc/190242","WorldCat Record")</f>
        <v/>
      </c>
      <c r="AU292" t="inlineStr">
        <is>
          <t>190650602:eng</t>
        </is>
      </c>
      <c r="AV292" t="inlineStr">
        <is>
          <t>190242</t>
        </is>
      </c>
      <c r="AW292" t="inlineStr">
        <is>
          <t>991001180839702656</t>
        </is>
      </c>
      <c r="AX292" t="inlineStr">
        <is>
          <t>991001180839702656</t>
        </is>
      </c>
      <c r="AY292" t="inlineStr">
        <is>
          <t>2259550510002656</t>
        </is>
      </c>
      <c r="AZ292" t="inlineStr">
        <is>
          <t>BOOK</t>
        </is>
      </c>
      <c r="BC292" t="inlineStr">
        <is>
          <t>32285002502796</t>
        </is>
      </c>
      <c r="BD292" t="inlineStr">
        <is>
          <t>893608625</t>
        </is>
      </c>
    </row>
    <row r="293">
      <c r="A293" t="inlineStr">
        <is>
          <t>No</t>
        </is>
      </c>
      <c r="B293" t="inlineStr">
        <is>
          <t>E175.45 .S5</t>
        </is>
      </c>
      <c r="C293" t="inlineStr">
        <is>
          <t>0                      E  0175450S  5</t>
        </is>
      </c>
      <c r="D293" t="inlineStr">
        <is>
          <t>American intellectual histories and historians.</t>
        </is>
      </c>
      <c r="F293" t="inlineStr">
        <is>
          <t>No</t>
        </is>
      </c>
      <c r="G293" t="inlineStr">
        <is>
          <t>1</t>
        </is>
      </c>
      <c r="H293" t="inlineStr">
        <is>
          <t>No</t>
        </is>
      </c>
      <c r="I293" t="inlineStr">
        <is>
          <t>No</t>
        </is>
      </c>
      <c r="J293" t="inlineStr">
        <is>
          <t>0</t>
        </is>
      </c>
      <c r="K293" t="inlineStr">
        <is>
          <t>Skotheim, Robert Allen.</t>
        </is>
      </c>
      <c r="L293" t="inlineStr">
        <is>
          <t>Princeton, N.J., Princeton University Press, 1966.</t>
        </is>
      </c>
      <c r="M293" t="inlineStr">
        <is>
          <t>1966</t>
        </is>
      </c>
      <c r="O293" t="inlineStr">
        <is>
          <t>eng</t>
        </is>
      </c>
      <c r="P293" t="inlineStr">
        <is>
          <t>nju</t>
        </is>
      </c>
      <c r="R293" t="inlineStr">
        <is>
          <t xml:space="preserve">E  </t>
        </is>
      </c>
      <c r="S293" t="n">
        <v>3</v>
      </c>
      <c r="T293" t="n">
        <v>3</v>
      </c>
      <c r="U293" t="inlineStr">
        <is>
          <t>2003-11-04</t>
        </is>
      </c>
      <c r="V293" t="inlineStr">
        <is>
          <t>2003-11-04</t>
        </is>
      </c>
      <c r="W293" t="inlineStr">
        <is>
          <t>1997-04-04</t>
        </is>
      </c>
      <c r="X293" t="inlineStr">
        <is>
          <t>1997-04-04</t>
        </is>
      </c>
      <c r="Y293" t="n">
        <v>1205</v>
      </c>
      <c r="Z293" t="n">
        <v>1069</v>
      </c>
      <c r="AA293" t="n">
        <v>1069</v>
      </c>
      <c r="AB293" t="n">
        <v>9</v>
      </c>
      <c r="AC293" t="n">
        <v>9</v>
      </c>
      <c r="AD293" t="n">
        <v>43</v>
      </c>
      <c r="AE293" t="n">
        <v>43</v>
      </c>
      <c r="AF293" t="n">
        <v>18</v>
      </c>
      <c r="AG293" t="n">
        <v>18</v>
      </c>
      <c r="AH293" t="n">
        <v>7</v>
      </c>
      <c r="AI293" t="n">
        <v>7</v>
      </c>
      <c r="AJ293" t="n">
        <v>18</v>
      </c>
      <c r="AK293" t="n">
        <v>18</v>
      </c>
      <c r="AL293" t="n">
        <v>8</v>
      </c>
      <c r="AM293" t="n">
        <v>8</v>
      </c>
      <c r="AN293" t="n">
        <v>0</v>
      </c>
      <c r="AO293" t="n">
        <v>0</v>
      </c>
      <c r="AP293" t="inlineStr">
        <is>
          <t>No</t>
        </is>
      </c>
      <c r="AQ293" t="inlineStr">
        <is>
          <t>No</t>
        </is>
      </c>
      <c r="AS293">
        <f>HYPERLINK("https://creighton-primo.hosted.exlibrisgroup.com/primo-explore/search?tab=default_tab&amp;search_scope=EVERYTHING&amp;vid=01CRU&amp;lang=en_US&amp;offset=0&amp;query=any,contains,991002740949702656","Catalog Record")</f>
        <v/>
      </c>
      <c r="AT293">
        <f>HYPERLINK("http://www.worldcat.org/oclc/421058","WorldCat Record")</f>
        <v/>
      </c>
      <c r="AU293" t="inlineStr">
        <is>
          <t>5613568579:eng</t>
        </is>
      </c>
      <c r="AV293" t="inlineStr">
        <is>
          <t>421058</t>
        </is>
      </c>
      <c r="AW293" t="inlineStr">
        <is>
          <t>991002740949702656</t>
        </is>
      </c>
      <c r="AX293" t="inlineStr">
        <is>
          <t>991002740949702656</t>
        </is>
      </c>
      <c r="AY293" t="inlineStr">
        <is>
          <t>2270549670002656</t>
        </is>
      </c>
      <c r="AZ293" t="inlineStr">
        <is>
          <t>BOOK</t>
        </is>
      </c>
      <c r="BC293" t="inlineStr">
        <is>
          <t>32285002502812</t>
        </is>
      </c>
      <c r="BD293" t="inlineStr">
        <is>
          <t>893685722</t>
        </is>
      </c>
    </row>
    <row r="294">
      <c r="A294" t="inlineStr">
        <is>
          <t>No</t>
        </is>
      </c>
      <c r="B294" t="inlineStr">
        <is>
          <t>E175.5 .A1748</t>
        </is>
      </c>
      <c r="C294" t="inlineStr">
        <is>
          <t>0                      E  0175500A  1748</t>
        </is>
      </c>
      <c r="D294" t="inlineStr">
        <is>
          <t>Henry Adams and Brooks Adams; the education of two American historians.</t>
        </is>
      </c>
      <c r="F294" t="inlineStr">
        <is>
          <t>No</t>
        </is>
      </c>
      <c r="G294" t="inlineStr">
        <is>
          <t>1</t>
        </is>
      </c>
      <c r="H294" t="inlineStr">
        <is>
          <t>No</t>
        </is>
      </c>
      <c r="I294" t="inlineStr">
        <is>
          <t>No</t>
        </is>
      </c>
      <c r="J294" t="inlineStr">
        <is>
          <t>0</t>
        </is>
      </c>
      <c r="K294" t="inlineStr">
        <is>
          <t>Donovan, Timothy Paul.</t>
        </is>
      </c>
      <c r="L294" t="inlineStr">
        <is>
          <t>Norman, University of Oklahoma Press [1961]</t>
        </is>
      </c>
      <c r="M294" t="inlineStr">
        <is>
          <t>1961</t>
        </is>
      </c>
      <c r="N294" t="inlineStr">
        <is>
          <t>[1st ed.]</t>
        </is>
      </c>
      <c r="O294" t="inlineStr">
        <is>
          <t>eng</t>
        </is>
      </c>
      <c r="P294" t="inlineStr">
        <is>
          <t>oku</t>
        </is>
      </c>
      <c r="R294" t="inlineStr">
        <is>
          <t xml:space="preserve">E  </t>
        </is>
      </c>
      <c r="S294" t="n">
        <v>1</v>
      </c>
      <c r="T294" t="n">
        <v>1</v>
      </c>
      <c r="U294" t="inlineStr">
        <is>
          <t>2002-12-02</t>
        </is>
      </c>
      <c r="V294" t="inlineStr">
        <is>
          <t>2002-12-02</t>
        </is>
      </c>
      <c r="W294" t="inlineStr">
        <is>
          <t>1997-04-04</t>
        </is>
      </c>
      <c r="X294" t="inlineStr">
        <is>
          <t>1997-04-04</t>
        </is>
      </c>
      <c r="Y294" t="n">
        <v>729</v>
      </c>
      <c r="Z294" t="n">
        <v>669</v>
      </c>
      <c r="AA294" t="n">
        <v>677</v>
      </c>
      <c r="AB294" t="n">
        <v>7</v>
      </c>
      <c r="AC294" t="n">
        <v>7</v>
      </c>
      <c r="AD294" t="n">
        <v>37</v>
      </c>
      <c r="AE294" t="n">
        <v>37</v>
      </c>
      <c r="AF294" t="n">
        <v>13</v>
      </c>
      <c r="AG294" t="n">
        <v>13</v>
      </c>
      <c r="AH294" t="n">
        <v>8</v>
      </c>
      <c r="AI294" t="n">
        <v>8</v>
      </c>
      <c r="AJ294" t="n">
        <v>19</v>
      </c>
      <c r="AK294" t="n">
        <v>19</v>
      </c>
      <c r="AL294" t="n">
        <v>6</v>
      </c>
      <c r="AM294" t="n">
        <v>6</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HYPERLINK("https://creighton-primo.hosted.exlibrisgroup.com/primo-explore/search?tab=default_tab&amp;search_scope=EVERYTHING&amp;vid=01CRU&amp;lang=en_US&amp;offset=0&amp;query=any,contains,991002371019702656","Catalog Record")</f>
        <v/>
      </c>
      <c r="AT294">
        <f>HYPERLINK("http://www.worldcat.org/oclc/326957","WorldCat Record")</f>
        <v/>
      </c>
      <c r="AU294" t="inlineStr">
        <is>
          <t>1417917:eng</t>
        </is>
      </c>
      <c r="AV294" t="inlineStr">
        <is>
          <t>326957</t>
        </is>
      </c>
      <c r="AW294" t="inlineStr">
        <is>
          <t>991002371019702656</t>
        </is>
      </c>
      <c r="AX294" t="inlineStr">
        <is>
          <t>991002371019702656</t>
        </is>
      </c>
      <c r="AY294" t="inlineStr">
        <is>
          <t>2272016280002656</t>
        </is>
      </c>
      <c r="AZ294" t="inlineStr">
        <is>
          <t>BOOK</t>
        </is>
      </c>
      <c r="BC294" t="inlineStr">
        <is>
          <t>32285002502838</t>
        </is>
      </c>
      <c r="BD294" t="inlineStr">
        <is>
          <t>893341352</t>
        </is>
      </c>
    </row>
    <row r="295">
      <c r="A295" t="inlineStr">
        <is>
          <t>No</t>
        </is>
      </c>
      <c r="B295" t="inlineStr">
        <is>
          <t>E175.5 .A17488</t>
        </is>
      </c>
      <c r="C295" t="inlineStr">
        <is>
          <t>0                      E  0175500A  17488</t>
        </is>
      </c>
      <c r="D295" t="inlineStr">
        <is>
          <t>The force so much closer home : Henry Adams and the Adams family / Earl N. Harbert.</t>
        </is>
      </c>
      <c r="F295" t="inlineStr">
        <is>
          <t>No</t>
        </is>
      </c>
      <c r="G295" t="inlineStr">
        <is>
          <t>1</t>
        </is>
      </c>
      <c r="H295" t="inlineStr">
        <is>
          <t>No</t>
        </is>
      </c>
      <c r="I295" t="inlineStr">
        <is>
          <t>No</t>
        </is>
      </c>
      <c r="J295" t="inlineStr">
        <is>
          <t>0</t>
        </is>
      </c>
      <c r="K295" t="inlineStr">
        <is>
          <t>Harbert, Earl N., 1934-</t>
        </is>
      </c>
      <c r="L295" t="inlineStr">
        <is>
          <t>New York : New York University Press, 1977.</t>
        </is>
      </c>
      <c r="M295" t="inlineStr">
        <is>
          <t>1977</t>
        </is>
      </c>
      <c r="O295" t="inlineStr">
        <is>
          <t>eng</t>
        </is>
      </c>
      <c r="P295" t="inlineStr">
        <is>
          <t>nyu</t>
        </is>
      </c>
      <c r="Q295" t="inlineStr">
        <is>
          <t>The Gotham library of the New York University Press</t>
        </is>
      </c>
      <c r="R295" t="inlineStr">
        <is>
          <t xml:space="preserve">E  </t>
        </is>
      </c>
      <c r="S295" t="n">
        <v>5</v>
      </c>
      <c r="T295" t="n">
        <v>5</v>
      </c>
      <c r="U295" t="inlineStr">
        <is>
          <t>1999-08-27</t>
        </is>
      </c>
      <c r="V295" t="inlineStr">
        <is>
          <t>1999-08-27</t>
        </is>
      </c>
      <c r="W295" t="inlineStr">
        <is>
          <t>1997-04-04</t>
        </is>
      </c>
      <c r="X295" t="inlineStr">
        <is>
          <t>1997-04-04</t>
        </is>
      </c>
      <c r="Y295" t="n">
        <v>534</v>
      </c>
      <c r="Z295" t="n">
        <v>470</v>
      </c>
      <c r="AA295" t="n">
        <v>476</v>
      </c>
      <c r="AB295" t="n">
        <v>4</v>
      </c>
      <c r="AC295" t="n">
        <v>4</v>
      </c>
      <c r="AD295" t="n">
        <v>25</v>
      </c>
      <c r="AE295" t="n">
        <v>25</v>
      </c>
      <c r="AF295" t="n">
        <v>11</v>
      </c>
      <c r="AG295" t="n">
        <v>11</v>
      </c>
      <c r="AH295" t="n">
        <v>7</v>
      </c>
      <c r="AI295" t="n">
        <v>7</v>
      </c>
      <c r="AJ295" t="n">
        <v>12</v>
      </c>
      <c r="AK295" t="n">
        <v>12</v>
      </c>
      <c r="AL295" t="n">
        <v>3</v>
      </c>
      <c r="AM295" t="n">
        <v>3</v>
      </c>
      <c r="AN295" t="n">
        <v>0</v>
      </c>
      <c r="AO295" t="n">
        <v>0</v>
      </c>
      <c r="AP295" t="inlineStr">
        <is>
          <t>No</t>
        </is>
      </c>
      <c r="AQ295" t="inlineStr">
        <is>
          <t>Yes</t>
        </is>
      </c>
      <c r="AR295">
        <f>HYPERLINK("http://catalog.hathitrust.org/Record/000169664","HathiTrust Record")</f>
        <v/>
      </c>
      <c r="AS295">
        <f>HYPERLINK("https://creighton-primo.hosted.exlibrisgroup.com/primo-explore/search?tab=default_tab&amp;search_scope=EVERYTHING&amp;vid=01CRU&amp;lang=en_US&amp;offset=0&amp;query=any,contains,991004201829702656","Catalog Record")</f>
        <v/>
      </c>
      <c r="AT295">
        <f>HYPERLINK("http://www.worldcat.org/oclc/2655475","WorldCat Record")</f>
        <v/>
      </c>
      <c r="AU295" t="inlineStr">
        <is>
          <t>889611505:eng</t>
        </is>
      </c>
      <c r="AV295" t="inlineStr">
        <is>
          <t>2655475</t>
        </is>
      </c>
      <c r="AW295" t="inlineStr">
        <is>
          <t>991004201829702656</t>
        </is>
      </c>
      <c r="AX295" t="inlineStr">
        <is>
          <t>991004201829702656</t>
        </is>
      </c>
      <c r="AY295" t="inlineStr">
        <is>
          <t>2256416410002656</t>
        </is>
      </c>
      <c r="AZ295" t="inlineStr">
        <is>
          <t>BOOK</t>
        </is>
      </c>
      <c r="BB295" t="inlineStr">
        <is>
          <t>9780814733752</t>
        </is>
      </c>
      <c r="BC295" t="inlineStr">
        <is>
          <t>32285002502846</t>
        </is>
      </c>
      <c r="BD295" t="inlineStr">
        <is>
          <t>893628030</t>
        </is>
      </c>
    </row>
    <row r="296">
      <c r="A296" t="inlineStr">
        <is>
          <t>No</t>
        </is>
      </c>
      <c r="B296" t="inlineStr">
        <is>
          <t>E175.5 .A1749</t>
        </is>
      </c>
      <c r="C296" t="inlineStr">
        <is>
          <t>0                      E  0175500A  1749</t>
        </is>
      </c>
      <c r="D296" t="inlineStr">
        <is>
          <t>Henry Adams : an introduction and interpretation.</t>
        </is>
      </c>
      <c r="F296" t="inlineStr">
        <is>
          <t>No</t>
        </is>
      </c>
      <c r="G296" t="inlineStr">
        <is>
          <t>1</t>
        </is>
      </c>
      <c r="H296" t="inlineStr">
        <is>
          <t>No</t>
        </is>
      </c>
      <c r="I296" t="inlineStr">
        <is>
          <t>No</t>
        </is>
      </c>
      <c r="J296" t="inlineStr">
        <is>
          <t>0</t>
        </is>
      </c>
      <c r="K296" t="inlineStr">
        <is>
          <t>Hochfield, George.</t>
        </is>
      </c>
      <c r="L296" t="inlineStr">
        <is>
          <t>New York : Barnes &amp; Noble, [1962]</t>
        </is>
      </c>
      <c r="M296" t="inlineStr">
        <is>
          <t>1962</t>
        </is>
      </c>
      <c r="O296" t="inlineStr">
        <is>
          <t>eng</t>
        </is>
      </c>
      <c r="P296" t="inlineStr">
        <is>
          <t>nyu</t>
        </is>
      </c>
      <c r="Q296" t="inlineStr">
        <is>
          <t>American authors and critics series ; AC5</t>
        </is>
      </c>
      <c r="R296" t="inlineStr">
        <is>
          <t xml:space="preserve">E  </t>
        </is>
      </c>
      <c r="S296" t="n">
        <v>10</v>
      </c>
      <c r="T296" t="n">
        <v>10</v>
      </c>
      <c r="U296" t="inlineStr">
        <is>
          <t>1998-10-06</t>
        </is>
      </c>
      <c r="V296" t="inlineStr">
        <is>
          <t>1998-10-06</t>
        </is>
      </c>
      <c r="W296" t="inlineStr">
        <is>
          <t>1993-09-14</t>
        </is>
      </c>
      <c r="X296" t="inlineStr">
        <is>
          <t>1993-09-14</t>
        </is>
      </c>
      <c r="Y296" t="n">
        <v>976</v>
      </c>
      <c r="Z296" t="n">
        <v>904</v>
      </c>
      <c r="AA296" t="n">
        <v>968</v>
      </c>
      <c r="AB296" t="n">
        <v>7</v>
      </c>
      <c r="AC296" t="n">
        <v>7</v>
      </c>
      <c r="AD296" t="n">
        <v>37</v>
      </c>
      <c r="AE296" t="n">
        <v>42</v>
      </c>
      <c r="AF296" t="n">
        <v>15</v>
      </c>
      <c r="AG296" t="n">
        <v>18</v>
      </c>
      <c r="AH296" t="n">
        <v>6</v>
      </c>
      <c r="AI296" t="n">
        <v>7</v>
      </c>
      <c r="AJ296" t="n">
        <v>18</v>
      </c>
      <c r="AK296" t="n">
        <v>20</v>
      </c>
      <c r="AL296" t="n">
        <v>6</v>
      </c>
      <c r="AM296" t="n">
        <v>6</v>
      </c>
      <c r="AN296" t="n">
        <v>0</v>
      </c>
      <c r="AO296" t="n">
        <v>0</v>
      </c>
      <c r="AP296" t="inlineStr">
        <is>
          <t>No</t>
        </is>
      </c>
      <c r="AQ296" t="inlineStr">
        <is>
          <t>Yes</t>
        </is>
      </c>
      <c r="AR296">
        <f>HYPERLINK("http://catalog.hathitrust.org/Record/000330523","HathiTrust Record")</f>
        <v/>
      </c>
      <c r="AS296">
        <f>HYPERLINK("https://creighton-primo.hosted.exlibrisgroup.com/primo-explore/search?tab=default_tab&amp;search_scope=EVERYTHING&amp;vid=01CRU&amp;lang=en_US&amp;offset=0&amp;query=any,contains,991001939809702656","Catalog Record")</f>
        <v/>
      </c>
      <c r="AT296">
        <f>HYPERLINK("http://www.worldcat.org/oclc/250680","WorldCat Record")</f>
        <v/>
      </c>
      <c r="AU296" t="inlineStr">
        <is>
          <t>1337406:eng</t>
        </is>
      </c>
      <c r="AV296" t="inlineStr">
        <is>
          <t>250680</t>
        </is>
      </c>
      <c r="AW296" t="inlineStr">
        <is>
          <t>991001939809702656</t>
        </is>
      </c>
      <c r="AX296" t="inlineStr">
        <is>
          <t>991001939809702656</t>
        </is>
      </c>
      <c r="AY296" t="inlineStr">
        <is>
          <t>2266983800002656</t>
        </is>
      </c>
      <c r="AZ296" t="inlineStr">
        <is>
          <t>BOOK</t>
        </is>
      </c>
      <c r="BC296" t="inlineStr">
        <is>
          <t>32285001770386</t>
        </is>
      </c>
      <c r="BD296" t="inlineStr">
        <is>
          <t>893684782</t>
        </is>
      </c>
    </row>
    <row r="297">
      <c r="A297" t="inlineStr">
        <is>
          <t>No</t>
        </is>
      </c>
      <c r="B297" t="inlineStr">
        <is>
          <t>E175.5 .A175</t>
        </is>
      </c>
      <c r="C297" t="inlineStr">
        <is>
          <t>0                      E  0175500A  175</t>
        </is>
      </c>
      <c r="D297" t="inlineStr">
        <is>
          <t>Runaway star: an appreciation of Henry Adams.</t>
        </is>
      </c>
      <c r="F297" t="inlineStr">
        <is>
          <t>No</t>
        </is>
      </c>
      <c r="G297" t="inlineStr">
        <is>
          <t>1</t>
        </is>
      </c>
      <c r="H297" t="inlineStr">
        <is>
          <t>No</t>
        </is>
      </c>
      <c r="I297" t="inlineStr">
        <is>
          <t>No</t>
        </is>
      </c>
      <c r="J297" t="inlineStr">
        <is>
          <t>0</t>
        </is>
      </c>
      <c r="K297" t="inlineStr">
        <is>
          <t>Hume, Robert A. (Robert Arthur), 1907-</t>
        </is>
      </c>
      <c r="L297" t="inlineStr">
        <is>
          <t>Ithaca, N.Y., Cornell University Press [1951]</t>
        </is>
      </c>
      <c r="M297" t="inlineStr">
        <is>
          <t>1951</t>
        </is>
      </c>
      <c r="O297" t="inlineStr">
        <is>
          <t>eng</t>
        </is>
      </c>
      <c r="P297" t="inlineStr">
        <is>
          <t>nyu</t>
        </is>
      </c>
      <c r="R297" t="inlineStr">
        <is>
          <t xml:space="preserve">E  </t>
        </is>
      </c>
      <c r="S297" t="n">
        <v>1</v>
      </c>
      <c r="T297" t="n">
        <v>1</v>
      </c>
      <c r="U297" t="inlineStr">
        <is>
          <t>1998-10-31</t>
        </is>
      </c>
      <c r="V297" t="inlineStr">
        <is>
          <t>1998-10-31</t>
        </is>
      </c>
      <c r="W297" t="inlineStr">
        <is>
          <t>1997-04-04</t>
        </is>
      </c>
      <c r="X297" t="inlineStr">
        <is>
          <t>1997-04-04</t>
        </is>
      </c>
      <c r="Y297" t="n">
        <v>558</v>
      </c>
      <c r="Z297" t="n">
        <v>499</v>
      </c>
      <c r="AA297" t="n">
        <v>543</v>
      </c>
      <c r="AB297" t="n">
        <v>4</v>
      </c>
      <c r="AC297" t="n">
        <v>4</v>
      </c>
      <c r="AD297" t="n">
        <v>30</v>
      </c>
      <c r="AE297" t="n">
        <v>31</v>
      </c>
      <c r="AF297" t="n">
        <v>10</v>
      </c>
      <c r="AG297" t="n">
        <v>10</v>
      </c>
      <c r="AH297" t="n">
        <v>7</v>
      </c>
      <c r="AI297" t="n">
        <v>7</v>
      </c>
      <c r="AJ297" t="n">
        <v>17</v>
      </c>
      <c r="AK297" t="n">
        <v>18</v>
      </c>
      <c r="AL297" t="n">
        <v>3</v>
      </c>
      <c r="AM297" t="n">
        <v>3</v>
      </c>
      <c r="AN297" t="n">
        <v>0</v>
      </c>
      <c r="AO297" t="n">
        <v>0</v>
      </c>
      <c r="AP297" t="inlineStr">
        <is>
          <t>No</t>
        </is>
      </c>
      <c r="AQ297" t="inlineStr">
        <is>
          <t>Yes</t>
        </is>
      </c>
      <c r="AR297">
        <f>HYPERLINK("http://catalog.hathitrust.org/Record/000330525","HathiTrust Record")</f>
        <v/>
      </c>
      <c r="AS297">
        <f>HYPERLINK("https://creighton-primo.hosted.exlibrisgroup.com/primo-explore/search?tab=default_tab&amp;search_scope=EVERYTHING&amp;vid=01CRU&amp;lang=en_US&amp;offset=0&amp;query=any,contains,991000108219702656","Catalog Record")</f>
        <v/>
      </c>
      <c r="AT297">
        <f>HYPERLINK("http://www.worldcat.org/oclc/8989807","WorldCat Record")</f>
        <v/>
      </c>
      <c r="AU297" t="inlineStr">
        <is>
          <t>42866772:eng</t>
        </is>
      </c>
      <c r="AV297" t="inlineStr">
        <is>
          <t>8989807</t>
        </is>
      </c>
      <c r="AW297" t="inlineStr">
        <is>
          <t>991000108219702656</t>
        </is>
      </c>
      <c r="AX297" t="inlineStr">
        <is>
          <t>991000108219702656</t>
        </is>
      </c>
      <c r="AY297" t="inlineStr">
        <is>
          <t>2255419760002656</t>
        </is>
      </c>
      <c r="AZ297" t="inlineStr">
        <is>
          <t>BOOK</t>
        </is>
      </c>
      <c r="BC297" t="inlineStr">
        <is>
          <t>32285002502853</t>
        </is>
      </c>
      <c r="BD297" t="inlineStr">
        <is>
          <t>893521407</t>
        </is>
      </c>
    </row>
    <row r="298">
      <c r="A298" t="inlineStr">
        <is>
          <t>No</t>
        </is>
      </c>
      <c r="B298" t="inlineStr">
        <is>
          <t>E175.5 .A1755</t>
        </is>
      </c>
      <c r="C298" t="inlineStr">
        <is>
          <t>0                      E  0175500A  1755</t>
        </is>
      </c>
      <c r="D298" t="inlineStr">
        <is>
          <t>Henry Adams, scientific historian.</t>
        </is>
      </c>
      <c r="F298" t="inlineStr">
        <is>
          <t>No</t>
        </is>
      </c>
      <c r="G298" t="inlineStr">
        <is>
          <t>1</t>
        </is>
      </c>
      <c r="H298" t="inlineStr">
        <is>
          <t>No</t>
        </is>
      </c>
      <c r="I298" t="inlineStr">
        <is>
          <t>No</t>
        </is>
      </c>
      <c r="J298" t="inlineStr">
        <is>
          <t>0</t>
        </is>
      </c>
      <c r="K298" t="inlineStr">
        <is>
          <t>Jordy, William H.</t>
        </is>
      </c>
      <c r="L298" t="inlineStr">
        <is>
          <t>New Haven : Yale University Press, 1952.</t>
        </is>
      </c>
      <c r="M298" t="inlineStr">
        <is>
          <t>1952</t>
        </is>
      </c>
      <c r="O298" t="inlineStr">
        <is>
          <t>eng</t>
        </is>
      </c>
      <c r="P298" t="inlineStr">
        <is>
          <t>ctu</t>
        </is>
      </c>
      <c r="Q298" t="inlineStr">
        <is>
          <t>Yale historical publications. Studies ; 16</t>
        </is>
      </c>
      <c r="R298" t="inlineStr">
        <is>
          <t xml:space="preserve">E  </t>
        </is>
      </c>
      <c r="S298" t="n">
        <v>2</v>
      </c>
      <c r="T298" t="n">
        <v>2</v>
      </c>
      <c r="U298" t="inlineStr">
        <is>
          <t>1995-09-25</t>
        </is>
      </c>
      <c r="V298" t="inlineStr">
        <is>
          <t>1995-09-25</t>
        </is>
      </c>
      <c r="W298" t="inlineStr">
        <is>
          <t>1993-05-04</t>
        </is>
      </c>
      <c r="X298" t="inlineStr">
        <is>
          <t>1993-05-04</t>
        </is>
      </c>
      <c r="Y298" t="n">
        <v>760</v>
      </c>
      <c r="Z298" t="n">
        <v>690</v>
      </c>
      <c r="AA298" t="n">
        <v>867</v>
      </c>
      <c r="AB298" t="n">
        <v>5</v>
      </c>
      <c r="AC298" t="n">
        <v>6</v>
      </c>
      <c r="AD298" t="n">
        <v>36</v>
      </c>
      <c r="AE298" t="n">
        <v>41</v>
      </c>
      <c r="AF298" t="n">
        <v>16</v>
      </c>
      <c r="AG298" t="n">
        <v>18</v>
      </c>
      <c r="AH298" t="n">
        <v>7</v>
      </c>
      <c r="AI298" t="n">
        <v>9</v>
      </c>
      <c r="AJ298" t="n">
        <v>19</v>
      </c>
      <c r="AK298" t="n">
        <v>21</v>
      </c>
      <c r="AL298" t="n">
        <v>4</v>
      </c>
      <c r="AM298" t="n">
        <v>5</v>
      </c>
      <c r="AN298" t="n">
        <v>0</v>
      </c>
      <c r="AO298" t="n">
        <v>0</v>
      </c>
      <c r="AP298" t="inlineStr">
        <is>
          <t>No</t>
        </is>
      </c>
      <c r="AQ298" t="inlineStr">
        <is>
          <t>Yes</t>
        </is>
      </c>
      <c r="AR298">
        <f>HYPERLINK("http://catalog.hathitrust.org/Record/000330530","HathiTrust Record")</f>
        <v/>
      </c>
      <c r="AS298">
        <f>HYPERLINK("https://creighton-primo.hosted.exlibrisgroup.com/primo-explore/search?tab=default_tab&amp;search_scope=EVERYTHING&amp;vid=01CRU&amp;lang=en_US&amp;offset=0&amp;query=any,contains,991002758269702656","Catalog Record")</f>
        <v/>
      </c>
      <c r="AT298">
        <f>HYPERLINK("http://www.worldcat.org/oclc/427157","WorldCat Record")</f>
        <v/>
      </c>
      <c r="AU298" t="inlineStr">
        <is>
          <t>1285091:eng</t>
        </is>
      </c>
      <c r="AV298" t="inlineStr">
        <is>
          <t>427157</t>
        </is>
      </c>
      <c r="AW298" t="inlineStr">
        <is>
          <t>991002758269702656</t>
        </is>
      </c>
      <c r="AX298" t="inlineStr">
        <is>
          <t>991002758269702656</t>
        </is>
      </c>
      <c r="AY298" t="inlineStr">
        <is>
          <t>2265529810002656</t>
        </is>
      </c>
      <c r="AZ298" t="inlineStr">
        <is>
          <t>BOOK</t>
        </is>
      </c>
      <c r="BC298" t="inlineStr">
        <is>
          <t>32285001633501</t>
        </is>
      </c>
      <c r="BD298" t="inlineStr">
        <is>
          <t>893597829</t>
        </is>
      </c>
    </row>
    <row r="299">
      <c r="A299" t="inlineStr">
        <is>
          <t>No</t>
        </is>
      </c>
      <c r="B299" t="inlineStr">
        <is>
          <t>E175.5 .A1767</t>
        </is>
      </c>
      <c r="C299" t="inlineStr">
        <is>
          <t>0                      E  0175500A  1767</t>
        </is>
      </c>
      <c r="D299" t="inlineStr">
        <is>
          <t>Symbol and idea in Henry Adams.</t>
        </is>
      </c>
      <c r="F299" t="inlineStr">
        <is>
          <t>No</t>
        </is>
      </c>
      <c r="G299" t="inlineStr">
        <is>
          <t>1</t>
        </is>
      </c>
      <c r="H299" t="inlineStr">
        <is>
          <t>No</t>
        </is>
      </c>
      <c r="I299" t="inlineStr">
        <is>
          <t>No</t>
        </is>
      </c>
      <c r="J299" t="inlineStr">
        <is>
          <t>0</t>
        </is>
      </c>
      <c r="K299" t="inlineStr">
        <is>
          <t>Lyon, Melvin E., 1927-</t>
        </is>
      </c>
      <c r="L299" t="inlineStr">
        <is>
          <t>Lincoln, University of Nebraska Press [1970]</t>
        </is>
      </c>
      <c r="M299" t="inlineStr">
        <is>
          <t>1970</t>
        </is>
      </c>
      <c r="O299" t="inlineStr">
        <is>
          <t>eng</t>
        </is>
      </c>
      <c r="P299" t="inlineStr">
        <is>
          <t>nbu</t>
        </is>
      </c>
      <c r="R299" t="inlineStr">
        <is>
          <t xml:space="preserve">E  </t>
        </is>
      </c>
      <c r="S299" t="n">
        <v>7</v>
      </c>
      <c r="T299" t="n">
        <v>7</v>
      </c>
      <c r="U299" t="inlineStr">
        <is>
          <t>1999-12-13</t>
        </is>
      </c>
      <c r="V299" t="inlineStr">
        <is>
          <t>1999-12-13</t>
        </is>
      </c>
      <c r="W299" t="inlineStr">
        <is>
          <t>1997-04-04</t>
        </is>
      </c>
      <c r="X299" t="inlineStr">
        <is>
          <t>1997-04-04</t>
        </is>
      </c>
      <c r="Y299" t="n">
        <v>573</v>
      </c>
      <c r="Z299" t="n">
        <v>507</v>
      </c>
      <c r="AA299" t="n">
        <v>514</v>
      </c>
      <c r="AB299" t="n">
        <v>7</v>
      </c>
      <c r="AC299" t="n">
        <v>7</v>
      </c>
      <c r="AD299" t="n">
        <v>34</v>
      </c>
      <c r="AE299" t="n">
        <v>34</v>
      </c>
      <c r="AF299" t="n">
        <v>13</v>
      </c>
      <c r="AG299" t="n">
        <v>13</v>
      </c>
      <c r="AH299" t="n">
        <v>9</v>
      </c>
      <c r="AI299" t="n">
        <v>9</v>
      </c>
      <c r="AJ299" t="n">
        <v>18</v>
      </c>
      <c r="AK299" t="n">
        <v>18</v>
      </c>
      <c r="AL299" t="n">
        <v>5</v>
      </c>
      <c r="AM299" t="n">
        <v>5</v>
      </c>
      <c r="AN299" t="n">
        <v>0</v>
      </c>
      <c r="AO299" t="n">
        <v>0</v>
      </c>
      <c r="AP299" t="inlineStr">
        <is>
          <t>No</t>
        </is>
      </c>
      <c r="AQ299" t="inlineStr">
        <is>
          <t>Yes</t>
        </is>
      </c>
      <c r="AR299">
        <f>HYPERLINK("http://catalog.hathitrust.org/Record/000330537","HathiTrust Record")</f>
        <v/>
      </c>
      <c r="AS299">
        <f>HYPERLINK("https://creighton-primo.hosted.exlibrisgroup.com/primo-explore/search?tab=default_tab&amp;search_scope=EVERYTHING&amp;vid=01CRU&amp;lang=en_US&amp;offset=0&amp;query=any,contains,991000522099702656","Catalog Record")</f>
        <v/>
      </c>
      <c r="AT299">
        <f>HYPERLINK("http://www.worldcat.org/oclc/88341","WorldCat Record")</f>
        <v/>
      </c>
      <c r="AU299" t="inlineStr">
        <is>
          <t>1289330:eng</t>
        </is>
      </c>
      <c r="AV299" t="inlineStr">
        <is>
          <t>88341</t>
        </is>
      </c>
      <c r="AW299" t="inlineStr">
        <is>
          <t>991000522099702656</t>
        </is>
      </c>
      <c r="AX299" t="inlineStr">
        <is>
          <t>991000522099702656</t>
        </is>
      </c>
      <c r="AY299" t="inlineStr">
        <is>
          <t>2269484180002656</t>
        </is>
      </c>
      <c r="AZ299" t="inlineStr">
        <is>
          <t>BOOK</t>
        </is>
      </c>
      <c r="BB299" t="inlineStr">
        <is>
          <t>9780803207295</t>
        </is>
      </c>
      <c r="BC299" t="inlineStr">
        <is>
          <t>32285002502861</t>
        </is>
      </c>
      <c r="BD299" t="inlineStr">
        <is>
          <t>893884472</t>
        </is>
      </c>
    </row>
    <row r="300">
      <c r="A300" t="inlineStr">
        <is>
          <t>No</t>
        </is>
      </c>
      <c r="B300" t="inlineStr">
        <is>
          <t>E175.5 .A177</t>
        </is>
      </c>
      <c r="C300" t="inlineStr">
        <is>
          <t>0                      E  0175500A  177</t>
        </is>
      </c>
      <c r="D300" t="inlineStr">
        <is>
          <t>Henry Adams; the major phase.</t>
        </is>
      </c>
      <c r="F300" t="inlineStr">
        <is>
          <t>No</t>
        </is>
      </c>
      <c r="G300" t="inlineStr">
        <is>
          <t>1</t>
        </is>
      </c>
      <c r="H300" t="inlineStr">
        <is>
          <t>No</t>
        </is>
      </c>
      <c r="I300" t="inlineStr">
        <is>
          <t>No</t>
        </is>
      </c>
      <c r="J300" t="inlineStr">
        <is>
          <t>0</t>
        </is>
      </c>
      <c r="K300" t="inlineStr">
        <is>
          <t>Samuels, Ernest, 1903-1996.</t>
        </is>
      </c>
      <c r="L300" t="inlineStr">
        <is>
          <t>Cambridge, Mass., Belknap Press of Harvard University Press, 1964.</t>
        </is>
      </c>
      <c r="M300" t="inlineStr">
        <is>
          <t>1964</t>
        </is>
      </c>
      <c r="O300" t="inlineStr">
        <is>
          <t>eng</t>
        </is>
      </c>
      <c r="P300" t="inlineStr">
        <is>
          <t>mau</t>
        </is>
      </c>
      <c r="R300" t="inlineStr">
        <is>
          <t xml:space="preserve">E  </t>
        </is>
      </c>
      <c r="S300" t="n">
        <v>2</v>
      </c>
      <c r="T300" t="n">
        <v>2</v>
      </c>
      <c r="U300" t="inlineStr">
        <is>
          <t>1998-11-01</t>
        </is>
      </c>
      <c r="V300" t="inlineStr">
        <is>
          <t>1998-11-01</t>
        </is>
      </c>
      <c r="W300" t="inlineStr">
        <is>
          <t>1997-04-07</t>
        </is>
      </c>
      <c r="X300" t="inlineStr">
        <is>
          <t>1997-04-07</t>
        </is>
      </c>
      <c r="Y300" t="n">
        <v>1181</v>
      </c>
      <c r="Z300" t="n">
        <v>1074</v>
      </c>
      <c r="AA300" t="n">
        <v>1085</v>
      </c>
      <c r="AB300" t="n">
        <v>10</v>
      </c>
      <c r="AC300" t="n">
        <v>10</v>
      </c>
      <c r="AD300" t="n">
        <v>51</v>
      </c>
      <c r="AE300" t="n">
        <v>51</v>
      </c>
      <c r="AF300" t="n">
        <v>21</v>
      </c>
      <c r="AG300" t="n">
        <v>21</v>
      </c>
      <c r="AH300" t="n">
        <v>8</v>
      </c>
      <c r="AI300" t="n">
        <v>8</v>
      </c>
      <c r="AJ300" t="n">
        <v>25</v>
      </c>
      <c r="AK300" t="n">
        <v>25</v>
      </c>
      <c r="AL300" t="n">
        <v>9</v>
      </c>
      <c r="AM300" t="n">
        <v>9</v>
      </c>
      <c r="AN300" t="n">
        <v>0</v>
      </c>
      <c r="AO300" t="n">
        <v>0</v>
      </c>
      <c r="AP300" t="inlineStr">
        <is>
          <t>No</t>
        </is>
      </c>
      <c r="AQ300" t="inlineStr">
        <is>
          <t>Yes</t>
        </is>
      </c>
      <c r="AR300">
        <f>HYPERLINK("http://catalog.hathitrust.org/Record/000330548","HathiTrust Record")</f>
        <v/>
      </c>
      <c r="AS300">
        <f>HYPERLINK("https://creighton-primo.hosted.exlibrisgroup.com/primo-explore/search?tab=default_tab&amp;search_scope=EVERYTHING&amp;vid=01CRU&amp;lang=en_US&amp;offset=0&amp;query=any,contains,991002302729702656","Catalog Record")</f>
        <v/>
      </c>
      <c r="AT300">
        <f>HYPERLINK("http://www.worldcat.org/oclc/317844","WorldCat Record")</f>
        <v/>
      </c>
      <c r="AU300" t="inlineStr">
        <is>
          <t>3856204316:eng</t>
        </is>
      </c>
      <c r="AV300" t="inlineStr">
        <is>
          <t>317844</t>
        </is>
      </c>
      <c r="AW300" t="inlineStr">
        <is>
          <t>991002302729702656</t>
        </is>
      </c>
      <c r="AX300" t="inlineStr">
        <is>
          <t>991002302729702656</t>
        </is>
      </c>
      <c r="AY300" t="inlineStr">
        <is>
          <t>2267367470002656</t>
        </is>
      </c>
      <c r="AZ300" t="inlineStr">
        <is>
          <t>BOOK</t>
        </is>
      </c>
      <c r="BC300" t="inlineStr">
        <is>
          <t>32285002502879</t>
        </is>
      </c>
      <c r="BD300" t="inlineStr">
        <is>
          <t>893710122</t>
        </is>
      </c>
    </row>
    <row r="301">
      <c r="A301" t="inlineStr">
        <is>
          <t>No</t>
        </is>
      </c>
      <c r="B301" t="inlineStr">
        <is>
          <t>E175.5 .A178</t>
        </is>
      </c>
      <c r="C301" t="inlineStr">
        <is>
          <t>0                      E  0175500A  178</t>
        </is>
      </c>
      <c r="D301" t="inlineStr">
        <is>
          <t>The young Henry Adams.</t>
        </is>
      </c>
      <c r="F301" t="inlineStr">
        <is>
          <t>No</t>
        </is>
      </c>
      <c r="G301" t="inlineStr">
        <is>
          <t>1</t>
        </is>
      </c>
      <c r="H301" t="inlineStr">
        <is>
          <t>No</t>
        </is>
      </c>
      <c r="I301" t="inlineStr">
        <is>
          <t>No</t>
        </is>
      </c>
      <c r="J301" t="inlineStr">
        <is>
          <t>0</t>
        </is>
      </c>
      <c r="K301" t="inlineStr">
        <is>
          <t>Samuels, Ernest, 1903-1996.</t>
        </is>
      </c>
      <c r="L301" t="inlineStr">
        <is>
          <t>Cambridge, Harvard Univ. Press, 1948.</t>
        </is>
      </c>
      <c r="M301" t="inlineStr">
        <is>
          <t>1948</t>
        </is>
      </c>
      <c r="O301" t="inlineStr">
        <is>
          <t>eng</t>
        </is>
      </c>
      <c r="P301" t="inlineStr">
        <is>
          <t>mau</t>
        </is>
      </c>
      <c r="R301" t="inlineStr">
        <is>
          <t xml:space="preserve">E  </t>
        </is>
      </c>
      <c r="S301" t="n">
        <v>5</v>
      </c>
      <c r="T301" t="n">
        <v>5</v>
      </c>
      <c r="U301" t="inlineStr">
        <is>
          <t>1999-09-27</t>
        </is>
      </c>
      <c r="V301" t="inlineStr">
        <is>
          <t>1999-09-27</t>
        </is>
      </c>
      <c r="W301" t="inlineStr">
        <is>
          <t>1997-04-04</t>
        </is>
      </c>
      <c r="X301" t="inlineStr">
        <is>
          <t>1997-04-04</t>
        </is>
      </c>
      <c r="Y301" t="n">
        <v>989</v>
      </c>
      <c r="Z301" t="n">
        <v>913</v>
      </c>
      <c r="AA301" t="n">
        <v>1059</v>
      </c>
      <c r="AB301" t="n">
        <v>6</v>
      </c>
      <c r="AC301" t="n">
        <v>8</v>
      </c>
      <c r="AD301" t="n">
        <v>42</v>
      </c>
      <c r="AE301" t="n">
        <v>47</v>
      </c>
      <c r="AF301" t="n">
        <v>20</v>
      </c>
      <c r="AG301" t="n">
        <v>21</v>
      </c>
      <c r="AH301" t="n">
        <v>9</v>
      </c>
      <c r="AI301" t="n">
        <v>10</v>
      </c>
      <c r="AJ301" t="n">
        <v>18</v>
      </c>
      <c r="AK301" t="n">
        <v>20</v>
      </c>
      <c r="AL301" t="n">
        <v>5</v>
      </c>
      <c r="AM301" t="n">
        <v>7</v>
      </c>
      <c r="AN301" t="n">
        <v>0</v>
      </c>
      <c r="AO301" t="n">
        <v>0</v>
      </c>
      <c r="AP301" t="inlineStr">
        <is>
          <t>No</t>
        </is>
      </c>
      <c r="AQ301" t="inlineStr">
        <is>
          <t>No</t>
        </is>
      </c>
      <c r="AR301">
        <f>HYPERLINK("http://catalog.hathitrust.org/Record/006228668","HathiTrust Record")</f>
        <v/>
      </c>
      <c r="AS301">
        <f>HYPERLINK("https://creighton-primo.hosted.exlibrisgroup.com/primo-explore/search?tab=default_tab&amp;search_scope=EVERYTHING&amp;vid=01CRU&amp;lang=en_US&amp;offset=0&amp;query=any,contains,991002740029702656","Catalog Record")</f>
        <v/>
      </c>
      <c r="AT301">
        <f>HYPERLINK("http://www.worldcat.org/oclc/420713","WorldCat Record")</f>
        <v/>
      </c>
      <c r="AU301" t="inlineStr">
        <is>
          <t>1501739:eng</t>
        </is>
      </c>
      <c r="AV301" t="inlineStr">
        <is>
          <t>420713</t>
        </is>
      </c>
      <c r="AW301" t="inlineStr">
        <is>
          <t>991002740029702656</t>
        </is>
      </c>
      <c r="AX301" t="inlineStr">
        <is>
          <t>991002740029702656</t>
        </is>
      </c>
      <c r="AY301" t="inlineStr">
        <is>
          <t>2270739660002656</t>
        </is>
      </c>
      <c r="AZ301" t="inlineStr">
        <is>
          <t>BOOK</t>
        </is>
      </c>
      <c r="BC301" t="inlineStr">
        <is>
          <t>32285002502887</t>
        </is>
      </c>
      <c r="BD301" t="inlineStr">
        <is>
          <t>893517684</t>
        </is>
      </c>
    </row>
    <row r="302">
      <c r="A302" t="inlineStr">
        <is>
          <t>No</t>
        </is>
      </c>
      <c r="B302" t="inlineStr">
        <is>
          <t>E175.5 .A1784</t>
        </is>
      </c>
      <c r="C302" t="inlineStr">
        <is>
          <t>0                      E  0175500A  1784</t>
        </is>
      </c>
      <c r="D302" t="inlineStr">
        <is>
          <t>The suspension of Henry Adams; a study of manner and matter.</t>
        </is>
      </c>
      <c r="F302" t="inlineStr">
        <is>
          <t>No</t>
        </is>
      </c>
      <c r="G302" t="inlineStr">
        <is>
          <t>1</t>
        </is>
      </c>
      <c r="H302" t="inlineStr">
        <is>
          <t>No</t>
        </is>
      </c>
      <c r="I302" t="inlineStr">
        <is>
          <t>No</t>
        </is>
      </c>
      <c r="J302" t="inlineStr">
        <is>
          <t>0</t>
        </is>
      </c>
      <c r="K302" t="inlineStr">
        <is>
          <t>Wagner, Vern.</t>
        </is>
      </c>
      <c r="L302" t="inlineStr">
        <is>
          <t>Detroit, Wayne State University Press, 1969.</t>
        </is>
      </c>
      <c r="M302" t="inlineStr">
        <is>
          <t>1969</t>
        </is>
      </c>
      <c r="O302" t="inlineStr">
        <is>
          <t>eng</t>
        </is>
      </c>
      <c r="P302" t="inlineStr">
        <is>
          <t>miu</t>
        </is>
      </c>
      <c r="R302" t="inlineStr">
        <is>
          <t xml:space="preserve">E  </t>
        </is>
      </c>
      <c r="S302" t="n">
        <v>7</v>
      </c>
      <c r="T302" t="n">
        <v>7</v>
      </c>
      <c r="U302" t="inlineStr">
        <is>
          <t>1999-12-13</t>
        </is>
      </c>
      <c r="V302" t="inlineStr">
        <is>
          <t>1999-12-13</t>
        </is>
      </c>
      <c r="W302" t="inlineStr">
        <is>
          <t>1997-04-04</t>
        </is>
      </c>
      <c r="X302" t="inlineStr">
        <is>
          <t>1997-04-04</t>
        </is>
      </c>
      <c r="Y302" t="n">
        <v>735</v>
      </c>
      <c r="Z302" t="n">
        <v>669</v>
      </c>
      <c r="AA302" t="n">
        <v>676</v>
      </c>
      <c r="AB302" t="n">
        <v>6</v>
      </c>
      <c r="AC302" t="n">
        <v>6</v>
      </c>
      <c r="AD302" t="n">
        <v>36</v>
      </c>
      <c r="AE302" t="n">
        <v>36</v>
      </c>
      <c r="AF302" t="n">
        <v>17</v>
      </c>
      <c r="AG302" t="n">
        <v>17</v>
      </c>
      <c r="AH302" t="n">
        <v>8</v>
      </c>
      <c r="AI302" t="n">
        <v>8</v>
      </c>
      <c r="AJ302" t="n">
        <v>18</v>
      </c>
      <c r="AK302" t="n">
        <v>18</v>
      </c>
      <c r="AL302" t="n">
        <v>5</v>
      </c>
      <c r="AM302" t="n">
        <v>5</v>
      </c>
      <c r="AN302" t="n">
        <v>0</v>
      </c>
      <c r="AO302" t="n">
        <v>0</v>
      </c>
      <c r="AP302" t="inlineStr">
        <is>
          <t>No</t>
        </is>
      </c>
      <c r="AQ302" t="inlineStr">
        <is>
          <t>Yes</t>
        </is>
      </c>
      <c r="AR302">
        <f>HYPERLINK("http://catalog.hathitrust.org/Record/000330557","HathiTrust Record")</f>
        <v/>
      </c>
      <c r="AS302">
        <f>HYPERLINK("https://creighton-primo.hosted.exlibrisgroup.com/primo-explore/search?tab=default_tab&amp;search_scope=EVERYTHING&amp;vid=01CRU&amp;lang=en_US&amp;offset=0&amp;query=any,contains,991005433139702656","Catalog Record")</f>
        <v/>
      </c>
      <c r="AT302">
        <f>HYPERLINK("http://www.worldcat.org/oclc/1645","WorldCat Record")</f>
        <v/>
      </c>
      <c r="AU302" t="inlineStr">
        <is>
          <t>1124984:eng</t>
        </is>
      </c>
      <c r="AV302" t="inlineStr">
        <is>
          <t>1645</t>
        </is>
      </c>
      <c r="AW302" t="inlineStr">
        <is>
          <t>991005433139702656</t>
        </is>
      </c>
      <c r="AX302" t="inlineStr">
        <is>
          <t>991005433139702656</t>
        </is>
      </c>
      <c r="AY302" t="inlineStr">
        <is>
          <t>2271317200002656</t>
        </is>
      </c>
      <c r="AZ302" t="inlineStr">
        <is>
          <t>BOOK</t>
        </is>
      </c>
      <c r="BC302" t="inlineStr">
        <is>
          <t>32285002502903</t>
        </is>
      </c>
      <c r="BD302" t="inlineStr">
        <is>
          <t>893714108</t>
        </is>
      </c>
    </row>
    <row r="303">
      <c r="A303" t="inlineStr">
        <is>
          <t>No</t>
        </is>
      </c>
      <c r="B303" t="inlineStr">
        <is>
          <t>E175.5 .B1916</t>
        </is>
      </c>
      <c r="C303" t="inlineStr">
        <is>
          <t>0                      E  0175500B  1916</t>
        </is>
      </c>
      <c r="D303" t="inlineStr">
        <is>
          <t>George Bancroft, by Robert H. Canary.</t>
        </is>
      </c>
      <c r="F303" t="inlineStr">
        <is>
          <t>No</t>
        </is>
      </c>
      <c r="G303" t="inlineStr">
        <is>
          <t>1</t>
        </is>
      </c>
      <c r="H303" t="inlineStr">
        <is>
          <t>No</t>
        </is>
      </c>
      <c r="I303" t="inlineStr">
        <is>
          <t>No</t>
        </is>
      </c>
      <c r="J303" t="inlineStr">
        <is>
          <t>0</t>
        </is>
      </c>
      <c r="K303" t="inlineStr">
        <is>
          <t>Canary, Robert H.</t>
        </is>
      </c>
      <c r="L303" t="inlineStr">
        <is>
          <t>New York, Twayne Publishers [1974]</t>
        </is>
      </c>
      <c r="M303" t="inlineStr">
        <is>
          <t>1974</t>
        </is>
      </c>
      <c r="O303" t="inlineStr">
        <is>
          <t>eng</t>
        </is>
      </c>
      <c r="P303" t="inlineStr">
        <is>
          <t>nyu</t>
        </is>
      </c>
      <c r="Q303" t="inlineStr">
        <is>
          <t>Twayne's United States authors series ; TUSAS 266 [i.e. 226]</t>
        </is>
      </c>
      <c r="R303" t="inlineStr">
        <is>
          <t xml:space="preserve">E  </t>
        </is>
      </c>
      <c r="S303" t="n">
        <v>3</v>
      </c>
      <c r="T303" t="n">
        <v>3</v>
      </c>
      <c r="U303" t="inlineStr">
        <is>
          <t>1997-09-30</t>
        </is>
      </c>
      <c r="V303" t="inlineStr">
        <is>
          <t>1997-09-30</t>
        </is>
      </c>
      <c r="W303" t="inlineStr">
        <is>
          <t>1997-04-04</t>
        </is>
      </c>
      <c r="X303" t="inlineStr">
        <is>
          <t>1997-04-04</t>
        </is>
      </c>
      <c r="Y303" t="n">
        <v>819</v>
      </c>
      <c r="Z303" t="n">
        <v>736</v>
      </c>
      <c r="AA303" t="n">
        <v>750</v>
      </c>
      <c r="AB303" t="n">
        <v>9</v>
      </c>
      <c r="AC303" t="n">
        <v>9</v>
      </c>
      <c r="AD303" t="n">
        <v>39</v>
      </c>
      <c r="AE303" t="n">
        <v>39</v>
      </c>
      <c r="AF303" t="n">
        <v>13</v>
      </c>
      <c r="AG303" t="n">
        <v>13</v>
      </c>
      <c r="AH303" t="n">
        <v>7</v>
      </c>
      <c r="AI303" t="n">
        <v>7</v>
      </c>
      <c r="AJ303" t="n">
        <v>20</v>
      </c>
      <c r="AK303" t="n">
        <v>20</v>
      </c>
      <c r="AL303" t="n">
        <v>8</v>
      </c>
      <c r="AM303" t="n">
        <v>8</v>
      </c>
      <c r="AN303" t="n">
        <v>0</v>
      </c>
      <c r="AO303" t="n">
        <v>0</v>
      </c>
      <c r="AP303" t="inlineStr">
        <is>
          <t>No</t>
        </is>
      </c>
      <c r="AQ303" t="inlineStr">
        <is>
          <t>Yes</t>
        </is>
      </c>
      <c r="AR303">
        <f>HYPERLINK("http://catalog.hathitrust.org/Record/000014187","HathiTrust Record")</f>
        <v/>
      </c>
      <c r="AS303">
        <f>HYPERLINK("https://creighton-primo.hosted.exlibrisgroup.com/primo-explore/search?tab=default_tab&amp;search_scope=EVERYTHING&amp;vid=01CRU&amp;lang=en_US&amp;offset=0&amp;query=any,contains,991003331229702656","Catalog Record")</f>
        <v/>
      </c>
      <c r="AT303">
        <f>HYPERLINK("http://www.worldcat.org/oclc/862184","WorldCat Record")</f>
        <v/>
      </c>
      <c r="AU303" t="inlineStr">
        <is>
          <t>1827987:eng</t>
        </is>
      </c>
      <c r="AV303" t="inlineStr">
        <is>
          <t>862184</t>
        </is>
      </c>
      <c r="AW303" t="inlineStr">
        <is>
          <t>991003331229702656</t>
        </is>
      </c>
      <c r="AX303" t="inlineStr">
        <is>
          <t>991003331229702656</t>
        </is>
      </c>
      <c r="AY303" t="inlineStr">
        <is>
          <t>2262397090002656</t>
        </is>
      </c>
      <c r="AZ303" t="inlineStr">
        <is>
          <t>BOOK</t>
        </is>
      </c>
      <c r="BB303" t="inlineStr">
        <is>
          <t>9780805700343</t>
        </is>
      </c>
      <c r="BC303" t="inlineStr">
        <is>
          <t>32285002502937</t>
        </is>
      </c>
      <c r="BD303" t="inlineStr">
        <is>
          <t>893505480</t>
        </is>
      </c>
    </row>
    <row r="304">
      <c r="A304" t="inlineStr">
        <is>
          <t>No</t>
        </is>
      </c>
      <c r="B304" t="inlineStr">
        <is>
          <t>E175.5 .B196</t>
        </is>
      </c>
      <c r="C304" t="inlineStr">
        <is>
          <t>0                      E  0175500B  196</t>
        </is>
      </c>
      <c r="D304" t="inlineStr">
        <is>
          <t>George Bancroft, Brahmin rebel, by Russell B. Nye.</t>
        </is>
      </c>
      <c r="F304" t="inlineStr">
        <is>
          <t>No</t>
        </is>
      </c>
      <c r="G304" t="inlineStr">
        <is>
          <t>1</t>
        </is>
      </c>
      <c r="H304" t="inlineStr">
        <is>
          <t>No</t>
        </is>
      </c>
      <c r="I304" t="inlineStr">
        <is>
          <t>No</t>
        </is>
      </c>
      <c r="J304" t="inlineStr">
        <is>
          <t>0</t>
        </is>
      </c>
      <c r="K304" t="inlineStr">
        <is>
          <t>Nye, Russel B. (Russel Blaine), 1913-1993.</t>
        </is>
      </c>
      <c r="L304" t="inlineStr">
        <is>
          <t>New York, A. A. Knopf, 1944.</t>
        </is>
      </c>
      <c r="M304" t="inlineStr">
        <is>
          <t>1944</t>
        </is>
      </c>
      <c r="O304" t="inlineStr">
        <is>
          <t>eng</t>
        </is>
      </c>
      <c r="P304" t="inlineStr">
        <is>
          <t>nyu</t>
        </is>
      </c>
      <c r="R304" t="inlineStr">
        <is>
          <t xml:space="preserve">E  </t>
        </is>
      </c>
      <c r="S304" t="n">
        <v>3</v>
      </c>
      <c r="T304" t="n">
        <v>3</v>
      </c>
      <c r="U304" t="inlineStr">
        <is>
          <t>2002-07-10</t>
        </is>
      </c>
      <c r="V304" t="inlineStr">
        <is>
          <t>2002-07-10</t>
        </is>
      </c>
      <c r="W304" t="inlineStr">
        <is>
          <t>1997-04-04</t>
        </is>
      </c>
      <c r="X304" t="inlineStr">
        <is>
          <t>1997-04-04</t>
        </is>
      </c>
      <c r="Y304" t="n">
        <v>756</v>
      </c>
      <c r="Z304" t="n">
        <v>711</v>
      </c>
      <c r="AA304" t="n">
        <v>845</v>
      </c>
      <c r="AB304" t="n">
        <v>7</v>
      </c>
      <c r="AC304" t="n">
        <v>8</v>
      </c>
      <c r="AD304" t="n">
        <v>40</v>
      </c>
      <c r="AE304" t="n">
        <v>45</v>
      </c>
      <c r="AF304" t="n">
        <v>16</v>
      </c>
      <c r="AG304" t="n">
        <v>18</v>
      </c>
      <c r="AH304" t="n">
        <v>8</v>
      </c>
      <c r="AI304" t="n">
        <v>8</v>
      </c>
      <c r="AJ304" t="n">
        <v>21</v>
      </c>
      <c r="AK304" t="n">
        <v>23</v>
      </c>
      <c r="AL304" t="n">
        <v>6</v>
      </c>
      <c r="AM304" t="n">
        <v>7</v>
      </c>
      <c r="AN304" t="n">
        <v>2</v>
      </c>
      <c r="AO304" t="n">
        <v>2</v>
      </c>
      <c r="AP304" t="inlineStr">
        <is>
          <t>No</t>
        </is>
      </c>
      <c r="AQ304" t="inlineStr">
        <is>
          <t>Yes</t>
        </is>
      </c>
      <c r="AR304">
        <f>HYPERLINK("http://catalog.hathitrust.org/Record/000331110","HathiTrust Record")</f>
        <v/>
      </c>
      <c r="AS304">
        <f>HYPERLINK("https://creighton-primo.hosted.exlibrisgroup.com/primo-explore/search?tab=default_tab&amp;search_scope=EVERYTHING&amp;vid=01CRU&amp;lang=en_US&amp;offset=0&amp;query=any,contains,991002740059702656","Catalog Record")</f>
        <v/>
      </c>
      <c r="AT304">
        <f>HYPERLINK("http://www.worldcat.org/oclc/420715","WorldCat Record")</f>
        <v/>
      </c>
      <c r="AU304" t="inlineStr">
        <is>
          <t>138913620:eng</t>
        </is>
      </c>
      <c r="AV304" t="inlineStr">
        <is>
          <t>420715</t>
        </is>
      </c>
      <c r="AW304" t="inlineStr">
        <is>
          <t>991002740059702656</t>
        </is>
      </c>
      <c r="AX304" t="inlineStr">
        <is>
          <t>991002740059702656</t>
        </is>
      </c>
      <c r="AY304" t="inlineStr">
        <is>
          <t>2270738950002656</t>
        </is>
      </c>
      <c r="AZ304" t="inlineStr">
        <is>
          <t>BOOK</t>
        </is>
      </c>
      <c r="BC304" t="inlineStr">
        <is>
          <t>32285002502945</t>
        </is>
      </c>
      <c r="BD304" t="inlineStr">
        <is>
          <t>893262447</t>
        </is>
      </c>
    </row>
    <row r="305">
      <c r="A305" t="inlineStr">
        <is>
          <t>No</t>
        </is>
      </c>
      <c r="B305" t="inlineStr">
        <is>
          <t>E175.5 .B382</t>
        </is>
      </c>
      <c r="C305" t="inlineStr">
        <is>
          <t>0                      E  0175500B  382</t>
        </is>
      </c>
      <c r="D305" t="inlineStr">
        <is>
          <t>The political and social thought of Charles A. Beard.</t>
        </is>
      </c>
      <c r="F305" t="inlineStr">
        <is>
          <t>No</t>
        </is>
      </c>
      <c r="G305" t="inlineStr">
        <is>
          <t>1</t>
        </is>
      </c>
      <c r="H305" t="inlineStr">
        <is>
          <t>No</t>
        </is>
      </c>
      <c r="I305" t="inlineStr">
        <is>
          <t>No</t>
        </is>
      </c>
      <c r="J305" t="inlineStr">
        <is>
          <t>0</t>
        </is>
      </c>
      <c r="K305" t="inlineStr">
        <is>
          <t>Borning, Bernard C.</t>
        </is>
      </c>
      <c r="L305" t="inlineStr">
        <is>
          <t>Seattle : University of Washington Press, 1962.</t>
        </is>
      </c>
      <c r="M305" t="inlineStr">
        <is>
          <t>1962</t>
        </is>
      </c>
      <c r="O305" t="inlineStr">
        <is>
          <t>eng</t>
        </is>
      </c>
      <c r="P305" t="inlineStr">
        <is>
          <t>wau</t>
        </is>
      </c>
      <c r="R305" t="inlineStr">
        <is>
          <t xml:space="preserve">E  </t>
        </is>
      </c>
      <c r="S305" t="n">
        <v>8</v>
      </c>
      <c r="T305" t="n">
        <v>8</v>
      </c>
      <c r="U305" t="inlineStr">
        <is>
          <t>2005-10-13</t>
        </is>
      </c>
      <c r="V305" t="inlineStr">
        <is>
          <t>2005-10-13</t>
        </is>
      </c>
      <c r="W305" t="inlineStr">
        <is>
          <t>1994-11-16</t>
        </is>
      </c>
      <c r="X305" t="inlineStr">
        <is>
          <t>1994-11-16</t>
        </is>
      </c>
      <c r="Y305" t="n">
        <v>878</v>
      </c>
      <c r="Z305" t="n">
        <v>800</v>
      </c>
      <c r="AA305" t="n">
        <v>838</v>
      </c>
      <c r="AB305" t="n">
        <v>8</v>
      </c>
      <c r="AC305" t="n">
        <v>8</v>
      </c>
      <c r="AD305" t="n">
        <v>39</v>
      </c>
      <c r="AE305" t="n">
        <v>39</v>
      </c>
      <c r="AF305" t="n">
        <v>13</v>
      </c>
      <c r="AG305" t="n">
        <v>13</v>
      </c>
      <c r="AH305" t="n">
        <v>10</v>
      </c>
      <c r="AI305" t="n">
        <v>10</v>
      </c>
      <c r="AJ305" t="n">
        <v>19</v>
      </c>
      <c r="AK305" t="n">
        <v>19</v>
      </c>
      <c r="AL305" t="n">
        <v>7</v>
      </c>
      <c r="AM305" t="n">
        <v>7</v>
      </c>
      <c r="AN305" t="n">
        <v>1</v>
      </c>
      <c r="AO305" t="n">
        <v>1</v>
      </c>
      <c r="AP305" t="inlineStr">
        <is>
          <t>No</t>
        </is>
      </c>
      <c r="AQ305" t="inlineStr">
        <is>
          <t>No</t>
        </is>
      </c>
      <c r="AR305">
        <f>HYPERLINK("http://catalog.hathitrust.org/Record/000331133","HathiTrust Record")</f>
        <v/>
      </c>
      <c r="AS305">
        <f>HYPERLINK("https://creighton-primo.hosted.exlibrisgroup.com/primo-explore/search?tab=default_tab&amp;search_scope=EVERYTHING&amp;vid=01CRU&amp;lang=en_US&amp;offset=0&amp;query=any,contains,991001070889702656","Catalog Record")</f>
        <v/>
      </c>
      <c r="AT305">
        <f>HYPERLINK("http://www.worldcat.org/oclc/178766","WorldCat Record")</f>
        <v/>
      </c>
      <c r="AU305" t="inlineStr">
        <is>
          <t>1317455:eng</t>
        </is>
      </c>
      <c r="AV305" t="inlineStr">
        <is>
          <t>178766</t>
        </is>
      </c>
      <c r="AW305" t="inlineStr">
        <is>
          <t>991001070889702656</t>
        </is>
      </c>
      <c r="AX305" t="inlineStr">
        <is>
          <t>991001070889702656</t>
        </is>
      </c>
      <c r="AY305" t="inlineStr">
        <is>
          <t>2264365960002656</t>
        </is>
      </c>
      <c r="AZ305" t="inlineStr">
        <is>
          <t>BOOK</t>
        </is>
      </c>
      <c r="BC305" t="inlineStr">
        <is>
          <t>32285001967131</t>
        </is>
      </c>
      <c r="BD305" t="inlineStr">
        <is>
          <t>893696434</t>
        </is>
      </c>
    </row>
    <row r="306">
      <c r="A306" t="inlineStr">
        <is>
          <t>No</t>
        </is>
      </c>
      <c r="B306" t="inlineStr">
        <is>
          <t>E175.5 .B385</t>
        </is>
      </c>
      <c r="C306" t="inlineStr">
        <is>
          <t>0                      E  0175500B  385</t>
        </is>
      </c>
      <c r="D306" t="inlineStr">
        <is>
          <t>Charles A. Beard and American foreign policy / Thomas C. Kennedy.</t>
        </is>
      </c>
      <c r="F306" t="inlineStr">
        <is>
          <t>No</t>
        </is>
      </c>
      <c r="G306" t="inlineStr">
        <is>
          <t>1</t>
        </is>
      </c>
      <c r="H306" t="inlineStr">
        <is>
          <t>No</t>
        </is>
      </c>
      <c r="I306" t="inlineStr">
        <is>
          <t>No</t>
        </is>
      </c>
      <c r="J306" t="inlineStr">
        <is>
          <t>0</t>
        </is>
      </c>
      <c r="K306" t="inlineStr">
        <is>
          <t>Kennedy, Thomas C., 1932-</t>
        </is>
      </c>
      <c r="L306" t="inlineStr">
        <is>
          <t>Gainesville : University Presses of Florida, 1975.</t>
        </is>
      </c>
      <c r="M306" t="inlineStr">
        <is>
          <t>1975</t>
        </is>
      </c>
      <c r="O306" t="inlineStr">
        <is>
          <t>eng</t>
        </is>
      </c>
      <c r="P306" t="inlineStr">
        <is>
          <t>flu</t>
        </is>
      </c>
      <c r="R306" t="inlineStr">
        <is>
          <t xml:space="preserve">E  </t>
        </is>
      </c>
      <c r="S306" t="n">
        <v>5</v>
      </c>
      <c r="T306" t="n">
        <v>5</v>
      </c>
      <c r="U306" t="inlineStr">
        <is>
          <t>1999-10-21</t>
        </is>
      </c>
      <c r="V306" t="inlineStr">
        <is>
          <t>1999-10-21</t>
        </is>
      </c>
      <c r="W306" t="inlineStr">
        <is>
          <t>1991-01-08</t>
        </is>
      </c>
      <c r="X306" t="inlineStr">
        <is>
          <t>1991-01-08</t>
        </is>
      </c>
      <c r="Y306" t="n">
        <v>472</v>
      </c>
      <c r="Z306" t="n">
        <v>407</v>
      </c>
      <c r="AA306" t="n">
        <v>416</v>
      </c>
      <c r="AB306" t="n">
        <v>3</v>
      </c>
      <c r="AC306" t="n">
        <v>3</v>
      </c>
      <c r="AD306" t="n">
        <v>21</v>
      </c>
      <c r="AE306" t="n">
        <v>21</v>
      </c>
      <c r="AF306" t="n">
        <v>6</v>
      </c>
      <c r="AG306" t="n">
        <v>6</v>
      </c>
      <c r="AH306" t="n">
        <v>7</v>
      </c>
      <c r="AI306" t="n">
        <v>7</v>
      </c>
      <c r="AJ306" t="n">
        <v>12</v>
      </c>
      <c r="AK306" t="n">
        <v>12</v>
      </c>
      <c r="AL306" t="n">
        <v>2</v>
      </c>
      <c r="AM306" t="n">
        <v>2</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HYPERLINK("https://creighton-primo.hosted.exlibrisgroup.com/primo-explore/search?tab=default_tab&amp;search_scope=EVERYTHING&amp;vid=01CRU&amp;lang=en_US&amp;offset=0&amp;query=any,contains,991003593079702656","Catalog Record")</f>
        <v/>
      </c>
      <c r="AT306">
        <f>HYPERLINK("http://www.worldcat.org/oclc/1175346","WorldCat Record")</f>
        <v/>
      </c>
      <c r="AU306" t="inlineStr">
        <is>
          <t>293507099:eng</t>
        </is>
      </c>
      <c r="AV306" t="inlineStr">
        <is>
          <t>1175346</t>
        </is>
      </c>
      <c r="AW306" t="inlineStr">
        <is>
          <t>991003593079702656</t>
        </is>
      </c>
      <c r="AX306" t="inlineStr">
        <is>
          <t>991003593079702656</t>
        </is>
      </c>
      <c r="AY306" t="inlineStr">
        <is>
          <t>2271854400002656</t>
        </is>
      </c>
      <c r="AZ306" t="inlineStr">
        <is>
          <t>BOOK</t>
        </is>
      </c>
      <c r="BB306" t="inlineStr">
        <is>
          <t>9780813003542</t>
        </is>
      </c>
      <c r="BC306" t="inlineStr">
        <is>
          <t>32285000424571</t>
        </is>
      </c>
      <c r="BD306" t="inlineStr">
        <is>
          <t>893234320</t>
        </is>
      </c>
    </row>
    <row r="307">
      <c r="A307" t="inlineStr">
        <is>
          <t>No</t>
        </is>
      </c>
      <c r="B307" t="inlineStr">
        <is>
          <t>E175.5 .F545</t>
        </is>
      </c>
      <c r="C307" t="inlineStr">
        <is>
          <t>0                      E  0175500F  545</t>
        </is>
      </c>
      <c r="D307" t="inlineStr">
        <is>
          <t>John Fiske, by George P. Winston.</t>
        </is>
      </c>
      <c r="F307" t="inlineStr">
        <is>
          <t>No</t>
        </is>
      </c>
      <c r="G307" t="inlineStr">
        <is>
          <t>1</t>
        </is>
      </c>
      <c r="H307" t="inlineStr">
        <is>
          <t>No</t>
        </is>
      </c>
      <c r="I307" t="inlineStr">
        <is>
          <t>No</t>
        </is>
      </c>
      <c r="J307" t="inlineStr">
        <is>
          <t>0</t>
        </is>
      </c>
      <c r="K307" t="inlineStr">
        <is>
          <t>Winston, George Parsons, 1918-</t>
        </is>
      </c>
      <c r="L307" t="inlineStr">
        <is>
          <t>New York, Twayne Publishers [1972]</t>
        </is>
      </c>
      <c r="M307" t="inlineStr">
        <is>
          <t>1972</t>
        </is>
      </c>
      <c r="O307" t="inlineStr">
        <is>
          <t>eng</t>
        </is>
      </c>
      <c r="P307" t="inlineStr">
        <is>
          <t>nyu</t>
        </is>
      </c>
      <c r="Q307" t="inlineStr">
        <is>
          <t>Twayne's United States authors series ; TUSAS 197</t>
        </is>
      </c>
      <c r="R307" t="inlineStr">
        <is>
          <t xml:space="preserve">E  </t>
        </is>
      </c>
      <c r="S307" t="n">
        <v>1</v>
      </c>
      <c r="T307" t="n">
        <v>1</v>
      </c>
      <c r="U307" t="inlineStr">
        <is>
          <t>2002-07-09</t>
        </is>
      </c>
      <c r="V307" t="inlineStr">
        <is>
          <t>2002-07-09</t>
        </is>
      </c>
      <c r="W307" t="inlineStr">
        <is>
          <t>1997-04-04</t>
        </is>
      </c>
      <c r="X307" t="inlineStr">
        <is>
          <t>1997-04-04</t>
        </is>
      </c>
      <c r="Y307" t="n">
        <v>673</v>
      </c>
      <c r="Z307" t="n">
        <v>597</v>
      </c>
      <c r="AA307" t="n">
        <v>604</v>
      </c>
      <c r="AB307" t="n">
        <v>6</v>
      </c>
      <c r="AC307" t="n">
        <v>6</v>
      </c>
      <c r="AD307" t="n">
        <v>29</v>
      </c>
      <c r="AE307" t="n">
        <v>29</v>
      </c>
      <c r="AF307" t="n">
        <v>9</v>
      </c>
      <c r="AG307" t="n">
        <v>9</v>
      </c>
      <c r="AH307" t="n">
        <v>7</v>
      </c>
      <c r="AI307" t="n">
        <v>7</v>
      </c>
      <c r="AJ307" t="n">
        <v>15</v>
      </c>
      <c r="AK307" t="n">
        <v>15</v>
      </c>
      <c r="AL307" t="n">
        <v>5</v>
      </c>
      <c r="AM307" t="n">
        <v>5</v>
      </c>
      <c r="AN307" t="n">
        <v>0</v>
      </c>
      <c r="AO307" t="n">
        <v>0</v>
      </c>
      <c r="AP307" t="inlineStr">
        <is>
          <t>No</t>
        </is>
      </c>
      <c r="AQ307" t="inlineStr">
        <is>
          <t>Yes</t>
        </is>
      </c>
      <c r="AR307">
        <f>HYPERLINK("http://catalog.hathitrust.org/Record/000330582","HathiTrust Record")</f>
        <v/>
      </c>
      <c r="AS307">
        <f>HYPERLINK("https://creighton-primo.hosted.exlibrisgroup.com/primo-explore/search?tab=default_tab&amp;search_scope=EVERYTHING&amp;vid=01CRU&amp;lang=en_US&amp;offset=0&amp;query=any,contains,991002865729702656","Catalog Record")</f>
        <v/>
      </c>
      <c r="AT307">
        <f>HYPERLINK("http://www.worldcat.org/oclc/495530","WorldCat Record")</f>
        <v/>
      </c>
      <c r="AU307" t="inlineStr">
        <is>
          <t>118664009:eng</t>
        </is>
      </c>
      <c r="AV307" t="inlineStr">
        <is>
          <t>495530</t>
        </is>
      </c>
      <c r="AW307" t="inlineStr">
        <is>
          <t>991002865729702656</t>
        </is>
      </c>
      <c r="AX307" t="inlineStr">
        <is>
          <t>991002865729702656</t>
        </is>
      </c>
      <c r="AY307" t="inlineStr">
        <is>
          <t>2256738780002656</t>
        </is>
      </c>
      <c r="AZ307" t="inlineStr">
        <is>
          <t>BOOK</t>
        </is>
      </c>
      <c r="BC307" t="inlineStr">
        <is>
          <t>32285002502986</t>
        </is>
      </c>
      <c r="BD307" t="inlineStr">
        <is>
          <t>893904126</t>
        </is>
      </c>
    </row>
    <row r="308">
      <c r="A308" t="inlineStr">
        <is>
          <t>No</t>
        </is>
      </c>
      <c r="B308" t="inlineStr">
        <is>
          <t>E175.5 .P202</t>
        </is>
      </c>
      <c r="C308" t="inlineStr">
        <is>
          <t>0                      E  0175500P  202</t>
        </is>
      </c>
      <c r="D308" t="inlineStr">
        <is>
          <t>The journals of Francis Parkman / ed. by Mason Wade.</t>
        </is>
      </c>
      <c r="F308" t="inlineStr">
        <is>
          <t>Yes</t>
        </is>
      </c>
      <c r="G308" t="inlineStr">
        <is>
          <t>1</t>
        </is>
      </c>
      <c r="H308" t="inlineStr">
        <is>
          <t>No</t>
        </is>
      </c>
      <c r="I308" t="inlineStr">
        <is>
          <t>No</t>
        </is>
      </c>
      <c r="J308" t="inlineStr">
        <is>
          <t>0</t>
        </is>
      </c>
      <c r="K308" t="inlineStr">
        <is>
          <t>Parkman, Francis, 1823-1893.</t>
        </is>
      </c>
      <c r="L308" t="inlineStr">
        <is>
          <t>New York : Harper. New York : Kraus Reprint Co. 1969, c1947.</t>
        </is>
      </c>
      <c r="M308" t="inlineStr">
        <is>
          <t>1947</t>
        </is>
      </c>
      <c r="N308" t="inlineStr">
        <is>
          <t>[1st ed.]</t>
        </is>
      </c>
      <c r="O308" t="inlineStr">
        <is>
          <t>eng</t>
        </is>
      </c>
      <c r="P308" t="inlineStr">
        <is>
          <t>nyu</t>
        </is>
      </c>
      <c r="R308" t="inlineStr">
        <is>
          <t xml:space="preserve">E  </t>
        </is>
      </c>
      <c r="S308" t="n">
        <v>1</v>
      </c>
      <c r="T308" t="n">
        <v>1</v>
      </c>
      <c r="U308" t="inlineStr">
        <is>
          <t>1997-10-29</t>
        </is>
      </c>
      <c r="V308" t="inlineStr">
        <is>
          <t>1997-10-29</t>
        </is>
      </c>
      <c r="W308" t="inlineStr">
        <is>
          <t>1991-01-08</t>
        </is>
      </c>
      <c r="X308" t="inlineStr">
        <is>
          <t>1991-01-08</t>
        </is>
      </c>
      <c r="Y308" t="n">
        <v>888</v>
      </c>
      <c r="Z308" t="n">
        <v>829</v>
      </c>
      <c r="AA308" t="n">
        <v>834</v>
      </c>
      <c r="AB308" t="n">
        <v>9</v>
      </c>
      <c r="AC308" t="n">
        <v>9</v>
      </c>
      <c r="AD308" t="n">
        <v>43</v>
      </c>
      <c r="AE308" t="n">
        <v>43</v>
      </c>
      <c r="AF308" t="n">
        <v>13</v>
      </c>
      <c r="AG308" t="n">
        <v>13</v>
      </c>
      <c r="AH308" t="n">
        <v>10</v>
      </c>
      <c r="AI308" t="n">
        <v>10</v>
      </c>
      <c r="AJ308" t="n">
        <v>21</v>
      </c>
      <c r="AK308" t="n">
        <v>21</v>
      </c>
      <c r="AL308" t="n">
        <v>7</v>
      </c>
      <c r="AM308" t="n">
        <v>7</v>
      </c>
      <c r="AN308" t="n">
        <v>2</v>
      </c>
      <c r="AO308" t="n">
        <v>2</v>
      </c>
      <c r="AP308" t="inlineStr">
        <is>
          <t>No</t>
        </is>
      </c>
      <c r="AQ308" t="inlineStr">
        <is>
          <t>Yes</t>
        </is>
      </c>
      <c r="AR308">
        <f>HYPERLINK("http://catalog.hathitrust.org/Record/000665115","HathiTrust Record")</f>
        <v/>
      </c>
      <c r="AS308">
        <f>HYPERLINK("https://creighton-primo.hosted.exlibrisgroup.com/primo-explore/search?tab=default_tab&amp;search_scope=EVERYTHING&amp;vid=01CRU&amp;lang=en_US&amp;offset=0&amp;query=any,contains,991003862489702656","Catalog Record")</f>
        <v/>
      </c>
      <c r="AT308">
        <f>HYPERLINK("http://www.worldcat.org/oclc/241874","WorldCat Record")</f>
        <v/>
      </c>
      <c r="AU308" t="inlineStr">
        <is>
          <t>10252679574:eng</t>
        </is>
      </c>
      <c r="AV308" t="inlineStr">
        <is>
          <t>241874</t>
        </is>
      </c>
      <c r="AW308" t="inlineStr">
        <is>
          <t>991003862489702656</t>
        </is>
      </c>
      <c r="AX308" t="inlineStr">
        <is>
          <t>991003862489702656</t>
        </is>
      </c>
      <c r="AY308" t="inlineStr">
        <is>
          <t>2265803770002656</t>
        </is>
      </c>
      <c r="AZ308" t="inlineStr">
        <is>
          <t>BOOK</t>
        </is>
      </c>
      <c r="BC308" t="inlineStr">
        <is>
          <t>32285000424605</t>
        </is>
      </c>
      <c r="BD308" t="inlineStr">
        <is>
          <t>893535670</t>
        </is>
      </c>
    </row>
    <row r="309">
      <c r="A309" t="inlineStr">
        <is>
          <t>No</t>
        </is>
      </c>
      <c r="B309" t="inlineStr">
        <is>
          <t>E175.5 .P212</t>
        </is>
      </c>
      <c r="C309" t="inlineStr">
        <is>
          <t>0                      E  0175500P  212</t>
        </is>
      </c>
      <c r="D309" t="inlineStr">
        <is>
          <t>Francis Parkman.</t>
        </is>
      </c>
      <c r="F309" t="inlineStr">
        <is>
          <t>No</t>
        </is>
      </c>
      <c r="G309" t="inlineStr">
        <is>
          <t>1</t>
        </is>
      </c>
      <c r="H309" t="inlineStr">
        <is>
          <t>No</t>
        </is>
      </c>
      <c r="I309" t="inlineStr">
        <is>
          <t>No</t>
        </is>
      </c>
      <c r="J309" t="inlineStr">
        <is>
          <t>0</t>
        </is>
      </c>
      <c r="K309" t="inlineStr">
        <is>
          <t>Doughty, Howard, 1904-</t>
        </is>
      </c>
      <c r="L309" t="inlineStr">
        <is>
          <t>New York, Macmillan, 1962.</t>
        </is>
      </c>
      <c r="M309" t="inlineStr">
        <is>
          <t>1962</t>
        </is>
      </c>
      <c r="O309" t="inlineStr">
        <is>
          <t>eng</t>
        </is>
      </c>
      <c r="P309" t="inlineStr">
        <is>
          <t>nyu</t>
        </is>
      </c>
      <c r="R309" t="inlineStr">
        <is>
          <t xml:space="preserve">E  </t>
        </is>
      </c>
      <c r="S309" t="n">
        <v>1</v>
      </c>
      <c r="T309" t="n">
        <v>1</v>
      </c>
      <c r="U309" t="inlineStr">
        <is>
          <t>1997-10-29</t>
        </is>
      </c>
      <c r="V309" t="inlineStr">
        <is>
          <t>1997-10-29</t>
        </is>
      </c>
      <c r="W309" t="inlineStr">
        <is>
          <t>1997-04-04</t>
        </is>
      </c>
      <c r="X309" t="inlineStr">
        <is>
          <t>1997-04-04</t>
        </is>
      </c>
      <c r="Y309" t="n">
        <v>775</v>
      </c>
      <c r="Z309" t="n">
        <v>701</v>
      </c>
      <c r="AA309" t="n">
        <v>850</v>
      </c>
      <c r="AB309" t="n">
        <v>6</v>
      </c>
      <c r="AC309" t="n">
        <v>9</v>
      </c>
      <c r="AD309" t="n">
        <v>32</v>
      </c>
      <c r="AE309" t="n">
        <v>43</v>
      </c>
      <c r="AF309" t="n">
        <v>11</v>
      </c>
      <c r="AG309" t="n">
        <v>17</v>
      </c>
      <c r="AH309" t="n">
        <v>5</v>
      </c>
      <c r="AI309" t="n">
        <v>8</v>
      </c>
      <c r="AJ309" t="n">
        <v>17</v>
      </c>
      <c r="AK309" t="n">
        <v>20</v>
      </c>
      <c r="AL309" t="n">
        <v>5</v>
      </c>
      <c r="AM309" t="n">
        <v>8</v>
      </c>
      <c r="AN309" t="n">
        <v>0</v>
      </c>
      <c r="AO309" t="n">
        <v>0</v>
      </c>
      <c r="AP309" t="inlineStr">
        <is>
          <t>No</t>
        </is>
      </c>
      <c r="AQ309" t="inlineStr">
        <is>
          <t>Yes</t>
        </is>
      </c>
      <c r="AR309">
        <f>HYPERLINK("http://catalog.hathitrust.org/Record/000330703","HathiTrust Record")</f>
        <v/>
      </c>
      <c r="AS309">
        <f>HYPERLINK("https://creighton-primo.hosted.exlibrisgroup.com/primo-explore/search?tab=default_tab&amp;search_scope=EVERYTHING&amp;vid=01CRU&amp;lang=en_US&amp;offset=0&amp;query=any,contains,991002706649702656","Catalog Record")</f>
        <v/>
      </c>
      <c r="AT309">
        <f>HYPERLINK("http://www.worldcat.org/oclc/407265","WorldCat Record")</f>
        <v/>
      </c>
      <c r="AU309" t="inlineStr">
        <is>
          <t>16617329:eng</t>
        </is>
      </c>
      <c r="AV309" t="inlineStr">
        <is>
          <t>407265</t>
        </is>
      </c>
      <c r="AW309" t="inlineStr">
        <is>
          <t>991002706649702656</t>
        </is>
      </c>
      <c r="AX309" t="inlineStr">
        <is>
          <t>991002706649702656</t>
        </is>
      </c>
      <c r="AY309" t="inlineStr">
        <is>
          <t>2261746920002656</t>
        </is>
      </c>
      <c r="AZ309" t="inlineStr">
        <is>
          <t>BOOK</t>
        </is>
      </c>
      <c r="BC309" t="inlineStr">
        <is>
          <t>32285002503018</t>
        </is>
      </c>
      <c r="BD309" t="inlineStr">
        <is>
          <t>893415548</t>
        </is>
      </c>
    </row>
    <row r="310">
      <c r="A310" t="inlineStr">
        <is>
          <t>No</t>
        </is>
      </c>
      <c r="B310" t="inlineStr">
        <is>
          <t>E175.5 .P215</t>
        </is>
      </c>
      <c r="C310" t="inlineStr">
        <is>
          <t>0                      E  0175500P  215</t>
        </is>
      </c>
      <c r="D310" t="inlineStr">
        <is>
          <t>A life of Francis Parkman.</t>
        </is>
      </c>
      <c r="F310" t="inlineStr">
        <is>
          <t>No</t>
        </is>
      </c>
      <c r="G310" t="inlineStr">
        <is>
          <t>1</t>
        </is>
      </c>
      <c r="H310" t="inlineStr">
        <is>
          <t>No</t>
        </is>
      </c>
      <c r="I310" t="inlineStr">
        <is>
          <t>No</t>
        </is>
      </c>
      <c r="J310" t="inlineStr">
        <is>
          <t>0</t>
        </is>
      </c>
      <c r="K310" t="inlineStr">
        <is>
          <t>Farnham, Charles Haight, 1841-1929.</t>
        </is>
      </c>
      <c r="L310" t="inlineStr">
        <is>
          <t>Boston, Little, Brown and company [c1900]</t>
        </is>
      </c>
      <c r="M310" t="inlineStr">
        <is>
          <t>1900</t>
        </is>
      </c>
      <c r="O310" t="inlineStr">
        <is>
          <t>eng</t>
        </is>
      </c>
      <c r="P310" t="inlineStr">
        <is>
          <t xml:space="preserve">xx </t>
        </is>
      </c>
      <c r="R310" t="inlineStr">
        <is>
          <t xml:space="preserve">E  </t>
        </is>
      </c>
      <c r="S310" t="n">
        <v>2</v>
      </c>
      <c r="T310" t="n">
        <v>2</v>
      </c>
      <c r="U310" t="inlineStr">
        <is>
          <t>2003-11-04</t>
        </is>
      </c>
      <c r="V310" t="inlineStr">
        <is>
          <t>2003-11-04</t>
        </is>
      </c>
      <c r="W310" t="inlineStr">
        <is>
          <t>1997-04-04</t>
        </is>
      </c>
      <c r="X310" t="inlineStr">
        <is>
          <t>1997-04-04</t>
        </is>
      </c>
      <c r="Y310" t="n">
        <v>145</v>
      </c>
      <c r="Z310" t="n">
        <v>124</v>
      </c>
      <c r="AA310" t="n">
        <v>945</v>
      </c>
      <c r="AB310" t="n">
        <v>2</v>
      </c>
      <c r="AC310" t="n">
        <v>9</v>
      </c>
      <c r="AD310" t="n">
        <v>2</v>
      </c>
      <c r="AE310" t="n">
        <v>41</v>
      </c>
      <c r="AF310" t="n">
        <v>0</v>
      </c>
      <c r="AG310" t="n">
        <v>15</v>
      </c>
      <c r="AH310" t="n">
        <v>0</v>
      </c>
      <c r="AI310" t="n">
        <v>8</v>
      </c>
      <c r="AJ310" t="n">
        <v>1</v>
      </c>
      <c r="AK310" t="n">
        <v>24</v>
      </c>
      <c r="AL310" t="n">
        <v>1</v>
      </c>
      <c r="AM310" t="n">
        <v>6</v>
      </c>
      <c r="AN310" t="n">
        <v>0</v>
      </c>
      <c r="AO310" t="n">
        <v>0</v>
      </c>
      <c r="AP310" t="inlineStr">
        <is>
          <t>Yes</t>
        </is>
      </c>
      <c r="AQ310" t="inlineStr">
        <is>
          <t>No</t>
        </is>
      </c>
      <c r="AR310">
        <f>HYPERLINK("http://catalog.hathitrust.org/Record/009834138","HathiTrust Record")</f>
        <v/>
      </c>
      <c r="AS310">
        <f>HYPERLINK("https://creighton-primo.hosted.exlibrisgroup.com/primo-explore/search?tab=default_tab&amp;search_scope=EVERYTHING&amp;vid=01CRU&amp;lang=en_US&amp;offset=0&amp;query=any,contains,991002836069702656","Catalog Record")</f>
        <v/>
      </c>
      <c r="AT310">
        <f>HYPERLINK("http://www.worldcat.org/oclc/479984","WorldCat Record")</f>
        <v/>
      </c>
      <c r="AU310" t="inlineStr">
        <is>
          <t>1135065:eng</t>
        </is>
      </c>
      <c r="AV310" t="inlineStr">
        <is>
          <t>479984</t>
        </is>
      </c>
      <c r="AW310" t="inlineStr">
        <is>
          <t>991002836069702656</t>
        </is>
      </c>
      <c r="AX310" t="inlineStr">
        <is>
          <t>991002836069702656</t>
        </is>
      </c>
      <c r="AY310" t="inlineStr">
        <is>
          <t>2263751180002656</t>
        </is>
      </c>
      <c r="AZ310" t="inlineStr">
        <is>
          <t>BOOK</t>
        </is>
      </c>
      <c r="BC310" t="inlineStr">
        <is>
          <t>32285002503026</t>
        </is>
      </c>
      <c r="BD310" t="inlineStr">
        <is>
          <t>893535213</t>
        </is>
      </c>
    </row>
    <row r="311">
      <c r="A311" t="inlineStr">
        <is>
          <t>No</t>
        </is>
      </c>
      <c r="B311" t="inlineStr">
        <is>
          <t>E175.5 .P218</t>
        </is>
      </c>
      <c r="C311" t="inlineStr">
        <is>
          <t>0                      E  0175500P  218</t>
        </is>
      </c>
      <c r="D311" t="inlineStr">
        <is>
          <t>Francis Parkman, by Robert L. Gale.</t>
        </is>
      </c>
      <c r="F311" t="inlineStr">
        <is>
          <t>No</t>
        </is>
      </c>
      <c r="G311" t="inlineStr">
        <is>
          <t>1</t>
        </is>
      </c>
      <c r="H311" t="inlineStr">
        <is>
          <t>No</t>
        </is>
      </c>
      <c r="I311" t="inlineStr">
        <is>
          <t>No</t>
        </is>
      </c>
      <c r="J311" t="inlineStr">
        <is>
          <t>0</t>
        </is>
      </c>
      <c r="K311" t="inlineStr">
        <is>
          <t>Gale, Robert L., 1919-</t>
        </is>
      </c>
      <c r="L311" t="inlineStr">
        <is>
          <t>New York, Twayne Publishers, [c1973]</t>
        </is>
      </c>
      <c r="M311" t="inlineStr">
        <is>
          <t>1973</t>
        </is>
      </c>
      <c r="O311" t="inlineStr">
        <is>
          <t>eng</t>
        </is>
      </c>
      <c r="P311" t="inlineStr">
        <is>
          <t>nyu</t>
        </is>
      </c>
      <c r="Q311" t="inlineStr">
        <is>
          <t>Twayne's United States authors series ; TUSAS 220</t>
        </is>
      </c>
      <c r="R311" t="inlineStr">
        <is>
          <t xml:space="preserve">E  </t>
        </is>
      </c>
      <c r="S311" t="n">
        <v>1</v>
      </c>
      <c r="T311" t="n">
        <v>1</v>
      </c>
      <c r="U311" t="inlineStr">
        <is>
          <t>1997-10-29</t>
        </is>
      </c>
      <c r="V311" t="inlineStr">
        <is>
          <t>1997-10-29</t>
        </is>
      </c>
      <c r="W311" t="inlineStr">
        <is>
          <t>1997-04-04</t>
        </is>
      </c>
      <c r="X311" t="inlineStr">
        <is>
          <t>1997-04-04</t>
        </is>
      </c>
      <c r="Y311" t="n">
        <v>791</v>
      </c>
      <c r="Z311" t="n">
        <v>717</v>
      </c>
      <c r="AA311" t="n">
        <v>762</v>
      </c>
      <c r="AB311" t="n">
        <v>8</v>
      </c>
      <c r="AC311" t="n">
        <v>8</v>
      </c>
      <c r="AD311" t="n">
        <v>36</v>
      </c>
      <c r="AE311" t="n">
        <v>37</v>
      </c>
      <c r="AF311" t="n">
        <v>10</v>
      </c>
      <c r="AG311" t="n">
        <v>11</v>
      </c>
      <c r="AH311" t="n">
        <v>6</v>
      </c>
      <c r="AI311" t="n">
        <v>6</v>
      </c>
      <c r="AJ311" t="n">
        <v>19</v>
      </c>
      <c r="AK311" t="n">
        <v>20</v>
      </c>
      <c r="AL311" t="n">
        <v>7</v>
      </c>
      <c r="AM311" t="n">
        <v>7</v>
      </c>
      <c r="AN311" t="n">
        <v>1</v>
      </c>
      <c r="AO311" t="n">
        <v>1</v>
      </c>
      <c r="AP311" t="inlineStr">
        <is>
          <t>No</t>
        </is>
      </c>
      <c r="AQ311" t="inlineStr">
        <is>
          <t>Yes</t>
        </is>
      </c>
      <c r="AR311">
        <f>HYPERLINK("http://catalog.hathitrust.org/Record/000330705","HathiTrust Record")</f>
        <v/>
      </c>
      <c r="AS311">
        <f>HYPERLINK("https://creighton-primo.hosted.exlibrisgroup.com/primo-explore/search?tab=default_tab&amp;search_scope=EVERYTHING&amp;vid=01CRU&amp;lang=en_US&amp;offset=0&amp;query=any,contains,991003266449702656","Catalog Record")</f>
        <v/>
      </c>
      <c r="AT311">
        <f>HYPERLINK("http://www.worldcat.org/oclc/792915","WorldCat Record")</f>
        <v/>
      </c>
      <c r="AU311" t="inlineStr">
        <is>
          <t>118259934:eng</t>
        </is>
      </c>
      <c r="AV311" t="inlineStr">
        <is>
          <t>792915</t>
        </is>
      </c>
      <c r="AW311" t="inlineStr">
        <is>
          <t>991003266449702656</t>
        </is>
      </c>
      <c r="AX311" t="inlineStr">
        <is>
          <t>991003266449702656</t>
        </is>
      </c>
      <c r="AY311" t="inlineStr">
        <is>
          <t>2260709810002656</t>
        </is>
      </c>
      <c r="AZ311" t="inlineStr">
        <is>
          <t>BOOK</t>
        </is>
      </c>
      <c r="BB311" t="inlineStr">
        <is>
          <t>9780805705829</t>
        </is>
      </c>
      <c r="BC311" t="inlineStr">
        <is>
          <t>32285002503042</t>
        </is>
      </c>
      <c r="BD311" t="inlineStr">
        <is>
          <t>893233982</t>
        </is>
      </c>
    </row>
    <row r="312">
      <c r="A312" t="inlineStr">
        <is>
          <t>No</t>
        </is>
      </c>
      <c r="B312" t="inlineStr">
        <is>
          <t>E175.5 .P23 1968</t>
        </is>
      </c>
      <c r="C312" t="inlineStr">
        <is>
          <t>0                      E  0175500P  23          1968</t>
        </is>
      </c>
      <c r="D312" t="inlineStr">
        <is>
          <t>Parkman's history; the historian as literary artist [by] Otis A. Pease.</t>
        </is>
      </c>
      <c r="F312" t="inlineStr">
        <is>
          <t>No</t>
        </is>
      </c>
      <c r="G312" t="inlineStr">
        <is>
          <t>1</t>
        </is>
      </c>
      <c r="H312" t="inlineStr">
        <is>
          <t>No</t>
        </is>
      </c>
      <c r="I312" t="inlineStr">
        <is>
          <t>No</t>
        </is>
      </c>
      <c r="J312" t="inlineStr">
        <is>
          <t>0</t>
        </is>
      </c>
      <c r="K312" t="inlineStr">
        <is>
          <t>Pease, Otis A.</t>
        </is>
      </c>
      <c r="L312" t="inlineStr">
        <is>
          <t>[Hamden, Conn.] Archon Books, 1968 [c1953]</t>
        </is>
      </c>
      <c r="M312" t="inlineStr">
        <is>
          <t>1968</t>
        </is>
      </c>
      <c r="O312" t="inlineStr">
        <is>
          <t>eng</t>
        </is>
      </c>
      <c r="P312" t="inlineStr">
        <is>
          <t>ctu</t>
        </is>
      </c>
      <c r="Q312" t="inlineStr">
        <is>
          <t>The Wallace Notestein essays, v. 1</t>
        </is>
      </c>
      <c r="R312" t="inlineStr">
        <is>
          <t xml:space="preserve">E  </t>
        </is>
      </c>
      <c r="S312" t="n">
        <v>2</v>
      </c>
      <c r="T312" t="n">
        <v>2</v>
      </c>
      <c r="U312" t="inlineStr">
        <is>
          <t>2003-11-04</t>
        </is>
      </c>
      <c r="V312" t="inlineStr">
        <is>
          <t>2003-11-04</t>
        </is>
      </c>
      <c r="W312" t="inlineStr">
        <is>
          <t>1996-08-14</t>
        </is>
      </c>
      <c r="X312" t="inlineStr">
        <is>
          <t>1996-08-14</t>
        </is>
      </c>
      <c r="Y312" t="n">
        <v>224</v>
      </c>
      <c r="Z312" t="n">
        <v>201</v>
      </c>
      <c r="AA312" t="n">
        <v>410</v>
      </c>
      <c r="AB312" t="n">
        <v>1</v>
      </c>
      <c r="AC312" t="n">
        <v>5</v>
      </c>
      <c r="AD312" t="n">
        <v>4</v>
      </c>
      <c r="AE312" t="n">
        <v>23</v>
      </c>
      <c r="AF312" t="n">
        <v>2</v>
      </c>
      <c r="AG312" t="n">
        <v>8</v>
      </c>
      <c r="AH312" t="n">
        <v>3</v>
      </c>
      <c r="AI312" t="n">
        <v>6</v>
      </c>
      <c r="AJ312" t="n">
        <v>1</v>
      </c>
      <c r="AK312" t="n">
        <v>13</v>
      </c>
      <c r="AL312" t="n">
        <v>0</v>
      </c>
      <c r="AM312" t="n">
        <v>4</v>
      </c>
      <c r="AN312" t="n">
        <v>0</v>
      </c>
      <c r="AO312" t="n">
        <v>0</v>
      </c>
      <c r="AP312" t="inlineStr">
        <is>
          <t>No</t>
        </is>
      </c>
      <c r="AQ312" t="inlineStr">
        <is>
          <t>Yes</t>
        </is>
      </c>
      <c r="AR312">
        <f>HYPERLINK("http://catalog.hathitrust.org/Record/009496643","HathiTrust Record")</f>
        <v/>
      </c>
      <c r="AS312">
        <f>HYPERLINK("https://creighton-primo.hosted.exlibrisgroup.com/primo-explore/search?tab=default_tab&amp;search_scope=EVERYTHING&amp;vid=01CRU&amp;lang=en_US&amp;offset=0&amp;query=any,contains,991002567579702656","Catalog Record")</f>
        <v/>
      </c>
      <c r="AT312">
        <f>HYPERLINK("http://www.worldcat.org/oclc/372910","WorldCat Record")</f>
        <v/>
      </c>
      <c r="AU312" t="inlineStr">
        <is>
          <t>1454132:eng</t>
        </is>
      </c>
      <c r="AV312" t="inlineStr">
        <is>
          <t>372910</t>
        </is>
      </c>
      <c r="AW312" t="inlineStr">
        <is>
          <t>991002567579702656</t>
        </is>
      </c>
      <c r="AX312" t="inlineStr">
        <is>
          <t>991002567579702656</t>
        </is>
      </c>
      <c r="AY312" t="inlineStr">
        <is>
          <t>2261592660002656</t>
        </is>
      </c>
      <c r="AZ312" t="inlineStr">
        <is>
          <t>BOOK</t>
        </is>
      </c>
      <c r="BC312" t="inlineStr">
        <is>
          <t>32285002274875</t>
        </is>
      </c>
      <c r="BD312" t="inlineStr">
        <is>
          <t>893792618</t>
        </is>
      </c>
    </row>
    <row r="313">
      <c r="A313" t="inlineStr">
        <is>
          <t>No</t>
        </is>
      </c>
      <c r="B313" t="inlineStr">
        <is>
          <t>E175.5 .P24</t>
        </is>
      </c>
      <c r="C313" t="inlineStr">
        <is>
          <t>0                      E  0175500P  24</t>
        </is>
      </c>
      <c r="D313" t="inlineStr">
        <is>
          <t>Francis Parkman, [by] Henry Dwight Sedgwick.</t>
        </is>
      </c>
      <c r="F313" t="inlineStr">
        <is>
          <t>No</t>
        </is>
      </c>
      <c r="G313" t="inlineStr">
        <is>
          <t>1</t>
        </is>
      </c>
      <c r="H313" t="inlineStr">
        <is>
          <t>No</t>
        </is>
      </c>
      <c r="I313" t="inlineStr">
        <is>
          <t>No</t>
        </is>
      </c>
      <c r="J313" t="inlineStr">
        <is>
          <t>0</t>
        </is>
      </c>
      <c r="K313" t="inlineStr">
        <is>
          <t>Sedgwick, Henry Dwight, 1861-1957.</t>
        </is>
      </c>
      <c r="L313" t="inlineStr">
        <is>
          <t>Boston, Houghton, Mifflin, 1904.</t>
        </is>
      </c>
      <c r="M313" t="inlineStr">
        <is>
          <t>1904</t>
        </is>
      </c>
      <c r="O313" t="inlineStr">
        <is>
          <t>eng</t>
        </is>
      </c>
      <c r="P313" t="inlineStr">
        <is>
          <t>mau</t>
        </is>
      </c>
      <c r="Q313" t="inlineStr">
        <is>
          <t>American men of letters</t>
        </is>
      </c>
      <c r="R313" t="inlineStr">
        <is>
          <t xml:space="preserve">E  </t>
        </is>
      </c>
      <c r="S313" t="n">
        <v>2</v>
      </c>
      <c r="T313" t="n">
        <v>2</v>
      </c>
      <c r="U313" t="inlineStr">
        <is>
          <t>2003-02-07</t>
        </is>
      </c>
      <c r="V313" t="inlineStr">
        <is>
          <t>2003-02-07</t>
        </is>
      </c>
      <c r="W313" t="inlineStr">
        <is>
          <t>1997-04-04</t>
        </is>
      </c>
      <c r="X313" t="inlineStr">
        <is>
          <t>1997-04-04</t>
        </is>
      </c>
      <c r="Y313" t="n">
        <v>369</v>
      </c>
      <c r="Z313" t="n">
        <v>340</v>
      </c>
      <c r="AA313" t="n">
        <v>363</v>
      </c>
      <c r="AB313" t="n">
        <v>5</v>
      </c>
      <c r="AC313" t="n">
        <v>5</v>
      </c>
      <c r="AD313" t="n">
        <v>20</v>
      </c>
      <c r="AE313" t="n">
        <v>22</v>
      </c>
      <c r="AF313" t="n">
        <v>8</v>
      </c>
      <c r="AG313" t="n">
        <v>10</v>
      </c>
      <c r="AH313" t="n">
        <v>3</v>
      </c>
      <c r="AI313" t="n">
        <v>3</v>
      </c>
      <c r="AJ313" t="n">
        <v>11</v>
      </c>
      <c r="AK313" t="n">
        <v>12</v>
      </c>
      <c r="AL313" t="n">
        <v>4</v>
      </c>
      <c r="AM313" t="n">
        <v>4</v>
      </c>
      <c r="AN313" t="n">
        <v>0</v>
      </c>
      <c r="AO313" t="n">
        <v>0</v>
      </c>
      <c r="AP313" t="inlineStr">
        <is>
          <t>Yes</t>
        </is>
      </c>
      <c r="AQ313" t="inlineStr">
        <is>
          <t>No</t>
        </is>
      </c>
      <c r="AR313">
        <f>HYPERLINK("http://catalog.hathitrust.org/Record/000330714","HathiTrust Record")</f>
        <v/>
      </c>
      <c r="AS313">
        <f>HYPERLINK("https://creighton-primo.hosted.exlibrisgroup.com/primo-explore/search?tab=default_tab&amp;search_scope=EVERYTHING&amp;vid=01CRU&amp;lang=en_US&amp;offset=0&amp;query=any,contains,991003131729702656","Catalog Record")</f>
        <v/>
      </c>
      <c r="AT313">
        <f>HYPERLINK("http://www.worldcat.org/oclc/674828","WorldCat Record")</f>
        <v/>
      </c>
      <c r="AU313" t="inlineStr">
        <is>
          <t>10278989715:eng</t>
        </is>
      </c>
      <c r="AV313" t="inlineStr">
        <is>
          <t>674828</t>
        </is>
      </c>
      <c r="AW313" t="inlineStr">
        <is>
          <t>991003131729702656</t>
        </is>
      </c>
      <c r="AX313" t="inlineStr">
        <is>
          <t>991003131729702656</t>
        </is>
      </c>
      <c r="AY313" t="inlineStr">
        <is>
          <t>2269546100002656</t>
        </is>
      </c>
      <c r="AZ313" t="inlineStr">
        <is>
          <t>BOOK</t>
        </is>
      </c>
      <c r="BC313" t="inlineStr">
        <is>
          <t>32285002503059</t>
        </is>
      </c>
      <c r="BD313" t="inlineStr">
        <is>
          <t>893530868</t>
        </is>
      </c>
    </row>
    <row r="314">
      <c r="A314" t="inlineStr">
        <is>
          <t>No</t>
        </is>
      </c>
      <c r="B314" t="inlineStr">
        <is>
          <t>E175.5 .P28</t>
        </is>
      </c>
      <c r="C314" t="inlineStr">
        <is>
          <t>0                      E  0175500P  28</t>
        </is>
      </c>
      <c r="D314" t="inlineStr">
        <is>
          <t>Francis Parkman, heroic historian, by Mason Wade.</t>
        </is>
      </c>
      <c r="F314" t="inlineStr">
        <is>
          <t>No</t>
        </is>
      </c>
      <c r="G314" t="inlineStr">
        <is>
          <t>1</t>
        </is>
      </c>
      <c r="H314" t="inlineStr">
        <is>
          <t>No</t>
        </is>
      </c>
      <c r="I314" t="inlineStr">
        <is>
          <t>No</t>
        </is>
      </c>
      <c r="J314" t="inlineStr">
        <is>
          <t>0</t>
        </is>
      </c>
      <c r="K314" t="inlineStr">
        <is>
          <t>Wade, Mason, 1913-1986.</t>
        </is>
      </c>
      <c r="L314" t="inlineStr">
        <is>
          <t>New York, The Viking Press, 1942.</t>
        </is>
      </c>
      <c r="M314" t="inlineStr">
        <is>
          <t>1942</t>
        </is>
      </c>
      <c r="O314" t="inlineStr">
        <is>
          <t>eng</t>
        </is>
      </c>
      <c r="P314" t="inlineStr">
        <is>
          <t>nyu</t>
        </is>
      </c>
      <c r="R314" t="inlineStr">
        <is>
          <t xml:space="preserve">E  </t>
        </is>
      </c>
      <c r="S314" t="n">
        <v>4</v>
      </c>
      <c r="T314" t="n">
        <v>4</v>
      </c>
      <c r="U314" t="inlineStr">
        <is>
          <t>2003-11-04</t>
        </is>
      </c>
      <c r="V314" t="inlineStr">
        <is>
          <t>2003-11-04</t>
        </is>
      </c>
      <c r="W314" t="inlineStr">
        <is>
          <t>1997-04-04</t>
        </is>
      </c>
      <c r="X314" t="inlineStr">
        <is>
          <t>1997-04-04</t>
        </is>
      </c>
      <c r="Y314" t="n">
        <v>525</v>
      </c>
      <c r="Z314" t="n">
        <v>477</v>
      </c>
      <c r="AA314" t="n">
        <v>654</v>
      </c>
      <c r="AB314" t="n">
        <v>4</v>
      </c>
      <c r="AC314" t="n">
        <v>5</v>
      </c>
      <c r="AD314" t="n">
        <v>26</v>
      </c>
      <c r="AE314" t="n">
        <v>33</v>
      </c>
      <c r="AF314" t="n">
        <v>9</v>
      </c>
      <c r="AG314" t="n">
        <v>14</v>
      </c>
      <c r="AH314" t="n">
        <v>6</v>
      </c>
      <c r="AI314" t="n">
        <v>7</v>
      </c>
      <c r="AJ314" t="n">
        <v>16</v>
      </c>
      <c r="AK314" t="n">
        <v>19</v>
      </c>
      <c r="AL314" t="n">
        <v>3</v>
      </c>
      <c r="AM314" t="n">
        <v>4</v>
      </c>
      <c r="AN314" t="n">
        <v>0</v>
      </c>
      <c r="AO314" t="n">
        <v>0</v>
      </c>
      <c r="AP314" t="inlineStr">
        <is>
          <t>No</t>
        </is>
      </c>
      <c r="AQ314" t="inlineStr">
        <is>
          <t>Yes</t>
        </is>
      </c>
      <c r="AR314">
        <f>HYPERLINK("http://catalog.hathitrust.org/Record/008870844","HathiTrust Record")</f>
        <v/>
      </c>
      <c r="AS314">
        <f>HYPERLINK("https://creighton-primo.hosted.exlibrisgroup.com/primo-explore/search?tab=default_tab&amp;search_scope=EVERYTHING&amp;vid=01CRU&amp;lang=en_US&amp;offset=0&amp;query=any,contains,991002523839702656","Catalog Record")</f>
        <v/>
      </c>
      <c r="AT314">
        <f>HYPERLINK("http://www.worldcat.org/oclc/366468","WorldCat Record")</f>
        <v/>
      </c>
      <c r="AU314" t="inlineStr">
        <is>
          <t>422778385:eng</t>
        </is>
      </c>
      <c r="AV314" t="inlineStr">
        <is>
          <t>366468</t>
        </is>
      </c>
      <c r="AW314" t="inlineStr">
        <is>
          <t>991002523839702656</t>
        </is>
      </c>
      <c r="AX314" t="inlineStr">
        <is>
          <t>991002523839702656</t>
        </is>
      </c>
      <c r="AY314" t="inlineStr">
        <is>
          <t>2264358320002656</t>
        </is>
      </c>
      <c r="AZ314" t="inlineStr">
        <is>
          <t>BOOK</t>
        </is>
      </c>
      <c r="BC314" t="inlineStr">
        <is>
          <t>32285002503067</t>
        </is>
      </c>
      <c r="BD314" t="inlineStr">
        <is>
          <t>893609953</t>
        </is>
      </c>
    </row>
    <row r="315">
      <c r="A315" t="inlineStr">
        <is>
          <t>No</t>
        </is>
      </c>
      <c r="B315" t="inlineStr">
        <is>
          <t>E175.5.A2 B95</t>
        </is>
      </c>
      <c r="C315" t="inlineStr">
        <is>
          <t>0                      E  0175500A  2                  B  95</t>
        </is>
      </c>
      <c r="D315" t="inlineStr">
        <is>
          <t>The Virgin of Chartres : an intellectual and psychological history of the work of Henry Adams / Joseph F. Byrnes.</t>
        </is>
      </c>
      <c r="F315" t="inlineStr">
        <is>
          <t>No</t>
        </is>
      </c>
      <c r="G315" t="inlineStr">
        <is>
          <t>1</t>
        </is>
      </c>
      <c r="H315" t="inlineStr">
        <is>
          <t>No</t>
        </is>
      </c>
      <c r="I315" t="inlineStr">
        <is>
          <t>No</t>
        </is>
      </c>
      <c r="J315" t="inlineStr">
        <is>
          <t>0</t>
        </is>
      </c>
      <c r="K315" t="inlineStr">
        <is>
          <t>Byrnes, Joseph F., 1939-</t>
        </is>
      </c>
      <c r="L315" t="inlineStr">
        <is>
          <t>Rutherford [N.J.] : Fairleigh Dickinson University Press ; London : Associated University Presses, c1981.</t>
        </is>
      </c>
      <c r="M315" t="inlineStr">
        <is>
          <t>1980</t>
        </is>
      </c>
      <c r="O315" t="inlineStr">
        <is>
          <t>eng</t>
        </is>
      </c>
      <c r="P315" t="inlineStr">
        <is>
          <t>nju</t>
        </is>
      </c>
      <c r="R315" t="inlineStr">
        <is>
          <t xml:space="preserve">E  </t>
        </is>
      </c>
      <c r="S315" t="n">
        <v>5</v>
      </c>
      <c r="T315" t="n">
        <v>5</v>
      </c>
      <c r="U315" t="inlineStr">
        <is>
          <t>1999-09-27</t>
        </is>
      </c>
      <c r="V315" t="inlineStr">
        <is>
          <t>1999-09-27</t>
        </is>
      </c>
      <c r="W315" t="inlineStr">
        <is>
          <t>1990-05-24</t>
        </is>
      </c>
      <c r="X315" t="inlineStr">
        <is>
          <t>1990-05-24</t>
        </is>
      </c>
      <c r="Y315" t="n">
        <v>363</v>
      </c>
      <c r="Z315" t="n">
        <v>313</v>
      </c>
      <c r="AA315" t="n">
        <v>323</v>
      </c>
      <c r="AB315" t="n">
        <v>3</v>
      </c>
      <c r="AC315" t="n">
        <v>3</v>
      </c>
      <c r="AD315" t="n">
        <v>11</v>
      </c>
      <c r="AE315" t="n">
        <v>13</v>
      </c>
      <c r="AF315" t="n">
        <v>2</v>
      </c>
      <c r="AG315" t="n">
        <v>3</v>
      </c>
      <c r="AH315" t="n">
        <v>2</v>
      </c>
      <c r="AI315" t="n">
        <v>3</v>
      </c>
      <c r="AJ315" t="n">
        <v>6</v>
      </c>
      <c r="AK315" t="n">
        <v>7</v>
      </c>
      <c r="AL315" t="n">
        <v>2</v>
      </c>
      <c r="AM315" t="n">
        <v>2</v>
      </c>
      <c r="AN315" t="n">
        <v>0</v>
      </c>
      <c r="AO315" t="n">
        <v>0</v>
      </c>
      <c r="AP315" t="inlineStr">
        <is>
          <t>No</t>
        </is>
      </c>
      <c r="AQ315" t="inlineStr">
        <is>
          <t>Yes</t>
        </is>
      </c>
      <c r="AR315">
        <f>HYPERLINK("http://catalog.hathitrust.org/Record/000746945","HathiTrust Record")</f>
        <v/>
      </c>
      <c r="AS315">
        <f>HYPERLINK("https://creighton-primo.hosted.exlibrisgroup.com/primo-explore/search?tab=default_tab&amp;search_scope=EVERYTHING&amp;vid=01CRU&amp;lang=en_US&amp;offset=0&amp;query=any,contains,991004955329702656","Catalog Record")</f>
        <v/>
      </c>
      <c r="AT315">
        <f>HYPERLINK("http://www.worldcat.org/oclc/6277929","WorldCat Record")</f>
        <v/>
      </c>
      <c r="AU315" t="inlineStr">
        <is>
          <t>503341:eng</t>
        </is>
      </c>
      <c r="AV315" t="inlineStr">
        <is>
          <t>6277929</t>
        </is>
      </c>
      <c r="AW315" t="inlineStr">
        <is>
          <t>991004955329702656</t>
        </is>
      </c>
      <c r="AX315" t="inlineStr">
        <is>
          <t>991004955329702656</t>
        </is>
      </c>
      <c r="AY315" t="inlineStr">
        <is>
          <t>2268388790002656</t>
        </is>
      </c>
      <c r="AZ315" t="inlineStr">
        <is>
          <t>BOOK</t>
        </is>
      </c>
      <c r="BB315" t="inlineStr">
        <is>
          <t>9780838623695</t>
        </is>
      </c>
      <c r="BC315" t="inlineStr">
        <is>
          <t>32285000164813</t>
        </is>
      </c>
      <c r="BD315" t="inlineStr">
        <is>
          <t>893242021</t>
        </is>
      </c>
    </row>
    <row r="316">
      <c r="A316" t="inlineStr">
        <is>
          <t>No</t>
        </is>
      </c>
      <c r="B316" t="inlineStr">
        <is>
          <t>E175.5.A2 C66</t>
        </is>
      </c>
      <c r="C316" t="inlineStr">
        <is>
          <t>0                      E  0175500A  2                  C  66</t>
        </is>
      </c>
      <c r="D316" t="inlineStr">
        <is>
          <t>Henry Adams and the American experiment / David R. Contosta ; edited by Oscar Handlin.</t>
        </is>
      </c>
      <c r="F316" t="inlineStr">
        <is>
          <t>No</t>
        </is>
      </c>
      <c r="G316" t="inlineStr">
        <is>
          <t>1</t>
        </is>
      </c>
      <c r="H316" t="inlineStr">
        <is>
          <t>No</t>
        </is>
      </c>
      <c r="I316" t="inlineStr">
        <is>
          <t>No</t>
        </is>
      </c>
      <c r="J316" t="inlineStr">
        <is>
          <t>0</t>
        </is>
      </c>
      <c r="K316" t="inlineStr">
        <is>
          <t>Contosta, David R.</t>
        </is>
      </c>
      <c r="L316" t="inlineStr">
        <is>
          <t>Boston : Little, Brown, c1980.</t>
        </is>
      </c>
      <c r="M316" t="inlineStr">
        <is>
          <t>1980</t>
        </is>
      </c>
      <c r="O316" t="inlineStr">
        <is>
          <t>eng</t>
        </is>
      </c>
      <c r="P316" t="inlineStr">
        <is>
          <t>mau</t>
        </is>
      </c>
      <c r="Q316" t="inlineStr">
        <is>
          <t>The Library of American biography</t>
        </is>
      </c>
      <c r="R316" t="inlineStr">
        <is>
          <t xml:space="preserve">E  </t>
        </is>
      </c>
      <c r="S316" t="n">
        <v>6</v>
      </c>
      <c r="T316" t="n">
        <v>6</v>
      </c>
      <c r="U316" t="inlineStr">
        <is>
          <t>1999-08-27</t>
        </is>
      </c>
      <c r="V316" t="inlineStr">
        <is>
          <t>1999-08-27</t>
        </is>
      </c>
      <c r="W316" t="inlineStr">
        <is>
          <t>1991-01-08</t>
        </is>
      </c>
      <c r="X316" t="inlineStr">
        <is>
          <t>1991-01-08</t>
        </is>
      </c>
      <c r="Y316" t="n">
        <v>796</v>
      </c>
      <c r="Z316" t="n">
        <v>740</v>
      </c>
      <c r="AA316" t="n">
        <v>744</v>
      </c>
      <c r="AB316" t="n">
        <v>5</v>
      </c>
      <c r="AC316" t="n">
        <v>5</v>
      </c>
      <c r="AD316" t="n">
        <v>30</v>
      </c>
      <c r="AE316" t="n">
        <v>30</v>
      </c>
      <c r="AF316" t="n">
        <v>11</v>
      </c>
      <c r="AG316" t="n">
        <v>11</v>
      </c>
      <c r="AH316" t="n">
        <v>9</v>
      </c>
      <c r="AI316" t="n">
        <v>9</v>
      </c>
      <c r="AJ316" t="n">
        <v>14</v>
      </c>
      <c r="AK316" t="n">
        <v>14</v>
      </c>
      <c r="AL316" t="n">
        <v>4</v>
      </c>
      <c r="AM316" t="n">
        <v>4</v>
      </c>
      <c r="AN316" t="n">
        <v>0</v>
      </c>
      <c r="AO316" t="n">
        <v>0</v>
      </c>
      <c r="AP316" t="inlineStr">
        <is>
          <t>No</t>
        </is>
      </c>
      <c r="AQ316" t="inlineStr">
        <is>
          <t>No</t>
        </is>
      </c>
      <c r="AS316">
        <f>HYPERLINK("https://creighton-primo.hosted.exlibrisgroup.com/primo-explore/search?tab=default_tab&amp;search_scope=EVERYTHING&amp;vid=01CRU&amp;lang=en_US&amp;offset=0&amp;query=any,contains,991005056409702656","Catalog Record")</f>
        <v/>
      </c>
      <c r="AT316">
        <f>HYPERLINK("http://www.worldcat.org/oclc/6897906","WorldCat Record")</f>
        <v/>
      </c>
      <c r="AU316" t="inlineStr">
        <is>
          <t>24513454:eng</t>
        </is>
      </c>
      <c r="AV316" t="inlineStr">
        <is>
          <t>6897906</t>
        </is>
      </c>
      <c r="AW316" t="inlineStr">
        <is>
          <t>991005056409702656</t>
        </is>
      </c>
      <c r="AX316" t="inlineStr">
        <is>
          <t>991005056409702656</t>
        </is>
      </c>
      <c r="AY316" t="inlineStr">
        <is>
          <t>2271215810002656</t>
        </is>
      </c>
      <c r="AZ316" t="inlineStr">
        <is>
          <t>BOOK</t>
        </is>
      </c>
      <c r="BB316" t="inlineStr">
        <is>
          <t>9780316154000</t>
        </is>
      </c>
      <c r="BC316" t="inlineStr">
        <is>
          <t>32285000424548</t>
        </is>
      </c>
      <c r="BD316" t="inlineStr">
        <is>
          <t>893889608</t>
        </is>
      </c>
    </row>
    <row r="317">
      <c r="A317" t="inlineStr">
        <is>
          <t>No</t>
        </is>
      </c>
      <c r="B317" t="inlineStr">
        <is>
          <t>E175.5.A2 D84</t>
        </is>
      </c>
      <c r="C317" t="inlineStr">
        <is>
          <t>0                      E  0175500A  2                  D  84</t>
        </is>
      </c>
      <c r="D317" t="inlineStr">
        <is>
          <t>Henry Adams, the myth of failure / William Dusinberre.</t>
        </is>
      </c>
      <c r="F317" t="inlineStr">
        <is>
          <t>No</t>
        </is>
      </c>
      <c r="G317" t="inlineStr">
        <is>
          <t>1</t>
        </is>
      </c>
      <c r="H317" t="inlineStr">
        <is>
          <t>No</t>
        </is>
      </c>
      <c r="I317" t="inlineStr">
        <is>
          <t>No</t>
        </is>
      </c>
      <c r="J317" t="inlineStr">
        <is>
          <t>0</t>
        </is>
      </c>
      <c r="K317" t="inlineStr">
        <is>
          <t>Dusinberre, William, 1930-</t>
        </is>
      </c>
      <c r="L317" t="inlineStr">
        <is>
          <t>Charlottesville : University Press of Virginia, 1980.</t>
        </is>
      </c>
      <c r="M317" t="inlineStr">
        <is>
          <t>1980</t>
        </is>
      </c>
      <c r="O317" t="inlineStr">
        <is>
          <t>eng</t>
        </is>
      </c>
      <c r="P317" t="inlineStr">
        <is>
          <t>vau</t>
        </is>
      </c>
      <c r="R317" t="inlineStr">
        <is>
          <t xml:space="preserve">E  </t>
        </is>
      </c>
      <c r="S317" t="n">
        <v>11</v>
      </c>
      <c r="T317" t="n">
        <v>11</v>
      </c>
      <c r="U317" t="inlineStr">
        <is>
          <t>1999-08-27</t>
        </is>
      </c>
      <c r="V317" t="inlineStr">
        <is>
          <t>1999-08-27</t>
        </is>
      </c>
      <c r="W317" t="inlineStr">
        <is>
          <t>1991-01-08</t>
        </is>
      </c>
      <c r="X317" t="inlineStr">
        <is>
          <t>1991-01-08</t>
        </is>
      </c>
      <c r="Y317" t="n">
        <v>625</v>
      </c>
      <c r="Z317" t="n">
        <v>538</v>
      </c>
      <c r="AA317" t="n">
        <v>540</v>
      </c>
      <c r="AB317" t="n">
        <v>5</v>
      </c>
      <c r="AC317" t="n">
        <v>5</v>
      </c>
      <c r="AD317" t="n">
        <v>33</v>
      </c>
      <c r="AE317" t="n">
        <v>33</v>
      </c>
      <c r="AF317" t="n">
        <v>14</v>
      </c>
      <c r="AG317" t="n">
        <v>14</v>
      </c>
      <c r="AH317" t="n">
        <v>9</v>
      </c>
      <c r="AI317" t="n">
        <v>9</v>
      </c>
      <c r="AJ317" t="n">
        <v>18</v>
      </c>
      <c r="AK317" t="n">
        <v>18</v>
      </c>
      <c r="AL317" t="n">
        <v>4</v>
      </c>
      <c r="AM317" t="n">
        <v>4</v>
      </c>
      <c r="AN317" t="n">
        <v>0</v>
      </c>
      <c r="AO317" t="n">
        <v>0</v>
      </c>
      <c r="AP317" t="inlineStr">
        <is>
          <t>No</t>
        </is>
      </c>
      <c r="AQ317" t="inlineStr">
        <is>
          <t>Yes</t>
        </is>
      </c>
      <c r="AR317">
        <f>HYPERLINK("http://catalog.hathitrust.org/Record/000022935","HathiTrust Record")</f>
        <v/>
      </c>
      <c r="AS317">
        <f>HYPERLINK("https://creighton-primo.hosted.exlibrisgroup.com/primo-explore/search?tab=default_tab&amp;search_scope=EVERYTHING&amp;vid=01CRU&amp;lang=en_US&amp;offset=0&amp;query=any,contains,991004775559702656","Catalog Record")</f>
        <v/>
      </c>
      <c r="AT317">
        <f>HYPERLINK("http://www.worldcat.org/oclc/5101102","WorldCat Record")</f>
        <v/>
      </c>
      <c r="AU317" t="inlineStr">
        <is>
          <t>475507:eng</t>
        </is>
      </c>
      <c r="AV317" t="inlineStr">
        <is>
          <t>5101102</t>
        </is>
      </c>
      <c r="AW317" t="inlineStr">
        <is>
          <t>991004775559702656</t>
        </is>
      </c>
      <c r="AX317" t="inlineStr">
        <is>
          <t>991004775559702656</t>
        </is>
      </c>
      <c r="AY317" t="inlineStr">
        <is>
          <t>2259297690002656</t>
        </is>
      </c>
      <c r="AZ317" t="inlineStr">
        <is>
          <t>BOOK</t>
        </is>
      </c>
      <c r="BB317" t="inlineStr">
        <is>
          <t>9780813908335</t>
        </is>
      </c>
      <c r="BC317" t="inlineStr">
        <is>
          <t>32285000424555</t>
        </is>
      </c>
      <c r="BD317" t="inlineStr">
        <is>
          <t>893350366</t>
        </is>
      </c>
    </row>
    <row r="318">
      <c r="A318" t="inlineStr">
        <is>
          <t>No</t>
        </is>
      </c>
      <c r="B318" t="inlineStr">
        <is>
          <t>E175.5.H55 B35 1985</t>
        </is>
      </c>
      <c r="C318" t="inlineStr">
        <is>
          <t>0                      E  0175500H  55                 B  35          1985</t>
        </is>
      </c>
      <c r="D318" t="inlineStr">
        <is>
          <t>Radical beginnings : Richard Hofstadter and the 1930s / Susan Stout Baker.</t>
        </is>
      </c>
      <c r="F318" t="inlineStr">
        <is>
          <t>No</t>
        </is>
      </c>
      <c r="G318" t="inlineStr">
        <is>
          <t>1</t>
        </is>
      </c>
      <c r="H318" t="inlineStr">
        <is>
          <t>No</t>
        </is>
      </c>
      <c r="I318" t="inlineStr">
        <is>
          <t>No</t>
        </is>
      </c>
      <c r="J318" t="inlineStr">
        <is>
          <t>0</t>
        </is>
      </c>
      <c r="K318" t="inlineStr">
        <is>
          <t>Baker, Susan Stout.</t>
        </is>
      </c>
      <c r="L318" t="inlineStr">
        <is>
          <t>Westport, Conn. : Greenwood Press, c1985.</t>
        </is>
      </c>
      <c r="M318" t="inlineStr">
        <is>
          <t>1985</t>
        </is>
      </c>
      <c r="O318" t="inlineStr">
        <is>
          <t>eng</t>
        </is>
      </c>
      <c r="P318" t="inlineStr">
        <is>
          <t>ctu</t>
        </is>
      </c>
      <c r="Q318" t="inlineStr">
        <is>
          <t>Contributions in American history, 0084-9219 ; no. 112</t>
        </is>
      </c>
      <c r="R318" t="inlineStr">
        <is>
          <t xml:space="preserve">E  </t>
        </is>
      </c>
      <c r="S318" t="n">
        <v>3</v>
      </c>
      <c r="T318" t="n">
        <v>3</v>
      </c>
      <c r="U318" t="inlineStr">
        <is>
          <t>2002-10-24</t>
        </is>
      </c>
      <c r="V318" t="inlineStr">
        <is>
          <t>2002-10-24</t>
        </is>
      </c>
      <c r="W318" t="inlineStr">
        <is>
          <t>1991-01-08</t>
        </is>
      </c>
      <c r="X318" t="inlineStr">
        <is>
          <t>1991-01-08</t>
        </is>
      </c>
      <c r="Y318" t="n">
        <v>516</v>
      </c>
      <c r="Z318" t="n">
        <v>456</v>
      </c>
      <c r="AA318" t="n">
        <v>463</v>
      </c>
      <c r="AB318" t="n">
        <v>4</v>
      </c>
      <c r="AC318" t="n">
        <v>4</v>
      </c>
      <c r="AD318" t="n">
        <v>23</v>
      </c>
      <c r="AE318" t="n">
        <v>23</v>
      </c>
      <c r="AF318" t="n">
        <v>8</v>
      </c>
      <c r="AG318" t="n">
        <v>8</v>
      </c>
      <c r="AH318" t="n">
        <v>6</v>
      </c>
      <c r="AI318" t="n">
        <v>6</v>
      </c>
      <c r="AJ318" t="n">
        <v>14</v>
      </c>
      <c r="AK318" t="n">
        <v>14</v>
      </c>
      <c r="AL318" t="n">
        <v>3</v>
      </c>
      <c r="AM318" t="n">
        <v>3</v>
      </c>
      <c r="AN318" t="n">
        <v>0</v>
      </c>
      <c r="AO318" t="n">
        <v>0</v>
      </c>
      <c r="AP318" t="inlineStr">
        <is>
          <t>No</t>
        </is>
      </c>
      <c r="AQ318" t="inlineStr">
        <is>
          <t>Yes</t>
        </is>
      </c>
      <c r="AR318">
        <f>HYPERLINK("http://catalog.hathitrust.org/Record/000387249","HathiTrust Record")</f>
        <v/>
      </c>
      <c r="AS318">
        <f>HYPERLINK("https://creighton-primo.hosted.exlibrisgroup.com/primo-explore/search?tab=default_tab&amp;search_scope=EVERYTHING&amp;vid=01CRU&amp;lang=en_US&amp;offset=0&amp;query=any,contains,991000551549702656","Catalog Record")</f>
        <v/>
      </c>
      <c r="AT318">
        <f>HYPERLINK("http://www.worldcat.org/oclc/11533537","WorldCat Record")</f>
        <v/>
      </c>
      <c r="AU318" t="inlineStr">
        <is>
          <t>346016391:eng</t>
        </is>
      </c>
      <c r="AV318" t="inlineStr">
        <is>
          <t>11533537</t>
        </is>
      </c>
      <c r="AW318" t="inlineStr">
        <is>
          <t>991000551549702656</t>
        </is>
      </c>
      <c r="AX318" t="inlineStr">
        <is>
          <t>991000551549702656</t>
        </is>
      </c>
      <c r="AY318" t="inlineStr">
        <is>
          <t>2258326610002656</t>
        </is>
      </c>
      <c r="AZ318" t="inlineStr">
        <is>
          <t>BOOK</t>
        </is>
      </c>
      <c r="BB318" t="inlineStr">
        <is>
          <t>9780313247132</t>
        </is>
      </c>
      <c r="BC318" t="inlineStr">
        <is>
          <t>32285000424589</t>
        </is>
      </c>
      <c r="BD318" t="inlineStr">
        <is>
          <t>893508891</t>
        </is>
      </c>
    </row>
    <row r="319">
      <c r="A319" t="inlineStr">
        <is>
          <t>No</t>
        </is>
      </c>
      <c r="B319" t="inlineStr">
        <is>
          <t>E175.5.S38 A3 2000</t>
        </is>
      </c>
      <c r="C319" t="inlineStr">
        <is>
          <t>0                      E  0175500S  38                 A  3           2000</t>
        </is>
      </c>
      <c r="D319" t="inlineStr">
        <is>
          <t>A life in the twentieth century : innocent beginnings, 1917-1950 / Arthur M. Schlesinger, Jr.</t>
        </is>
      </c>
      <c r="F319" t="inlineStr">
        <is>
          <t>No</t>
        </is>
      </c>
      <c r="G319" t="inlineStr">
        <is>
          <t>1</t>
        </is>
      </c>
      <c r="H319" t="inlineStr">
        <is>
          <t>No</t>
        </is>
      </c>
      <c r="I319" t="inlineStr">
        <is>
          <t>No</t>
        </is>
      </c>
      <c r="J319" t="inlineStr">
        <is>
          <t>0</t>
        </is>
      </c>
      <c r="K319" t="inlineStr">
        <is>
          <t>Schlesinger, Arthur M., Jr. (Arthur Meier), 1917-2007.</t>
        </is>
      </c>
      <c r="L319" t="inlineStr">
        <is>
          <t>Boston : Houghton Mifflin, 2000.</t>
        </is>
      </c>
      <c r="M319" t="inlineStr">
        <is>
          <t>2000</t>
        </is>
      </c>
      <c r="O319" t="inlineStr">
        <is>
          <t>eng</t>
        </is>
      </c>
      <c r="P319" t="inlineStr">
        <is>
          <t>mau</t>
        </is>
      </c>
      <c r="R319" t="inlineStr">
        <is>
          <t xml:space="preserve">E  </t>
        </is>
      </c>
      <c r="S319" t="n">
        <v>3</v>
      </c>
      <c r="T319" t="n">
        <v>3</v>
      </c>
      <c r="U319" t="inlineStr">
        <is>
          <t>2001-02-15</t>
        </is>
      </c>
      <c r="V319" t="inlineStr">
        <is>
          <t>2001-02-15</t>
        </is>
      </c>
      <c r="W319" t="inlineStr">
        <is>
          <t>2000-12-04</t>
        </is>
      </c>
      <c r="X319" t="inlineStr">
        <is>
          <t>2000-12-04</t>
        </is>
      </c>
      <c r="Y319" t="n">
        <v>1219</v>
      </c>
      <c r="Z319" t="n">
        <v>1165</v>
      </c>
      <c r="AA319" t="n">
        <v>1440</v>
      </c>
      <c r="AB319" t="n">
        <v>15</v>
      </c>
      <c r="AC319" t="n">
        <v>15</v>
      </c>
      <c r="AD319" t="n">
        <v>37</v>
      </c>
      <c r="AE319" t="n">
        <v>41</v>
      </c>
      <c r="AF319" t="n">
        <v>16</v>
      </c>
      <c r="AG319" t="n">
        <v>18</v>
      </c>
      <c r="AH319" t="n">
        <v>7</v>
      </c>
      <c r="AI319" t="n">
        <v>8</v>
      </c>
      <c r="AJ319" t="n">
        <v>17</v>
      </c>
      <c r="AK319" t="n">
        <v>20</v>
      </c>
      <c r="AL319" t="n">
        <v>6</v>
      </c>
      <c r="AM319" t="n">
        <v>6</v>
      </c>
      <c r="AN319" t="n">
        <v>0</v>
      </c>
      <c r="AO319" t="n">
        <v>0</v>
      </c>
      <c r="AP319" t="inlineStr">
        <is>
          <t>No</t>
        </is>
      </c>
      <c r="AQ319" t="inlineStr">
        <is>
          <t>No</t>
        </is>
      </c>
      <c r="AS319">
        <f>HYPERLINK("https://creighton-primo.hosted.exlibrisgroup.com/primo-explore/search?tab=default_tab&amp;search_scope=EVERYTHING&amp;vid=01CRU&amp;lang=en_US&amp;offset=0&amp;query=any,contains,991003347949702656","Catalog Record")</f>
        <v/>
      </c>
      <c r="AT319">
        <f>HYPERLINK("http://www.worldcat.org/oclc/44727739","WorldCat Record")</f>
        <v/>
      </c>
      <c r="AU319" t="inlineStr">
        <is>
          <t>1103136465:eng</t>
        </is>
      </c>
      <c r="AV319" t="inlineStr">
        <is>
          <t>44727739</t>
        </is>
      </c>
      <c r="AW319" t="inlineStr">
        <is>
          <t>991003347949702656</t>
        </is>
      </c>
      <c r="AX319" t="inlineStr">
        <is>
          <t>991003347949702656</t>
        </is>
      </c>
      <c r="AY319" t="inlineStr">
        <is>
          <t>2255541780002656</t>
        </is>
      </c>
      <c r="AZ319" t="inlineStr">
        <is>
          <t>BOOK</t>
        </is>
      </c>
      <c r="BB319" t="inlineStr">
        <is>
          <t>9780395707524</t>
        </is>
      </c>
      <c r="BC319" t="inlineStr">
        <is>
          <t>32285004269253</t>
        </is>
      </c>
      <c r="BD319" t="inlineStr">
        <is>
          <t>893441202</t>
        </is>
      </c>
    </row>
    <row r="320">
      <c r="A320" t="inlineStr">
        <is>
          <t>No</t>
        </is>
      </c>
      <c r="B320" t="inlineStr">
        <is>
          <t>E175.5.T83 B49</t>
        </is>
      </c>
      <c r="C320" t="inlineStr">
        <is>
          <t>0                      E  0175500T  83                 B  49</t>
        </is>
      </c>
      <c r="D320" t="inlineStr">
        <is>
          <t>Frederick Jackson Turner: historian, scholar, teacher.</t>
        </is>
      </c>
      <c r="F320" t="inlineStr">
        <is>
          <t>No</t>
        </is>
      </c>
      <c r="G320" t="inlineStr">
        <is>
          <t>1</t>
        </is>
      </c>
      <c r="H320" t="inlineStr">
        <is>
          <t>No</t>
        </is>
      </c>
      <c r="I320" t="inlineStr">
        <is>
          <t>No</t>
        </is>
      </c>
      <c r="J320" t="inlineStr">
        <is>
          <t>0</t>
        </is>
      </c>
      <c r="K320" t="inlineStr">
        <is>
          <t>Billington, Ray Allen, 1903-1981.</t>
        </is>
      </c>
      <c r="L320" t="inlineStr">
        <is>
          <t>New York, Oxford University Press, 1973.</t>
        </is>
      </c>
      <c r="M320" t="inlineStr">
        <is>
          <t>1973</t>
        </is>
      </c>
      <c r="O320" t="inlineStr">
        <is>
          <t>eng</t>
        </is>
      </c>
      <c r="P320" t="inlineStr">
        <is>
          <t>nyu</t>
        </is>
      </c>
      <c r="R320" t="inlineStr">
        <is>
          <t xml:space="preserve">E  </t>
        </is>
      </c>
      <c r="S320" t="n">
        <v>14</v>
      </c>
      <c r="T320" t="n">
        <v>14</v>
      </c>
      <c r="U320" t="inlineStr">
        <is>
          <t>2005-11-06</t>
        </is>
      </c>
      <c r="V320" t="inlineStr">
        <is>
          <t>2005-11-06</t>
        </is>
      </c>
      <c r="W320" t="inlineStr">
        <is>
          <t>1992-04-22</t>
        </is>
      </c>
      <c r="X320" t="inlineStr">
        <is>
          <t>1992-04-22</t>
        </is>
      </c>
      <c r="Y320" t="n">
        <v>1390</v>
      </c>
      <c r="Z320" t="n">
        <v>1254</v>
      </c>
      <c r="AA320" t="n">
        <v>1342</v>
      </c>
      <c r="AB320" t="n">
        <v>8</v>
      </c>
      <c r="AC320" t="n">
        <v>8</v>
      </c>
      <c r="AD320" t="n">
        <v>48</v>
      </c>
      <c r="AE320" t="n">
        <v>51</v>
      </c>
      <c r="AF320" t="n">
        <v>23</v>
      </c>
      <c r="AG320" t="n">
        <v>24</v>
      </c>
      <c r="AH320" t="n">
        <v>10</v>
      </c>
      <c r="AI320" t="n">
        <v>11</v>
      </c>
      <c r="AJ320" t="n">
        <v>22</v>
      </c>
      <c r="AK320" t="n">
        <v>23</v>
      </c>
      <c r="AL320" t="n">
        <v>7</v>
      </c>
      <c r="AM320" t="n">
        <v>7</v>
      </c>
      <c r="AN320" t="n">
        <v>0</v>
      </c>
      <c r="AO320" t="n">
        <v>0</v>
      </c>
      <c r="AP320" t="inlineStr">
        <is>
          <t>No</t>
        </is>
      </c>
      <c r="AQ320" t="inlineStr">
        <is>
          <t>Yes</t>
        </is>
      </c>
      <c r="AR320">
        <f>HYPERLINK("http://catalog.hathitrust.org/Record/000330947","HathiTrust Record")</f>
        <v/>
      </c>
      <c r="AS320">
        <f>HYPERLINK("https://creighton-primo.hosted.exlibrisgroup.com/primo-explore/search?tab=default_tab&amp;search_scope=EVERYTHING&amp;vid=01CRU&amp;lang=en_US&amp;offset=0&amp;query=any,contains,991005355949702656","Catalog Record")</f>
        <v/>
      </c>
      <c r="AT320">
        <f>HYPERLINK("http://www.worldcat.org/oclc/590948","WorldCat Record")</f>
        <v/>
      </c>
      <c r="AU320" t="inlineStr">
        <is>
          <t>196110918:eng</t>
        </is>
      </c>
      <c r="AV320" t="inlineStr">
        <is>
          <t>590948</t>
        </is>
      </c>
      <c r="AW320" t="inlineStr">
        <is>
          <t>991005355949702656</t>
        </is>
      </c>
      <c r="AX320" t="inlineStr">
        <is>
          <t>991005355949702656</t>
        </is>
      </c>
      <c r="AY320" t="inlineStr">
        <is>
          <t>2265607950002656</t>
        </is>
      </c>
      <c r="AZ320" t="inlineStr">
        <is>
          <t>BOOK</t>
        </is>
      </c>
      <c r="BB320" t="inlineStr">
        <is>
          <t>9780195016093</t>
        </is>
      </c>
      <c r="BC320" t="inlineStr">
        <is>
          <t>32285001054724</t>
        </is>
      </c>
      <c r="BD320" t="inlineStr">
        <is>
          <t>893607247</t>
        </is>
      </c>
    </row>
    <row r="321">
      <c r="A321" t="inlineStr">
        <is>
          <t>No</t>
        </is>
      </c>
      <c r="B321" t="inlineStr">
        <is>
          <t>E175.5.W66 A2 1989</t>
        </is>
      </c>
      <c r="C321" t="inlineStr">
        <is>
          <t>0                      E  0175500W  66                 A  2           1989</t>
        </is>
      </c>
      <c r="D321" t="inlineStr">
        <is>
          <t>The future of the past / C. Vann Woodward.</t>
        </is>
      </c>
      <c r="F321" t="inlineStr">
        <is>
          <t>No</t>
        </is>
      </c>
      <c r="G321" t="inlineStr">
        <is>
          <t>1</t>
        </is>
      </c>
      <c r="H321" t="inlineStr">
        <is>
          <t>No</t>
        </is>
      </c>
      <c r="I321" t="inlineStr">
        <is>
          <t>No</t>
        </is>
      </c>
      <c r="J321" t="inlineStr">
        <is>
          <t>0</t>
        </is>
      </c>
      <c r="K321" t="inlineStr">
        <is>
          <t>Woodward, C. Vann (Comer Vann), 1908-1999.</t>
        </is>
      </c>
      <c r="L321" t="inlineStr">
        <is>
          <t>New York: Oxford University Press, 1989.</t>
        </is>
      </c>
      <c r="M321" t="inlineStr">
        <is>
          <t>1989</t>
        </is>
      </c>
      <c r="O321" t="inlineStr">
        <is>
          <t>eng</t>
        </is>
      </c>
      <c r="P321" t="inlineStr">
        <is>
          <t>nyu</t>
        </is>
      </c>
      <c r="R321" t="inlineStr">
        <is>
          <t xml:space="preserve">E  </t>
        </is>
      </c>
      <c r="S321" t="n">
        <v>3</v>
      </c>
      <c r="T321" t="n">
        <v>3</v>
      </c>
      <c r="U321" t="inlineStr">
        <is>
          <t>1999-02-05</t>
        </is>
      </c>
      <c r="V321" t="inlineStr">
        <is>
          <t>1999-02-05</t>
        </is>
      </c>
      <c r="W321" t="inlineStr">
        <is>
          <t>1991-06-14</t>
        </is>
      </c>
      <c r="X321" t="inlineStr">
        <is>
          <t>1991-06-14</t>
        </is>
      </c>
      <c r="Y321" t="n">
        <v>1033</v>
      </c>
      <c r="Z321" t="n">
        <v>924</v>
      </c>
      <c r="AA321" t="n">
        <v>950</v>
      </c>
      <c r="AB321" t="n">
        <v>9</v>
      </c>
      <c r="AC321" t="n">
        <v>10</v>
      </c>
      <c r="AD321" t="n">
        <v>37</v>
      </c>
      <c r="AE321" t="n">
        <v>39</v>
      </c>
      <c r="AF321" t="n">
        <v>14</v>
      </c>
      <c r="AG321" t="n">
        <v>15</v>
      </c>
      <c r="AH321" t="n">
        <v>7</v>
      </c>
      <c r="AI321" t="n">
        <v>8</v>
      </c>
      <c r="AJ321" t="n">
        <v>16</v>
      </c>
      <c r="AK321" t="n">
        <v>16</v>
      </c>
      <c r="AL321" t="n">
        <v>7</v>
      </c>
      <c r="AM321" t="n">
        <v>8</v>
      </c>
      <c r="AN321" t="n">
        <v>0</v>
      </c>
      <c r="AO321" t="n">
        <v>0</v>
      </c>
      <c r="AP321" t="inlineStr">
        <is>
          <t>No</t>
        </is>
      </c>
      <c r="AQ321" t="inlineStr">
        <is>
          <t>Yes</t>
        </is>
      </c>
      <c r="AR321">
        <f>HYPERLINK("http://catalog.hathitrust.org/Record/004519980","HathiTrust Record")</f>
        <v/>
      </c>
      <c r="AS321">
        <f>HYPERLINK("https://creighton-primo.hosted.exlibrisgroup.com/primo-explore/search?tab=default_tab&amp;search_scope=EVERYTHING&amp;vid=01CRU&amp;lang=en_US&amp;offset=0&amp;query=any,contains,991001479879702656","Catalog Record")</f>
        <v/>
      </c>
      <c r="AT321">
        <f>HYPERLINK("http://www.worldcat.org/oclc/19623577","WorldCat Record")</f>
        <v/>
      </c>
      <c r="AU321" t="inlineStr">
        <is>
          <t>3856194761:eng</t>
        </is>
      </c>
      <c r="AV321" t="inlineStr">
        <is>
          <t>19623577</t>
        </is>
      </c>
      <c r="AW321" t="inlineStr">
        <is>
          <t>991001479879702656</t>
        </is>
      </c>
      <c r="AX321" t="inlineStr">
        <is>
          <t>991001479879702656</t>
        </is>
      </c>
      <c r="AY321" t="inlineStr">
        <is>
          <t>2263067840002656</t>
        </is>
      </c>
      <c r="AZ321" t="inlineStr">
        <is>
          <t>BOOK</t>
        </is>
      </c>
      <c r="BB321" t="inlineStr">
        <is>
          <t>9780195057447</t>
        </is>
      </c>
      <c r="BC321" t="inlineStr">
        <is>
          <t>32285000656719</t>
        </is>
      </c>
      <c r="BD321" t="inlineStr">
        <is>
          <t>893602628</t>
        </is>
      </c>
    </row>
    <row r="322">
      <c r="A322" t="inlineStr">
        <is>
          <t>No</t>
        </is>
      </c>
      <c r="B322" t="inlineStr">
        <is>
          <t>E175.7 .V57</t>
        </is>
      </c>
      <c r="C322" t="inlineStr">
        <is>
          <t>0                      E  0175700V  57</t>
        </is>
      </c>
      <c r="D322" t="inlineStr">
        <is>
          <t>The American compromise; theme and method in the histories of Bancroft, Parkman, and Adams, by Richard C. Vitzthum.</t>
        </is>
      </c>
      <c r="F322" t="inlineStr">
        <is>
          <t>No</t>
        </is>
      </c>
      <c r="G322" t="inlineStr">
        <is>
          <t>1</t>
        </is>
      </c>
      <c r="H322" t="inlineStr">
        <is>
          <t>No</t>
        </is>
      </c>
      <c r="I322" t="inlineStr">
        <is>
          <t>No</t>
        </is>
      </c>
      <c r="J322" t="inlineStr">
        <is>
          <t>0</t>
        </is>
      </c>
      <c r="K322" t="inlineStr">
        <is>
          <t>Vitzthum, Richard C., 1936-</t>
        </is>
      </c>
      <c r="L322" t="inlineStr">
        <is>
          <t>Norman, University of Oklahoma Press [1974]</t>
        </is>
      </c>
      <c r="M322" t="inlineStr">
        <is>
          <t>1974</t>
        </is>
      </c>
      <c r="N322" t="inlineStr">
        <is>
          <t>[1st ed.]</t>
        </is>
      </c>
      <c r="O322" t="inlineStr">
        <is>
          <t>eng</t>
        </is>
      </c>
      <c r="P322" t="inlineStr">
        <is>
          <t>oku</t>
        </is>
      </c>
      <c r="R322" t="inlineStr">
        <is>
          <t xml:space="preserve">E  </t>
        </is>
      </c>
      <c r="S322" t="n">
        <v>5</v>
      </c>
      <c r="T322" t="n">
        <v>5</v>
      </c>
      <c r="U322" t="inlineStr">
        <is>
          <t>1994-11-13</t>
        </is>
      </c>
      <c r="V322" t="inlineStr">
        <is>
          <t>1994-11-13</t>
        </is>
      </c>
      <c r="W322" t="inlineStr">
        <is>
          <t>1991-01-11</t>
        </is>
      </c>
      <c r="X322" t="inlineStr">
        <is>
          <t>1991-01-11</t>
        </is>
      </c>
      <c r="Y322" t="n">
        <v>583</v>
      </c>
      <c r="Z322" t="n">
        <v>512</v>
      </c>
      <c r="AA322" t="n">
        <v>516</v>
      </c>
      <c r="AB322" t="n">
        <v>4</v>
      </c>
      <c r="AC322" t="n">
        <v>4</v>
      </c>
      <c r="AD322" t="n">
        <v>24</v>
      </c>
      <c r="AE322" t="n">
        <v>24</v>
      </c>
      <c r="AF322" t="n">
        <v>9</v>
      </c>
      <c r="AG322" t="n">
        <v>9</v>
      </c>
      <c r="AH322" t="n">
        <v>6</v>
      </c>
      <c r="AI322" t="n">
        <v>6</v>
      </c>
      <c r="AJ322" t="n">
        <v>14</v>
      </c>
      <c r="AK322" t="n">
        <v>14</v>
      </c>
      <c r="AL322" t="n">
        <v>3</v>
      </c>
      <c r="AM322" t="n">
        <v>3</v>
      </c>
      <c r="AN322" t="n">
        <v>0</v>
      </c>
      <c r="AO322" t="n">
        <v>0</v>
      </c>
      <c r="AP322" t="inlineStr">
        <is>
          <t>No</t>
        </is>
      </c>
      <c r="AQ322" t="inlineStr">
        <is>
          <t>No</t>
        </is>
      </c>
      <c r="AS322">
        <f>HYPERLINK("https://creighton-primo.hosted.exlibrisgroup.com/primo-explore/search?tab=default_tab&amp;search_scope=EVERYTHING&amp;vid=01CRU&amp;lang=en_US&amp;offset=0&amp;query=any,contains,991003164969702656","Catalog Record")</f>
        <v/>
      </c>
      <c r="AT322">
        <f>HYPERLINK("http://www.worldcat.org/oclc/703010","WorldCat Record")</f>
        <v/>
      </c>
      <c r="AU322" t="inlineStr">
        <is>
          <t>461905:eng</t>
        </is>
      </c>
      <c r="AV322" t="inlineStr">
        <is>
          <t>703010</t>
        </is>
      </c>
      <c r="AW322" t="inlineStr">
        <is>
          <t>991003164969702656</t>
        </is>
      </c>
      <c r="AX322" t="inlineStr">
        <is>
          <t>991003164969702656</t>
        </is>
      </c>
      <c r="AY322" t="inlineStr">
        <is>
          <t>2257229720002656</t>
        </is>
      </c>
      <c r="AZ322" t="inlineStr">
        <is>
          <t>BOOK</t>
        </is>
      </c>
      <c r="BB322" t="inlineStr">
        <is>
          <t>9780806111421</t>
        </is>
      </c>
      <c r="BC322" t="inlineStr">
        <is>
          <t>32285000424670</t>
        </is>
      </c>
      <c r="BD322" t="inlineStr">
        <is>
          <t>893868155</t>
        </is>
      </c>
    </row>
    <row r="323">
      <c r="A323" t="inlineStr">
        <is>
          <t>No</t>
        </is>
      </c>
      <c r="B323" t="inlineStr">
        <is>
          <t>E175.8 .A583</t>
        </is>
      </c>
      <c r="C323" t="inlineStr">
        <is>
          <t>0                      E  0175800A  583</t>
        </is>
      </c>
      <c r="D323" t="inlineStr">
        <is>
          <t>American studies abroad / [edited by] Robert H. Walker.</t>
        </is>
      </c>
      <c r="F323" t="inlineStr">
        <is>
          <t>No</t>
        </is>
      </c>
      <c r="G323" t="inlineStr">
        <is>
          <t>1</t>
        </is>
      </c>
      <c r="H323" t="inlineStr">
        <is>
          <t>No</t>
        </is>
      </c>
      <c r="I323" t="inlineStr">
        <is>
          <t>No</t>
        </is>
      </c>
      <c r="J323" t="inlineStr">
        <is>
          <t>0</t>
        </is>
      </c>
      <c r="L323" t="inlineStr">
        <is>
          <t>Westport, Conn. : Greenwood Press, 1975.</t>
        </is>
      </c>
      <c r="M323" t="inlineStr">
        <is>
          <t>1975</t>
        </is>
      </c>
      <c r="O323" t="inlineStr">
        <is>
          <t>eng</t>
        </is>
      </c>
      <c r="P323" t="inlineStr">
        <is>
          <t>ctu</t>
        </is>
      </c>
      <c r="Q323" t="inlineStr">
        <is>
          <t>Contributions in American studies ; no. 22</t>
        </is>
      </c>
      <c r="R323" t="inlineStr">
        <is>
          <t xml:space="preserve">E  </t>
        </is>
      </c>
      <c r="S323" t="n">
        <v>1</v>
      </c>
      <c r="T323" t="n">
        <v>1</v>
      </c>
      <c r="U323" t="inlineStr">
        <is>
          <t>2001-10-29</t>
        </is>
      </c>
      <c r="V323" t="inlineStr">
        <is>
          <t>2001-10-29</t>
        </is>
      </c>
      <c r="W323" t="inlineStr">
        <is>
          <t>1997-04-04</t>
        </is>
      </c>
      <c r="X323" t="inlineStr">
        <is>
          <t>1997-04-04</t>
        </is>
      </c>
      <c r="Y323" t="n">
        <v>248</v>
      </c>
      <c r="Z323" t="n">
        <v>204</v>
      </c>
      <c r="AA323" t="n">
        <v>211</v>
      </c>
      <c r="AB323" t="n">
        <v>3</v>
      </c>
      <c r="AC323" t="n">
        <v>3</v>
      </c>
      <c r="AD323" t="n">
        <v>10</v>
      </c>
      <c r="AE323" t="n">
        <v>10</v>
      </c>
      <c r="AF323" t="n">
        <v>4</v>
      </c>
      <c r="AG323" t="n">
        <v>4</v>
      </c>
      <c r="AH323" t="n">
        <v>3</v>
      </c>
      <c r="AI323" t="n">
        <v>3</v>
      </c>
      <c r="AJ323" t="n">
        <v>4</v>
      </c>
      <c r="AK323" t="n">
        <v>4</v>
      </c>
      <c r="AL323" t="n">
        <v>2</v>
      </c>
      <c r="AM323" t="n">
        <v>2</v>
      </c>
      <c r="AN323" t="n">
        <v>0</v>
      </c>
      <c r="AO323" t="n">
        <v>0</v>
      </c>
      <c r="AP323" t="inlineStr">
        <is>
          <t>No</t>
        </is>
      </c>
      <c r="AQ323" t="inlineStr">
        <is>
          <t>Yes</t>
        </is>
      </c>
      <c r="AR323">
        <f>HYPERLINK("http://catalog.hathitrust.org/Record/000037297","HathiTrust Record")</f>
        <v/>
      </c>
      <c r="AS323">
        <f>HYPERLINK("https://creighton-primo.hosted.exlibrisgroup.com/primo-explore/search?tab=default_tab&amp;search_scope=EVERYTHING&amp;vid=01CRU&amp;lang=en_US&amp;offset=0&amp;query=any,contains,991003788149702656","Catalog Record")</f>
        <v/>
      </c>
      <c r="AT323">
        <f>HYPERLINK("http://www.worldcat.org/oclc/1504780","WorldCat Record")</f>
        <v/>
      </c>
      <c r="AU323" t="inlineStr">
        <is>
          <t>2311466:eng</t>
        </is>
      </c>
      <c r="AV323" t="inlineStr">
        <is>
          <t>1504780</t>
        </is>
      </c>
      <c r="AW323" t="inlineStr">
        <is>
          <t>991003788149702656</t>
        </is>
      </c>
      <c r="AX323" t="inlineStr">
        <is>
          <t>991003788149702656</t>
        </is>
      </c>
      <c r="AY323" t="inlineStr">
        <is>
          <t>2262302110002656</t>
        </is>
      </c>
      <c r="AZ323" t="inlineStr">
        <is>
          <t>BOOK</t>
        </is>
      </c>
      <c r="BB323" t="inlineStr">
        <is>
          <t>9780837179513</t>
        </is>
      </c>
      <c r="BC323" t="inlineStr">
        <is>
          <t>32285002503133</t>
        </is>
      </c>
      <c r="BD323" t="inlineStr">
        <is>
          <t>893875180</t>
        </is>
      </c>
    </row>
    <row r="324">
      <c r="A324" t="inlineStr">
        <is>
          <t>No</t>
        </is>
      </c>
      <c r="B324" t="inlineStr">
        <is>
          <t>E175.8 .B34</t>
        </is>
      </c>
      <c r="C324" t="inlineStr">
        <is>
          <t>0                      E  0175800B  34</t>
        </is>
      </c>
      <c r="D324" t="inlineStr">
        <is>
          <t>Charles A. Beard and the social studies; a book of readings [compiled by] Raymond A. Ducharme, Jr.</t>
        </is>
      </c>
      <c r="F324" t="inlineStr">
        <is>
          <t>No</t>
        </is>
      </c>
      <c r="G324" t="inlineStr">
        <is>
          <t>1</t>
        </is>
      </c>
      <c r="H324" t="inlineStr">
        <is>
          <t>No</t>
        </is>
      </c>
      <c r="I324" t="inlineStr">
        <is>
          <t>No</t>
        </is>
      </c>
      <c r="J324" t="inlineStr">
        <is>
          <t>0</t>
        </is>
      </c>
      <c r="K324" t="inlineStr">
        <is>
          <t>Beard, Charles A. (Charles Austin), 1874-1948.</t>
        </is>
      </c>
      <c r="L324" t="inlineStr">
        <is>
          <t>New York, Teachers College Press [1969]</t>
        </is>
      </c>
      <c r="M324" t="inlineStr">
        <is>
          <t>1969</t>
        </is>
      </c>
      <c r="O324" t="inlineStr">
        <is>
          <t>eng</t>
        </is>
      </c>
      <c r="P324" t="inlineStr">
        <is>
          <t>nyu</t>
        </is>
      </c>
      <c r="Q324" t="inlineStr">
        <is>
          <t>Social studies sources</t>
        </is>
      </c>
      <c r="R324" t="inlineStr">
        <is>
          <t xml:space="preserve">E  </t>
        </is>
      </c>
      <c r="S324" t="n">
        <v>3</v>
      </c>
      <c r="T324" t="n">
        <v>3</v>
      </c>
      <c r="U324" t="inlineStr">
        <is>
          <t>2004-09-27</t>
        </is>
      </c>
      <c r="V324" t="inlineStr">
        <is>
          <t>2004-09-27</t>
        </is>
      </c>
      <c r="W324" t="inlineStr">
        <is>
          <t>1997-04-04</t>
        </is>
      </c>
      <c r="X324" t="inlineStr">
        <is>
          <t>1997-04-04</t>
        </is>
      </c>
      <c r="Y324" t="n">
        <v>203</v>
      </c>
      <c r="Z324" t="n">
        <v>189</v>
      </c>
      <c r="AA324" t="n">
        <v>193</v>
      </c>
      <c r="AB324" t="n">
        <v>2</v>
      </c>
      <c r="AC324" t="n">
        <v>2</v>
      </c>
      <c r="AD324" t="n">
        <v>10</v>
      </c>
      <c r="AE324" t="n">
        <v>10</v>
      </c>
      <c r="AF324" t="n">
        <v>3</v>
      </c>
      <c r="AG324" t="n">
        <v>3</v>
      </c>
      <c r="AH324" t="n">
        <v>3</v>
      </c>
      <c r="AI324" t="n">
        <v>3</v>
      </c>
      <c r="AJ324" t="n">
        <v>4</v>
      </c>
      <c r="AK324" t="n">
        <v>4</v>
      </c>
      <c r="AL324" t="n">
        <v>1</v>
      </c>
      <c r="AM324" t="n">
        <v>1</v>
      </c>
      <c r="AN324" t="n">
        <v>0</v>
      </c>
      <c r="AO324" t="n">
        <v>0</v>
      </c>
      <c r="AP324" t="inlineStr">
        <is>
          <t>No</t>
        </is>
      </c>
      <c r="AQ324" t="inlineStr">
        <is>
          <t>Yes</t>
        </is>
      </c>
      <c r="AR324">
        <f>HYPERLINK("http://catalog.hathitrust.org/Record/006608104","HathiTrust Record")</f>
        <v/>
      </c>
      <c r="AS324">
        <f>HYPERLINK("https://creighton-primo.hosted.exlibrisgroup.com/primo-explore/search?tab=default_tab&amp;search_scope=EVERYTHING&amp;vid=01CRU&amp;lang=en_US&amp;offset=0&amp;query=any,contains,991000380149702656","Catalog Record")</f>
        <v/>
      </c>
      <c r="AT324">
        <f>HYPERLINK("http://www.worldcat.org/oclc/72381","WorldCat Record")</f>
        <v/>
      </c>
      <c r="AU324" t="inlineStr">
        <is>
          <t>691953095:eng</t>
        </is>
      </c>
      <c r="AV324" t="inlineStr">
        <is>
          <t>72381</t>
        </is>
      </c>
      <c r="AW324" t="inlineStr">
        <is>
          <t>991000380149702656</t>
        </is>
      </c>
      <c r="AX324" t="inlineStr">
        <is>
          <t>991000380149702656</t>
        </is>
      </c>
      <c r="AY324" t="inlineStr">
        <is>
          <t>2271514040002656</t>
        </is>
      </c>
      <c r="AZ324" t="inlineStr">
        <is>
          <t>BOOK</t>
        </is>
      </c>
      <c r="BC324" t="inlineStr">
        <is>
          <t>32285002503158</t>
        </is>
      </c>
      <c r="BD324" t="inlineStr">
        <is>
          <t>893683349</t>
        </is>
      </c>
    </row>
    <row r="325">
      <c r="A325" t="inlineStr">
        <is>
          <t>No</t>
        </is>
      </c>
      <c r="B325" t="inlineStr">
        <is>
          <t>E175.8 .F56 2002</t>
        </is>
      </c>
      <c r="C325" t="inlineStr">
        <is>
          <t>0                      E  0175800F  56          2002</t>
        </is>
      </c>
      <c r="D325" t="inlineStr">
        <is>
          <t>Pages of the past : exploring U.S. history through children's literature / Diane Findlay.</t>
        </is>
      </c>
      <c r="F325" t="inlineStr">
        <is>
          <t>No</t>
        </is>
      </c>
      <c r="G325" t="inlineStr">
        <is>
          <t>1</t>
        </is>
      </c>
      <c r="H325" t="inlineStr">
        <is>
          <t>No</t>
        </is>
      </c>
      <c r="I325" t="inlineStr">
        <is>
          <t>No</t>
        </is>
      </c>
      <c r="J325" t="inlineStr">
        <is>
          <t>0</t>
        </is>
      </c>
      <c r="K325" t="inlineStr">
        <is>
          <t>Findlay, Diane, 1952-</t>
        </is>
      </c>
      <c r="L325" t="inlineStr">
        <is>
          <t>Fort Atkinson, Wis. : Upstart Books, 2002.</t>
        </is>
      </c>
      <c r="M325" t="inlineStr">
        <is>
          <t>2002</t>
        </is>
      </c>
      <c r="O325" t="inlineStr">
        <is>
          <t>eng</t>
        </is>
      </c>
      <c r="P325" t="inlineStr">
        <is>
          <t>wiu</t>
        </is>
      </c>
      <c r="R325" t="inlineStr">
        <is>
          <t xml:space="preserve">E  </t>
        </is>
      </c>
      <c r="S325" t="n">
        <v>1</v>
      </c>
      <c r="T325" t="n">
        <v>1</v>
      </c>
      <c r="U325" t="inlineStr">
        <is>
          <t>2003-02-19</t>
        </is>
      </c>
      <c r="V325" t="inlineStr">
        <is>
          <t>2003-02-19</t>
        </is>
      </c>
      <c r="W325" t="inlineStr">
        <is>
          <t>2003-02-19</t>
        </is>
      </c>
      <c r="X325" t="inlineStr">
        <is>
          <t>2003-02-19</t>
        </is>
      </c>
      <c r="Y325" t="n">
        <v>155</v>
      </c>
      <c r="Z325" t="n">
        <v>153</v>
      </c>
      <c r="AA325" t="n">
        <v>155</v>
      </c>
      <c r="AB325" t="n">
        <v>2</v>
      </c>
      <c r="AC325" t="n">
        <v>2</v>
      </c>
      <c r="AD325" t="n">
        <v>5</v>
      </c>
      <c r="AE325" t="n">
        <v>5</v>
      </c>
      <c r="AF325" t="n">
        <v>1</v>
      </c>
      <c r="AG325" t="n">
        <v>1</v>
      </c>
      <c r="AH325" t="n">
        <v>1</v>
      </c>
      <c r="AI325" t="n">
        <v>1</v>
      </c>
      <c r="AJ325" t="n">
        <v>4</v>
      </c>
      <c r="AK325" t="n">
        <v>4</v>
      </c>
      <c r="AL325" t="n">
        <v>1</v>
      </c>
      <c r="AM325" t="n">
        <v>1</v>
      </c>
      <c r="AN325" t="n">
        <v>0</v>
      </c>
      <c r="AO325" t="n">
        <v>0</v>
      </c>
      <c r="AP325" t="inlineStr">
        <is>
          <t>No</t>
        </is>
      </c>
      <c r="AQ325" t="inlineStr">
        <is>
          <t>Yes</t>
        </is>
      </c>
      <c r="AR325">
        <f>HYPERLINK("http://catalog.hathitrust.org/Record/008326949","HathiTrust Record")</f>
        <v/>
      </c>
      <c r="AS325">
        <f>HYPERLINK("https://creighton-primo.hosted.exlibrisgroup.com/primo-explore/search?tab=default_tab&amp;search_scope=EVERYTHING&amp;vid=01CRU&amp;lang=en_US&amp;offset=0&amp;query=any,contains,991003977539702656","Catalog Record")</f>
        <v/>
      </c>
      <c r="AT325">
        <f>HYPERLINK("http://www.worldcat.org/oclc/51199093","WorldCat Record")</f>
        <v/>
      </c>
      <c r="AU325" t="inlineStr">
        <is>
          <t>1055998:eng</t>
        </is>
      </c>
      <c r="AV325" t="inlineStr">
        <is>
          <t>51199093</t>
        </is>
      </c>
      <c r="AW325" t="inlineStr">
        <is>
          <t>991003977539702656</t>
        </is>
      </c>
      <c r="AX325" t="inlineStr">
        <is>
          <t>991003977539702656</t>
        </is>
      </c>
      <c r="AY325" t="inlineStr">
        <is>
          <t>2261112270002656</t>
        </is>
      </c>
      <c r="AZ325" t="inlineStr">
        <is>
          <t>BOOK</t>
        </is>
      </c>
      <c r="BC325" t="inlineStr">
        <is>
          <t>32285004697982</t>
        </is>
      </c>
      <c r="BD325" t="inlineStr">
        <is>
          <t>893531835</t>
        </is>
      </c>
    </row>
    <row r="326">
      <c r="A326" t="inlineStr">
        <is>
          <t>No</t>
        </is>
      </c>
      <c r="B326" t="inlineStr">
        <is>
          <t>E175.8 .W94 2005</t>
        </is>
      </c>
      <c r="C326" t="inlineStr">
        <is>
          <t>0                      E  0175800W  94          2005</t>
        </is>
      </c>
      <c r="D326" t="inlineStr">
        <is>
          <t>America's history through young voices : using primary sources in the K-12 social studies classroom / Richard M. Wyman, Jr.</t>
        </is>
      </c>
      <c r="F326" t="inlineStr">
        <is>
          <t>No</t>
        </is>
      </c>
      <c r="G326" t="inlineStr">
        <is>
          <t>1</t>
        </is>
      </c>
      <c r="H326" t="inlineStr">
        <is>
          <t>No</t>
        </is>
      </c>
      <c r="I326" t="inlineStr">
        <is>
          <t>No</t>
        </is>
      </c>
      <c r="J326" t="inlineStr">
        <is>
          <t>0</t>
        </is>
      </c>
      <c r="K326" t="inlineStr">
        <is>
          <t>Wyman, Richard M.</t>
        </is>
      </c>
      <c r="L326" t="inlineStr">
        <is>
          <t>Boston : Pearson/Allyn &amp; Bacon, c2005.</t>
        </is>
      </c>
      <c r="M326" t="inlineStr">
        <is>
          <t>2005</t>
        </is>
      </c>
      <c r="O326" t="inlineStr">
        <is>
          <t>eng</t>
        </is>
      </c>
      <c r="P326" t="inlineStr">
        <is>
          <t>mau</t>
        </is>
      </c>
      <c r="R326" t="inlineStr">
        <is>
          <t xml:space="preserve">E  </t>
        </is>
      </c>
      <c r="S326" t="n">
        <v>1</v>
      </c>
      <c r="T326" t="n">
        <v>1</v>
      </c>
      <c r="U326" t="inlineStr">
        <is>
          <t>2005-12-01</t>
        </is>
      </c>
      <c r="V326" t="inlineStr">
        <is>
          <t>2005-12-01</t>
        </is>
      </c>
      <c r="W326" t="inlineStr">
        <is>
          <t>2005-12-01</t>
        </is>
      </c>
      <c r="X326" t="inlineStr">
        <is>
          <t>2005-12-01</t>
        </is>
      </c>
      <c r="Y326" t="n">
        <v>313</v>
      </c>
      <c r="Z326" t="n">
        <v>301</v>
      </c>
      <c r="AA326" t="n">
        <v>301</v>
      </c>
      <c r="AB326" t="n">
        <v>2</v>
      </c>
      <c r="AC326" t="n">
        <v>2</v>
      </c>
      <c r="AD326" t="n">
        <v>12</v>
      </c>
      <c r="AE326" t="n">
        <v>12</v>
      </c>
      <c r="AF326" t="n">
        <v>7</v>
      </c>
      <c r="AG326" t="n">
        <v>7</v>
      </c>
      <c r="AH326" t="n">
        <v>1</v>
      </c>
      <c r="AI326" t="n">
        <v>1</v>
      </c>
      <c r="AJ326" t="n">
        <v>6</v>
      </c>
      <c r="AK326" t="n">
        <v>6</v>
      </c>
      <c r="AL326" t="n">
        <v>1</v>
      </c>
      <c r="AM326" t="n">
        <v>1</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HYPERLINK("https://creighton-primo.hosted.exlibrisgroup.com/primo-explore/search?tab=default_tab&amp;search_scope=EVERYTHING&amp;vid=01CRU&amp;lang=en_US&amp;offset=0&amp;query=any,contains,991004697009702656","Catalog Record")</f>
        <v/>
      </c>
      <c r="AT326">
        <f>HYPERLINK("http://www.worldcat.org/oclc/55960920","WorldCat Record")</f>
        <v/>
      </c>
      <c r="AU326" t="inlineStr">
        <is>
          <t>990657:eng</t>
        </is>
      </c>
      <c r="AV326" t="inlineStr">
        <is>
          <t>55960920</t>
        </is>
      </c>
      <c r="AW326" t="inlineStr">
        <is>
          <t>991004697009702656</t>
        </is>
      </c>
      <c r="AX326" t="inlineStr">
        <is>
          <t>991004697009702656</t>
        </is>
      </c>
      <c r="AY326" t="inlineStr">
        <is>
          <t>2265584260002656</t>
        </is>
      </c>
      <c r="AZ326" t="inlineStr">
        <is>
          <t>BOOK</t>
        </is>
      </c>
      <c r="BB326" t="inlineStr">
        <is>
          <t>9780205395767</t>
        </is>
      </c>
      <c r="BC326" t="inlineStr">
        <is>
          <t>32285005150437</t>
        </is>
      </c>
      <c r="BD326" t="inlineStr">
        <is>
          <t>893424095</t>
        </is>
      </c>
    </row>
    <row r="327">
      <c r="A327" t="inlineStr">
        <is>
          <t>No</t>
        </is>
      </c>
      <c r="B327" t="inlineStr">
        <is>
          <t>E175.9 .A21 1969</t>
        </is>
      </c>
      <c r="C327" t="inlineStr">
        <is>
          <t>0                      E  0175900A  21          1969</t>
        </is>
      </c>
      <c r="D327" t="inlineStr">
        <is>
          <t>The power of ideals in American history, by Ephraim Douglass Adams ...</t>
        </is>
      </c>
      <c r="F327" t="inlineStr">
        <is>
          <t>No</t>
        </is>
      </c>
      <c r="G327" t="inlineStr">
        <is>
          <t>1</t>
        </is>
      </c>
      <c r="H327" t="inlineStr">
        <is>
          <t>No</t>
        </is>
      </c>
      <c r="I327" t="inlineStr">
        <is>
          <t>No</t>
        </is>
      </c>
      <c r="J327" t="inlineStr">
        <is>
          <t>0</t>
        </is>
      </c>
      <c r="K327" t="inlineStr">
        <is>
          <t>Adams, Ephraim Douglass, 1865-1930.</t>
        </is>
      </c>
      <c r="L327" t="inlineStr">
        <is>
          <t>New Haven, Yale University Press; [etc., etc.] 1913.</t>
        </is>
      </c>
      <c r="M327" t="inlineStr">
        <is>
          <t>1913</t>
        </is>
      </c>
      <c r="O327" t="inlineStr">
        <is>
          <t>eng</t>
        </is>
      </c>
      <c r="P327" t="inlineStr">
        <is>
          <t>ctu</t>
        </is>
      </c>
      <c r="Q327" t="inlineStr">
        <is>
          <t>Yale lectures on the responsibilities of citizenship</t>
        </is>
      </c>
      <c r="R327" t="inlineStr">
        <is>
          <t xml:space="preserve">E  </t>
        </is>
      </c>
      <c r="S327" t="n">
        <v>4</v>
      </c>
      <c r="T327" t="n">
        <v>4</v>
      </c>
      <c r="U327" t="inlineStr">
        <is>
          <t>2002-05-07</t>
        </is>
      </c>
      <c r="V327" t="inlineStr">
        <is>
          <t>2002-05-07</t>
        </is>
      </c>
      <c r="W327" t="inlineStr">
        <is>
          <t>1997-04-04</t>
        </is>
      </c>
      <c r="X327" t="inlineStr">
        <is>
          <t>1997-04-04</t>
        </is>
      </c>
      <c r="Y327" t="n">
        <v>370</v>
      </c>
      <c r="Z327" t="n">
        <v>315</v>
      </c>
      <c r="AA327" t="n">
        <v>652</v>
      </c>
      <c r="AB327" t="n">
        <v>4</v>
      </c>
      <c r="AC327" t="n">
        <v>6</v>
      </c>
      <c r="AD327" t="n">
        <v>14</v>
      </c>
      <c r="AE327" t="n">
        <v>30</v>
      </c>
      <c r="AF327" t="n">
        <v>4</v>
      </c>
      <c r="AG327" t="n">
        <v>10</v>
      </c>
      <c r="AH327" t="n">
        <v>4</v>
      </c>
      <c r="AI327" t="n">
        <v>6</v>
      </c>
      <c r="AJ327" t="n">
        <v>7</v>
      </c>
      <c r="AK327" t="n">
        <v>16</v>
      </c>
      <c r="AL327" t="n">
        <v>3</v>
      </c>
      <c r="AM327" t="n">
        <v>5</v>
      </c>
      <c r="AN327" t="n">
        <v>0</v>
      </c>
      <c r="AO327" t="n">
        <v>0</v>
      </c>
      <c r="AP327" t="inlineStr">
        <is>
          <t>Yes</t>
        </is>
      </c>
      <c r="AQ327" t="inlineStr">
        <is>
          <t>No</t>
        </is>
      </c>
      <c r="AR327">
        <f>HYPERLINK("http://catalog.hathitrust.org/Record/000566392","HathiTrust Record")</f>
        <v/>
      </c>
      <c r="AS327">
        <f>HYPERLINK("https://creighton-primo.hosted.exlibrisgroup.com/primo-explore/search?tab=default_tab&amp;search_scope=EVERYTHING&amp;vid=01CRU&amp;lang=en_US&amp;offset=0&amp;query=any,contains,991004123869702656","Catalog Record")</f>
        <v/>
      </c>
      <c r="AT327">
        <f>HYPERLINK("http://www.worldcat.org/oclc/2438442","WorldCat Record")</f>
        <v/>
      </c>
      <c r="AU327" t="inlineStr">
        <is>
          <t>474300:eng</t>
        </is>
      </c>
      <c r="AV327" t="inlineStr">
        <is>
          <t>2438442</t>
        </is>
      </c>
      <c r="AW327" t="inlineStr">
        <is>
          <t>991004123869702656</t>
        </is>
      </c>
      <c r="AX327" t="inlineStr">
        <is>
          <t>991004123869702656</t>
        </is>
      </c>
      <c r="AY327" t="inlineStr">
        <is>
          <t>2264131300002656</t>
        </is>
      </c>
      <c r="AZ327" t="inlineStr">
        <is>
          <t>BOOK</t>
        </is>
      </c>
      <c r="BC327" t="inlineStr">
        <is>
          <t>32285002503240</t>
        </is>
      </c>
      <c r="BD327" t="inlineStr">
        <is>
          <t>893775645</t>
        </is>
      </c>
    </row>
    <row r="328">
      <c r="A328" t="inlineStr">
        <is>
          <t>No</t>
        </is>
      </c>
      <c r="B328" t="inlineStr">
        <is>
          <t>E175.9 .B4</t>
        </is>
      </c>
      <c r="C328" t="inlineStr">
        <is>
          <t>0                      E  0175900B  4</t>
        </is>
      </c>
      <c r="D328" t="inlineStr">
        <is>
          <t>Turner and Beard; American historical writing reconsidered.</t>
        </is>
      </c>
      <c r="F328" t="inlineStr">
        <is>
          <t>No</t>
        </is>
      </c>
      <c r="G328" t="inlineStr">
        <is>
          <t>1</t>
        </is>
      </c>
      <c r="H328" t="inlineStr">
        <is>
          <t>No</t>
        </is>
      </c>
      <c r="I328" t="inlineStr">
        <is>
          <t>No</t>
        </is>
      </c>
      <c r="J328" t="inlineStr">
        <is>
          <t>0</t>
        </is>
      </c>
      <c r="K328" t="inlineStr">
        <is>
          <t>Benson, Lee.</t>
        </is>
      </c>
      <c r="L328" t="inlineStr">
        <is>
          <t>Glencoe, Ill., Free Press [1960]</t>
        </is>
      </c>
      <c r="M328" t="inlineStr">
        <is>
          <t>1960</t>
        </is>
      </c>
      <c r="O328" t="inlineStr">
        <is>
          <t>eng</t>
        </is>
      </c>
      <c r="P328" t="inlineStr">
        <is>
          <t>ilu</t>
        </is>
      </c>
      <c r="R328" t="inlineStr">
        <is>
          <t xml:space="preserve">E  </t>
        </is>
      </c>
      <c r="S328" t="n">
        <v>6</v>
      </c>
      <c r="T328" t="n">
        <v>6</v>
      </c>
      <c r="U328" t="inlineStr">
        <is>
          <t>1997-10-12</t>
        </is>
      </c>
      <c r="V328" t="inlineStr">
        <is>
          <t>1997-10-12</t>
        </is>
      </c>
      <c r="W328" t="inlineStr">
        <is>
          <t>1992-04-22</t>
        </is>
      </c>
      <c r="X328" t="inlineStr">
        <is>
          <t>1992-04-22</t>
        </is>
      </c>
      <c r="Y328" t="n">
        <v>959</v>
      </c>
      <c r="Z328" t="n">
        <v>845</v>
      </c>
      <c r="AA328" t="n">
        <v>916</v>
      </c>
      <c r="AB328" t="n">
        <v>7</v>
      </c>
      <c r="AC328" t="n">
        <v>7</v>
      </c>
      <c r="AD328" t="n">
        <v>43</v>
      </c>
      <c r="AE328" t="n">
        <v>48</v>
      </c>
      <c r="AF328" t="n">
        <v>17</v>
      </c>
      <c r="AG328" t="n">
        <v>20</v>
      </c>
      <c r="AH328" t="n">
        <v>8</v>
      </c>
      <c r="AI328" t="n">
        <v>10</v>
      </c>
      <c r="AJ328" t="n">
        <v>22</v>
      </c>
      <c r="AK328" t="n">
        <v>23</v>
      </c>
      <c r="AL328" t="n">
        <v>6</v>
      </c>
      <c r="AM328" t="n">
        <v>6</v>
      </c>
      <c r="AN328" t="n">
        <v>0</v>
      </c>
      <c r="AO328" t="n">
        <v>0</v>
      </c>
      <c r="AP328" t="inlineStr">
        <is>
          <t>No</t>
        </is>
      </c>
      <c r="AQ328" t="inlineStr">
        <is>
          <t>Yes</t>
        </is>
      </c>
      <c r="AR328">
        <f>HYPERLINK("http://catalog.hathitrust.org/Record/000330776","HathiTrust Record")</f>
        <v/>
      </c>
      <c r="AS328">
        <f>HYPERLINK("https://creighton-primo.hosted.exlibrisgroup.com/primo-explore/search?tab=default_tab&amp;search_scope=EVERYTHING&amp;vid=01CRU&amp;lang=en_US&amp;offset=0&amp;query=any,contains,991003427279702656","Catalog Record")</f>
        <v/>
      </c>
      <c r="AT328">
        <f>HYPERLINK("http://www.worldcat.org/oclc/964815","WorldCat Record")</f>
        <v/>
      </c>
      <c r="AU328" t="inlineStr">
        <is>
          <t>1918618:eng</t>
        </is>
      </c>
      <c r="AV328" t="inlineStr">
        <is>
          <t>964815</t>
        </is>
      </c>
      <c r="AW328" t="inlineStr">
        <is>
          <t>991003427279702656</t>
        </is>
      </c>
      <c r="AX328" t="inlineStr">
        <is>
          <t>991003427279702656</t>
        </is>
      </c>
      <c r="AY328" t="inlineStr">
        <is>
          <t>2261681150002656</t>
        </is>
      </c>
      <c r="AZ328" t="inlineStr">
        <is>
          <t>BOOK</t>
        </is>
      </c>
      <c r="BC328" t="inlineStr">
        <is>
          <t>32285001054732</t>
        </is>
      </c>
      <c r="BD328" t="inlineStr">
        <is>
          <t>893342545</t>
        </is>
      </c>
    </row>
    <row r="329">
      <c r="A329" t="inlineStr">
        <is>
          <t>No</t>
        </is>
      </c>
      <c r="B329" t="inlineStr">
        <is>
          <t>E175.9 .D54 2000</t>
        </is>
      </c>
      <c r="C329" t="inlineStr">
        <is>
          <t>0                      E  0175900D  54          2000</t>
        </is>
      </c>
      <c r="D329" t="inlineStr">
        <is>
          <t>On hallowed ground : Abraham Lincoln and the foundations of American history / John Patrick Diggins.</t>
        </is>
      </c>
      <c r="F329" t="inlineStr">
        <is>
          <t>No</t>
        </is>
      </c>
      <c r="G329" t="inlineStr">
        <is>
          <t>1</t>
        </is>
      </c>
      <c r="H329" t="inlineStr">
        <is>
          <t>No</t>
        </is>
      </c>
      <c r="I329" t="inlineStr">
        <is>
          <t>No</t>
        </is>
      </c>
      <c r="J329" t="inlineStr">
        <is>
          <t>0</t>
        </is>
      </c>
      <c r="K329" t="inlineStr">
        <is>
          <t>Diggins, John P.</t>
        </is>
      </c>
      <c r="L329" t="inlineStr">
        <is>
          <t>New Haven : Yale University Press, c2000.</t>
        </is>
      </c>
      <c r="M329" t="inlineStr">
        <is>
          <t>2000</t>
        </is>
      </c>
      <c r="O329" t="inlineStr">
        <is>
          <t>eng</t>
        </is>
      </c>
      <c r="P329" t="inlineStr">
        <is>
          <t>ctu</t>
        </is>
      </c>
      <c r="R329" t="inlineStr">
        <is>
          <t xml:space="preserve">E  </t>
        </is>
      </c>
      <c r="S329" t="n">
        <v>2</v>
      </c>
      <c r="T329" t="n">
        <v>2</v>
      </c>
      <c r="U329" t="inlineStr">
        <is>
          <t>2000-12-05</t>
        </is>
      </c>
      <c r="V329" t="inlineStr">
        <is>
          <t>2000-12-05</t>
        </is>
      </c>
      <c r="W329" t="inlineStr">
        <is>
          <t>2000-12-05</t>
        </is>
      </c>
      <c r="X329" t="inlineStr">
        <is>
          <t>2000-12-05</t>
        </is>
      </c>
      <c r="Y329" t="n">
        <v>795</v>
      </c>
      <c r="Z329" t="n">
        <v>712</v>
      </c>
      <c r="AA329" t="n">
        <v>713</v>
      </c>
      <c r="AB329" t="n">
        <v>8</v>
      </c>
      <c r="AC329" t="n">
        <v>8</v>
      </c>
      <c r="AD329" t="n">
        <v>37</v>
      </c>
      <c r="AE329" t="n">
        <v>37</v>
      </c>
      <c r="AF329" t="n">
        <v>13</v>
      </c>
      <c r="AG329" t="n">
        <v>13</v>
      </c>
      <c r="AH329" t="n">
        <v>8</v>
      </c>
      <c r="AI329" t="n">
        <v>8</v>
      </c>
      <c r="AJ329" t="n">
        <v>16</v>
      </c>
      <c r="AK329" t="n">
        <v>16</v>
      </c>
      <c r="AL329" t="n">
        <v>7</v>
      </c>
      <c r="AM329" t="n">
        <v>7</v>
      </c>
      <c r="AN329" t="n">
        <v>2</v>
      </c>
      <c r="AO329" t="n">
        <v>2</v>
      </c>
      <c r="AP329" t="inlineStr">
        <is>
          <t>No</t>
        </is>
      </c>
      <c r="AQ329" t="inlineStr">
        <is>
          <t>No</t>
        </is>
      </c>
      <c r="AS329">
        <f>HYPERLINK("https://creighton-primo.hosted.exlibrisgroup.com/primo-explore/search?tab=default_tab&amp;search_scope=EVERYTHING&amp;vid=01CRU&amp;lang=en_US&amp;offset=0&amp;query=any,contains,991003350729702656","Catalog Record")</f>
        <v/>
      </c>
      <c r="AT329">
        <f>HYPERLINK("http://www.worldcat.org/oclc/43708618","WorldCat Record")</f>
        <v/>
      </c>
      <c r="AU329" t="inlineStr">
        <is>
          <t>836964560:eng</t>
        </is>
      </c>
      <c r="AV329" t="inlineStr">
        <is>
          <t>43708618</t>
        </is>
      </c>
      <c r="AW329" t="inlineStr">
        <is>
          <t>991003350729702656</t>
        </is>
      </c>
      <c r="AX329" t="inlineStr">
        <is>
          <t>991003350729702656</t>
        </is>
      </c>
      <c r="AY329" t="inlineStr">
        <is>
          <t>2256995310002656</t>
        </is>
      </c>
      <c r="AZ329" t="inlineStr">
        <is>
          <t>BOOK</t>
        </is>
      </c>
      <c r="BB329" t="inlineStr">
        <is>
          <t>9780300082371</t>
        </is>
      </c>
      <c r="BC329" t="inlineStr">
        <is>
          <t>32285004269550</t>
        </is>
      </c>
      <c r="BD329" t="inlineStr">
        <is>
          <t>893711299</t>
        </is>
      </c>
    </row>
    <row r="330">
      <c r="A330" t="inlineStr">
        <is>
          <t>No</t>
        </is>
      </c>
      <c r="B330" t="inlineStr">
        <is>
          <t>E175.9 .H37 1955</t>
        </is>
      </c>
      <c r="C330" t="inlineStr">
        <is>
          <t>0                      E  0175900H  37          1955</t>
        </is>
      </c>
      <c r="D330" t="inlineStr">
        <is>
          <t>The liberal tradition in America : an interpretation of American political thought since the Revolution / Louis Hartz.</t>
        </is>
      </c>
      <c r="F330" t="inlineStr">
        <is>
          <t>No</t>
        </is>
      </c>
      <c r="G330" t="inlineStr">
        <is>
          <t>1</t>
        </is>
      </c>
      <c r="H330" t="inlineStr">
        <is>
          <t>No</t>
        </is>
      </c>
      <c r="I330" t="inlineStr">
        <is>
          <t>No</t>
        </is>
      </c>
      <c r="J330" t="inlineStr">
        <is>
          <t>0</t>
        </is>
      </c>
      <c r="K330" t="inlineStr">
        <is>
          <t>Hartz, Louis, 1919-1986.</t>
        </is>
      </c>
      <c r="L330" t="inlineStr">
        <is>
          <t>New York, Harcourt, Brace &amp; World, [1955]</t>
        </is>
      </c>
      <c r="M330" t="inlineStr">
        <is>
          <t>1955</t>
        </is>
      </c>
      <c r="N330" t="inlineStr">
        <is>
          <t>[1st ed.]</t>
        </is>
      </c>
      <c r="O330" t="inlineStr">
        <is>
          <t>eng</t>
        </is>
      </c>
      <c r="P330" t="inlineStr">
        <is>
          <t>nyu</t>
        </is>
      </c>
      <c r="R330" t="inlineStr">
        <is>
          <t xml:space="preserve">E  </t>
        </is>
      </c>
      <c r="S330" t="n">
        <v>2</v>
      </c>
      <c r="T330" t="n">
        <v>2</v>
      </c>
      <c r="U330" t="inlineStr">
        <is>
          <t>2001-07-25</t>
        </is>
      </c>
      <c r="V330" t="inlineStr">
        <is>
          <t>2001-07-25</t>
        </is>
      </c>
      <c r="W330" t="inlineStr">
        <is>
          <t>2001-07-24</t>
        </is>
      </c>
      <c r="X330" t="inlineStr">
        <is>
          <t>2001-07-24</t>
        </is>
      </c>
      <c r="Y330" t="n">
        <v>1553</v>
      </c>
      <c r="Z330" t="n">
        <v>1331</v>
      </c>
      <c r="AA330" t="n">
        <v>1481</v>
      </c>
      <c r="AB330" t="n">
        <v>10</v>
      </c>
      <c r="AC330" t="n">
        <v>10</v>
      </c>
      <c r="AD330" t="n">
        <v>52</v>
      </c>
      <c r="AE330" t="n">
        <v>58</v>
      </c>
      <c r="AF330" t="n">
        <v>23</v>
      </c>
      <c r="AG330" t="n">
        <v>26</v>
      </c>
      <c r="AH330" t="n">
        <v>7</v>
      </c>
      <c r="AI330" t="n">
        <v>9</v>
      </c>
      <c r="AJ330" t="n">
        <v>18</v>
      </c>
      <c r="AK330" t="n">
        <v>20</v>
      </c>
      <c r="AL330" t="n">
        <v>9</v>
      </c>
      <c r="AM330" t="n">
        <v>9</v>
      </c>
      <c r="AN330" t="n">
        <v>4</v>
      </c>
      <c r="AO330" t="n">
        <v>5</v>
      </c>
      <c r="AP330" t="inlineStr">
        <is>
          <t>No</t>
        </is>
      </c>
      <c r="AQ330" t="inlineStr">
        <is>
          <t>Yes</t>
        </is>
      </c>
      <c r="AR330">
        <f>HYPERLINK("http://catalog.hathitrust.org/Record/000104334","HathiTrust Record")</f>
        <v/>
      </c>
      <c r="AS330">
        <f>HYPERLINK("https://creighton-primo.hosted.exlibrisgroup.com/primo-explore/search?tab=default_tab&amp;search_scope=EVERYTHING&amp;vid=01CRU&amp;lang=en_US&amp;offset=0&amp;query=any,contains,991003590669702656","Catalog Record")</f>
        <v/>
      </c>
      <c r="AT330">
        <f>HYPERLINK("http://www.worldcat.org/oclc/420086","WorldCat Record")</f>
        <v/>
      </c>
      <c r="AU330" t="inlineStr">
        <is>
          <t>873062:eng</t>
        </is>
      </c>
      <c r="AV330" t="inlineStr">
        <is>
          <t>420086</t>
        </is>
      </c>
      <c r="AW330" t="inlineStr">
        <is>
          <t>991003590669702656</t>
        </is>
      </c>
      <c r="AX330" t="inlineStr">
        <is>
          <t>991003590669702656</t>
        </is>
      </c>
      <c r="AY330" t="inlineStr">
        <is>
          <t>2270416010002656</t>
        </is>
      </c>
      <c r="AZ330" t="inlineStr">
        <is>
          <t>BOOK</t>
        </is>
      </c>
      <c r="BB330" t="inlineStr">
        <is>
          <t>9780156512695</t>
        </is>
      </c>
      <c r="BC330" t="inlineStr">
        <is>
          <t>32285004334701</t>
        </is>
      </c>
      <c r="BD330" t="inlineStr">
        <is>
          <t>893324225</t>
        </is>
      </c>
    </row>
    <row r="331">
      <c r="A331" t="inlineStr">
        <is>
          <t>No</t>
        </is>
      </c>
      <c r="B331" t="inlineStr">
        <is>
          <t>E175.9 .N5</t>
        </is>
      </c>
      <c r="C331" t="inlineStr">
        <is>
          <t>0                      E  0175900N  5</t>
        </is>
      </c>
      <c r="D331" t="inlineStr">
        <is>
          <t>A nation so conceived : reflections on the history of America from its early visions to its present power / by Reinhold Niebuhr and Alan Heimert.</t>
        </is>
      </c>
      <c r="F331" t="inlineStr">
        <is>
          <t>No</t>
        </is>
      </c>
      <c r="G331" t="inlineStr">
        <is>
          <t>1</t>
        </is>
      </c>
      <c r="H331" t="inlineStr">
        <is>
          <t>Yes</t>
        </is>
      </c>
      <c r="I331" t="inlineStr">
        <is>
          <t>No</t>
        </is>
      </c>
      <c r="J331" t="inlineStr">
        <is>
          <t>0</t>
        </is>
      </c>
      <c r="K331" t="inlineStr">
        <is>
          <t>Niebuhr, Reinhold, 1892-1971.</t>
        </is>
      </c>
      <c r="L331" t="inlineStr">
        <is>
          <t>New York : Scribner, c1963.</t>
        </is>
      </c>
      <c r="M331" t="inlineStr">
        <is>
          <t>1963</t>
        </is>
      </c>
      <c r="O331" t="inlineStr">
        <is>
          <t>eng</t>
        </is>
      </c>
      <c r="P331" t="inlineStr">
        <is>
          <t>nyu</t>
        </is>
      </c>
      <c r="R331" t="inlineStr">
        <is>
          <t xml:space="preserve">E  </t>
        </is>
      </c>
      <c r="S331" t="n">
        <v>2</v>
      </c>
      <c r="T331" t="n">
        <v>2</v>
      </c>
      <c r="U331" t="inlineStr">
        <is>
          <t>1997-10-06</t>
        </is>
      </c>
      <c r="V331" t="inlineStr">
        <is>
          <t>1997-10-06</t>
        </is>
      </c>
      <c r="W331" t="inlineStr">
        <is>
          <t>1997-04-04</t>
        </is>
      </c>
      <c r="X331" t="inlineStr">
        <is>
          <t>2006-06-05</t>
        </is>
      </c>
      <c r="Y331" t="n">
        <v>789</v>
      </c>
      <c r="Z331" t="n">
        <v>732</v>
      </c>
      <c r="AA331" t="n">
        <v>827</v>
      </c>
      <c r="AB331" t="n">
        <v>4</v>
      </c>
      <c r="AC331" t="n">
        <v>4</v>
      </c>
      <c r="AD331" t="n">
        <v>22</v>
      </c>
      <c r="AE331" t="n">
        <v>30</v>
      </c>
      <c r="AF331" t="n">
        <v>7</v>
      </c>
      <c r="AG331" t="n">
        <v>11</v>
      </c>
      <c r="AH331" t="n">
        <v>5</v>
      </c>
      <c r="AI331" t="n">
        <v>7</v>
      </c>
      <c r="AJ331" t="n">
        <v>16</v>
      </c>
      <c r="AK331" t="n">
        <v>20</v>
      </c>
      <c r="AL331" t="n">
        <v>2</v>
      </c>
      <c r="AM331" t="n">
        <v>2</v>
      </c>
      <c r="AN331" t="n">
        <v>0</v>
      </c>
      <c r="AO331" t="n">
        <v>0</v>
      </c>
      <c r="AP331" t="inlineStr">
        <is>
          <t>No</t>
        </is>
      </c>
      <c r="AQ331" t="inlineStr">
        <is>
          <t>Yes</t>
        </is>
      </c>
      <c r="AR331">
        <f>HYPERLINK("http://catalog.hathitrust.org/Record/000330908","HathiTrust Record")</f>
        <v/>
      </c>
      <c r="AS331">
        <f>HYPERLINK("https://creighton-primo.hosted.exlibrisgroup.com/primo-explore/search?tab=default_tab&amp;search_scope=EVERYTHING&amp;vid=01CRU&amp;lang=en_US&amp;offset=0&amp;query=any,contains,991001633909702656","Catalog Record")</f>
        <v/>
      </c>
      <c r="AT331">
        <f>HYPERLINK("http://www.worldcat.org/oclc/386847","WorldCat Record")</f>
        <v/>
      </c>
      <c r="AU331" t="inlineStr">
        <is>
          <t>1512694:eng</t>
        </is>
      </c>
      <c r="AV331" t="inlineStr">
        <is>
          <t>386847</t>
        </is>
      </c>
      <c r="AW331" t="inlineStr">
        <is>
          <t>991001633909702656</t>
        </is>
      </c>
      <c r="AX331" t="inlineStr">
        <is>
          <t>991001633909702656</t>
        </is>
      </c>
      <c r="AY331" t="inlineStr">
        <is>
          <t>2259643700002656</t>
        </is>
      </c>
      <c r="AZ331" t="inlineStr">
        <is>
          <t>BOOK</t>
        </is>
      </c>
      <c r="BC331" t="inlineStr">
        <is>
          <t>32285002503273</t>
        </is>
      </c>
      <c r="BD331" t="inlineStr">
        <is>
          <t>893426720</t>
        </is>
      </c>
    </row>
    <row r="332">
      <c r="A332" t="inlineStr">
        <is>
          <t>No</t>
        </is>
      </c>
      <c r="B332" t="inlineStr">
        <is>
          <t>E175.9 .O38 2001</t>
        </is>
      </c>
      <c r="C332" t="inlineStr">
        <is>
          <t>0                      E  0175900O  38          2001</t>
        </is>
      </c>
      <c r="D332" t="inlineStr">
        <is>
          <t>Common ground : reimagining American history / Gary Y. Okihiro.</t>
        </is>
      </c>
      <c r="F332" t="inlineStr">
        <is>
          <t>No</t>
        </is>
      </c>
      <c r="G332" t="inlineStr">
        <is>
          <t>1</t>
        </is>
      </c>
      <c r="H332" t="inlineStr">
        <is>
          <t>No</t>
        </is>
      </c>
      <c r="I332" t="inlineStr">
        <is>
          <t>No</t>
        </is>
      </c>
      <c r="J332" t="inlineStr">
        <is>
          <t>0</t>
        </is>
      </c>
      <c r="K332" t="inlineStr">
        <is>
          <t>Okihiro, Gary Y., 1945-</t>
        </is>
      </c>
      <c r="L332" t="inlineStr">
        <is>
          <t>Princeton, N.J. : Princeton University Press, 2001.</t>
        </is>
      </c>
      <c r="M332" t="inlineStr">
        <is>
          <t>2001</t>
        </is>
      </c>
      <c r="O332" t="inlineStr">
        <is>
          <t>eng</t>
        </is>
      </c>
      <c r="P332" t="inlineStr">
        <is>
          <t>nju</t>
        </is>
      </c>
      <c r="R332" t="inlineStr">
        <is>
          <t xml:space="preserve">E  </t>
        </is>
      </c>
      <c r="S332" t="n">
        <v>3</v>
      </c>
      <c r="T332" t="n">
        <v>3</v>
      </c>
      <c r="U332" t="inlineStr">
        <is>
          <t>2001-05-16</t>
        </is>
      </c>
      <c r="V332" t="inlineStr">
        <is>
          <t>2001-05-16</t>
        </is>
      </c>
      <c r="W332" t="inlineStr">
        <is>
          <t>2001-04-05</t>
        </is>
      </c>
      <c r="X332" t="inlineStr">
        <is>
          <t>2001-04-05</t>
        </is>
      </c>
      <c r="Y332" t="n">
        <v>753</v>
      </c>
      <c r="Z332" t="n">
        <v>683</v>
      </c>
      <c r="AA332" t="n">
        <v>916</v>
      </c>
      <c r="AB332" t="n">
        <v>5</v>
      </c>
      <c r="AC332" t="n">
        <v>6</v>
      </c>
      <c r="AD332" t="n">
        <v>37</v>
      </c>
      <c r="AE332" t="n">
        <v>49</v>
      </c>
      <c r="AF332" t="n">
        <v>17</v>
      </c>
      <c r="AG332" t="n">
        <v>22</v>
      </c>
      <c r="AH332" t="n">
        <v>6</v>
      </c>
      <c r="AI332" t="n">
        <v>11</v>
      </c>
      <c r="AJ332" t="n">
        <v>16</v>
      </c>
      <c r="AK332" t="n">
        <v>22</v>
      </c>
      <c r="AL332" t="n">
        <v>4</v>
      </c>
      <c r="AM332" t="n">
        <v>5</v>
      </c>
      <c r="AN332" t="n">
        <v>1</v>
      </c>
      <c r="AO332" t="n">
        <v>1</v>
      </c>
      <c r="AP332" t="inlineStr">
        <is>
          <t>No</t>
        </is>
      </c>
      <c r="AQ332" t="inlineStr">
        <is>
          <t>No</t>
        </is>
      </c>
      <c r="AS332">
        <f>HYPERLINK("https://creighton-primo.hosted.exlibrisgroup.com/primo-explore/search?tab=default_tab&amp;search_scope=EVERYTHING&amp;vid=01CRU&amp;lang=en_US&amp;offset=0&amp;query=any,contains,991003519609702656","Catalog Record")</f>
        <v/>
      </c>
      <c r="AT332">
        <f>HYPERLINK("http://www.worldcat.org/oclc/45102981","WorldCat Record")</f>
        <v/>
      </c>
      <c r="AU332" t="inlineStr">
        <is>
          <t>231050454:eng</t>
        </is>
      </c>
      <c r="AV332" t="inlineStr">
        <is>
          <t>45102981</t>
        </is>
      </c>
      <c r="AW332" t="inlineStr">
        <is>
          <t>991003519609702656</t>
        </is>
      </c>
      <c r="AX332" t="inlineStr">
        <is>
          <t>991003519609702656</t>
        </is>
      </c>
      <c r="AY332" t="inlineStr">
        <is>
          <t>2267832370002656</t>
        </is>
      </c>
      <c r="AZ332" t="inlineStr">
        <is>
          <t>BOOK</t>
        </is>
      </c>
      <c r="BB332" t="inlineStr">
        <is>
          <t>9780691070063</t>
        </is>
      </c>
      <c r="BC332" t="inlineStr">
        <is>
          <t>32285004310305</t>
        </is>
      </c>
      <c r="BD332" t="inlineStr">
        <is>
          <t>893900070</t>
        </is>
      </c>
    </row>
    <row r="333">
      <c r="A333" t="inlineStr">
        <is>
          <t>No</t>
        </is>
      </c>
      <c r="B333" t="inlineStr">
        <is>
          <t>E175.9 .S8 1966</t>
        </is>
      </c>
      <c r="C333" t="inlineStr">
        <is>
          <t>0                      E  0175900S  8           1966</t>
        </is>
      </c>
      <c r="D333" t="inlineStr">
        <is>
          <t>The pragmatic revolt in American history: Carl Becker and Charles Beard.</t>
        </is>
      </c>
      <c r="F333" t="inlineStr">
        <is>
          <t>No</t>
        </is>
      </c>
      <c r="G333" t="inlineStr">
        <is>
          <t>1</t>
        </is>
      </c>
      <c r="H333" t="inlineStr">
        <is>
          <t>No</t>
        </is>
      </c>
      <c r="I333" t="inlineStr">
        <is>
          <t>No</t>
        </is>
      </c>
      <c r="J333" t="inlineStr">
        <is>
          <t>0</t>
        </is>
      </c>
      <c r="K333" t="inlineStr">
        <is>
          <t>Strout, Cushing.</t>
        </is>
      </c>
      <c r="L333" t="inlineStr">
        <is>
          <t>Ithaca, N. Y., Cornell University Press [c1958, 1966]</t>
        </is>
      </c>
      <c r="M333" t="inlineStr">
        <is>
          <t>1966</t>
        </is>
      </c>
      <c r="N333" t="inlineStr">
        <is>
          <t>[Cornell Paperbacks ed.]</t>
        </is>
      </c>
      <c r="O333" t="inlineStr">
        <is>
          <t>eng</t>
        </is>
      </c>
      <c r="P333" t="inlineStr">
        <is>
          <t xml:space="preserve">xx </t>
        </is>
      </c>
      <c r="Q333" t="inlineStr">
        <is>
          <t>Cornell Paperback, CP-34</t>
        </is>
      </c>
      <c r="R333" t="inlineStr">
        <is>
          <t xml:space="preserve">E  </t>
        </is>
      </c>
      <c r="S333" t="n">
        <v>2</v>
      </c>
      <c r="T333" t="n">
        <v>2</v>
      </c>
      <c r="U333" t="inlineStr">
        <is>
          <t>1995-10-13</t>
        </is>
      </c>
      <c r="V333" t="inlineStr">
        <is>
          <t>1995-10-13</t>
        </is>
      </c>
      <c r="W333" t="inlineStr">
        <is>
          <t>1992-10-07</t>
        </is>
      </c>
      <c r="X333" t="inlineStr">
        <is>
          <t>1992-10-07</t>
        </is>
      </c>
      <c r="Y333" t="n">
        <v>209</v>
      </c>
      <c r="Z333" t="n">
        <v>188</v>
      </c>
      <c r="AA333" t="n">
        <v>931</v>
      </c>
      <c r="AB333" t="n">
        <v>1</v>
      </c>
      <c r="AC333" t="n">
        <v>8</v>
      </c>
      <c r="AD333" t="n">
        <v>8</v>
      </c>
      <c r="AE333" t="n">
        <v>49</v>
      </c>
      <c r="AF333" t="n">
        <v>2</v>
      </c>
      <c r="AG333" t="n">
        <v>21</v>
      </c>
      <c r="AH333" t="n">
        <v>2</v>
      </c>
      <c r="AI333" t="n">
        <v>11</v>
      </c>
      <c r="AJ333" t="n">
        <v>5</v>
      </c>
      <c r="AK333" t="n">
        <v>24</v>
      </c>
      <c r="AL333" t="n">
        <v>0</v>
      </c>
      <c r="AM333" t="n">
        <v>7</v>
      </c>
      <c r="AN333" t="n">
        <v>0</v>
      </c>
      <c r="AO333" t="n">
        <v>0</v>
      </c>
      <c r="AP333" t="inlineStr">
        <is>
          <t>No</t>
        </is>
      </c>
      <c r="AQ333" t="inlineStr">
        <is>
          <t>Yes</t>
        </is>
      </c>
      <c r="AR333">
        <f>HYPERLINK("http://catalog.hathitrust.org/Record/102051854","HathiTrust Record")</f>
        <v/>
      </c>
      <c r="AS333">
        <f>HYPERLINK("https://creighton-primo.hosted.exlibrisgroup.com/primo-explore/search?tab=default_tab&amp;search_scope=EVERYTHING&amp;vid=01CRU&amp;lang=en_US&amp;offset=0&amp;query=any,contains,991003581929702656","Catalog Record")</f>
        <v/>
      </c>
      <c r="AT333">
        <f>HYPERLINK("http://www.worldcat.org/oclc/1163546","WorldCat Record")</f>
        <v/>
      </c>
      <c r="AU333" t="inlineStr">
        <is>
          <t>1399828:eng</t>
        </is>
      </c>
      <c r="AV333" t="inlineStr">
        <is>
          <t>1163546</t>
        </is>
      </c>
      <c r="AW333" t="inlineStr">
        <is>
          <t>991003581929702656</t>
        </is>
      </c>
      <c r="AX333" t="inlineStr">
        <is>
          <t>991003581929702656</t>
        </is>
      </c>
      <c r="AY333" t="inlineStr">
        <is>
          <t>2265921610002656</t>
        </is>
      </c>
      <c r="AZ333" t="inlineStr">
        <is>
          <t>BOOK</t>
        </is>
      </c>
      <c r="BC333" t="inlineStr">
        <is>
          <t>32285001367589</t>
        </is>
      </c>
      <c r="BD333" t="inlineStr">
        <is>
          <t>893623645</t>
        </is>
      </c>
    </row>
    <row r="334">
      <c r="A334" t="inlineStr">
        <is>
          <t>No</t>
        </is>
      </c>
      <c r="B334" t="inlineStr">
        <is>
          <t>E175.9 .W49</t>
        </is>
      </c>
      <c r="C334" t="inlineStr">
        <is>
          <t>0                      E  0175900W  49</t>
        </is>
      </c>
      <c r="D334" t="inlineStr">
        <is>
          <t>America confronts a revolutionary world, 1776-1976 / by William Appleman Williams.</t>
        </is>
      </c>
      <c r="F334" t="inlineStr">
        <is>
          <t>No</t>
        </is>
      </c>
      <c r="G334" t="inlineStr">
        <is>
          <t>1</t>
        </is>
      </c>
      <c r="H334" t="inlineStr">
        <is>
          <t>No</t>
        </is>
      </c>
      <c r="I334" t="inlineStr">
        <is>
          <t>No</t>
        </is>
      </c>
      <c r="J334" t="inlineStr">
        <is>
          <t>0</t>
        </is>
      </c>
      <c r="K334" t="inlineStr">
        <is>
          <t>Williams, William Appleman.</t>
        </is>
      </c>
      <c r="L334" t="inlineStr">
        <is>
          <t>New York : Morrow, 1976.</t>
        </is>
      </c>
      <c r="M334" t="inlineStr">
        <is>
          <t>1976</t>
        </is>
      </c>
      <c r="O334" t="inlineStr">
        <is>
          <t>eng</t>
        </is>
      </c>
      <c r="P334" t="inlineStr">
        <is>
          <t>nyu</t>
        </is>
      </c>
      <c r="R334" t="inlineStr">
        <is>
          <t xml:space="preserve">E  </t>
        </is>
      </c>
      <c r="S334" t="n">
        <v>1</v>
      </c>
      <c r="T334" t="n">
        <v>1</v>
      </c>
      <c r="U334" t="inlineStr">
        <is>
          <t>2003-10-12</t>
        </is>
      </c>
      <c r="V334" t="inlineStr">
        <is>
          <t>2003-10-12</t>
        </is>
      </c>
      <c r="W334" t="inlineStr">
        <is>
          <t>1991-01-11</t>
        </is>
      </c>
      <c r="X334" t="inlineStr">
        <is>
          <t>1991-01-11</t>
        </is>
      </c>
      <c r="Y334" t="n">
        <v>732</v>
      </c>
      <c r="Z334" t="n">
        <v>651</v>
      </c>
      <c r="AA334" t="n">
        <v>657</v>
      </c>
      <c r="AB334" t="n">
        <v>7</v>
      </c>
      <c r="AC334" t="n">
        <v>7</v>
      </c>
      <c r="AD334" t="n">
        <v>29</v>
      </c>
      <c r="AE334" t="n">
        <v>29</v>
      </c>
      <c r="AF334" t="n">
        <v>11</v>
      </c>
      <c r="AG334" t="n">
        <v>11</v>
      </c>
      <c r="AH334" t="n">
        <v>5</v>
      </c>
      <c r="AI334" t="n">
        <v>5</v>
      </c>
      <c r="AJ334" t="n">
        <v>13</v>
      </c>
      <c r="AK334" t="n">
        <v>13</v>
      </c>
      <c r="AL334" t="n">
        <v>6</v>
      </c>
      <c r="AM334" t="n">
        <v>6</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HYPERLINK("https://creighton-primo.hosted.exlibrisgroup.com/primo-explore/search?tab=default_tab&amp;search_scope=EVERYTHING&amp;vid=01CRU&amp;lang=en_US&amp;offset=0&amp;query=any,contains,991003962379702656","Catalog Record")</f>
        <v/>
      </c>
      <c r="AT334">
        <f>HYPERLINK("http://www.worldcat.org/oclc/1976024","WorldCat Record")</f>
        <v/>
      </c>
      <c r="AU334" t="inlineStr">
        <is>
          <t>2743593:eng</t>
        </is>
      </c>
      <c r="AV334" t="inlineStr">
        <is>
          <t>1976024</t>
        </is>
      </c>
      <c r="AW334" t="inlineStr">
        <is>
          <t>991003962379702656</t>
        </is>
      </c>
      <c r="AX334" t="inlineStr">
        <is>
          <t>991003962379702656</t>
        </is>
      </c>
      <c r="AY334" t="inlineStr">
        <is>
          <t>2266610860002656</t>
        </is>
      </c>
      <c r="AZ334" t="inlineStr">
        <is>
          <t>BOOK</t>
        </is>
      </c>
      <c r="BB334" t="inlineStr">
        <is>
          <t>9780688030421</t>
        </is>
      </c>
      <c r="BC334" t="inlineStr">
        <is>
          <t>32285000424720</t>
        </is>
      </c>
      <c r="BD334" t="inlineStr">
        <is>
          <t>893429484</t>
        </is>
      </c>
    </row>
    <row r="335">
      <c r="A335" t="inlineStr">
        <is>
          <t>No</t>
        </is>
      </c>
      <c r="B335" t="inlineStr">
        <is>
          <t>E175.A2 S26 1989</t>
        </is>
      </c>
      <c r="C335" t="inlineStr">
        <is>
          <t>0                      E  0175000A  2                  S  26          1989</t>
        </is>
      </c>
      <c r="D335" t="inlineStr">
        <is>
          <t>Henry Adams / Ernest Samuels.</t>
        </is>
      </c>
      <c r="F335" t="inlineStr">
        <is>
          <t>No</t>
        </is>
      </c>
      <c r="G335" t="inlineStr">
        <is>
          <t>1</t>
        </is>
      </c>
      <c r="H335" t="inlineStr">
        <is>
          <t>No</t>
        </is>
      </c>
      <c r="I335" t="inlineStr">
        <is>
          <t>No</t>
        </is>
      </c>
      <c r="J335" t="inlineStr">
        <is>
          <t>0</t>
        </is>
      </c>
      <c r="K335" t="inlineStr">
        <is>
          <t>Samuels, Ernest, 1903-1996.</t>
        </is>
      </c>
      <c r="L335" t="inlineStr">
        <is>
          <t>Cambridge, Mass. : Harvard University Press, 1989.</t>
        </is>
      </c>
      <c r="M335" t="inlineStr">
        <is>
          <t>1989</t>
        </is>
      </c>
      <c r="O335" t="inlineStr">
        <is>
          <t>eng</t>
        </is>
      </c>
      <c r="P335" t="inlineStr">
        <is>
          <t>mau</t>
        </is>
      </c>
      <c r="R335" t="inlineStr">
        <is>
          <t xml:space="preserve">E  </t>
        </is>
      </c>
      <c r="S335" t="n">
        <v>2</v>
      </c>
      <c r="T335" t="n">
        <v>2</v>
      </c>
      <c r="U335" t="inlineStr">
        <is>
          <t>2002-12-02</t>
        </is>
      </c>
      <c r="V335" t="inlineStr">
        <is>
          <t>2002-12-02</t>
        </is>
      </c>
      <c r="W335" t="inlineStr">
        <is>
          <t>1990-02-13</t>
        </is>
      </c>
      <c r="X335" t="inlineStr">
        <is>
          <t>1990-02-13</t>
        </is>
      </c>
      <c r="Y335" t="n">
        <v>755</v>
      </c>
      <c r="Z335" t="n">
        <v>677</v>
      </c>
      <c r="AA335" t="n">
        <v>847</v>
      </c>
      <c r="AB335" t="n">
        <v>5</v>
      </c>
      <c r="AC335" t="n">
        <v>6</v>
      </c>
      <c r="AD335" t="n">
        <v>28</v>
      </c>
      <c r="AE335" t="n">
        <v>35</v>
      </c>
      <c r="AF335" t="n">
        <v>9</v>
      </c>
      <c r="AG335" t="n">
        <v>13</v>
      </c>
      <c r="AH335" t="n">
        <v>8</v>
      </c>
      <c r="AI335" t="n">
        <v>10</v>
      </c>
      <c r="AJ335" t="n">
        <v>14</v>
      </c>
      <c r="AK335" t="n">
        <v>16</v>
      </c>
      <c r="AL335" t="n">
        <v>4</v>
      </c>
      <c r="AM335" t="n">
        <v>5</v>
      </c>
      <c r="AN335" t="n">
        <v>0</v>
      </c>
      <c r="AO335" t="n">
        <v>0</v>
      </c>
      <c r="AP335" t="inlineStr">
        <is>
          <t>No</t>
        </is>
      </c>
      <c r="AQ335" t="inlineStr">
        <is>
          <t>Yes</t>
        </is>
      </c>
      <c r="AR335">
        <f>HYPERLINK("http://catalog.hathitrust.org/Record/001551716","HathiTrust Record")</f>
        <v/>
      </c>
      <c r="AS335">
        <f>HYPERLINK("https://creighton-primo.hosted.exlibrisgroup.com/primo-explore/search?tab=default_tab&amp;search_scope=EVERYTHING&amp;vid=01CRU&amp;lang=en_US&amp;offset=0&amp;query=any,contains,991001436259702656","Catalog Record")</f>
        <v/>
      </c>
      <c r="AT335">
        <f>HYPERLINK("http://www.worldcat.org/oclc/19129944","WorldCat Record")</f>
        <v/>
      </c>
      <c r="AU335" t="inlineStr">
        <is>
          <t>521454:eng</t>
        </is>
      </c>
      <c r="AV335" t="inlineStr">
        <is>
          <t>19129944</t>
        </is>
      </c>
      <c r="AW335" t="inlineStr">
        <is>
          <t>991001436259702656</t>
        </is>
      </c>
      <c r="AX335" t="inlineStr">
        <is>
          <t>991001436259702656</t>
        </is>
      </c>
      <c r="AY335" t="inlineStr">
        <is>
          <t>2271869690002656</t>
        </is>
      </c>
      <c r="AZ335" t="inlineStr">
        <is>
          <t>BOOK</t>
        </is>
      </c>
      <c r="BB335" t="inlineStr">
        <is>
          <t>9780674387355</t>
        </is>
      </c>
      <c r="BC335" t="inlineStr">
        <is>
          <t>32285000037258</t>
        </is>
      </c>
      <c r="BD335" t="inlineStr">
        <is>
          <t>893891574</t>
        </is>
      </c>
    </row>
    <row r="336">
      <c r="A336" t="inlineStr">
        <is>
          <t>No</t>
        </is>
      </c>
      <c r="B336" t="inlineStr">
        <is>
          <t>E176 .D56</t>
        </is>
      </c>
      <c r="C336" t="inlineStr">
        <is>
          <t>0                      E  0176000D  56</t>
        </is>
      </c>
      <c r="D336" t="inlineStr">
        <is>
          <t>Dictionary of American biography, under the auspices of the American council of learned societies...</t>
        </is>
      </c>
      <c r="E336" t="inlineStr">
        <is>
          <t>V.9</t>
        </is>
      </c>
      <c r="F336" t="inlineStr">
        <is>
          <t>Yes</t>
        </is>
      </c>
      <c r="G336" t="inlineStr">
        <is>
          <t>1</t>
        </is>
      </c>
      <c r="H336" t="inlineStr">
        <is>
          <t>No</t>
        </is>
      </c>
      <c r="I336" t="inlineStr">
        <is>
          <t>No</t>
        </is>
      </c>
      <c r="J336" t="inlineStr">
        <is>
          <t>0</t>
        </is>
      </c>
      <c r="L336" t="inlineStr">
        <is>
          <t>New York, C. Scribner's sons, 1928-</t>
        </is>
      </c>
      <c r="M336" t="inlineStr">
        <is>
          <t>1928</t>
        </is>
      </c>
      <c r="O336" t="inlineStr">
        <is>
          <t>eng</t>
        </is>
      </c>
      <c r="P336" t="inlineStr">
        <is>
          <t>nyu</t>
        </is>
      </c>
      <c r="R336" t="inlineStr">
        <is>
          <t xml:space="preserve">E  </t>
        </is>
      </c>
      <c r="S336" t="n">
        <v>3</v>
      </c>
      <c r="T336" t="n">
        <v>42</v>
      </c>
      <c r="U336" t="inlineStr">
        <is>
          <t>1999-01-13</t>
        </is>
      </c>
      <c r="V336" t="inlineStr">
        <is>
          <t>1999-01-13</t>
        </is>
      </c>
      <c r="W336" t="inlineStr">
        <is>
          <t>1998-03-24</t>
        </is>
      </c>
      <c r="X336" t="inlineStr">
        <is>
          <t>1998-03-24</t>
        </is>
      </c>
      <c r="Y336" t="n">
        <v>1155</v>
      </c>
      <c r="Z336" t="n">
        <v>1116</v>
      </c>
      <c r="AA336" t="n">
        <v>1165</v>
      </c>
      <c r="AB336" t="n">
        <v>9</v>
      </c>
      <c r="AC336" t="n">
        <v>10</v>
      </c>
      <c r="AD336" t="n">
        <v>36</v>
      </c>
      <c r="AE336" t="n">
        <v>37</v>
      </c>
      <c r="AF336" t="n">
        <v>10</v>
      </c>
      <c r="AG336" t="n">
        <v>10</v>
      </c>
      <c r="AH336" t="n">
        <v>6</v>
      </c>
      <c r="AI336" t="n">
        <v>7</v>
      </c>
      <c r="AJ336" t="n">
        <v>18</v>
      </c>
      <c r="AK336" t="n">
        <v>18</v>
      </c>
      <c r="AL336" t="n">
        <v>6</v>
      </c>
      <c r="AM336" t="n">
        <v>6</v>
      </c>
      <c r="AN336" t="n">
        <v>2</v>
      </c>
      <c r="AO336" t="n">
        <v>2</v>
      </c>
      <c r="AP336" t="inlineStr">
        <is>
          <t>Yes</t>
        </is>
      </c>
      <c r="AQ336" t="inlineStr">
        <is>
          <t>Yes</t>
        </is>
      </c>
      <c r="AR336">
        <f>HYPERLINK("http://catalog.hathitrust.org/Record/006548470","HathiTrust Record")</f>
        <v/>
      </c>
      <c r="AS336">
        <f>HYPERLINK("https://creighton-primo.hosted.exlibrisgroup.com/primo-explore/search?tab=default_tab&amp;search_scope=EVERYTHING&amp;vid=01CRU&amp;lang=en_US&amp;offset=0&amp;query=any,contains,991004600619702656","Catalog Record")</f>
        <v/>
      </c>
      <c r="AT336">
        <f>HYPERLINK("http://www.worldcat.org/oclc/4171403","WorldCat Record")</f>
        <v/>
      </c>
      <c r="AU336" t="inlineStr">
        <is>
          <t>3009752005:eng</t>
        </is>
      </c>
      <c r="AV336" t="inlineStr">
        <is>
          <t>4171403</t>
        </is>
      </c>
      <c r="AW336" t="inlineStr">
        <is>
          <t>991004600619702656</t>
        </is>
      </c>
      <c r="AX336" t="inlineStr">
        <is>
          <t>991004600619702656</t>
        </is>
      </c>
      <c r="AY336" t="inlineStr">
        <is>
          <t>2269549030002656</t>
        </is>
      </c>
      <c r="AZ336" t="inlineStr">
        <is>
          <t>BOOK</t>
        </is>
      </c>
      <c r="BC336" t="inlineStr">
        <is>
          <t>32285003366084</t>
        </is>
      </c>
      <c r="BD336" t="inlineStr">
        <is>
          <t>893423979</t>
        </is>
      </c>
    </row>
    <row r="337">
      <c r="A337" t="inlineStr">
        <is>
          <t>No</t>
        </is>
      </c>
      <c r="B337" t="inlineStr">
        <is>
          <t>E176 .D56</t>
        </is>
      </c>
      <c r="C337" t="inlineStr">
        <is>
          <t>0                      E  0176000D  56</t>
        </is>
      </c>
      <c r="D337" t="inlineStr">
        <is>
          <t>Dictionary of American biography, under the auspices of the American council of learned societies...</t>
        </is>
      </c>
      <c r="E337" t="inlineStr">
        <is>
          <t>V.14</t>
        </is>
      </c>
      <c r="F337" t="inlineStr">
        <is>
          <t>Yes</t>
        </is>
      </c>
      <c r="G337" t="inlineStr">
        <is>
          <t>1</t>
        </is>
      </c>
      <c r="H337" t="inlineStr">
        <is>
          <t>No</t>
        </is>
      </c>
      <c r="I337" t="inlineStr">
        <is>
          <t>No</t>
        </is>
      </c>
      <c r="J337" t="inlineStr">
        <is>
          <t>0</t>
        </is>
      </c>
      <c r="L337" t="inlineStr">
        <is>
          <t>New York, C. Scribner's sons, 1928-</t>
        </is>
      </c>
      <c r="M337" t="inlineStr">
        <is>
          <t>1928</t>
        </is>
      </c>
      <c r="O337" t="inlineStr">
        <is>
          <t>eng</t>
        </is>
      </c>
      <c r="P337" t="inlineStr">
        <is>
          <t>nyu</t>
        </is>
      </c>
      <c r="R337" t="inlineStr">
        <is>
          <t xml:space="preserve">E  </t>
        </is>
      </c>
      <c r="S337" t="n">
        <v>1</v>
      </c>
      <c r="T337" t="n">
        <v>42</v>
      </c>
      <c r="U337" t="inlineStr">
        <is>
          <t>1999-01-13</t>
        </is>
      </c>
      <c r="V337" t="inlineStr">
        <is>
          <t>1999-01-13</t>
        </is>
      </c>
      <c r="W337" t="inlineStr">
        <is>
          <t>1998-03-24</t>
        </is>
      </c>
      <c r="X337" t="inlineStr">
        <is>
          <t>1998-03-24</t>
        </is>
      </c>
      <c r="Y337" t="n">
        <v>1155</v>
      </c>
      <c r="Z337" t="n">
        <v>1116</v>
      </c>
      <c r="AA337" t="n">
        <v>1165</v>
      </c>
      <c r="AB337" t="n">
        <v>9</v>
      </c>
      <c r="AC337" t="n">
        <v>10</v>
      </c>
      <c r="AD337" t="n">
        <v>36</v>
      </c>
      <c r="AE337" t="n">
        <v>37</v>
      </c>
      <c r="AF337" t="n">
        <v>10</v>
      </c>
      <c r="AG337" t="n">
        <v>10</v>
      </c>
      <c r="AH337" t="n">
        <v>6</v>
      </c>
      <c r="AI337" t="n">
        <v>7</v>
      </c>
      <c r="AJ337" t="n">
        <v>18</v>
      </c>
      <c r="AK337" t="n">
        <v>18</v>
      </c>
      <c r="AL337" t="n">
        <v>6</v>
      </c>
      <c r="AM337" t="n">
        <v>6</v>
      </c>
      <c r="AN337" t="n">
        <v>2</v>
      </c>
      <c r="AO337" t="n">
        <v>2</v>
      </c>
      <c r="AP337" t="inlineStr">
        <is>
          <t>Yes</t>
        </is>
      </c>
      <c r="AQ337" t="inlineStr">
        <is>
          <t>Yes</t>
        </is>
      </c>
      <c r="AR337">
        <f>HYPERLINK("http://catalog.hathitrust.org/Record/006548470","HathiTrust Record")</f>
        <v/>
      </c>
      <c r="AS337">
        <f>HYPERLINK("https://creighton-primo.hosted.exlibrisgroup.com/primo-explore/search?tab=default_tab&amp;search_scope=EVERYTHING&amp;vid=01CRU&amp;lang=en_US&amp;offset=0&amp;query=any,contains,991004600619702656","Catalog Record")</f>
        <v/>
      </c>
      <c r="AT337">
        <f>HYPERLINK("http://www.worldcat.org/oclc/4171403","WorldCat Record")</f>
        <v/>
      </c>
      <c r="AU337" t="inlineStr">
        <is>
          <t>3009752005:eng</t>
        </is>
      </c>
      <c r="AV337" t="inlineStr">
        <is>
          <t>4171403</t>
        </is>
      </c>
      <c r="AW337" t="inlineStr">
        <is>
          <t>991004600619702656</t>
        </is>
      </c>
      <c r="AX337" t="inlineStr">
        <is>
          <t>991004600619702656</t>
        </is>
      </c>
      <c r="AY337" t="inlineStr">
        <is>
          <t>2269549030002656</t>
        </is>
      </c>
      <c r="AZ337" t="inlineStr">
        <is>
          <t>BOOK</t>
        </is>
      </c>
      <c r="BC337" t="inlineStr">
        <is>
          <t>32285003366134</t>
        </is>
      </c>
      <c r="BD337" t="inlineStr">
        <is>
          <t>893411737</t>
        </is>
      </c>
    </row>
    <row r="338">
      <c r="A338" t="inlineStr">
        <is>
          <t>No</t>
        </is>
      </c>
      <c r="B338" t="inlineStr">
        <is>
          <t>E176 .D56</t>
        </is>
      </c>
      <c r="C338" t="inlineStr">
        <is>
          <t>0                      E  0176000D  56</t>
        </is>
      </c>
      <c r="D338" t="inlineStr">
        <is>
          <t>Dictionary of American biography, under the auspices of the American council of learned societies...</t>
        </is>
      </c>
      <c r="E338" t="inlineStr">
        <is>
          <t>V.8</t>
        </is>
      </c>
      <c r="F338" t="inlineStr">
        <is>
          <t>Yes</t>
        </is>
      </c>
      <c r="G338" t="inlineStr">
        <is>
          <t>1</t>
        </is>
      </c>
      <c r="H338" t="inlineStr">
        <is>
          <t>No</t>
        </is>
      </c>
      <c r="I338" t="inlineStr">
        <is>
          <t>No</t>
        </is>
      </c>
      <c r="J338" t="inlineStr">
        <is>
          <t>0</t>
        </is>
      </c>
      <c r="L338" t="inlineStr">
        <is>
          <t>New York, C. Scribner's sons, 1928-</t>
        </is>
      </c>
      <c r="M338" t="inlineStr">
        <is>
          <t>1928</t>
        </is>
      </c>
      <c r="O338" t="inlineStr">
        <is>
          <t>eng</t>
        </is>
      </c>
      <c r="P338" t="inlineStr">
        <is>
          <t>nyu</t>
        </is>
      </c>
      <c r="R338" t="inlineStr">
        <is>
          <t xml:space="preserve">E  </t>
        </is>
      </c>
      <c r="S338" t="n">
        <v>1</v>
      </c>
      <c r="T338" t="n">
        <v>42</v>
      </c>
      <c r="U338" t="inlineStr">
        <is>
          <t>1999-01-13</t>
        </is>
      </c>
      <c r="V338" t="inlineStr">
        <is>
          <t>1999-01-13</t>
        </is>
      </c>
      <c r="W338" t="inlineStr">
        <is>
          <t>1998-03-24</t>
        </is>
      </c>
      <c r="X338" t="inlineStr">
        <is>
          <t>1998-03-24</t>
        </is>
      </c>
      <c r="Y338" t="n">
        <v>1155</v>
      </c>
      <c r="Z338" t="n">
        <v>1116</v>
      </c>
      <c r="AA338" t="n">
        <v>1165</v>
      </c>
      <c r="AB338" t="n">
        <v>9</v>
      </c>
      <c r="AC338" t="n">
        <v>10</v>
      </c>
      <c r="AD338" t="n">
        <v>36</v>
      </c>
      <c r="AE338" t="n">
        <v>37</v>
      </c>
      <c r="AF338" t="n">
        <v>10</v>
      </c>
      <c r="AG338" t="n">
        <v>10</v>
      </c>
      <c r="AH338" t="n">
        <v>6</v>
      </c>
      <c r="AI338" t="n">
        <v>7</v>
      </c>
      <c r="AJ338" t="n">
        <v>18</v>
      </c>
      <c r="AK338" t="n">
        <v>18</v>
      </c>
      <c r="AL338" t="n">
        <v>6</v>
      </c>
      <c r="AM338" t="n">
        <v>6</v>
      </c>
      <c r="AN338" t="n">
        <v>2</v>
      </c>
      <c r="AO338" t="n">
        <v>2</v>
      </c>
      <c r="AP338" t="inlineStr">
        <is>
          <t>Yes</t>
        </is>
      </c>
      <c r="AQ338" t="inlineStr">
        <is>
          <t>Yes</t>
        </is>
      </c>
      <c r="AR338">
        <f>HYPERLINK("http://catalog.hathitrust.org/Record/006548470","HathiTrust Record")</f>
        <v/>
      </c>
      <c r="AS338">
        <f>HYPERLINK("https://creighton-primo.hosted.exlibrisgroup.com/primo-explore/search?tab=default_tab&amp;search_scope=EVERYTHING&amp;vid=01CRU&amp;lang=en_US&amp;offset=0&amp;query=any,contains,991004600619702656","Catalog Record")</f>
        <v/>
      </c>
      <c r="AT338">
        <f>HYPERLINK("http://www.worldcat.org/oclc/4171403","WorldCat Record")</f>
        <v/>
      </c>
      <c r="AU338" t="inlineStr">
        <is>
          <t>3009752005:eng</t>
        </is>
      </c>
      <c r="AV338" t="inlineStr">
        <is>
          <t>4171403</t>
        </is>
      </c>
      <c r="AW338" t="inlineStr">
        <is>
          <t>991004600619702656</t>
        </is>
      </c>
      <c r="AX338" t="inlineStr">
        <is>
          <t>991004600619702656</t>
        </is>
      </c>
      <c r="AY338" t="inlineStr">
        <is>
          <t>2269549030002656</t>
        </is>
      </c>
      <c r="AZ338" t="inlineStr">
        <is>
          <t>BOOK</t>
        </is>
      </c>
      <c r="BC338" t="inlineStr">
        <is>
          <t>32285003366076</t>
        </is>
      </c>
      <c r="BD338" t="inlineStr">
        <is>
          <t>893436474</t>
        </is>
      </c>
    </row>
    <row r="339">
      <c r="A339" t="inlineStr">
        <is>
          <t>No</t>
        </is>
      </c>
      <c r="B339" t="inlineStr">
        <is>
          <t>E176 .D56</t>
        </is>
      </c>
      <c r="C339" t="inlineStr">
        <is>
          <t>0                      E  0176000D  56</t>
        </is>
      </c>
      <c r="D339" t="inlineStr">
        <is>
          <t>Dictionary of American biography, under the auspices of the American council of learned societies...</t>
        </is>
      </c>
      <c r="F339" t="inlineStr">
        <is>
          <t>Yes</t>
        </is>
      </c>
      <c r="G339" t="inlineStr">
        <is>
          <t>1</t>
        </is>
      </c>
      <c r="H339" t="inlineStr">
        <is>
          <t>Yes</t>
        </is>
      </c>
      <c r="I339" t="inlineStr">
        <is>
          <t>No</t>
        </is>
      </c>
      <c r="J339" t="inlineStr">
        <is>
          <t>0</t>
        </is>
      </c>
      <c r="L339" t="inlineStr">
        <is>
          <t>New York, C. Scribner's sons, 1928-</t>
        </is>
      </c>
      <c r="M339" t="inlineStr">
        <is>
          <t>1928</t>
        </is>
      </c>
      <c r="O339" t="inlineStr">
        <is>
          <t>eng</t>
        </is>
      </c>
      <c r="P339" t="inlineStr">
        <is>
          <t>nyu</t>
        </is>
      </c>
      <c r="R339" t="inlineStr">
        <is>
          <t xml:space="preserve">E  </t>
        </is>
      </c>
      <c r="S339" t="n">
        <v>1</v>
      </c>
      <c r="T339" t="n">
        <v>42</v>
      </c>
      <c r="U339" t="inlineStr">
        <is>
          <t>1999-01-13</t>
        </is>
      </c>
      <c r="V339" t="inlineStr">
        <is>
          <t>1999-01-13</t>
        </is>
      </c>
      <c r="W339" t="inlineStr">
        <is>
          <t>1996-12-03</t>
        </is>
      </c>
      <c r="X339" t="inlineStr">
        <is>
          <t>1998-03-24</t>
        </is>
      </c>
      <c r="Y339" t="n">
        <v>1155</v>
      </c>
      <c r="Z339" t="n">
        <v>1116</v>
      </c>
      <c r="AA339" t="n">
        <v>1165</v>
      </c>
      <c r="AB339" t="n">
        <v>9</v>
      </c>
      <c r="AC339" t="n">
        <v>10</v>
      </c>
      <c r="AD339" t="n">
        <v>36</v>
      </c>
      <c r="AE339" t="n">
        <v>37</v>
      </c>
      <c r="AF339" t="n">
        <v>10</v>
      </c>
      <c r="AG339" t="n">
        <v>10</v>
      </c>
      <c r="AH339" t="n">
        <v>6</v>
      </c>
      <c r="AI339" t="n">
        <v>7</v>
      </c>
      <c r="AJ339" t="n">
        <v>18</v>
      </c>
      <c r="AK339" t="n">
        <v>18</v>
      </c>
      <c r="AL339" t="n">
        <v>6</v>
      </c>
      <c r="AM339" t="n">
        <v>6</v>
      </c>
      <c r="AN339" t="n">
        <v>2</v>
      </c>
      <c r="AO339" t="n">
        <v>2</v>
      </c>
      <c r="AP339" t="inlineStr">
        <is>
          <t>Yes</t>
        </is>
      </c>
      <c r="AQ339" t="inlineStr">
        <is>
          <t>Yes</t>
        </is>
      </c>
      <c r="AR339">
        <f>HYPERLINK("http://catalog.hathitrust.org/Record/006548470","HathiTrust Record")</f>
        <v/>
      </c>
      <c r="AS339">
        <f>HYPERLINK("https://creighton-primo.hosted.exlibrisgroup.com/primo-explore/search?tab=default_tab&amp;search_scope=EVERYTHING&amp;vid=01CRU&amp;lang=en_US&amp;offset=0&amp;query=any,contains,991004600619702656","Catalog Record")</f>
        <v/>
      </c>
      <c r="AT339">
        <f>HYPERLINK("http://www.worldcat.org/oclc/4171403","WorldCat Record")</f>
        <v/>
      </c>
      <c r="AU339" t="inlineStr">
        <is>
          <t>3009752005:eng</t>
        </is>
      </c>
      <c r="AV339" t="inlineStr">
        <is>
          <t>4171403</t>
        </is>
      </c>
      <c r="AW339" t="inlineStr">
        <is>
          <t>991004600619702656</t>
        </is>
      </c>
      <c r="AX339" t="inlineStr">
        <is>
          <t>991004600619702656</t>
        </is>
      </c>
      <c r="AY339" t="inlineStr">
        <is>
          <t>2269549030002656</t>
        </is>
      </c>
      <c r="AZ339" t="inlineStr">
        <is>
          <t>BOOK</t>
        </is>
      </c>
      <c r="BC339" t="inlineStr">
        <is>
          <t>32285002387875</t>
        </is>
      </c>
      <c r="BD339" t="inlineStr">
        <is>
          <t>893436482</t>
        </is>
      </c>
    </row>
    <row r="340">
      <c r="A340" t="inlineStr">
        <is>
          <t>No</t>
        </is>
      </c>
      <c r="B340" t="inlineStr">
        <is>
          <t>E176 .D56</t>
        </is>
      </c>
      <c r="C340" t="inlineStr">
        <is>
          <t>0                      E  0176000D  56</t>
        </is>
      </c>
      <c r="D340" t="inlineStr">
        <is>
          <t>Dictionary of American biography, under the auspices of the American council of learned societies...</t>
        </is>
      </c>
      <c r="E340" t="inlineStr">
        <is>
          <t>V.10</t>
        </is>
      </c>
      <c r="F340" t="inlineStr">
        <is>
          <t>Yes</t>
        </is>
      </c>
      <c r="G340" t="inlineStr">
        <is>
          <t>1</t>
        </is>
      </c>
      <c r="H340" t="inlineStr">
        <is>
          <t>No</t>
        </is>
      </c>
      <c r="I340" t="inlineStr">
        <is>
          <t>No</t>
        </is>
      </c>
      <c r="J340" t="inlineStr">
        <is>
          <t>0</t>
        </is>
      </c>
      <c r="L340" t="inlineStr">
        <is>
          <t>New York, C. Scribner's sons, 1928-</t>
        </is>
      </c>
      <c r="M340" t="inlineStr">
        <is>
          <t>1928</t>
        </is>
      </c>
      <c r="O340" t="inlineStr">
        <is>
          <t>eng</t>
        </is>
      </c>
      <c r="P340" t="inlineStr">
        <is>
          <t>nyu</t>
        </is>
      </c>
      <c r="R340" t="inlineStr">
        <is>
          <t xml:space="preserve">E  </t>
        </is>
      </c>
      <c r="S340" t="n">
        <v>1</v>
      </c>
      <c r="T340" t="n">
        <v>42</v>
      </c>
      <c r="U340" t="inlineStr">
        <is>
          <t>1999-01-13</t>
        </is>
      </c>
      <c r="V340" t="inlineStr">
        <is>
          <t>1999-01-13</t>
        </is>
      </c>
      <c r="W340" t="inlineStr">
        <is>
          <t>1998-03-24</t>
        </is>
      </c>
      <c r="X340" t="inlineStr">
        <is>
          <t>1998-03-24</t>
        </is>
      </c>
      <c r="Y340" t="n">
        <v>1155</v>
      </c>
      <c r="Z340" t="n">
        <v>1116</v>
      </c>
      <c r="AA340" t="n">
        <v>1165</v>
      </c>
      <c r="AB340" t="n">
        <v>9</v>
      </c>
      <c r="AC340" t="n">
        <v>10</v>
      </c>
      <c r="AD340" t="n">
        <v>36</v>
      </c>
      <c r="AE340" t="n">
        <v>37</v>
      </c>
      <c r="AF340" t="n">
        <v>10</v>
      </c>
      <c r="AG340" t="n">
        <v>10</v>
      </c>
      <c r="AH340" t="n">
        <v>6</v>
      </c>
      <c r="AI340" t="n">
        <v>7</v>
      </c>
      <c r="AJ340" t="n">
        <v>18</v>
      </c>
      <c r="AK340" t="n">
        <v>18</v>
      </c>
      <c r="AL340" t="n">
        <v>6</v>
      </c>
      <c r="AM340" t="n">
        <v>6</v>
      </c>
      <c r="AN340" t="n">
        <v>2</v>
      </c>
      <c r="AO340" t="n">
        <v>2</v>
      </c>
      <c r="AP340" t="inlineStr">
        <is>
          <t>Yes</t>
        </is>
      </c>
      <c r="AQ340" t="inlineStr">
        <is>
          <t>Yes</t>
        </is>
      </c>
      <c r="AR340">
        <f>HYPERLINK("http://catalog.hathitrust.org/Record/006548470","HathiTrust Record")</f>
        <v/>
      </c>
      <c r="AS340">
        <f>HYPERLINK("https://creighton-primo.hosted.exlibrisgroup.com/primo-explore/search?tab=default_tab&amp;search_scope=EVERYTHING&amp;vid=01CRU&amp;lang=en_US&amp;offset=0&amp;query=any,contains,991004600619702656","Catalog Record")</f>
        <v/>
      </c>
      <c r="AT340">
        <f>HYPERLINK("http://www.worldcat.org/oclc/4171403","WorldCat Record")</f>
        <v/>
      </c>
      <c r="AU340" t="inlineStr">
        <is>
          <t>3009752005:eng</t>
        </is>
      </c>
      <c r="AV340" t="inlineStr">
        <is>
          <t>4171403</t>
        </is>
      </c>
      <c r="AW340" t="inlineStr">
        <is>
          <t>991004600619702656</t>
        </is>
      </c>
      <c r="AX340" t="inlineStr">
        <is>
          <t>991004600619702656</t>
        </is>
      </c>
      <c r="AY340" t="inlineStr">
        <is>
          <t>2269549030002656</t>
        </is>
      </c>
      <c r="AZ340" t="inlineStr">
        <is>
          <t>BOOK</t>
        </is>
      </c>
      <c r="BC340" t="inlineStr">
        <is>
          <t>32285003366092</t>
        </is>
      </c>
      <c r="BD340" t="inlineStr">
        <is>
          <t>893430256</t>
        </is>
      </c>
    </row>
    <row r="341">
      <c r="A341" t="inlineStr">
        <is>
          <t>No</t>
        </is>
      </c>
      <c r="B341" t="inlineStr">
        <is>
          <t>E176 .D56</t>
        </is>
      </c>
      <c r="C341" t="inlineStr">
        <is>
          <t>0                      E  0176000D  56</t>
        </is>
      </c>
      <c r="D341" t="inlineStr">
        <is>
          <t>Dictionary of American biography, under the auspices of the American council of learned societies...</t>
        </is>
      </c>
      <c r="E341" t="inlineStr">
        <is>
          <t>V.4</t>
        </is>
      </c>
      <c r="F341" t="inlineStr">
        <is>
          <t>Yes</t>
        </is>
      </c>
      <c r="G341" t="inlineStr">
        <is>
          <t>1</t>
        </is>
      </c>
      <c r="H341" t="inlineStr">
        <is>
          <t>No</t>
        </is>
      </c>
      <c r="I341" t="inlineStr">
        <is>
          <t>No</t>
        </is>
      </c>
      <c r="J341" t="inlineStr">
        <is>
          <t>0</t>
        </is>
      </c>
      <c r="L341" t="inlineStr">
        <is>
          <t>New York, C. Scribner's sons, 1928-</t>
        </is>
      </c>
      <c r="M341" t="inlineStr">
        <is>
          <t>1928</t>
        </is>
      </c>
      <c r="O341" t="inlineStr">
        <is>
          <t>eng</t>
        </is>
      </c>
      <c r="P341" t="inlineStr">
        <is>
          <t>nyu</t>
        </is>
      </c>
      <c r="R341" t="inlineStr">
        <is>
          <t xml:space="preserve">E  </t>
        </is>
      </c>
      <c r="S341" t="n">
        <v>4</v>
      </c>
      <c r="T341" t="n">
        <v>42</v>
      </c>
      <c r="U341" t="inlineStr">
        <is>
          <t>1999-01-13</t>
        </is>
      </c>
      <c r="V341" t="inlineStr">
        <is>
          <t>1999-01-13</t>
        </is>
      </c>
      <c r="W341" t="inlineStr">
        <is>
          <t>1998-03-24</t>
        </is>
      </c>
      <c r="X341" t="inlineStr">
        <is>
          <t>1998-03-24</t>
        </is>
      </c>
      <c r="Y341" t="n">
        <v>1155</v>
      </c>
      <c r="Z341" t="n">
        <v>1116</v>
      </c>
      <c r="AA341" t="n">
        <v>1165</v>
      </c>
      <c r="AB341" t="n">
        <v>9</v>
      </c>
      <c r="AC341" t="n">
        <v>10</v>
      </c>
      <c r="AD341" t="n">
        <v>36</v>
      </c>
      <c r="AE341" t="n">
        <v>37</v>
      </c>
      <c r="AF341" t="n">
        <v>10</v>
      </c>
      <c r="AG341" t="n">
        <v>10</v>
      </c>
      <c r="AH341" t="n">
        <v>6</v>
      </c>
      <c r="AI341" t="n">
        <v>7</v>
      </c>
      <c r="AJ341" t="n">
        <v>18</v>
      </c>
      <c r="AK341" t="n">
        <v>18</v>
      </c>
      <c r="AL341" t="n">
        <v>6</v>
      </c>
      <c r="AM341" t="n">
        <v>6</v>
      </c>
      <c r="AN341" t="n">
        <v>2</v>
      </c>
      <c r="AO341" t="n">
        <v>2</v>
      </c>
      <c r="AP341" t="inlineStr">
        <is>
          <t>Yes</t>
        </is>
      </c>
      <c r="AQ341" t="inlineStr">
        <is>
          <t>Yes</t>
        </is>
      </c>
      <c r="AR341">
        <f>HYPERLINK("http://catalog.hathitrust.org/Record/006548470","HathiTrust Record")</f>
        <v/>
      </c>
      <c r="AS341">
        <f>HYPERLINK("https://creighton-primo.hosted.exlibrisgroup.com/primo-explore/search?tab=default_tab&amp;search_scope=EVERYTHING&amp;vid=01CRU&amp;lang=en_US&amp;offset=0&amp;query=any,contains,991004600619702656","Catalog Record")</f>
        <v/>
      </c>
      <c r="AT341">
        <f>HYPERLINK("http://www.worldcat.org/oclc/4171403","WorldCat Record")</f>
        <v/>
      </c>
      <c r="AU341" t="inlineStr">
        <is>
          <t>3009752005:eng</t>
        </is>
      </c>
      <c r="AV341" t="inlineStr">
        <is>
          <t>4171403</t>
        </is>
      </c>
      <c r="AW341" t="inlineStr">
        <is>
          <t>991004600619702656</t>
        </is>
      </c>
      <c r="AX341" t="inlineStr">
        <is>
          <t>991004600619702656</t>
        </is>
      </c>
      <c r="AY341" t="inlineStr">
        <is>
          <t>2269549030002656</t>
        </is>
      </c>
      <c r="AZ341" t="inlineStr">
        <is>
          <t>BOOK</t>
        </is>
      </c>
      <c r="BC341" t="inlineStr">
        <is>
          <t>32285003366043</t>
        </is>
      </c>
      <c r="BD341" t="inlineStr">
        <is>
          <t>893436475</t>
        </is>
      </c>
    </row>
    <row r="342">
      <c r="A342" t="inlineStr">
        <is>
          <t>No</t>
        </is>
      </c>
      <c r="B342" t="inlineStr">
        <is>
          <t>E176 .D56</t>
        </is>
      </c>
      <c r="C342" t="inlineStr">
        <is>
          <t>0                      E  0176000D  56</t>
        </is>
      </c>
      <c r="D342" t="inlineStr">
        <is>
          <t>Dictionary of American biography, under the auspices of the American council of learned societies...</t>
        </is>
      </c>
      <c r="E342" t="inlineStr">
        <is>
          <t>V.12</t>
        </is>
      </c>
      <c r="F342" t="inlineStr">
        <is>
          <t>Yes</t>
        </is>
      </c>
      <c r="G342" t="inlineStr">
        <is>
          <t>1</t>
        </is>
      </c>
      <c r="H342" t="inlineStr">
        <is>
          <t>No</t>
        </is>
      </c>
      <c r="I342" t="inlineStr">
        <is>
          <t>No</t>
        </is>
      </c>
      <c r="J342" t="inlineStr">
        <is>
          <t>0</t>
        </is>
      </c>
      <c r="L342" t="inlineStr">
        <is>
          <t>New York, C. Scribner's sons, 1928-</t>
        </is>
      </c>
      <c r="M342" t="inlineStr">
        <is>
          <t>1928</t>
        </is>
      </c>
      <c r="O342" t="inlineStr">
        <is>
          <t>eng</t>
        </is>
      </c>
      <c r="P342" t="inlineStr">
        <is>
          <t>nyu</t>
        </is>
      </c>
      <c r="R342" t="inlineStr">
        <is>
          <t xml:space="preserve">E  </t>
        </is>
      </c>
      <c r="S342" t="n">
        <v>1</v>
      </c>
      <c r="T342" t="n">
        <v>42</v>
      </c>
      <c r="U342" t="inlineStr">
        <is>
          <t>1999-01-13</t>
        </is>
      </c>
      <c r="V342" t="inlineStr">
        <is>
          <t>1999-01-13</t>
        </is>
      </c>
      <c r="W342" t="inlineStr">
        <is>
          <t>1998-03-24</t>
        </is>
      </c>
      <c r="X342" t="inlineStr">
        <is>
          <t>1998-03-24</t>
        </is>
      </c>
      <c r="Y342" t="n">
        <v>1155</v>
      </c>
      <c r="Z342" t="n">
        <v>1116</v>
      </c>
      <c r="AA342" t="n">
        <v>1165</v>
      </c>
      <c r="AB342" t="n">
        <v>9</v>
      </c>
      <c r="AC342" t="n">
        <v>10</v>
      </c>
      <c r="AD342" t="n">
        <v>36</v>
      </c>
      <c r="AE342" t="n">
        <v>37</v>
      </c>
      <c r="AF342" t="n">
        <v>10</v>
      </c>
      <c r="AG342" t="n">
        <v>10</v>
      </c>
      <c r="AH342" t="n">
        <v>6</v>
      </c>
      <c r="AI342" t="n">
        <v>7</v>
      </c>
      <c r="AJ342" t="n">
        <v>18</v>
      </c>
      <c r="AK342" t="n">
        <v>18</v>
      </c>
      <c r="AL342" t="n">
        <v>6</v>
      </c>
      <c r="AM342" t="n">
        <v>6</v>
      </c>
      <c r="AN342" t="n">
        <v>2</v>
      </c>
      <c r="AO342" t="n">
        <v>2</v>
      </c>
      <c r="AP342" t="inlineStr">
        <is>
          <t>Yes</t>
        </is>
      </c>
      <c r="AQ342" t="inlineStr">
        <is>
          <t>Yes</t>
        </is>
      </c>
      <c r="AR342">
        <f>HYPERLINK("http://catalog.hathitrust.org/Record/006548470","HathiTrust Record")</f>
        <v/>
      </c>
      <c r="AS342">
        <f>HYPERLINK("https://creighton-primo.hosted.exlibrisgroup.com/primo-explore/search?tab=default_tab&amp;search_scope=EVERYTHING&amp;vid=01CRU&amp;lang=en_US&amp;offset=0&amp;query=any,contains,991004600619702656","Catalog Record")</f>
        <v/>
      </c>
      <c r="AT342">
        <f>HYPERLINK("http://www.worldcat.org/oclc/4171403","WorldCat Record")</f>
        <v/>
      </c>
      <c r="AU342" t="inlineStr">
        <is>
          <t>3009752005:eng</t>
        </is>
      </c>
      <c r="AV342" t="inlineStr">
        <is>
          <t>4171403</t>
        </is>
      </c>
      <c r="AW342" t="inlineStr">
        <is>
          <t>991004600619702656</t>
        </is>
      </c>
      <c r="AX342" t="inlineStr">
        <is>
          <t>991004600619702656</t>
        </is>
      </c>
      <c r="AY342" t="inlineStr">
        <is>
          <t>2269549030002656</t>
        </is>
      </c>
      <c r="AZ342" t="inlineStr">
        <is>
          <t>BOOK</t>
        </is>
      </c>
      <c r="BC342" t="inlineStr">
        <is>
          <t>32285003366118</t>
        </is>
      </c>
      <c r="BD342" t="inlineStr">
        <is>
          <t>893423981</t>
        </is>
      </c>
    </row>
    <row r="343">
      <c r="A343" t="inlineStr">
        <is>
          <t>No</t>
        </is>
      </c>
      <c r="B343" t="inlineStr">
        <is>
          <t>E176 .D56</t>
        </is>
      </c>
      <c r="C343" t="inlineStr">
        <is>
          <t>0                      E  0176000D  56</t>
        </is>
      </c>
      <c r="D343" t="inlineStr">
        <is>
          <t>Dictionary of American biography, under the auspices of the American council of learned societies...</t>
        </is>
      </c>
      <c r="E343" t="inlineStr">
        <is>
          <t>V.16</t>
        </is>
      </c>
      <c r="F343" t="inlineStr">
        <is>
          <t>Yes</t>
        </is>
      </c>
      <c r="G343" t="inlineStr">
        <is>
          <t>1</t>
        </is>
      </c>
      <c r="H343" t="inlineStr">
        <is>
          <t>No</t>
        </is>
      </c>
      <c r="I343" t="inlineStr">
        <is>
          <t>No</t>
        </is>
      </c>
      <c r="J343" t="inlineStr">
        <is>
          <t>0</t>
        </is>
      </c>
      <c r="L343" t="inlineStr">
        <is>
          <t>New York, C. Scribner's sons, 1928-</t>
        </is>
      </c>
      <c r="M343" t="inlineStr">
        <is>
          <t>1928</t>
        </is>
      </c>
      <c r="O343" t="inlineStr">
        <is>
          <t>eng</t>
        </is>
      </c>
      <c r="P343" t="inlineStr">
        <is>
          <t>nyu</t>
        </is>
      </c>
      <c r="R343" t="inlineStr">
        <is>
          <t xml:space="preserve">E  </t>
        </is>
      </c>
      <c r="S343" t="n">
        <v>1</v>
      </c>
      <c r="T343" t="n">
        <v>42</v>
      </c>
      <c r="U343" t="inlineStr">
        <is>
          <t>1999-01-13</t>
        </is>
      </c>
      <c r="V343" t="inlineStr">
        <is>
          <t>1999-01-13</t>
        </is>
      </c>
      <c r="W343" t="inlineStr">
        <is>
          <t>1998-03-24</t>
        </is>
      </c>
      <c r="X343" t="inlineStr">
        <is>
          <t>1998-03-24</t>
        </is>
      </c>
      <c r="Y343" t="n">
        <v>1155</v>
      </c>
      <c r="Z343" t="n">
        <v>1116</v>
      </c>
      <c r="AA343" t="n">
        <v>1165</v>
      </c>
      <c r="AB343" t="n">
        <v>9</v>
      </c>
      <c r="AC343" t="n">
        <v>10</v>
      </c>
      <c r="AD343" t="n">
        <v>36</v>
      </c>
      <c r="AE343" t="n">
        <v>37</v>
      </c>
      <c r="AF343" t="n">
        <v>10</v>
      </c>
      <c r="AG343" t="n">
        <v>10</v>
      </c>
      <c r="AH343" t="n">
        <v>6</v>
      </c>
      <c r="AI343" t="n">
        <v>7</v>
      </c>
      <c r="AJ343" t="n">
        <v>18</v>
      </c>
      <c r="AK343" t="n">
        <v>18</v>
      </c>
      <c r="AL343" t="n">
        <v>6</v>
      </c>
      <c r="AM343" t="n">
        <v>6</v>
      </c>
      <c r="AN343" t="n">
        <v>2</v>
      </c>
      <c r="AO343" t="n">
        <v>2</v>
      </c>
      <c r="AP343" t="inlineStr">
        <is>
          <t>Yes</t>
        </is>
      </c>
      <c r="AQ343" t="inlineStr">
        <is>
          <t>Yes</t>
        </is>
      </c>
      <c r="AR343">
        <f>HYPERLINK("http://catalog.hathitrust.org/Record/006548470","HathiTrust Record")</f>
        <v/>
      </c>
      <c r="AS343">
        <f>HYPERLINK("https://creighton-primo.hosted.exlibrisgroup.com/primo-explore/search?tab=default_tab&amp;search_scope=EVERYTHING&amp;vid=01CRU&amp;lang=en_US&amp;offset=0&amp;query=any,contains,991004600619702656","Catalog Record")</f>
        <v/>
      </c>
      <c r="AT343">
        <f>HYPERLINK("http://www.worldcat.org/oclc/4171403","WorldCat Record")</f>
        <v/>
      </c>
      <c r="AU343" t="inlineStr">
        <is>
          <t>3009752005:eng</t>
        </is>
      </c>
      <c r="AV343" t="inlineStr">
        <is>
          <t>4171403</t>
        </is>
      </c>
      <c r="AW343" t="inlineStr">
        <is>
          <t>991004600619702656</t>
        </is>
      </c>
      <c r="AX343" t="inlineStr">
        <is>
          <t>991004600619702656</t>
        </is>
      </c>
      <c r="AY343" t="inlineStr">
        <is>
          <t>2269549030002656</t>
        </is>
      </c>
      <c r="AZ343" t="inlineStr">
        <is>
          <t>BOOK</t>
        </is>
      </c>
      <c r="BC343" t="inlineStr">
        <is>
          <t>32285003366159</t>
        </is>
      </c>
      <c r="BD343" t="inlineStr">
        <is>
          <t>893430255</t>
        </is>
      </c>
    </row>
    <row r="344">
      <c r="A344" t="inlineStr">
        <is>
          <t>No</t>
        </is>
      </c>
      <c r="B344" t="inlineStr">
        <is>
          <t>E176 .D56</t>
        </is>
      </c>
      <c r="C344" t="inlineStr">
        <is>
          <t>0                      E  0176000D  56</t>
        </is>
      </c>
      <c r="D344" t="inlineStr">
        <is>
          <t>Dictionary of American biography, under the auspices of the American council of learned societies...</t>
        </is>
      </c>
      <c r="E344" t="inlineStr">
        <is>
          <t>V.13</t>
        </is>
      </c>
      <c r="F344" t="inlineStr">
        <is>
          <t>Yes</t>
        </is>
      </c>
      <c r="G344" t="inlineStr">
        <is>
          <t>1</t>
        </is>
      </c>
      <c r="H344" t="inlineStr">
        <is>
          <t>No</t>
        </is>
      </c>
      <c r="I344" t="inlineStr">
        <is>
          <t>No</t>
        </is>
      </c>
      <c r="J344" t="inlineStr">
        <is>
          <t>0</t>
        </is>
      </c>
      <c r="L344" t="inlineStr">
        <is>
          <t>New York, C. Scribner's sons, 1928-</t>
        </is>
      </c>
      <c r="M344" t="inlineStr">
        <is>
          <t>1928</t>
        </is>
      </c>
      <c r="O344" t="inlineStr">
        <is>
          <t>eng</t>
        </is>
      </c>
      <c r="P344" t="inlineStr">
        <is>
          <t>nyu</t>
        </is>
      </c>
      <c r="R344" t="inlineStr">
        <is>
          <t xml:space="preserve">E  </t>
        </is>
      </c>
      <c r="S344" t="n">
        <v>1</v>
      </c>
      <c r="T344" t="n">
        <v>42</v>
      </c>
      <c r="U344" t="inlineStr">
        <is>
          <t>1999-01-13</t>
        </is>
      </c>
      <c r="V344" t="inlineStr">
        <is>
          <t>1999-01-13</t>
        </is>
      </c>
      <c r="W344" t="inlineStr">
        <is>
          <t>1998-03-24</t>
        </is>
      </c>
      <c r="X344" t="inlineStr">
        <is>
          <t>1998-03-24</t>
        </is>
      </c>
      <c r="Y344" t="n">
        <v>1155</v>
      </c>
      <c r="Z344" t="n">
        <v>1116</v>
      </c>
      <c r="AA344" t="n">
        <v>1165</v>
      </c>
      <c r="AB344" t="n">
        <v>9</v>
      </c>
      <c r="AC344" t="n">
        <v>10</v>
      </c>
      <c r="AD344" t="n">
        <v>36</v>
      </c>
      <c r="AE344" t="n">
        <v>37</v>
      </c>
      <c r="AF344" t="n">
        <v>10</v>
      </c>
      <c r="AG344" t="n">
        <v>10</v>
      </c>
      <c r="AH344" t="n">
        <v>6</v>
      </c>
      <c r="AI344" t="n">
        <v>7</v>
      </c>
      <c r="AJ344" t="n">
        <v>18</v>
      </c>
      <c r="AK344" t="n">
        <v>18</v>
      </c>
      <c r="AL344" t="n">
        <v>6</v>
      </c>
      <c r="AM344" t="n">
        <v>6</v>
      </c>
      <c r="AN344" t="n">
        <v>2</v>
      </c>
      <c r="AO344" t="n">
        <v>2</v>
      </c>
      <c r="AP344" t="inlineStr">
        <is>
          <t>Yes</t>
        </is>
      </c>
      <c r="AQ344" t="inlineStr">
        <is>
          <t>Yes</t>
        </is>
      </c>
      <c r="AR344">
        <f>HYPERLINK("http://catalog.hathitrust.org/Record/006548470","HathiTrust Record")</f>
        <v/>
      </c>
      <c r="AS344">
        <f>HYPERLINK("https://creighton-primo.hosted.exlibrisgroup.com/primo-explore/search?tab=default_tab&amp;search_scope=EVERYTHING&amp;vid=01CRU&amp;lang=en_US&amp;offset=0&amp;query=any,contains,991004600619702656","Catalog Record")</f>
        <v/>
      </c>
      <c r="AT344">
        <f>HYPERLINK("http://www.worldcat.org/oclc/4171403","WorldCat Record")</f>
        <v/>
      </c>
      <c r="AU344" t="inlineStr">
        <is>
          <t>3009752005:eng</t>
        </is>
      </c>
      <c r="AV344" t="inlineStr">
        <is>
          <t>4171403</t>
        </is>
      </c>
      <c r="AW344" t="inlineStr">
        <is>
          <t>991004600619702656</t>
        </is>
      </c>
      <c r="AX344" t="inlineStr">
        <is>
          <t>991004600619702656</t>
        </is>
      </c>
      <c r="AY344" t="inlineStr">
        <is>
          <t>2269549030002656</t>
        </is>
      </c>
      <c r="AZ344" t="inlineStr">
        <is>
          <t>BOOK</t>
        </is>
      </c>
      <c r="BC344" t="inlineStr">
        <is>
          <t>32285003366126</t>
        </is>
      </c>
      <c r="BD344" t="inlineStr">
        <is>
          <t>893436476</t>
        </is>
      </c>
    </row>
    <row r="345">
      <c r="A345" t="inlineStr">
        <is>
          <t>No</t>
        </is>
      </c>
      <c r="B345" t="inlineStr">
        <is>
          <t>E176 .D56</t>
        </is>
      </c>
      <c r="C345" t="inlineStr">
        <is>
          <t>0                      E  0176000D  56</t>
        </is>
      </c>
      <c r="D345" t="inlineStr">
        <is>
          <t>Dictionary of American biography, under the auspices of the American council of learned societies...</t>
        </is>
      </c>
      <c r="E345" t="inlineStr">
        <is>
          <t>V.17</t>
        </is>
      </c>
      <c r="F345" t="inlineStr">
        <is>
          <t>Yes</t>
        </is>
      </c>
      <c r="G345" t="inlineStr">
        <is>
          <t>1</t>
        </is>
      </c>
      <c r="H345" t="inlineStr">
        <is>
          <t>No</t>
        </is>
      </c>
      <c r="I345" t="inlineStr">
        <is>
          <t>No</t>
        </is>
      </c>
      <c r="J345" t="inlineStr">
        <is>
          <t>0</t>
        </is>
      </c>
      <c r="L345" t="inlineStr">
        <is>
          <t>New York, C. Scribner's sons, 1928-</t>
        </is>
      </c>
      <c r="M345" t="inlineStr">
        <is>
          <t>1928</t>
        </is>
      </c>
      <c r="O345" t="inlineStr">
        <is>
          <t>eng</t>
        </is>
      </c>
      <c r="P345" t="inlineStr">
        <is>
          <t>nyu</t>
        </is>
      </c>
      <c r="R345" t="inlineStr">
        <is>
          <t xml:space="preserve">E  </t>
        </is>
      </c>
      <c r="S345" t="n">
        <v>1</v>
      </c>
      <c r="T345" t="n">
        <v>42</v>
      </c>
      <c r="U345" t="inlineStr">
        <is>
          <t>1999-01-13</t>
        </is>
      </c>
      <c r="V345" t="inlineStr">
        <is>
          <t>1999-01-13</t>
        </is>
      </c>
      <c r="W345" t="inlineStr">
        <is>
          <t>1998-03-24</t>
        </is>
      </c>
      <c r="X345" t="inlineStr">
        <is>
          <t>1998-03-24</t>
        </is>
      </c>
      <c r="Y345" t="n">
        <v>1155</v>
      </c>
      <c r="Z345" t="n">
        <v>1116</v>
      </c>
      <c r="AA345" t="n">
        <v>1165</v>
      </c>
      <c r="AB345" t="n">
        <v>9</v>
      </c>
      <c r="AC345" t="n">
        <v>10</v>
      </c>
      <c r="AD345" t="n">
        <v>36</v>
      </c>
      <c r="AE345" t="n">
        <v>37</v>
      </c>
      <c r="AF345" t="n">
        <v>10</v>
      </c>
      <c r="AG345" t="n">
        <v>10</v>
      </c>
      <c r="AH345" t="n">
        <v>6</v>
      </c>
      <c r="AI345" t="n">
        <v>7</v>
      </c>
      <c r="AJ345" t="n">
        <v>18</v>
      </c>
      <c r="AK345" t="n">
        <v>18</v>
      </c>
      <c r="AL345" t="n">
        <v>6</v>
      </c>
      <c r="AM345" t="n">
        <v>6</v>
      </c>
      <c r="AN345" t="n">
        <v>2</v>
      </c>
      <c r="AO345" t="n">
        <v>2</v>
      </c>
      <c r="AP345" t="inlineStr">
        <is>
          <t>Yes</t>
        </is>
      </c>
      <c r="AQ345" t="inlineStr">
        <is>
          <t>Yes</t>
        </is>
      </c>
      <c r="AR345">
        <f>HYPERLINK("http://catalog.hathitrust.org/Record/006548470","HathiTrust Record")</f>
        <v/>
      </c>
      <c r="AS345">
        <f>HYPERLINK("https://creighton-primo.hosted.exlibrisgroup.com/primo-explore/search?tab=default_tab&amp;search_scope=EVERYTHING&amp;vid=01CRU&amp;lang=en_US&amp;offset=0&amp;query=any,contains,991004600619702656","Catalog Record")</f>
        <v/>
      </c>
      <c r="AT345">
        <f>HYPERLINK("http://www.worldcat.org/oclc/4171403","WorldCat Record")</f>
        <v/>
      </c>
      <c r="AU345" t="inlineStr">
        <is>
          <t>3009752005:eng</t>
        </is>
      </c>
      <c r="AV345" t="inlineStr">
        <is>
          <t>4171403</t>
        </is>
      </c>
      <c r="AW345" t="inlineStr">
        <is>
          <t>991004600619702656</t>
        </is>
      </c>
      <c r="AX345" t="inlineStr">
        <is>
          <t>991004600619702656</t>
        </is>
      </c>
      <c r="AY345" t="inlineStr">
        <is>
          <t>2269549030002656</t>
        </is>
      </c>
      <c r="AZ345" t="inlineStr">
        <is>
          <t>BOOK</t>
        </is>
      </c>
      <c r="BC345" t="inlineStr">
        <is>
          <t>32285003366167</t>
        </is>
      </c>
      <c r="BD345" t="inlineStr">
        <is>
          <t>893411736</t>
        </is>
      </c>
    </row>
    <row r="346">
      <c r="A346" t="inlineStr">
        <is>
          <t>No</t>
        </is>
      </c>
      <c r="B346" t="inlineStr">
        <is>
          <t>E176 .D56</t>
        </is>
      </c>
      <c r="C346" t="inlineStr">
        <is>
          <t>0                      E  0176000D  56</t>
        </is>
      </c>
      <c r="D346" t="inlineStr">
        <is>
          <t>Dictionary of American biography, under the auspices of the American council of learned societies...</t>
        </is>
      </c>
      <c r="E346" t="inlineStr">
        <is>
          <t>V.2</t>
        </is>
      </c>
      <c r="F346" t="inlineStr">
        <is>
          <t>Yes</t>
        </is>
      </c>
      <c r="G346" t="inlineStr">
        <is>
          <t>1</t>
        </is>
      </c>
      <c r="H346" t="inlineStr">
        <is>
          <t>No</t>
        </is>
      </c>
      <c r="I346" t="inlineStr">
        <is>
          <t>No</t>
        </is>
      </c>
      <c r="J346" t="inlineStr">
        <is>
          <t>0</t>
        </is>
      </c>
      <c r="L346" t="inlineStr">
        <is>
          <t>New York, C. Scribner's sons, 1928-</t>
        </is>
      </c>
      <c r="M346" t="inlineStr">
        <is>
          <t>1928</t>
        </is>
      </c>
      <c r="O346" t="inlineStr">
        <is>
          <t>eng</t>
        </is>
      </c>
      <c r="P346" t="inlineStr">
        <is>
          <t>nyu</t>
        </is>
      </c>
      <c r="R346" t="inlineStr">
        <is>
          <t xml:space="preserve">E  </t>
        </is>
      </c>
      <c r="S346" t="n">
        <v>1</v>
      </c>
      <c r="T346" t="n">
        <v>42</v>
      </c>
      <c r="U346" t="inlineStr">
        <is>
          <t>1999-01-13</t>
        </is>
      </c>
      <c r="V346" t="inlineStr">
        <is>
          <t>1999-01-13</t>
        </is>
      </c>
      <c r="W346" t="inlineStr">
        <is>
          <t>1998-03-24</t>
        </is>
      </c>
      <c r="X346" t="inlineStr">
        <is>
          <t>1998-03-24</t>
        </is>
      </c>
      <c r="Y346" t="n">
        <v>1155</v>
      </c>
      <c r="Z346" t="n">
        <v>1116</v>
      </c>
      <c r="AA346" t="n">
        <v>1165</v>
      </c>
      <c r="AB346" t="n">
        <v>9</v>
      </c>
      <c r="AC346" t="n">
        <v>10</v>
      </c>
      <c r="AD346" t="n">
        <v>36</v>
      </c>
      <c r="AE346" t="n">
        <v>37</v>
      </c>
      <c r="AF346" t="n">
        <v>10</v>
      </c>
      <c r="AG346" t="n">
        <v>10</v>
      </c>
      <c r="AH346" t="n">
        <v>6</v>
      </c>
      <c r="AI346" t="n">
        <v>7</v>
      </c>
      <c r="AJ346" t="n">
        <v>18</v>
      </c>
      <c r="AK346" t="n">
        <v>18</v>
      </c>
      <c r="AL346" t="n">
        <v>6</v>
      </c>
      <c r="AM346" t="n">
        <v>6</v>
      </c>
      <c r="AN346" t="n">
        <v>2</v>
      </c>
      <c r="AO346" t="n">
        <v>2</v>
      </c>
      <c r="AP346" t="inlineStr">
        <is>
          <t>Yes</t>
        </is>
      </c>
      <c r="AQ346" t="inlineStr">
        <is>
          <t>Yes</t>
        </is>
      </c>
      <c r="AR346">
        <f>HYPERLINK("http://catalog.hathitrust.org/Record/006548470","HathiTrust Record")</f>
        <v/>
      </c>
      <c r="AS346">
        <f>HYPERLINK("https://creighton-primo.hosted.exlibrisgroup.com/primo-explore/search?tab=default_tab&amp;search_scope=EVERYTHING&amp;vid=01CRU&amp;lang=en_US&amp;offset=0&amp;query=any,contains,991004600619702656","Catalog Record")</f>
        <v/>
      </c>
      <c r="AT346">
        <f>HYPERLINK("http://www.worldcat.org/oclc/4171403","WorldCat Record")</f>
        <v/>
      </c>
      <c r="AU346" t="inlineStr">
        <is>
          <t>3009752005:eng</t>
        </is>
      </c>
      <c r="AV346" t="inlineStr">
        <is>
          <t>4171403</t>
        </is>
      </c>
      <c r="AW346" t="inlineStr">
        <is>
          <t>991004600619702656</t>
        </is>
      </c>
      <c r="AX346" t="inlineStr">
        <is>
          <t>991004600619702656</t>
        </is>
      </c>
      <c r="AY346" t="inlineStr">
        <is>
          <t>2269549030002656</t>
        </is>
      </c>
      <c r="AZ346" t="inlineStr">
        <is>
          <t>BOOK</t>
        </is>
      </c>
      <c r="BC346" t="inlineStr">
        <is>
          <t>32285003366035</t>
        </is>
      </c>
      <c r="BD346" t="inlineStr">
        <is>
          <t>893442801</t>
        </is>
      </c>
    </row>
    <row r="347">
      <c r="A347" t="inlineStr">
        <is>
          <t>No</t>
        </is>
      </c>
      <c r="B347" t="inlineStr">
        <is>
          <t>E176 .D56</t>
        </is>
      </c>
      <c r="C347" t="inlineStr">
        <is>
          <t>0                      E  0176000D  56</t>
        </is>
      </c>
      <c r="D347" t="inlineStr">
        <is>
          <t>Dictionary of American biography, under the auspices of the American council of learned societies...</t>
        </is>
      </c>
      <c r="E347" t="inlineStr">
        <is>
          <t>V.7</t>
        </is>
      </c>
      <c r="F347" t="inlineStr">
        <is>
          <t>Yes</t>
        </is>
      </c>
      <c r="G347" t="inlineStr">
        <is>
          <t>1</t>
        </is>
      </c>
      <c r="H347" t="inlineStr">
        <is>
          <t>No</t>
        </is>
      </c>
      <c r="I347" t="inlineStr">
        <is>
          <t>No</t>
        </is>
      </c>
      <c r="J347" t="inlineStr">
        <is>
          <t>0</t>
        </is>
      </c>
      <c r="L347" t="inlineStr">
        <is>
          <t>New York, C. Scribner's sons, 1928-</t>
        </is>
      </c>
      <c r="M347" t="inlineStr">
        <is>
          <t>1928</t>
        </is>
      </c>
      <c r="O347" t="inlineStr">
        <is>
          <t>eng</t>
        </is>
      </c>
      <c r="P347" t="inlineStr">
        <is>
          <t>nyu</t>
        </is>
      </c>
      <c r="R347" t="inlineStr">
        <is>
          <t xml:space="preserve">E  </t>
        </is>
      </c>
      <c r="S347" t="n">
        <v>1</v>
      </c>
      <c r="T347" t="n">
        <v>42</v>
      </c>
      <c r="U347" t="inlineStr">
        <is>
          <t>1999-01-13</t>
        </is>
      </c>
      <c r="V347" t="inlineStr">
        <is>
          <t>1999-01-13</t>
        </is>
      </c>
      <c r="W347" t="inlineStr">
        <is>
          <t>1998-03-24</t>
        </is>
      </c>
      <c r="X347" t="inlineStr">
        <is>
          <t>1998-03-24</t>
        </is>
      </c>
      <c r="Y347" t="n">
        <v>1155</v>
      </c>
      <c r="Z347" t="n">
        <v>1116</v>
      </c>
      <c r="AA347" t="n">
        <v>1165</v>
      </c>
      <c r="AB347" t="n">
        <v>9</v>
      </c>
      <c r="AC347" t="n">
        <v>10</v>
      </c>
      <c r="AD347" t="n">
        <v>36</v>
      </c>
      <c r="AE347" t="n">
        <v>37</v>
      </c>
      <c r="AF347" t="n">
        <v>10</v>
      </c>
      <c r="AG347" t="n">
        <v>10</v>
      </c>
      <c r="AH347" t="n">
        <v>6</v>
      </c>
      <c r="AI347" t="n">
        <v>7</v>
      </c>
      <c r="AJ347" t="n">
        <v>18</v>
      </c>
      <c r="AK347" t="n">
        <v>18</v>
      </c>
      <c r="AL347" t="n">
        <v>6</v>
      </c>
      <c r="AM347" t="n">
        <v>6</v>
      </c>
      <c r="AN347" t="n">
        <v>2</v>
      </c>
      <c r="AO347" t="n">
        <v>2</v>
      </c>
      <c r="AP347" t="inlineStr">
        <is>
          <t>Yes</t>
        </is>
      </c>
      <c r="AQ347" t="inlineStr">
        <is>
          <t>Yes</t>
        </is>
      </c>
      <c r="AR347">
        <f>HYPERLINK("http://catalog.hathitrust.org/Record/006548470","HathiTrust Record")</f>
        <v/>
      </c>
      <c r="AS347">
        <f>HYPERLINK("https://creighton-primo.hosted.exlibrisgroup.com/primo-explore/search?tab=default_tab&amp;search_scope=EVERYTHING&amp;vid=01CRU&amp;lang=en_US&amp;offset=0&amp;query=any,contains,991004600619702656","Catalog Record")</f>
        <v/>
      </c>
      <c r="AT347">
        <f>HYPERLINK("http://www.worldcat.org/oclc/4171403","WorldCat Record")</f>
        <v/>
      </c>
      <c r="AU347" t="inlineStr">
        <is>
          <t>3009752005:eng</t>
        </is>
      </c>
      <c r="AV347" t="inlineStr">
        <is>
          <t>4171403</t>
        </is>
      </c>
      <c r="AW347" t="inlineStr">
        <is>
          <t>991004600619702656</t>
        </is>
      </c>
      <c r="AX347" t="inlineStr">
        <is>
          <t>991004600619702656</t>
        </is>
      </c>
      <c r="AY347" t="inlineStr">
        <is>
          <t>2269549030002656</t>
        </is>
      </c>
      <c r="AZ347" t="inlineStr">
        <is>
          <t>BOOK</t>
        </is>
      </c>
      <c r="BC347" t="inlineStr">
        <is>
          <t>32285003366068</t>
        </is>
      </c>
      <c r="BD347" t="inlineStr">
        <is>
          <t>893442800</t>
        </is>
      </c>
    </row>
    <row r="348">
      <c r="A348" t="inlineStr">
        <is>
          <t>No</t>
        </is>
      </c>
      <c r="B348" t="inlineStr">
        <is>
          <t>E176 .D56</t>
        </is>
      </c>
      <c r="C348" t="inlineStr">
        <is>
          <t>0                      E  0176000D  56</t>
        </is>
      </c>
      <c r="D348" t="inlineStr">
        <is>
          <t>Dictionary of American biography, under the auspices of the American council of learned societies...</t>
        </is>
      </c>
      <c r="E348" t="inlineStr">
        <is>
          <t>V.11</t>
        </is>
      </c>
      <c r="F348" t="inlineStr">
        <is>
          <t>Yes</t>
        </is>
      </c>
      <c r="G348" t="inlineStr">
        <is>
          <t>1</t>
        </is>
      </c>
      <c r="H348" t="inlineStr">
        <is>
          <t>No</t>
        </is>
      </c>
      <c r="I348" t="inlineStr">
        <is>
          <t>No</t>
        </is>
      </c>
      <c r="J348" t="inlineStr">
        <is>
          <t>0</t>
        </is>
      </c>
      <c r="L348" t="inlineStr">
        <is>
          <t>New York, C. Scribner's sons, 1928-</t>
        </is>
      </c>
      <c r="M348" t="inlineStr">
        <is>
          <t>1928</t>
        </is>
      </c>
      <c r="O348" t="inlineStr">
        <is>
          <t>eng</t>
        </is>
      </c>
      <c r="P348" t="inlineStr">
        <is>
          <t>nyu</t>
        </is>
      </c>
      <c r="R348" t="inlineStr">
        <is>
          <t xml:space="preserve">E  </t>
        </is>
      </c>
      <c r="S348" t="n">
        <v>1</v>
      </c>
      <c r="T348" t="n">
        <v>42</v>
      </c>
      <c r="U348" t="inlineStr">
        <is>
          <t>1999-01-13</t>
        </is>
      </c>
      <c r="V348" t="inlineStr">
        <is>
          <t>1999-01-13</t>
        </is>
      </c>
      <c r="W348" t="inlineStr">
        <is>
          <t>1998-03-24</t>
        </is>
      </c>
      <c r="X348" t="inlineStr">
        <is>
          <t>1998-03-24</t>
        </is>
      </c>
      <c r="Y348" t="n">
        <v>1155</v>
      </c>
      <c r="Z348" t="n">
        <v>1116</v>
      </c>
      <c r="AA348" t="n">
        <v>1165</v>
      </c>
      <c r="AB348" t="n">
        <v>9</v>
      </c>
      <c r="AC348" t="n">
        <v>10</v>
      </c>
      <c r="AD348" t="n">
        <v>36</v>
      </c>
      <c r="AE348" t="n">
        <v>37</v>
      </c>
      <c r="AF348" t="n">
        <v>10</v>
      </c>
      <c r="AG348" t="n">
        <v>10</v>
      </c>
      <c r="AH348" t="n">
        <v>6</v>
      </c>
      <c r="AI348" t="n">
        <v>7</v>
      </c>
      <c r="AJ348" t="n">
        <v>18</v>
      </c>
      <c r="AK348" t="n">
        <v>18</v>
      </c>
      <c r="AL348" t="n">
        <v>6</v>
      </c>
      <c r="AM348" t="n">
        <v>6</v>
      </c>
      <c r="AN348" t="n">
        <v>2</v>
      </c>
      <c r="AO348" t="n">
        <v>2</v>
      </c>
      <c r="AP348" t="inlineStr">
        <is>
          <t>Yes</t>
        </is>
      </c>
      <c r="AQ348" t="inlineStr">
        <is>
          <t>Yes</t>
        </is>
      </c>
      <c r="AR348">
        <f>HYPERLINK("http://catalog.hathitrust.org/Record/006548470","HathiTrust Record")</f>
        <v/>
      </c>
      <c r="AS348">
        <f>HYPERLINK("https://creighton-primo.hosted.exlibrisgroup.com/primo-explore/search?tab=default_tab&amp;search_scope=EVERYTHING&amp;vid=01CRU&amp;lang=en_US&amp;offset=0&amp;query=any,contains,991004600619702656","Catalog Record")</f>
        <v/>
      </c>
      <c r="AT348">
        <f>HYPERLINK("http://www.worldcat.org/oclc/4171403","WorldCat Record")</f>
        <v/>
      </c>
      <c r="AU348" t="inlineStr">
        <is>
          <t>3009752005:eng</t>
        </is>
      </c>
      <c r="AV348" t="inlineStr">
        <is>
          <t>4171403</t>
        </is>
      </c>
      <c r="AW348" t="inlineStr">
        <is>
          <t>991004600619702656</t>
        </is>
      </c>
      <c r="AX348" t="inlineStr">
        <is>
          <t>991004600619702656</t>
        </is>
      </c>
      <c r="AY348" t="inlineStr">
        <is>
          <t>2269549030002656</t>
        </is>
      </c>
      <c r="AZ348" t="inlineStr">
        <is>
          <t>BOOK</t>
        </is>
      </c>
      <c r="BC348" t="inlineStr">
        <is>
          <t>32285003366100</t>
        </is>
      </c>
      <c r="BD348" t="inlineStr">
        <is>
          <t>893436480</t>
        </is>
      </c>
    </row>
    <row r="349">
      <c r="A349" t="inlineStr">
        <is>
          <t>No</t>
        </is>
      </c>
      <c r="B349" t="inlineStr">
        <is>
          <t>E176 .D56</t>
        </is>
      </c>
      <c r="C349" t="inlineStr">
        <is>
          <t>0                      E  0176000D  56</t>
        </is>
      </c>
      <c r="D349" t="inlineStr">
        <is>
          <t>Dictionary of American biography, under the auspices of the American council of learned societies...</t>
        </is>
      </c>
      <c r="E349" t="inlineStr">
        <is>
          <t>V.3</t>
        </is>
      </c>
      <c r="F349" t="inlineStr">
        <is>
          <t>Yes</t>
        </is>
      </c>
      <c r="G349" t="inlineStr">
        <is>
          <t>1</t>
        </is>
      </c>
      <c r="H349" t="inlineStr">
        <is>
          <t>No</t>
        </is>
      </c>
      <c r="I349" t="inlineStr">
        <is>
          <t>No</t>
        </is>
      </c>
      <c r="J349" t="inlineStr">
        <is>
          <t>0</t>
        </is>
      </c>
      <c r="L349" t="inlineStr">
        <is>
          <t>New York, C. Scribner's sons, 1928-</t>
        </is>
      </c>
      <c r="M349" t="inlineStr">
        <is>
          <t>1928</t>
        </is>
      </c>
      <c r="O349" t="inlineStr">
        <is>
          <t>eng</t>
        </is>
      </c>
      <c r="P349" t="inlineStr">
        <is>
          <t>nyu</t>
        </is>
      </c>
      <c r="R349" t="inlineStr">
        <is>
          <t xml:space="preserve">E  </t>
        </is>
      </c>
      <c r="S349" t="n">
        <v>1</v>
      </c>
      <c r="T349" t="n">
        <v>42</v>
      </c>
      <c r="U349" t="inlineStr">
        <is>
          <t>1999-01-13</t>
        </is>
      </c>
      <c r="V349" t="inlineStr">
        <is>
          <t>1999-01-13</t>
        </is>
      </c>
      <c r="W349" t="inlineStr">
        <is>
          <t>1992-01-29</t>
        </is>
      </c>
      <c r="X349" t="inlineStr">
        <is>
          <t>1998-03-24</t>
        </is>
      </c>
      <c r="Y349" t="n">
        <v>1155</v>
      </c>
      <c r="Z349" t="n">
        <v>1116</v>
      </c>
      <c r="AA349" t="n">
        <v>1165</v>
      </c>
      <c r="AB349" t="n">
        <v>9</v>
      </c>
      <c r="AC349" t="n">
        <v>10</v>
      </c>
      <c r="AD349" t="n">
        <v>36</v>
      </c>
      <c r="AE349" t="n">
        <v>37</v>
      </c>
      <c r="AF349" t="n">
        <v>10</v>
      </c>
      <c r="AG349" t="n">
        <v>10</v>
      </c>
      <c r="AH349" t="n">
        <v>6</v>
      </c>
      <c r="AI349" t="n">
        <v>7</v>
      </c>
      <c r="AJ349" t="n">
        <v>18</v>
      </c>
      <c r="AK349" t="n">
        <v>18</v>
      </c>
      <c r="AL349" t="n">
        <v>6</v>
      </c>
      <c r="AM349" t="n">
        <v>6</v>
      </c>
      <c r="AN349" t="n">
        <v>2</v>
      </c>
      <c r="AO349" t="n">
        <v>2</v>
      </c>
      <c r="AP349" t="inlineStr">
        <is>
          <t>Yes</t>
        </is>
      </c>
      <c r="AQ349" t="inlineStr">
        <is>
          <t>Yes</t>
        </is>
      </c>
      <c r="AR349">
        <f>HYPERLINK("http://catalog.hathitrust.org/Record/006548470","HathiTrust Record")</f>
        <v/>
      </c>
      <c r="AS349">
        <f>HYPERLINK("https://creighton-primo.hosted.exlibrisgroup.com/primo-explore/search?tab=default_tab&amp;search_scope=EVERYTHING&amp;vid=01CRU&amp;lang=en_US&amp;offset=0&amp;query=any,contains,991004600619702656","Catalog Record")</f>
        <v/>
      </c>
      <c r="AT349">
        <f>HYPERLINK("http://www.worldcat.org/oclc/4171403","WorldCat Record")</f>
        <v/>
      </c>
      <c r="AU349" t="inlineStr">
        <is>
          <t>3009752005:eng</t>
        </is>
      </c>
      <c r="AV349" t="inlineStr">
        <is>
          <t>4171403</t>
        </is>
      </c>
      <c r="AW349" t="inlineStr">
        <is>
          <t>991004600619702656</t>
        </is>
      </c>
      <c r="AX349" t="inlineStr">
        <is>
          <t>991004600619702656</t>
        </is>
      </c>
      <c r="AY349" t="inlineStr">
        <is>
          <t>2269549030002656</t>
        </is>
      </c>
      <c r="AZ349" t="inlineStr">
        <is>
          <t>BOOK</t>
        </is>
      </c>
      <c r="BC349" t="inlineStr">
        <is>
          <t>32285000941475</t>
        </is>
      </c>
      <c r="BD349" t="inlineStr">
        <is>
          <t>893430253</t>
        </is>
      </c>
    </row>
    <row r="350">
      <c r="A350" t="inlineStr">
        <is>
          <t>No</t>
        </is>
      </c>
      <c r="B350" t="inlineStr">
        <is>
          <t>E176 .D56</t>
        </is>
      </c>
      <c r="C350" t="inlineStr">
        <is>
          <t>0                      E  0176000D  56</t>
        </is>
      </c>
      <c r="D350" t="inlineStr">
        <is>
          <t>Dictionary of American biography, under the auspices of the American council of learned societies...</t>
        </is>
      </c>
      <c r="E350" t="inlineStr">
        <is>
          <t>V.1</t>
        </is>
      </c>
      <c r="F350" t="inlineStr">
        <is>
          <t>Yes</t>
        </is>
      </c>
      <c r="G350" t="inlineStr">
        <is>
          <t>1</t>
        </is>
      </c>
      <c r="H350" t="inlineStr">
        <is>
          <t>No</t>
        </is>
      </c>
      <c r="I350" t="inlineStr">
        <is>
          <t>No</t>
        </is>
      </c>
      <c r="J350" t="inlineStr">
        <is>
          <t>0</t>
        </is>
      </c>
      <c r="L350" t="inlineStr">
        <is>
          <t>New York, C. Scribner's sons, 1928-</t>
        </is>
      </c>
      <c r="M350" t="inlineStr">
        <is>
          <t>1928</t>
        </is>
      </c>
      <c r="O350" t="inlineStr">
        <is>
          <t>eng</t>
        </is>
      </c>
      <c r="P350" t="inlineStr">
        <is>
          <t>nyu</t>
        </is>
      </c>
      <c r="R350" t="inlineStr">
        <is>
          <t xml:space="preserve">E  </t>
        </is>
      </c>
      <c r="S350" t="n">
        <v>2</v>
      </c>
      <c r="T350" t="n">
        <v>42</v>
      </c>
      <c r="U350" t="inlineStr">
        <is>
          <t>1999-01-13</t>
        </is>
      </c>
      <c r="V350" t="inlineStr">
        <is>
          <t>1999-01-13</t>
        </is>
      </c>
      <c r="W350" t="inlineStr">
        <is>
          <t>1998-03-24</t>
        </is>
      </c>
      <c r="X350" t="inlineStr">
        <is>
          <t>1998-03-24</t>
        </is>
      </c>
      <c r="Y350" t="n">
        <v>1155</v>
      </c>
      <c r="Z350" t="n">
        <v>1116</v>
      </c>
      <c r="AA350" t="n">
        <v>1165</v>
      </c>
      <c r="AB350" t="n">
        <v>9</v>
      </c>
      <c r="AC350" t="n">
        <v>10</v>
      </c>
      <c r="AD350" t="n">
        <v>36</v>
      </c>
      <c r="AE350" t="n">
        <v>37</v>
      </c>
      <c r="AF350" t="n">
        <v>10</v>
      </c>
      <c r="AG350" t="n">
        <v>10</v>
      </c>
      <c r="AH350" t="n">
        <v>6</v>
      </c>
      <c r="AI350" t="n">
        <v>7</v>
      </c>
      <c r="AJ350" t="n">
        <v>18</v>
      </c>
      <c r="AK350" t="n">
        <v>18</v>
      </c>
      <c r="AL350" t="n">
        <v>6</v>
      </c>
      <c r="AM350" t="n">
        <v>6</v>
      </c>
      <c r="AN350" t="n">
        <v>2</v>
      </c>
      <c r="AO350" t="n">
        <v>2</v>
      </c>
      <c r="AP350" t="inlineStr">
        <is>
          <t>Yes</t>
        </is>
      </c>
      <c r="AQ350" t="inlineStr">
        <is>
          <t>Yes</t>
        </is>
      </c>
      <c r="AR350">
        <f>HYPERLINK("http://catalog.hathitrust.org/Record/006548470","HathiTrust Record")</f>
        <v/>
      </c>
      <c r="AS350">
        <f>HYPERLINK("https://creighton-primo.hosted.exlibrisgroup.com/primo-explore/search?tab=default_tab&amp;search_scope=EVERYTHING&amp;vid=01CRU&amp;lang=en_US&amp;offset=0&amp;query=any,contains,991004600619702656","Catalog Record")</f>
        <v/>
      </c>
      <c r="AT350">
        <f>HYPERLINK("http://www.worldcat.org/oclc/4171403","WorldCat Record")</f>
        <v/>
      </c>
      <c r="AU350" t="inlineStr">
        <is>
          <t>3009752005:eng</t>
        </is>
      </c>
      <c r="AV350" t="inlineStr">
        <is>
          <t>4171403</t>
        </is>
      </c>
      <c r="AW350" t="inlineStr">
        <is>
          <t>991004600619702656</t>
        </is>
      </c>
      <c r="AX350" t="inlineStr">
        <is>
          <t>991004600619702656</t>
        </is>
      </c>
      <c r="AY350" t="inlineStr">
        <is>
          <t>2269549030002656</t>
        </is>
      </c>
      <c r="AZ350" t="inlineStr">
        <is>
          <t>BOOK</t>
        </is>
      </c>
      <c r="BC350" t="inlineStr">
        <is>
          <t>32285003366027</t>
        </is>
      </c>
      <c r="BD350" t="inlineStr">
        <is>
          <t>893436477</t>
        </is>
      </c>
    </row>
    <row r="351">
      <c r="A351" t="inlineStr">
        <is>
          <t>No</t>
        </is>
      </c>
      <c r="B351" t="inlineStr">
        <is>
          <t>E176 .D56</t>
        </is>
      </c>
      <c r="C351" t="inlineStr">
        <is>
          <t>0                      E  0176000D  56</t>
        </is>
      </c>
      <c r="D351" t="inlineStr">
        <is>
          <t>Dictionary of American biography, under the auspices of the American council of learned societies...</t>
        </is>
      </c>
      <c r="E351" t="inlineStr">
        <is>
          <t>V.6</t>
        </is>
      </c>
      <c r="F351" t="inlineStr">
        <is>
          <t>Yes</t>
        </is>
      </c>
      <c r="G351" t="inlineStr">
        <is>
          <t>1</t>
        </is>
      </c>
      <c r="H351" t="inlineStr">
        <is>
          <t>No</t>
        </is>
      </c>
      <c r="I351" t="inlineStr">
        <is>
          <t>No</t>
        </is>
      </c>
      <c r="J351" t="inlineStr">
        <is>
          <t>0</t>
        </is>
      </c>
      <c r="L351" t="inlineStr">
        <is>
          <t>New York, C. Scribner's sons, 1928-</t>
        </is>
      </c>
      <c r="M351" t="inlineStr">
        <is>
          <t>1928</t>
        </is>
      </c>
      <c r="O351" t="inlineStr">
        <is>
          <t>eng</t>
        </is>
      </c>
      <c r="P351" t="inlineStr">
        <is>
          <t>nyu</t>
        </is>
      </c>
      <c r="R351" t="inlineStr">
        <is>
          <t xml:space="preserve">E  </t>
        </is>
      </c>
      <c r="S351" t="n">
        <v>1</v>
      </c>
      <c r="T351" t="n">
        <v>42</v>
      </c>
      <c r="U351" t="inlineStr">
        <is>
          <t>1999-01-13</t>
        </is>
      </c>
      <c r="V351" t="inlineStr">
        <is>
          <t>1999-01-13</t>
        </is>
      </c>
      <c r="W351" t="inlineStr">
        <is>
          <t>1998-03-24</t>
        </is>
      </c>
      <c r="X351" t="inlineStr">
        <is>
          <t>1998-03-24</t>
        </is>
      </c>
      <c r="Y351" t="n">
        <v>1155</v>
      </c>
      <c r="Z351" t="n">
        <v>1116</v>
      </c>
      <c r="AA351" t="n">
        <v>1165</v>
      </c>
      <c r="AB351" t="n">
        <v>9</v>
      </c>
      <c r="AC351" t="n">
        <v>10</v>
      </c>
      <c r="AD351" t="n">
        <v>36</v>
      </c>
      <c r="AE351" t="n">
        <v>37</v>
      </c>
      <c r="AF351" t="n">
        <v>10</v>
      </c>
      <c r="AG351" t="n">
        <v>10</v>
      </c>
      <c r="AH351" t="n">
        <v>6</v>
      </c>
      <c r="AI351" t="n">
        <v>7</v>
      </c>
      <c r="AJ351" t="n">
        <v>18</v>
      </c>
      <c r="AK351" t="n">
        <v>18</v>
      </c>
      <c r="AL351" t="n">
        <v>6</v>
      </c>
      <c r="AM351" t="n">
        <v>6</v>
      </c>
      <c r="AN351" t="n">
        <v>2</v>
      </c>
      <c r="AO351" t="n">
        <v>2</v>
      </c>
      <c r="AP351" t="inlineStr">
        <is>
          <t>Yes</t>
        </is>
      </c>
      <c r="AQ351" t="inlineStr">
        <is>
          <t>Yes</t>
        </is>
      </c>
      <c r="AR351">
        <f>HYPERLINK("http://catalog.hathitrust.org/Record/006548470","HathiTrust Record")</f>
        <v/>
      </c>
      <c r="AS351">
        <f>HYPERLINK("https://creighton-primo.hosted.exlibrisgroup.com/primo-explore/search?tab=default_tab&amp;search_scope=EVERYTHING&amp;vid=01CRU&amp;lang=en_US&amp;offset=0&amp;query=any,contains,991004600619702656","Catalog Record")</f>
        <v/>
      </c>
      <c r="AT351">
        <f>HYPERLINK("http://www.worldcat.org/oclc/4171403","WorldCat Record")</f>
        <v/>
      </c>
      <c r="AU351" t="inlineStr">
        <is>
          <t>3009752005:eng</t>
        </is>
      </c>
      <c r="AV351" t="inlineStr">
        <is>
          <t>4171403</t>
        </is>
      </c>
      <c r="AW351" t="inlineStr">
        <is>
          <t>991004600619702656</t>
        </is>
      </c>
      <c r="AX351" t="inlineStr">
        <is>
          <t>991004600619702656</t>
        </is>
      </c>
      <c r="AY351" t="inlineStr">
        <is>
          <t>2269549030002656</t>
        </is>
      </c>
      <c r="AZ351" t="inlineStr">
        <is>
          <t>BOOK</t>
        </is>
      </c>
      <c r="BC351" t="inlineStr">
        <is>
          <t>32285003366050</t>
        </is>
      </c>
      <c r="BD351" t="inlineStr">
        <is>
          <t>893436481</t>
        </is>
      </c>
    </row>
    <row r="352">
      <c r="A352" t="inlineStr">
        <is>
          <t>No</t>
        </is>
      </c>
      <c r="B352" t="inlineStr">
        <is>
          <t>E176 .D56</t>
        </is>
      </c>
      <c r="C352" t="inlineStr">
        <is>
          <t>0                      E  0176000D  56</t>
        </is>
      </c>
      <c r="D352" t="inlineStr">
        <is>
          <t>Dictionary of American biography, under the auspices of the American council of learned societies...</t>
        </is>
      </c>
      <c r="E352" t="inlineStr">
        <is>
          <t>V.19</t>
        </is>
      </c>
      <c r="F352" t="inlineStr">
        <is>
          <t>Yes</t>
        </is>
      </c>
      <c r="G352" t="inlineStr">
        <is>
          <t>1</t>
        </is>
      </c>
      <c r="H352" t="inlineStr">
        <is>
          <t>No</t>
        </is>
      </c>
      <c r="I352" t="inlineStr">
        <is>
          <t>No</t>
        </is>
      </c>
      <c r="J352" t="inlineStr">
        <is>
          <t>0</t>
        </is>
      </c>
      <c r="L352" t="inlineStr">
        <is>
          <t>New York, C. Scribner's sons, 1928-</t>
        </is>
      </c>
      <c r="M352" t="inlineStr">
        <is>
          <t>1928</t>
        </is>
      </c>
      <c r="O352" t="inlineStr">
        <is>
          <t>eng</t>
        </is>
      </c>
      <c r="P352" t="inlineStr">
        <is>
          <t>nyu</t>
        </is>
      </c>
      <c r="R352" t="inlineStr">
        <is>
          <t xml:space="preserve">E  </t>
        </is>
      </c>
      <c r="S352" t="n">
        <v>1</v>
      </c>
      <c r="T352" t="n">
        <v>42</v>
      </c>
      <c r="U352" t="inlineStr">
        <is>
          <t>1999-01-13</t>
        </is>
      </c>
      <c r="V352" t="inlineStr">
        <is>
          <t>1999-01-13</t>
        </is>
      </c>
      <c r="W352" t="inlineStr">
        <is>
          <t>1998-03-24</t>
        </is>
      </c>
      <c r="X352" t="inlineStr">
        <is>
          <t>1998-03-24</t>
        </is>
      </c>
      <c r="Y352" t="n">
        <v>1155</v>
      </c>
      <c r="Z352" t="n">
        <v>1116</v>
      </c>
      <c r="AA352" t="n">
        <v>1165</v>
      </c>
      <c r="AB352" t="n">
        <v>9</v>
      </c>
      <c r="AC352" t="n">
        <v>10</v>
      </c>
      <c r="AD352" t="n">
        <v>36</v>
      </c>
      <c r="AE352" t="n">
        <v>37</v>
      </c>
      <c r="AF352" t="n">
        <v>10</v>
      </c>
      <c r="AG352" t="n">
        <v>10</v>
      </c>
      <c r="AH352" t="n">
        <v>6</v>
      </c>
      <c r="AI352" t="n">
        <v>7</v>
      </c>
      <c r="AJ352" t="n">
        <v>18</v>
      </c>
      <c r="AK352" t="n">
        <v>18</v>
      </c>
      <c r="AL352" t="n">
        <v>6</v>
      </c>
      <c r="AM352" t="n">
        <v>6</v>
      </c>
      <c r="AN352" t="n">
        <v>2</v>
      </c>
      <c r="AO352" t="n">
        <v>2</v>
      </c>
      <c r="AP352" t="inlineStr">
        <is>
          <t>Yes</t>
        </is>
      </c>
      <c r="AQ352" t="inlineStr">
        <is>
          <t>Yes</t>
        </is>
      </c>
      <c r="AR352">
        <f>HYPERLINK("http://catalog.hathitrust.org/Record/006548470","HathiTrust Record")</f>
        <v/>
      </c>
      <c r="AS352">
        <f>HYPERLINK("https://creighton-primo.hosted.exlibrisgroup.com/primo-explore/search?tab=default_tab&amp;search_scope=EVERYTHING&amp;vid=01CRU&amp;lang=en_US&amp;offset=0&amp;query=any,contains,991004600619702656","Catalog Record")</f>
        <v/>
      </c>
      <c r="AT352">
        <f>HYPERLINK("http://www.worldcat.org/oclc/4171403","WorldCat Record")</f>
        <v/>
      </c>
      <c r="AU352" t="inlineStr">
        <is>
          <t>3009752005:eng</t>
        </is>
      </c>
      <c r="AV352" t="inlineStr">
        <is>
          <t>4171403</t>
        </is>
      </c>
      <c r="AW352" t="inlineStr">
        <is>
          <t>991004600619702656</t>
        </is>
      </c>
      <c r="AX352" t="inlineStr">
        <is>
          <t>991004600619702656</t>
        </is>
      </c>
      <c r="AY352" t="inlineStr">
        <is>
          <t>2269549030002656</t>
        </is>
      </c>
      <c r="AZ352" t="inlineStr">
        <is>
          <t>BOOK</t>
        </is>
      </c>
      <c r="BC352" t="inlineStr">
        <is>
          <t>32285003366183</t>
        </is>
      </c>
      <c r="BD352" t="inlineStr">
        <is>
          <t>893436479</t>
        </is>
      </c>
    </row>
    <row r="353">
      <c r="A353" t="inlineStr">
        <is>
          <t>No</t>
        </is>
      </c>
      <c r="B353" t="inlineStr">
        <is>
          <t>E176 .D56</t>
        </is>
      </c>
      <c r="C353" t="inlineStr">
        <is>
          <t>0                      E  0176000D  56</t>
        </is>
      </c>
      <c r="D353" t="inlineStr">
        <is>
          <t>Dictionary of American biography, under the auspices of the American council of learned societies...</t>
        </is>
      </c>
      <c r="E353" t="inlineStr">
        <is>
          <t>V.15</t>
        </is>
      </c>
      <c r="F353" t="inlineStr">
        <is>
          <t>Yes</t>
        </is>
      </c>
      <c r="G353" t="inlineStr">
        <is>
          <t>1</t>
        </is>
      </c>
      <c r="H353" t="inlineStr">
        <is>
          <t>No</t>
        </is>
      </c>
      <c r="I353" t="inlineStr">
        <is>
          <t>No</t>
        </is>
      </c>
      <c r="J353" t="inlineStr">
        <is>
          <t>0</t>
        </is>
      </c>
      <c r="L353" t="inlineStr">
        <is>
          <t>New York, C. Scribner's sons, 1928-</t>
        </is>
      </c>
      <c r="M353" t="inlineStr">
        <is>
          <t>1928</t>
        </is>
      </c>
      <c r="O353" t="inlineStr">
        <is>
          <t>eng</t>
        </is>
      </c>
      <c r="P353" t="inlineStr">
        <is>
          <t>nyu</t>
        </is>
      </c>
      <c r="R353" t="inlineStr">
        <is>
          <t xml:space="preserve">E  </t>
        </is>
      </c>
      <c r="S353" t="n">
        <v>1</v>
      </c>
      <c r="T353" t="n">
        <v>42</v>
      </c>
      <c r="U353" t="inlineStr">
        <is>
          <t>1999-01-13</t>
        </is>
      </c>
      <c r="V353" t="inlineStr">
        <is>
          <t>1999-01-13</t>
        </is>
      </c>
      <c r="W353" t="inlineStr">
        <is>
          <t>1998-03-24</t>
        </is>
      </c>
      <c r="X353" t="inlineStr">
        <is>
          <t>1998-03-24</t>
        </is>
      </c>
      <c r="Y353" t="n">
        <v>1155</v>
      </c>
      <c r="Z353" t="n">
        <v>1116</v>
      </c>
      <c r="AA353" t="n">
        <v>1165</v>
      </c>
      <c r="AB353" t="n">
        <v>9</v>
      </c>
      <c r="AC353" t="n">
        <v>10</v>
      </c>
      <c r="AD353" t="n">
        <v>36</v>
      </c>
      <c r="AE353" t="n">
        <v>37</v>
      </c>
      <c r="AF353" t="n">
        <v>10</v>
      </c>
      <c r="AG353" t="n">
        <v>10</v>
      </c>
      <c r="AH353" t="n">
        <v>6</v>
      </c>
      <c r="AI353" t="n">
        <v>7</v>
      </c>
      <c r="AJ353" t="n">
        <v>18</v>
      </c>
      <c r="AK353" t="n">
        <v>18</v>
      </c>
      <c r="AL353" t="n">
        <v>6</v>
      </c>
      <c r="AM353" t="n">
        <v>6</v>
      </c>
      <c r="AN353" t="n">
        <v>2</v>
      </c>
      <c r="AO353" t="n">
        <v>2</v>
      </c>
      <c r="AP353" t="inlineStr">
        <is>
          <t>Yes</t>
        </is>
      </c>
      <c r="AQ353" t="inlineStr">
        <is>
          <t>Yes</t>
        </is>
      </c>
      <c r="AR353">
        <f>HYPERLINK("http://catalog.hathitrust.org/Record/006548470","HathiTrust Record")</f>
        <v/>
      </c>
      <c r="AS353">
        <f>HYPERLINK("https://creighton-primo.hosted.exlibrisgroup.com/primo-explore/search?tab=default_tab&amp;search_scope=EVERYTHING&amp;vid=01CRU&amp;lang=en_US&amp;offset=0&amp;query=any,contains,991004600619702656","Catalog Record")</f>
        <v/>
      </c>
      <c r="AT353">
        <f>HYPERLINK("http://www.worldcat.org/oclc/4171403","WorldCat Record")</f>
        <v/>
      </c>
      <c r="AU353" t="inlineStr">
        <is>
          <t>3009752005:eng</t>
        </is>
      </c>
      <c r="AV353" t="inlineStr">
        <is>
          <t>4171403</t>
        </is>
      </c>
      <c r="AW353" t="inlineStr">
        <is>
          <t>991004600619702656</t>
        </is>
      </c>
      <c r="AX353" t="inlineStr">
        <is>
          <t>991004600619702656</t>
        </is>
      </c>
      <c r="AY353" t="inlineStr">
        <is>
          <t>2269549030002656</t>
        </is>
      </c>
      <c r="AZ353" t="inlineStr">
        <is>
          <t>BOOK</t>
        </is>
      </c>
      <c r="BC353" t="inlineStr">
        <is>
          <t>32285003366142</t>
        </is>
      </c>
      <c r="BD353" t="inlineStr">
        <is>
          <t>893442802</t>
        </is>
      </c>
    </row>
    <row r="354">
      <c r="A354" t="inlineStr">
        <is>
          <t>No</t>
        </is>
      </c>
      <c r="B354" t="inlineStr">
        <is>
          <t>E176 .D56</t>
        </is>
      </c>
      <c r="C354" t="inlineStr">
        <is>
          <t>0                      E  0176000D  56</t>
        </is>
      </c>
      <c r="D354" t="inlineStr">
        <is>
          <t>Dictionary of American biography, under the auspices of the American council of learned societies...</t>
        </is>
      </c>
      <c r="E354" t="inlineStr">
        <is>
          <t>V.18</t>
        </is>
      </c>
      <c r="F354" t="inlineStr">
        <is>
          <t>Yes</t>
        </is>
      </c>
      <c r="G354" t="inlineStr">
        <is>
          <t>1</t>
        </is>
      </c>
      <c r="H354" t="inlineStr">
        <is>
          <t>No</t>
        </is>
      </c>
      <c r="I354" t="inlineStr">
        <is>
          <t>No</t>
        </is>
      </c>
      <c r="J354" t="inlineStr">
        <is>
          <t>0</t>
        </is>
      </c>
      <c r="L354" t="inlineStr">
        <is>
          <t>New York, C. Scribner's sons, 1928-</t>
        </is>
      </c>
      <c r="M354" t="inlineStr">
        <is>
          <t>1928</t>
        </is>
      </c>
      <c r="O354" t="inlineStr">
        <is>
          <t>eng</t>
        </is>
      </c>
      <c r="P354" t="inlineStr">
        <is>
          <t>nyu</t>
        </is>
      </c>
      <c r="R354" t="inlineStr">
        <is>
          <t xml:space="preserve">E  </t>
        </is>
      </c>
      <c r="S354" t="n">
        <v>1</v>
      </c>
      <c r="T354" t="n">
        <v>42</v>
      </c>
      <c r="U354" t="inlineStr">
        <is>
          <t>1999-01-13</t>
        </is>
      </c>
      <c r="V354" t="inlineStr">
        <is>
          <t>1999-01-13</t>
        </is>
      </c>
      <c r="W354" t="inlineStr">
        <is>
          <t>1998-03-24</t>
        </is>
      </c>
      <c r="X354" t="inlineStr">
        <is>
          <t>1998-03-24</t>
        </is>
      </c>
      <c r="Y354" t="n">
        <v>1155</v>
      </c>
      <c r="Z354" t="n">
        <v>1116</v>
      </c>
      <c r="AA354" t="n">
        <v>1165</v>
      </c>
      <c r="AB354" t="n">
        <v>9</v>
      </c>
      <c r="AC354" t="n">
        <v>10</v>
      </c>
      <c r="AD354" t="n">
        <v>36</v>
      </c>
      <c r="AE354" t="n">
        <v>37</v>
      </c>
      <c r="AF354" t="n">
        <v>10</v>
      </c>
      <c r="AG354" t="n">
        <v>10</v>
      </c>
      <c r="AH354" t="n">
        <v>6</v>
      </c>
      <c r="AI354" t="n">
        <v>7</v>
      </c>
      <c r="AJ354" t="n">
        <v>18</v>
      </c>
      <c r="AK354" t="n">
        <v>18</v>
      </c>
      <c r="AL354" t="n">
        <v>6</v>
      </c>
      <c r="AM354" t="n">
        <v>6</v>
      </c>
      <c r="AN354" t="n">
        <v>2</v>
      </c>
      <c r="AO354" t="n">
        <v>2</v>
      </c>
      <c r="AP354" t="inlineStr">
        <is>
          <t>Yes</t>
        </is>
      </c>
      <c r="AQ354" t="inlineStr">
        <is>
          <t>Yes</t>
        </is>
      </c>
      <c r="AR354">
        <f>HYPERLINK("http://catalog.hathitrust.org/Record/006548470","HathiTrust Record")</f>
        <v/>
      </c>
      <c r="AS354">
        <f>HYPERLINK("https://creighton-primo.hosted.exlibrisgroup.com/primo-explore/search?tab=default_tab&amp;search_scope=EVERYTHING&amp;vid=01CRU&amp;lang=en_US&amp;offset=0&amp;query=any,contains,991004600619702656","Catalog Record")</f>
        <v/>
      </c>
      <c r="AT354">
        <f>HYPERLINK("http://www.worldcat.org/oclc/4171403","WorldCat Record")</f>
        <v/>
      </c>
      <c r="AU354" t="inlineStr">
        <is>
          <t>3009752005:eng</t>
        </is>
      </c>
      <c r="AV354" t="inlineStr">
        <is>
          <t>4171403</t>
        </is>
      </c>
      <c r="AW354" t="inlineStr">
        <is>
          <t>991004600619702656</t>
        </is>
      </c>
      <c r="AX354" t="inlineStr">
        <is>
          <t>991004600619702656</t>
        </is>
      </c>
      <c r="AY354" t="inlineStr">
        <is>
          <t>2269549030002656</t>
        </is>
      </c>
      <c r="AZ354" t="inlineStr">
        <is>
          <t>BOOK</t>
        </is>
      </c>
      <c r="BC354" t="inlineStr">
        <is>
          <t>32285003366175</t>
        </is>
      </c>
      <c r="BD354" t="inlineStr">
        <is>
          <t>893430254</t>
        </is>
      </c>
    </row>
    <row r="355">
      <c r="A355" t="inlineStr">
        <is>
          <t>No</t>
        </is>
      </c>
      <c r="B355" t="inlineStr">
        <is>
          <t>E176 .D56</t>
        </is>
      </c>
      <c r="C355" t="inlineStr">
        <is>
          <t>0                      E  0176000D  56</t>
        </is>
      </c>
      <c r="D355" t="inlineStr">
        <is>
          <t>Dictionary of American biography, under the auspices of the American council of learned societies...</t>
        </is>
      </c>
      <c r="E355" t="inlineStr">
        <is>
          <t>V.20</t>
        </is>
      </c>
      <c r="F355" t="inlineStr">
        <is>
          <t>Yes</t>
        </is>
      </c>
      <c r="G355" t="inlineStr">
        <is>
          <t>1</t>
        </is>
      </c>
      <c r="H355" t="inlineStr">
        <is>
          <t>No</t>
        </is>
      </c>
      <c r="I355" t="inlineStr">
        <is>
          <t>No</t>
        </is>
      </c>
      <c r="J355" t="inlineStr">
        <is>
          <t>0</t>
        </is>
      </c>
      <c r="L355" t="inlineStr">
        <is>
          <t>New York, C. Scribner's sons, 1928-</t>
        </is>
      </c>
      <c r="M355" t="inlineStr">
        <is>
          <t>1928</t>
        </is>
      </c>
      <c r="O355" t="inlineStr">
        <is>
          <t>eng</t>
        </is>
      </c>
      <c r="P355" t="inlineStr">
        <is>
          <t>nyu</t>
        </is>
      </c>
      <c r="R355" t="inlineStr">
        <is>
          <t xml:space="preserve">E  </t>
        </is>
      </c>
      <c r="S355" t="n">
        <v>1</v>
      </c>
      <c r="T355" t="n">
        <v>42</v>
      </c>
      <c r="U355" t="inlineStr">
        <is>
          <t>1999-01-13</t>
        </is>
      </c>
      <c r="V355" t="inlineStr">
        <is>
          <t>1999-01-13</t>
        </is>
      </c>
      <c r="W355" t="inlineStr">
        <is>
          <t>1998-03-24</t>
        </is>
      </c>
      <c r="X355" t="inlineStr">
        <is>
          <t>1998-03-24</t>
        </is>
      </c>
      <c r="Y355" t="n">
        <v>1155</v>
      </c>
      <c r="Z355" t="n">
        <v>1116</v>
      </c>
      <c r="AA355" t="n">
        <v>1165</v>
      </c>
      <c r="AB355" t="n">
        <v>9</v>
      </c>
      <c r="AC355" t="n">
        <v>10</v>
      </c>
      <c r="AD355" t="n">
        <v>36</v>
      </c>
      <c r="AE355" t="n">
        <v>37</v>
      </c>
      <c r="AF355" t="n">
        <v>10</v>
      </c>
      <c r="AG355" t="n">
        <v>10</v>
      </c>
      <c r="AH355" t="n">
        <v>6</v>
      </c>
      <c r="AI355" t="n">
        <v>7</v>
      </c>
      <c r="AJ355" t="n">
        <v>18</v>
      </c>
      <c r="AK355" t="n">
        <v>18</v>
      </c>
      <c r="AL355" t="n">
        <v>6</v>
      </c>
      <c r="AM355" t="n">
        <v>6</v>
      </c>
      <c r="AN355" t="n">
        <v>2</v>
      </c>
      <c r="AO355" t="n">
        <v>2</v>
      </c>
      <c r="AP355" t="inlineStr">
        <is>
          <t>Yes</t>
        </is>
      </c>
      <c r="AQ355" t="inlineStr">
        <is>
          <t>Yes</t>
        </is>
      </c>
      <c r="AR355">
        <f>HYPERLINK("http://catalog.hathitrust.org/Record/006548470","HathiTrust Record")</f>
        <v/>
      </c>
      <c r="AS355">
        <f>HYPERLINK("https://creighton-primo.hosted.exlibrisgroup.com/primo-explore/search?tab=default_tab&amp;search_scope=EVERYTHING&amp;vid=01CRU&amp;lang=en_US&amp;offset=0&amp;query=any,contains,991004600619702656","Catalog Record")</f>
        <v/>
      </c>
      <c r="AT355">
        <f>HYPERLINK("http://www.worldcat.org/oclc/4171403","WorldCat Record")</f>
        <v/>
      </c>
      <c r="AU355" t="inlineStr">
        <is>
          <t>3009752005:eng</t>
        </is>
      </c>
      <c r="AV355" t="inlineStr">
        <is>
          <t>4171403</t>
        </is>
      </c>
      <c r="AW355" t="inlineStr">
        <is>
          <t>991004600619702656</t>
        </is>
      </c>
      <c r="AX355" t="inlineStr">
        <is>
          <t>991004600619702656</t>
        </is>
      </c>
      <c r="AY355" t="inlineStr">
        <is>
          <t>2269549030002656</t>
        </is>
      </c>
      <c r="AZ355" t="inlineStr">
        <is>
          <t>BOOK</t>
        </is>
      </c>
      <c r="BC355" t="inlineStr">
        <is>
          <t>32285003366191</t>
        </is>
      </c>
      <c r="BD355" t="inlineStr">
        <is>
          <t>893423980</t>
        </is>
      </c>
    </row>
    <row r="356">
      <c r="A356" t="inlineStr">
        <is>
          <t>No</t>
        </is>
      </c>
      <c r="B356" t="inlineStr">
        <is>
          <t>E176 .D56</t>
        </is>
      </c>
      <c r="C356" t="inlineStr">
        <is>
          <t>0                      E  0176000D  56</t>
        </is>
      </c>
      <c r="D356" t="inlineStr">
        <is>
          <t>Dictionary of American biography, under the auspices of the American council of learned societies...</t>
        </is>
      </c>
      <c r="E356" t="inlineStr">
        <is>
          <t>V.5</t>
        </is>
      </c>
      <c r="F356" t="inlineStr">
        <is>
          <t>Yes</t>
        </is>
      </c>
      <c r="G356" t="inlineStr">
        <is>
          <t>1</t>
        </is>
      </c>
      <c r="H356" t="inlineStr">
        <is>
          <t>No</t>
        </is>
      </c>
      <c r="I356" t="inlineStr">
        <is>
          <t>No</t>
        </is>
      </c>
      <c r="J356" t="inlineStr">
        <is>
          <t>0</t>
        </is>
      </c>
      <c r="L356" t="inlineStr">
        <is>
          <t>New York, C. Scribner's sons, 1928-</t>
        </is>
      </c>
      <c r="M356" t="inlineStr">
        <is>
          <t>1928</t>
        </is>
      </c>
      <c r="O356" t="inlineStr">
        <is>
          <t>eng</t>
        </is>
      </c>
      <c r="P356" t="inlineStr">
        <is>
          <t>nyu</t>
        </is>
      </c>
      <c r="R356" t="inlineStr">
        <is>
          <t xml:space="preserve">E  </t>
        </is>
      </c>
      <c r="S356" t="n">
        <v>2</v>
      </c>
      <c r="T356" t="n">
        <v>42</v>
      </c>
      <c r="U356" t="inlineStr">
        <is>
          <t>1999-01-13</t>
        </is>
      </c>
      <c r="V356" t="inlineStr">
        <is>
          <t>1999-01-13</t>
        </is>
      </c>
      <c r="W356" t="inlineStr">
        <is>
          <t>1997-06-25</t>
        </is>
      </c>
      <c r="X356" t="inlineStr">
        <is>
          <t>1998-03-24</t>
        </is>
      </c>
      <c r="Y356" t="n">
        <v>1155</v>
      </c>
      <c r="Z356" t="n">
        <v>1116</v>
      </c>
      <c r="AA356" t="n">
        <v>1165</v>
      </c>
      <c r="AB356" t="n">
        <v>9</v>
      </c>
      <c r="AC356" t="n">
        <v>10</v>
      </c>
      <c r="AD356" t="n">
        <v>36</v>
      </c>
      <c r="AE356" t="n">
        <v>37</v>
      </c>
      <c r="AF356" t="n">
        <v>10</v>
      </c>
      <c r="AG356" t="n">
        <v>10</v>
      </c>
      <c r="AH356" t="n">
        <v>6</v>
      </c>
      <c r="AI356" t="n">
        <v>7</v>
      </c>
      <c r="AJ356" t="n">
        <v>18</v>
      </c>
      <c r="AK356" t="n">
        <v>18</v>
      </c>
      <c r="AL356" t="n">
        <v>6</v>
      </c>
      <c r="AM356" t="n">
        <v>6</v>
      </c>
      <c r="AN356" t="n">
        <v>2</v>
      </c>
      <c r="AO356" t="n">
        <v>2</v>
      </c>
      <c r="AP356" t="inlineStr">
        <is>
          <t>Yes</t>
        </is>
      </c>
      <c r="AQ356" t="inlineStr">
        <is>
          <t>Yes</t>
        </is>
      </c>
      <c r="AR356">
        <f>HYPERLINK("http://catalog.hathitrust.org/Record/006548470","HathiTrust Record")</f>
        <v/>
      </c>
      <c r="AS356">
        <f>HYPERLINK("https://creighton-primo.hosted.exlibrisgroup.com/primo-explore/search?tab=default_tab&amp;search_scope=EVERYTHING&amp;vid=01CRU&amp;lang=en_US&amp;offset=0&amp;query=any,contains,991004600619702656","Catalog Record")</f>
        <v/>
      </c>
      <c r="AT356">
        <f>HYPERLINK("http://www.worldcat.org/oclc/4171403","WorldCat Record")</f>
        <v/>
      </c>
      <c r="AU356" t="inlineStr">
        <is>
          <t>3009752005:eng</t>
        </is>
      </c>
      <c r="AV356" t="inlineStr">
        <is>
          <t>4171403</t>
        </is>
      </c>
      <c r="AW356" t="inlineStr">
        <is>
          <t>991004600619702656</t>
        </is>
      </c>
      <c r="AX356" t="inlineStr">
        <is>
          <t>991004600619702656</t>
        </is>
      </c>
      <c r="AY356" t="inlineStr">
        <is>
          <t>2269549030002656</t>
        </is>
      </c>
      <c r="AZ356" t="inlineStr">
        <is>
          <t>BOOK</t>
        </is>
      </c>
      <c r="BC356" t="inlineStr">
        <is>
          <t>32285002847621</t>
        </is>
      </c>
      <c r="BD356" t="inlineStr">
        <is>
          <t>893430252</t>
        </is>
      </c>
    </row>
    <row r="357">
      <c r="A357" t="inlineStr">
        <is>
          <t>No</t>
        </is>
      </c>
      <c r="B357" t="inlineStr">
        <is>
          <t>E176 .D56 Index a v. 1-20</t>
        </is>
      </c>
      <c r="C357" t="inlineStr">
        <is>
          <t>0                      E  0176000D  56                                                      Index a v. 1-20</t>
        </is>
      </c>
      <c r="D357" t="inlineStr">
        <is>
          <t>Dictionary of American biography. Index: volumes I-XX.</t>
        </is>
      </c>
      <c r="E357" t="inlineStr">
        <is>
          <t>V. 1-20</t>
        </is>
      </c>
      <c r="F357" t="inlineStr">
        <is>
          <t>No</t>
        </is>
      </c>
      <c r="G357" t="inlineStr">
        <is>
          <t>1</t>
        </is>
      </c>
      <c r="H357" t="inlineStr">
        <is>
          <t>No</t>
        </is>
      </c>
      <c r="I357" t="inlineStr">
        <is>
          <t>No</t>
        </is>
      </c>
      <c r="J357" t="inlineStr">
        <is>
          <t>0</t>
        </is>
      </c>
      <c r="L357" t="inlineStr">
        <is>
          <t>New York, C. Scribner's sons, 1937.</t>
        </is>
      </c>
      <c r="M357" t="inlineStr">
        <is>
          <t>1937</t>
        </is>
      </c>
      <c r="O357" t="inlineStr">
        <is>
          <t>eng</t>
        </is>
      </c>
      <c r="P357" t="inlineStr">
        <is>
          <t>nyu</t>
        </is>
      </c>
      <c r="R357" t="inlineStr">
        <is>
          <t xml:space="preserve">E  </t>
        </is>
      </c>
      <c r="S357" t="n">
        <v>1</v>
      </c>
      <c r="T357" t="n">
        <v>1</v>
      </c>
      <c r="U357" t="inlineStr">
        <is>
          <t>1999-01-13</t>
        </is>
      </c>
      <c r="V357" t="inlineStr">
        <is>
          <t>1999-01-13</t>
        </is>
      </c>
      <c r="W357" t="inlineStr">
        <is>
          <t>1998-03-24</t>
        </is>
      </c>
      <c r="X357" t="inlineStr">
        <is>
          <t>1998-03-24</t>
        </is>
      </c>
      <c r="Y357" t="n">
        <v>176</v>
      </c>
      <c r="Z357" t="n">
        <v>171</v>
      </c>
      <c r="AA357" t="n">
        <v>297</v>
      </c>
      <c r="AB357" t="n">
        <v>2</v>
      </c>
      <c r="AC357" t="n">
        <v>4</v>
      </c>
      <c r="AD357" t="n">
        <v>9</v>
      </c>
      <c r="AE357" t="n">
        <v>12</v>
      </c>
      <c r="AF357" t="n">
        <v>1</v>
      </c>
      <c r="AG357" t="n">
        <v>1</v>
      </c>
      <c r="AH357" t="n">
        <v>3</v>
      </c>
      <c r="AI357" t="n">
        <v>4</v>
      </c>
      <c r="AJ357" t="n">
        <v>4</v>
      </c>
      <c r="AK357" t="n">
        <v>6</v>
      </c>
      <c r="AL357" t="n">
        <v>1</v>
      </c>
      <c r="AM357" t="n">
        <v>2</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HYPERLINK("https://creighton-primo.hosted.exlibrisgroup.com/primo-explore/search?tab=default_tab&amp;search_scope=EVERYTHING&amp;vid=01CRU&amp;lang=en_US&amp;offset=0&amp;query=any,contains,991004061969702656","Catalog Record")</f>
        <v/>
      </c>
      <c r="AT357">
        <f>HYPERLINK("http://www.worldcat.org/oclc/13482984","WorldCat Record")</f>
        <v/>
      </c>
      <c r="AU357" t="inlineStr">
        <is>
          <t>3376390119:eng</t>
        </is>
      </c>
      <c r="AV357" t="inlineStr">
        <is>
          <t>13482984</t>
        </is>
      </c>
      <c r="AW357" t="inlineStr">
        <is>
          <t>991004061969702656</t>
        </is>
      </c>
      <c r="AX357" t="inlineStr">
        <is>
          <t>991004061969702656</t>
        </is>
      </c>
      <c r="AY357" t="inlineStr">
        <is>
          <t>2270475720002656</t>
        </is>
      </c>
      <c r="AZ357" t="inlineStr">
        <is>
          <t>BOOK</t>
        </is>
      </c>
      <c r="BC357" t="inlineStr">
        <is>
          <t>32285003366209</t>
        </is>
      </c>
      <c r="BD357" t="inlineStr">
        <is>
          <t>893442147</t>
        </is>
      </c>
    </row>
    <row r="358">
      <c r="A358" t="inlineStr">
        <is>
          <t>No</t>
        </is>
      </c>
      <c r="B358" t="inlineStr">
        <is>
          <t>E176 .D56 Index b</t>
        </is>
      </c>
      <c r="C358" t="inlineStr">
        <is>
          <t>0                      E  0176000D  56                                                      Index b</t>
        </is>
      </c>
      <c r="D358" t="inlineStr">
        <is>
          <t>Dictionary of American biography : complete index guide--volumes I-XX, supplements 1-7.</t>
        </is>
      </c>
      <c r="E358" t="inlineStr">
        <is>
          <t>Index b*</t>
        </is>
      </c>
      <c r="F358" t="inlineStr">
        <is>
          <t>No</t>
        </is>
      </c>
      <c r="G358" t="inlineStr">
        <is>
          <t>1</t>
        </is>
      </c>
      <c r="H358" t="inlineStr">
        <is>
          <t>No</t>
        </is>
      </c>
      <c r="I358" t="inlineStr">
        <is>
          <t>No</t>
        </is>
      </c>
      <c r="J358" t="inlineStr">
        <is>
          <t>0</t>
        </is>
      </c>
      <c r="L358" t="inlineStr">
        <is>
          <t>New York : Published under the auspices of the American Council of Learned Societies [by] Scribner, c1981.</t>
        </is>
      </c>
      <c r="M358" t="inlineStr">
        <is>
          <t>1981</t>
        </is>
      </c>
      <c r="O358" t="inlineStr">
        <is>
          <t>eng</t>
        </is>
      </c>
      <c r="P358" t="inlineStr">
        <is>
          <t>nyu</t>
        </is>
      </c>
      <c r="R358" t="inlineStr">
        <is>
          <t xml:space="preserve">E  </t>
        </is>
      </c>
      <c r="S358" t="n">
        <v>1</v>
      </c>
      <c r="T358" t="n">
        <v>1</v>
      </c>
      <c r="U358" t="inlineStr">
        <is>
          <t>1999-01-13</t>
        </is>
      </c>
      <c r="V358" t="inlineStr">
        <is>
          <t>1999-01-13</t>
        </is>
      </c>
      <c r="W358" t="inlineStr">
        <is>
          <t>1998-03-24</t>
        </is>
      </c>
      <c r="X358" t="inlineStr">
        <is>
          <t>1998-03-24</t>
        </is>
      </c>
      <c r="Y358" t="n">
        <v>510</v>
      </c>
      <c r="Z358" t="n">
        <v>474</v>
      </c>
      <c r="AA358" t="n">
        <v>495</v>
      </c>
      <c r="AB358" t="n">
        <v>2</v>
      </c>
      <c r="AC358" t="n">
        <v>2</v>
      </c>
      <c r="AD358" t="n">
        <v>5</v>
      </c>
      <c r="AE358" t="n">
        <v>6</v>
      </c>
      <c r="AF358" t="n">
        <v>2</v>
      </c>
      <c r="AG358" t="n">
        <v>3</v>
      </c>
      <c r="AH358" t="n">
        <v>1</v>
      </c>
      <c r="AI358" t="n">
        <v>1</v>
      </c>
      <c r="AJ358" t="n">
        <v>3</v>
      </c>
      <c r="AK358" t="n">
        <v>3</v>
      </c>
      <c r="AL358" t="n">
        <v>0</v>
      </c>
      <c r="AM358" t="n">
        <v>0</v>
      </c>
      <c r="AN358" t="n">
        <v>1</v>
      </c>
      <c r="AO358" t="n">
        <v>1</v>
      </c>
      <c r="AP358" t="inlineStr">
        <is>
          <t>No</t>
        </is>
      </c>
      <c r="AQ358" t="inlineStr">
        <is>
          <t>Yes</t>
        </is>
      </c>
      <c r="AR358">
        <f>HYPERLINK("http://catalog.hathitrust.org/Record/000230631","HathiTrust Record")</f>
        <v/>
      </c>
      <c r="AS358">
        <f>HYPERLINK("https://creighton-primo.hosted.exlibrisgroup.com/primo-explore/search?tab=default_tab&amp;search_scope=EVERYTHING&amp;vid=01CRU&amp;lang=en_US&amp;offset=0&amp;query=any,contains,991005140049702656","Catalog Record")</f>
        <v/>
      </c>
      <c r="AT358">
        <f>HYPERLINK("http://www.worldcat.org/oclc/7597821","WorldCat Record")</f>
        <v/>
      </c>
      <c r="AU358" t="inlineStr">
        <is>
          <t>3752924662:eng</t>
        </is>
      </c>
      <c r="AV358" t="inlineStr">
        <is>
          <t>7597821</t>
        </is>
      </c>
      <c r="AW358" t="inlineStr">
        <is>
          <t>991005140049702656</t>
        </is>
      </c>
      <c r="AX358" t="inlineStr">
        <is>
          <t>991005140049702656</t>
        </is>
      </c>
      <c r="AY358" t="inlineStr">
        <is>
          <t>2254816440002656</t>
        </is>
      </c>
      <c r="AZ358" t="inlineStr">
        <is>
          <t>BOOK</t>
        </is>
      </c>
      <c r="BB358" t="inlineStr">
        <is>
          <t>9780684171524</t>
        </is>
      </c>
      <c r="BC358" t="inlineStr">
        <is>
          <t>32285003366217</t>
        </is>
      </c>
      <c r="BD358" t="inlineStr">
        <is>
          <t>893430920</t>
        </is>
      </c>
    </row>
    <row r="359">
      <c r="A359" t="inlineStr">
        <is>
          <t>No</t>
        </is>
      </c>
      <c r="B359" t="inlineStr">
        <is>
          <t>E176 .D56 Index c</t>
        </is>
      </c>
      <c r="C359" t="inlineStr">
        <is>
          <t>0                      E  0176000D  56                                                      Index c</t>
        </is>
      </c>
      <c r="D359" t="inlineStr">
        <is>
          <t>Dictionary of American biography. Comprehensive index : complete through supplement eight.</t>
        </is>
      </c>
      <c r="E359" t="inlineStr">
        <is>
          <t>Index c*</t>
        </is>
      </c>
      <c r="F359" t="inlineStr">
        <is>
          <t>No</t>
        </is>
      </c>
      <c r="G359" t="inlineStr">
        <is>
          <t>1</t>
        </is>
      </c>
      <c r="H359" t="inlineStr">
        <is>
          <t>No</t>
        </is>
      </c>
      <c r="I359" t="inlineStr">
        <is>
          <t>No</t>
        </is>
      </c>
      <c r="J359" t="inlineStr">
        <is>
          <t>0</t>
        </is>
      </c>
      <c r="L359" t="inlineStr">
        <is>
          <t>New York : Scribner ; London : Collier Macmillan, 1990.</t>
        </is>
      </c>
      <c r="M359" t="inlineStr">
        <is>
          <t>1990</t>
        </is>
      </c>
      <c r="O359" t="inlineStr">
        <is>
          <t>eng</t>
        </is>
      </c>
      <c r="P359" t="inlineStr">
        <is>
          <t>nyu</t>
        </is>
      </c>
      <c r="R359" t="inlineStr">
        <is>
          <t xml:space="preserve">E  </t>
        </is>
      </c>
      <c r="S359" t="n">
        <v>1</v>
      </c>
      <c r="T359" t="n">
        <v>1</v>
      </c>
      <c r="U359" t="inlineStr">
        <is>
          <t>1999-01-13</t>
        </is>
      </c>
      <c r="V359" t="inlineStr">
        <is>
          <t>1999-01-13</t>
        </is>
      </c>
      <c r="W359" t="inlineStr">
        <is>
          <t>1990-04-30</t>
        </is>
      </c>
      <c r="X359" t="inlineStr">
        <is>
          <t>1990-04-30</t>
        </is>
      </c>
      <c r="Y359" t="n">
        <v>826</v>
      </c>
      <c r="Z359" t="n">
        <v>789</v>
      </c>
      <c r="AA359" t="n">
        <v>802</v>
      </c>
      <c r="AB359" t="n">
        <v>9</v>
      </c>
      <c r="AC359" t="n">
        <v>9</v>
      </c>
      <c r="AD359" t="n">
        <v>15</v>
      </c>
      <c r="AE359" t="n">
        <v>15</v>
      </c>
      <c r="AF359" t="n">
        <v>3</v>
      </c>
      <c r="AG359" t="n">
        <v>3</v>
      </c>
      <c r="AH359" t="n">
        <v>3</v>
      </c>
      <c r="AI359" t="n">
        <v>3</v>
      </c>
      <c r="AJ359" t="n">
        <v>7</v>
      </c>
      <c r="AK359" t="n">
        <v>7</v>
      </c>
      <c r="AL359" t="n">
        <v>4</v>
      </c>
      <c r="AM359" t="n">
        <v>4</v>
      </c>
      <c r="AN359" t="n">
        <v>0</v>
      </c>
      <c r="AO359" t="n">
        <v>0</v>
      </c>
      <c r="AP359" t="inlineStr">
        <is>
          <t>No</t>
        </is>
      </c>
      <c r="AQ359" t="inlineStr">
        <is>
          <t>Yes</t>
        </is>
      </c>
      <c r="AR359">
        <f>HYPERLINK("http://catalog.hathitrust.org/Record/001943145","HathiTrust Record")</f>
        <v/>
      </c>
      <c r="AS359">
        <f>HYPERLINK("https://creighton-primo.hosted.exlibrisgroup.com/primo-explore/search?tab=default_tab&amp;search_scope=EVERYTHING&amp;vid=01CRU&amp;lang=en_US&amp;offset=0&amp;query=any,contains,991001593559702656","Catalog Record")</f>
        <v/>
      </c>
      <c r="AT359">
        <f>HYPERLINK("http://www.worldcat.org/oclc/20595002","WorldCat Record")</f>
        <v/>
      </c>
      <c r="AU359" t="inlineStr">
        <is>
          <t>2999291198:eng</t>
        </is>
      </c>
      <c r="AV359" t="inlineStr">
        <is>
          <t>20595002</t>
        </is>
      </c>
      <c r="AW359" t="inlineStr">
        <is>
          <t>991001593559702656</t>
        </is>
      </c>
      <c r="AX359" t="inlineStr">
        <is>
          <t>991001593559702656</t>
        </is>
      </c>
      <c r="AY359" t="inlineStr">
        <is>
          <t>2270553110002656</t>
        </is>
      </c>
      <c r="AZ359" t="inlineStr">
        <is>
          <t>BOOK</t>
        </is>
      </c>
      <c r="BB359" t="inlineStr">
        <is>
          <t>9780684191140</t>
        </is>
      </c>
      <c r="BC359" t="inlineStr">
        <is>
          <t>32285000022250</t>
        </is>
      </c>
      <c r="BD359" t="inlineStr">
        <is>
          <t>893885390</t>
        </is>
      </c>
    </row>
    <row r="360">
      <c r="A360" t="inlineStr">
        <is>
          <t>No</t>
        </is>
      </c>
      <c r="B360" t="inlineStr">
        <is>
          <t>E176 .D56 SUPP.1</t>
        </is>
      </c>
      <c r="C360" t="inlineStr">
        <is>
          <t>0                      E  0176000D  56                                                      SUPP.1</t>
        </is>
      </c>
      <c r="D360" t="inlineStr">
        <is>
          <t>Dictionary of American biography, under the auspices of the American council of learned societies...</t>
        </is>
      </c>
      <c r="F360" t="inlineStr">
        <is>
          <t>Yes</t>
        </is>
      </c>
      <c r="G360" t="inlineStr">
        <is>
          <t>1</t>
        </is>
      </c>
      <c r="H360" t="inlineStr">
        <is>
          <t>Yes</t>
        </is>
      </c>
      <c r="I360" t="inlineStr">
        <is>
          <t>No</t>
        </is>
      </c>
      <c r="J360" t="inlineStr">
        <is>
          <t>0</t>
        </is>
      </c>
      <c r="L360" t="inlineStr">
        <is>
          <t>New York, C. Scribner's sons, 1928-</t>
        </is>
      </c>
      <c r="M360" t="inlineStr">
        <is>
          <t>1928</t>
        </is>
      </c>
      <c r="O360" t="inlineStr">
        <is>
          <t>eng</t>
        </is>
      </c>
      <c r="P360" t="inlineStr">
        <is>
          <t>nyu</t>
        </is>
      </c>
      <c r="R360" t="inlineStr">
        <is>
          <t xml:space="preserve">E  </t>
        </is>
      </c>
      <c r="S360" t="n">
        <v>1</v>
      </c>
      <c r="T360" t="n">
        <v>42</v>
      </c>
      <c r="U360" t="inlineStr">
        <is>
          <t>1999-01-13</t>
        </is>
      </c>
      <c r="V360" t="inlineStr">
        <is>
          <t>1999-01-13</t>
        </is>
      </c>
      <c r="W360" t="inlineStr">
        <is>
          <t>1998-03-24</t>
        </is>
      </c>
      <c r="X360" t="inlineStr">
        <is>
          <t>1998-03-24</t>
        </is>
      </c>
      <c r="Y360" t="n">
        <v>1155</v>
      </c>
      <c r="Z360" t="n">
        <v>1116</v>
      </c>
      <c r="AA360" t="n">
        <v>1165</v>
      </c>
      <c r="AB360" t="n">
        <v>9</v>
      </c>
      <c r="AC360" t="n">
        <v>10</v>
      </c>
      <c r="AD360" t="n">
        <v>36</v>
      </c>
      <c r="AE360" t="n">
        <v>37</v>
      </c>
      <c r="AF360" t="n">
        <v>10</v>
      </c>
      <c r="AG360" t="n">
        <v>10</v>
      </c>
      <c r="AH360" t="n">
        <v>6</v>
      </c>
      <c r="AI360" t="n">
        <v>7</v>
      </c>
      <c r="AJ360" t="n">
        <v>18</v>
      </c>
      <c r="AK360" t="n">
        <v>18</v>
      </c>
      <c r="AL360" t="n">
        <v>6</v>
      </c>
      <c r="AM360" t="n">
        <v>6</v>
      </c>
      <c r="AN360" t="n">
        <v>2</v>
      </c>
      <c r="AO360" t="n">
        <v>2</v>
      </c>
      <c r="AP360" t="inlineStr">
        <is>
          <t>Yes</t>
        </is>
      </c>
      <c r="AQ360" t="inlineStr">
        <is>
          <t>Yes</t>
        </is>
      </c>
      <c r="AR360">
        <f>HYPERLINK("http://catalog.hathitrust.org/Record/006548470","HathiTrust Record")</f>
        <v/>
      </c>
      <c r="AS360">
        <f>HYPERLINK("https://creighton-primo.hosted.exlibrisgroup.com/primo-explore/search?tab=default_tab&amp;search_scope=EVERYTHING&amp;vid=01CRU&amp;lang=en_US&amp;offset=0&amp;query=any,contains,991004600619702656","Catalog Record")</f>
        <v/>
      </c>
      <c r="AT360">
        <f>HYPERLINK("http://www.worldcat.org/oclc/4171403","WorldCat Record")</f>
        <v/>
      </c>
      <c r="AU360" t="inlineStr">
        <is>
          <t>3009752005:eng</t>
        </is>
      </c>
      <c r="AV360" t="inlineStr">
        <is>
          <t>4171403</t>
        </is>
      </c>
      <c r="AW360" t="inlineStr">
        <is>
          <t>991004600619702656</t>
        </is>
      </c>
      <c r="AX360" t="inlineStr">
        <is>
          <t>991004600619702656</t>
        </is>
      </c>
      <c r="AY360" t="inlineStr">
        <is>
          <t>2269549030002656</t>
        </is>
      </c>
      <c r="AZ360" t="inlineStr">
        <is>
          <t>BOOK</t>
        </is>
      </c>
      <c r="BC360" t="inlineStr">
        <is>
          <t>32285003366225</t>
        </is>
      </c>
      <c r="BD360" t="inlineStr">
        <is>
          <t>893436478</t>
        </is>
      </c>
    </row>
    <row r="361">
      <c r="A361" t="inlineStr">
        <is>
          <t>No</t>
        </is>
      </c>
      <c r="B361" t="inlineStr">
        <is>
          <t>E176 .D56 SUPP.10</t>
        </is>
      </c>
      <c r="C361" t="inlineStr">
        <is>
          <t>0                      E  0176000D  56                                                      SUPP.10</t>
        </is>
      </c>
      <c r="D361" t="inlineStr">
        <is>
          <t>Dictionary of American biography, under the auspices of the American council of learned societies...</t>
        </is>
      </c>
      <c r="F361" t="inlineStr">
        <is>
          <t>Yes</t>
        </is>
      </c>
      <c r="G361" t="inlineStr">
        <is>
          <t>1</t>
        </is>
      </c>
      <c r="H361" t="inlineStr">
        <is>
          <t>Yes</t>
        </is>
      </c>
      <c r="I361" t="inlineStr">
        <is>
          <t>No</t>
        </is>
      </c>
      <c r="J361" t="inlineStr">
        <is>
          <t>0</t>
        </is>
      </c>
      <c r="L361" t="inlineStr">
        <is>
          <t>New York, C. Scribner's sons, 1928-</t>
        </is>
      </c>
      <c r="M361" t="inlineStr">
        <is>
          <t>1928</t>
        </is>
      </c>
      <c r="O361" t="inlineStr">
        <is>
          <t>eng</t>
        </is>
      </c>
      <c r="P361" t="inlineStr">
        <is>
          <t>nyu</t>
        </is>
      </c>
      <c r="R361" t="inlineStr">
        <is>
          <t xml:space="preserve">E  </t>
        </is>
      </c>
      <c r="S361" t="n">
        <v>1</v>
      </c>
      <c r="T361" t="n">
        <v>42</v>
      </c>
      <c r="U361" t="inlineStr">
        <is>
          <t>1999-01-13</t>
        </is>
      </c>
      <c r="V361" t="inlineStr">
        <is>
          <t>1999-01-13</t>
        </is>
      </c>
      <c r="W361" t="inlineStr">
        <is>
          <t>1995-02-08</t>
        </is>
      </c>
      <c r="X361" t="inlineStr">
        <is>
          <t>1998-03-24</t>
        </is>
      </c>
      <c r="Y361" t="n">
        <v>1155</v>
      </c>
      <c r="Z361" t="n">
        <v>1116</v>
      </c>
      <c r="AA361" t="n">
        <v>1165</v>
      </c>
      <c r="AB361" t="n">
        <v>9</v>
      </c>
      <c r="AC361" t="n">
        <v>10</v>
      </c>
      <c r="AD361" t="n">
        <v>36</v>
      </c>
      <c r="AE361" t="n">
        <v>37</v>
      </c>
      <c r="AF361" t="n">
        <v>10</v>
      </c>
      <c r="AG361" t="n">
        <v>10</v>
      </c>
      <c r="AH361" t="n">
        <v>6</v>
      </c>
      <c r="AI361" t="n">
        <v>7</v>
      </c>
      <c r="AJ361" t="n">
        <v>18</v>
      </c>
      <c r="AK361" t="n">
        <v>18</v>
      </c>
      <c r="AL361" t="n">
        <v>6</v>
      </c>
      <c r="AM361" t="n">
        <v>6</v>
      </c>
      <c r="AN361" t="n">
        <v>2</v>
      </c>
      <c r="AO361" t="n">
        <v>2</v>
      </c>
      <c r="AP361" t="inlineStr">
        <is>
          <t>Yes</t>
        </is>
      </c>
      <c r="AQ361" t="inlineStr">
        <is>
          <t>Yes</t>
        </is>
      </c>
      <c r="AR361">
        <f>HYPERLINK("http://catalog.hathitrust.org/Record/006548470","HathiTrust Record")</f>
        <v/>
      </c>
      <c r="AS361">
        <f>HYPERLINK("https://creighton-primo.hosted.exlibrisgroup.com/primo-explore/search?tab=default_tab&amp;search_scope=EVERYTHING&amp;vid=01CRU&amp;lang=en_US&amp;offset=0&amp;query=any,contains,991004600619702656","Catalog Record")</f>
        <v/>
      </c>
      <c r="AT361">
        <f>HYPERLINK("http://www.worldcat.org/oclc/4171403","WorldCat Record")</f>
        <v/>
      </c>
      <c r="AU361" t="inlineStr">
        <is>
          <t>3009752005:eng</t>
        </is>
      </c>
      <c r="AV361" t="inlineStr">
        <is>
          <t>4171403</t>
        </is>
      </c>
      <c r="AW361" t="inlineStr">
        <is>
          <t>991004600619702656</t>
        </is>
      </c>
      <c r="AX361" t="inlineStr">
        <is>
          <t>991004600619702656</t>
        </is>
      </c>
      <c r="AY361" t="inlineStr">
        <is>
          <t>2269549030002656</t>
        </is>
      </c>
      <c r="AZ361" t="inlineStr">
        <is>
          <t>BOOK</t>
        </is>
      </c>
      <c r="BC361" t="inlineStr">
        <is>
          <t>32285002005840</t>
        </is>
      </c>
      <c r="BD361" t="inlineStr">
        <is>
          <t>893430257</t>
        </is>
      </c>
    </row>
    <row r="362">
      <c r="A362" t="inlineStr">
        <is>
          <t>No</t>
        </is>
      </c>
      <c r="B362" t="inlineStr">
        <is>
          <t>E176 .D56 SUPP.2</t>
        </is>
      </c>
      <c r="C362" t="inlineStr">
        <is>
          <t>0                      E  0176000D  56                                                      SUPP.2</t>
        </is>
      </c>
      <c r="D362" t="inlineStr">
        <is>
          <t>Dictionary of American biography, under the auspices of the American council of learned societies...</t>
        </is>
      </c>
      <c r="F362" t="inlineStr">
        <is>
          <t>Yes</t>
        </is>
      </c>
      <c r="G362" t="inlineStr">
        <is>
          <t>1</t>
        </is>
      </c>
      <c r="H362" t="inlineStr">
        <is>
          <t>Yes</t>
        </is>
      </c>
      <c r="I362" t="inlineStr">
        <is>
          <t>No</t>
        </is>
      </c>
      <c r="J362" t="inlineStr">
        <is>
          <t>0</t>
        </is>
      </c>
      <c r="L362" t="inlineStr">
        <is>
          <t>New York, C. Scribner's sons, 1928-</t>
        </is>
      </c>
      <c r="M362" t="inlineStr">
        <is>
          <t>1928</t>
        </is>
      </c>
      <c r="O362" t="inlineStr">
        <is>
          <t>eng</t>
        </is>
      </c>
      <c r="P362" t="inlineStr">
        <is>
          <t>nyu</t>
        </is>
      </c>
      <c r="R362" t="inlineStr">
        <is>
          <t xml:space="preserve">E  </t>
        </is>
      </c>
      <c r="S362" t="n">
        <v>1</v>
      </c>
      <c r="T362" t="n">
        <v>42</v>
      </c>
      <c r="U362" t="inlineStr">
        <is>
          <t>1999-01-13</t>
        </is>
      </c>
      <c r="V362" t="inlineStr">
        <is>
          <t>1999-01-13</t>
        </is>
      </c>
      <c r="W362" t="inlineStr">
        <is>
          <t>1998-03-24</t>
        </is>
      </c>
      <c r="X362" t="inlineStr">
        <is>
          <t>1998-03-24</t>
        </is>
      </c>
      <c r="Y362" t="n">
        <v>1155</v>
      </c>
      <c r="Z362" t="n">
        <v>1116</v>
      </c>
      <c r="AA362" t="n">
        <v>1165</v>
      </c>
      <c r="AB362" t="n">
        <v>9</v>
      </c>
      <c r="AC362" t="n">
        <v>10</v>
      </c>
      <c r="AD362" t="n">
        <v>36</v>
      </c>
      <c r="AE362" t="n">
        <v>37</v>
      </c>
      <c r="AF362" t="n">
        <v>10</v>
      </c>
      <c r="AG362" t="n">
        <v>10</v>
      </c>
      <c r="AH362" t="n">
        <v>6</v>
      </c>
      <c r="AI362" t="n">
        <v>7</v>
      </c>
      <c r="AJ362" t="n">
        <v>18</v>
      </c>
      <c r="AK362" t="n">
        <v>18</v>
      </c>
      <c r="AL362" t="n">
        <v>6</v>
      </c>
      <c r="AM362" t="n">
        <v>6</v>
      </c>
      <c r="AN362" t="n">
        <v>2</v>
      </c>
      <c r="AO362" t="n">
        <v>2</v>
      </c>
      <c r="AP362" t="inlineStr">
        <is>
          <t>Yes</t>
        </is>
      </c>
      <c r="AQ362" t="inlineStr">
        <is>
          <t>Yes</t>
        </is>
      </c>
      <c r="AR362">
        <f>HYPERLINK("http://catalog.hathitrust.org/Record/006548470","HathiTrust Record")</f>
        <v/>
      </c>
      <c r="AS362">
        <f>HYPERLINK("https://creighton-primo.hosted.exlibrisgroup.com/primo-explore/search?tab=default_tab&amp;search_scope=EVERYTHING&amp;vid=01CRU&amp;lang=en_US&amp;offset=0&amp;query=any,contains,991004600619702656","Catalog Record")</f>
        <v/>
      </c>
      <c r="AT362">
        <f>HYPERLINK("http://www.worldcat.org/oclc/4171403","WorldCat Record")</f>
        <v/>
      </c>
      <c r="AU362" t="inlineStr">
        <is>
          <t>3009752005:eng</t>
        </is>
      </c>
      <c r="AV362" t="inlineStr">
        <is>
          <t>4171403</t>
        </is>
      </c>
      <c r="AW362" t="inlineStr">
        <is>
          <t>991004600619702656</t>
        </is>
      </c>
      <c r="AX362" t="inlineStr">
        <is>
          <t>991004600619702656</t>
        </is>
      </c>
      <c r="AY362" t="inlineStr">
        <is>
          <t>2269549030002656</t>
        </is>
      </c>
      <c r="AZ362" t="inlineStr">
        <is>
          <t>BOOK</t>
        </is>
      </c>
      <c r="BC362" t="inlineStr">
        <is>
          <t>32285003366233</t>
        </is>
      </c>
      <c r="BD362" t="inlineStr">
        <is>
          <t>893423984</t>
        </is>
      </c>
    </row>
    <row r="363">
      <c r="A363" t="inlineStr">
        <is>
          <t>No</t>
        </is>
      </c>
      <c r="B363" t="inlineStr">
        <is>
          <t>E176 .D56 SUPP.3</t>
        </is>
      </c>
      <c r="C363" t="inlineStr">
        <is>
          <t>0                      E  0176000D  56                                                      SUPP.3</t>
        </is>
      </c>
      <c r="D363" t="inlineStr">
        <is>
          <t>Dictionary of American biography, under the auspices of the American council of learned societies...</t>
        </is>
      </c>
      <c r="F363" t="inlineStr">
        <is>
          <t>Yes</t>
        </is>
      </c>
      <c r="G363" t="inlineStr">
        <is>
          <t>1</t>
        </is>
      </c>
      <c r="H363" t="inlineStr">
        <is>
          <t>Yes</t>
        </is>
      </c>
      <c r="I363" t="inlineStr">
        <is>
          <t>No</t>
        </is>
      </c>
      <c r="J363" t="inlineStr">
        <is>
          <t>0</t>
        </is>
      </c>
      <c r="L363" t="inlineStr">
        <is>
          <t>New York, C. Scribner's sons, 1928-</t>
        </is>
      </c>
      <c r="M363" t="inlineStr">
        <is>
          <t>1928</t>
        </is>
      </c>
      <c r="O363" t="inlineStr">
        <is>
          <t>eng</t>
        </is>
      </c>
      <c r="P363" t="inlineStr">
        <is>
          <t>nyu</t>
        </is>
      </c>
      <c r="R363" t="inlineStr">
        <is>
          <t xml:space="preserve">E  </t>
        </is>
      </c>
      <c r="S363" t="n">
        <v>1</v>
      </c>
      <c r="T363" t="n">
        <v>42</v>
      </c>
      <c r="U363" t="inlineStr">
        <is>
          <t>1999-01-13</t>
        </is>
      </c>
      <c r="V363" t="inlineStr">
        <is>
          <t>1999-01-13</t>
        </is>
      </c>
      <c r="W363" t="inlineStr">
        <is>
          <t>1998-03-24</t>
        </is>
      </c>
      <c r="X363" t="inlineStr">
        <is>
          <t>1998-03-24</t>
        </is>
      </c>
      <c r="Y363" t="n">
        <v>1155</v>
      </c>
      <c r="Z363" t="n">
        <v>1116</v>
      </c>
      <c r="AA363" t="n">
        <v>1165</v>
      </c>
      <c r="AB363" t="n">
        <v>9</v>
      </c>
      <c r="AC363" t="n">
        <v>10</v>
      </c>
      <c r="AD363" t="n">
        <v>36</v>
      </c>
      <c r="AE363" t="n">
        <v>37</v>
      </c>
      <c r="AF363" t="n">
        <v>10</v>
      </c>
      <c r="AG363" t="n">
        <v>10</v>
      </c>
      <c r="AH363" t="n">
        <v>6</v>
      </c>
      <c r="AI363" t="n">
        <v>7</v>
      </c>
      <c r="AJ363" t="n">
        <v>18</v>
      </c>
      <c r="AK363" t="n">
        <v>18</v>
      </c>
      <c r="AL363" t="n">
        <v>6</v>
      </c>
      <c r="AM363" t="n">
        <v>6</v>
      </c>
      <c r="AN363" t="n">
        <v>2</v>
      </c>
      <c r="AO363" t="n">
        <v>2</v>
      </c>
      <c r="AP363" t="inlineStr">
        <is>
          <t>Yes</t>
        </is>
      </c>
      <c r="AQ363" t="inlineStr">
        <is>
          <t>Yes</t>
        </is>
      </c>
      <c r="AR363">
        <f>HYPERLINK("http://catalog.hathitrust.org/Record/006548470","HathiTrust Record")</f>
        <v/>
      </c>
      <c r="AS363">
        <f>HYPERLINK("https://creighton-primo.hosted.exlibrisgroup.com/primo-explore/search?tab=default_tab&amp;search_scope=EVERYTHING&amp;vid=01CRU&amp;lang=en_US&amp;offset=0&amp;query=any,contains,991004600619702656","Catalog Record")</f>
        <v/>
      </c>
      <c r="AT363">
        <f>HYPERLINK("http://www.worldcat.org/oclc/4171403","WorldCat Record")</f>
        <v/>
      </c>
      <c r="AU363" t="inlineStr">
        <is>
          <t>3009752005:eng</t>
        </is>
      </c>
      <c r="AV363" t="inlineStr">
        <is>
          <t>4171403</t>
        </is>
      </c>
      <c r="AW363" t="inlineStr">
        <is>
          <t>991004600619702656</t>
        </is>
      </c>
      <c r="AX363" t="inlineStr">
        <is>
          <t>991004600619702656</t>
        </is>
      </c>
      <c r="AY363" t="inlineStr">
        <is>
          <t>2269549030002656</t>
        </is>
      </c>
      <c r="AZ363" t="inlineStr">
        <is>
          <t>BOOK</t>
        </is>
      </c>
      <c r="BC363" t="inlineStr">
        <is>
          <t>32285003366241</t>
        </is>
      </c>
      <c r="BD363" t="inlineStr">
        <is>
          <t>893442805</t>
        </is>
      </c>
    </row>
    <row r="364">
      <c r="A364" t="inlineStr">
        <is>
          <t>No</t>
        </is>
      </c>
      <c r="B364" t="inlineStr">
        <is>
          <t>E176 .D56 SUPP.4</t>
        </is>
      </c>
      <c r="C364" t="inlineStr">
        <is>
          <t>0                      E  0176000D  56                                                      SUPP.4</t>
        </is>
      </c>
      <c r="D364" t="inlineStr">
        <is>
          <t>Dictionary of American biography, under the auspices of the American council of learned societies...</t>
        </is>
      </c>
      <c r="F364" t="inlineStr">
        <is>
          <t>Yes</t>
        </is>
      </c>
      <c r="G364" t="inlineStr">
        <is>
          <t>1</t>
        </is>
      </c>
      <c r="H364" t="inlineStr">
        <is>
          <t>Yes</t>
        </is>
      </c>
      <c r="I364" t="inlineStr">
        <is>
          <t>No</t>
        </is>
      </c>
      <c r="J364" t="inlineStr">
        <is>
          <t>0</t>
        </is>
      </c>
      <c r="L364" t="inlineStr">
        <is>
          <t>New York, C. Scribner's sons, 1928-</t>
        </is>
      </c>
      <c r="M364" t="inlineStr">
        <is>
          <t>1928</t>
        </is>
      </c>
      <c r="O364" t="inlineStr">
        <is>
          <t>eng</t>
        </is>
      </c>
      <c r="P364" t="inlineStr">
        <is>
          <t>nyu</t>
        </is>
      </c>
      <c r="R364" t="inlineStr">
        <is>
          <t xml:space="preserve">E  </t>
        </is>
      </c>
      <c r="S364" t="n">
        <v>1</v>
      </c>
      <c r="T364" t="n">
        <v>42</v>
      </c>
      <c r="U364" t="inlineStr">
        <is>
          <t>1999-01-13</t>
        </is>
      </c>
      <c r="V364" t="inlineStr">
        <is>
          <t>1999-01-13</t>
        </is>
      </c>
      <c r="W364" t="inlineStr">
        <is>
          <t>1998-03-24</t>
        </is>
      </c>
      <c r="X364" t="inlineStr">
        <is>
          <t>1998-03-24</t>
        </is>
      </c>
      <c r="Y364" t="n">
        <v>1155</v>
      </c>
      <c r="Z364" t="n">
        <v>1116</v>
      </c>
      <c r="AA364" t="n">
        <v>1165</v>
      </c>
      <c r="AB364" t="n">
        <v>9</v>
      </c>
      <c r="AC364" t="n">
        <v>10</v>
      </c>
      <c r="AD364" t="n">
        <v>36</v>
      </c>
      <c r="AE364" t="n">
        <v>37</v>
      </c>
      <c r="AF364" t="n">
        <v>10</v>
      </c>
      <c r="AG364" t="n">
        <v>10</v>
      </c>
      <c r="AH364" t="n">
        <v>6</v>
      </c>
      <c r="AI364" t="n">
        <v>7</v>
      </c>
      <c r="AJ364" t="n">
        <v>18</v>
      </c>
      <c r="AK364" t="n">
        <v>18</v>
      </c>
      <c r="AL364" t="n">
        <v>6</v>
      </c>
      <c r="AM364" t="n">
        <v>6</v>
      </c>
      <c r="AN364" t="n">
        <v>2</v>
      </c>
      <c r="AO364" t="n">
        <v>2</v>
      </c>
      <c r="AP364" t="inlineStr">
        <is>
          <t>Yes</t>
        </is>
      </c>
      <c r="AQ364" t="inlineStr">
        <is>
          <t>Yes</t>
        </is>
      </c>
      <c r="AR364">
        <f>HYPERLINK("http://catalog.hathitrust.org/Record/006548470","HathiTrust Record")</f>
        <v/>
      </c>
      <c r="AS364">
        <f>HYPERLINK("https://creighton-primo.hosted.exlibrisgroup.com/primo-explore/search?tab=default_tab&amp;search_scope=EVERYTHING&amp;vid=01CRU&amp;lang=en_US&amp;offset=0&amp;query=any,contains,991004600619702656","Catalog Record")</f>
        <v/>
      </c>
      <c r="AT364">
        <f>HYPERLINK("http://www.worldcat.org/oclc/4171403","WorldCat Record")</f>
        <v/>
      </c>
      <c r="AU364" t="inlineStr">
        <is>
          <t>3009752005:eng</t>
        </is>
      </c>
      <c r="AV364" t="inlineStr">
        <is>
          <t>4171403</t>
        </is>
      </c>
      <c r="AW364" t="inlineStr">
        <is>
          <t>991004600619702656</t>
        </is>
      </c>
      <c r="AX364" t="inlineStr">
        <is>
          <t>991004600619702656</t>
        </is>
      </c>
      <c r="AY364" t="inlineStr">
        <is>
          <t>2269549030002656</t>
        </is>
      </c>
      <c r="AZ364" t="inlineStr">
        <is>
          <t>BOOK</t>
        </is>
      </c>
      <c r="BC364" t="inlineStr">
        <is>
          <t>32285003366258</t>
        </is>
      </c>
      <c r="BD364" t="inlineStr">
        <is>
          <t>893411739</t>
        </is>
      </c>
    </row>
    <row r="365">
      <c r="A365" t="inlineStr">
        <is>
          <t>No</t>
        </is>
      </c>
      <c r="B365" t="inlineStr">
        <is>
          <t>E176 .D56 SUPP.5</t>
        </is>
      </c>
      <c r="C365" t="inlineStr">
        <is>
          <t>0                      E  0176000D  56                                                      SUPP.5</t>
        </is>
      </c>
      <c r="D365" t="inlineStr">
        <is>
          <t>Dictionary of American biography, under the auspices of the American council of learned societies...</t>
        </is>
      </c>
      <c r="F365" t="inlineStr">
        <is>
          <t>Yes</t>
        </is>
      </c>
      <c r="G365" t="inlineStr">
        <is>
          <t>1</t>
        </is>
      </c>
      <c r="H365" t="inlineStr">
        <is>
          <t>Yes</t>
        </is>
      </c>
      <c r="I365" t="inlineStr">
        <is>
          <t>No</t>
        </is>
      </c>
      <c r="J365" t="inlineStr">
        <is>
          <t>0</t>
        </is>
      </c>
      <c r="L365" t="inlineStr">
        <is>
          <t>New York, C. Scribner's sons, 1928-</t>
        </is>
      </c>
      <c r="M365" t="inlineStr">
        <is>
          <t>1928</t>
        </is>
      </c>
      <c r="O365" t="inlineStr">
        <is>
          <t>eng</t>
        </is>
      </c>
      <c r="P365" t="inlineStr">
        <is>
          <t>nyu</t>
        </is>
      </c>
      <c r="R365" t="inlineStr">
        <is>
          <t xml:space="preserve">E  </t>
        </is>
      </c>
      <c r="S365" t="n">
        <v>1</v>
      </c>
      <c r="T365" t="n">
        <v>42</v>
      </c>
      <c r="U365" t="inlineStr">
        <is>
          <t>1999-01-13</t>
        </is>
      </c>
      <c r="V365" t="inlineStr">
        <is>
          <t>1999-01-13</t>
        </is>
      </c>
      <c r="W365" t="inlineStr">
        <is>
          <t>1998-03-24</t>
        </is>
      </c>
      <c r="X365" t="inlineStr">
        <is>
          <t>1998-03-24</t>
        </is>
      </c>
      <c r="Y365" t="n">
        <v>1155</v>
      </c>
      <c r="Z365" t="n">
        <v>1116</v>
      </c>
      <c r="AA365" t="n">
        <v>1165</v>
      </c>
      <c r="AB365" t="n">
        <v>9</v>
      </c>
      <c r="AC365" t="n">
        <v>10</v>
      </c>
      <c r="AD365" t="n">
        <v>36</v>
      </c>
      <c r="AE365" t="n">
        <v>37</v>
      </c>
      <c r="AF365" t="n">
        <v>10</v>
      </c>
      <c r="AG365" t="n">
        <v>10</v>
      </c>
      <c r="AH365" t="n">
        <v>6</v>
      </c>
      <c r="AI365" t="n">
        <v>7</v>
      </c>
      <c r="AJ365" t="n">
        <v>18</v>
      </c>
      <c r="AK365" t="n">
        <v>18</v>
      </c>
      <c r="AL365" t="n">
        <v>6</v>
      </c>
      <c r="AM365" t="n">
        <v>6</v>
      </c>
      <c r="AN365" t="n">
        <v>2</v>
      </c>
      <c r="AO365" t="n">
        <v>2</v>
      </c>
      <c r="AP365" t="inlineStr">
        <is>
          <t>Yes</t>
        </is>
      </c>
      <c r="AQ365" t="inlineStr">
        <is>
          <t>Yes</t>
        </is>
      </c>
      <c r="AR365">
        <f>HYPERLINK("http://catalog.hathitrust.org/Record/006548470","HathiTrust Record")</f>
        <v/>
      </c>
      <c r="AS365">
        <f>HYPERLINK("https://creighton-primo.hosted.exlibrisgroup.com/primo-explore/search?tab=default_tab&amp;search_scope=EVERYTHING&amp;vid=01CRU&amp;lang=en_US&amp;offset=0&amp;query=any,contains,991004600619702656","Catalog Record")</f>
        <v/>
      </c>
      <c r="AT365">
        <f>HYPERLINK("http://www.worldcat.org/oclc/4171403","WorldCat Record")</f>
        <v/>
      </c>
      <c r="AU365" t="inlineStr">
        <is>
          <t>3009752005:eng</t>
        </is>
      </c>
      <c r="AV365" t="inlineStr">
        <is>
          <t>4171403</t>
        </is>
      </c>
      <c r="AW365" t="inlineStr">
        <is>
          <t>991004600619702656</t>
        </is>
      </c>
      <c r="AX365" t="inlineStr">
        <is>
          <t>991004600619702656</t>
        </is>
      </c>
      <c r="AY365" t="inlineStr">
        <is>
          <t>2269549030002656</t>
        </is>
      </c>
      <c r="AZ365" t="inlineStr">
        <is>
          <t>BOOK</t>
        </is>
      </c>
      <c r="BC365" t="inlineStr">
        <is>
          <t>32285003366266</t>
        </is>
      </c>
      <c r="BD365" t="inlineStr">
        <is>
          <t>893442804</t>
        </is>
      </c>
    </row>
    <row r="366">
      <c r="A366" t="inlineStr">
        <is>
          <t>No</t>
        </is>
      </c>
      <c r="B366" t="inlineStr">
        <is>
          <t>E176 .D56 SUPP.6</t>
        </is>
      </c>
      <c r="C366" t="inlineStr">
        <is>
          <t>0                      E  0176000D  56                                                      SUPP.6</t>
        </is>
      </c>
      <c r="D366" t="inlineStr">
        <is>
          <t>Dictionary of American biography, under the auspices of the American council of learned societies...</t>
        </is>
      </c>
      <c r="F366" t="inlineStr">
        <is>
          <t>Yes</t>
        </is>
      </c>
      <c r="G366" t="inlineStr">
        <is>
          <t>1</t>
        </is>
      </c>
      <c r="H366" t="inlineStr">
        <is>
          <t>Yes</t>
        </is>
      </c>
      <c r="I366" t="inlineStr">
        <is>
          <t>No</t>
        </is>
      </c>
      <c r="J366" t="inlineStr">
        <is>
          <t>0</t>
        </is>
      </c>
      <c r="L366" t="inlineStr">
        <is>
          <t>New York, C. Scribner's sons, 1928-</t>
        </is>
      </c>
      <c r="M366" t="inlineStr">
        <is>
          <t>1928</t>
        </is>
      </c>
      <c r="O366" t="inlineStr">
        <is>
          <t>eng</t>
        </is>
      </c>
      <c r="P366" t="inlineStr">
        <is>
          <t>nyu</t>
        </is>
      </c>
      <c r="R366" t="inlineStr">
        <is>
          <t xml:space="preserve">E  </t>
        </is>
      </c>
      <c r="S366" t="n">
        <v>1</v>
      </c>
      <c r="T366" t="n">
        <v>42</v>
      </c>
      <c r="U366" t="inlineStr">
        <is>
          <t>1999-01-13</t>
        </is>
      </c>
      <c r="V366" t="inlineStr">
        <is>
          <t>1999-01-13</t>
        </is>
      </c>
      <c r="W366" t="inlineStr">
        <is>
          <t>1998-03-24</t>
        </is>
      </c>
      <c r="X366" t="inlineStr">
        <is>
          <t>1998-03-24</t>
        </is>
      </c>
      <c r="Y366" t="n">
        <v>1155</v>
      </c>
      <c r="Z366" t="n">
        <v>1116</v>
      </c>
      <c r="AA366" t="n">
        <v>1165</v>
      </c>
      <c r="AB366" t="n">
        <v>9</v>
      </c>
      <c r="AC366" t="n">
        <v>10</v>
      </c>
      <c r="AD366" t="n">
        <v>36</v>
      </c>
      <c r="AE366" t="n">
        <v>37</v>
      </c>
      <c r="AF366" t="n">
        <v>10</v>
      </c>
      <c r="AG366" t="n">
        <v>10</v>
      </c>
      <c r="AH366" t="n">
        <v>6</v>
      </c>
      <c r="AI366" t="n">
        <v>7</v>
      </c>
      <c r="AJ366" t="n">
        <v>18</v>
      </c>
      <c r="AK366" t="n">
        <v>18</v>
      </c>
      <c r="AL366" t="n">
        <v>6</v>
      </c>
      <c r="AM366" t="n">
        <v>6</v>
      </c>
      <c r="AN366" t="n">
        <v>2</v>
      </c>
      <c r="AO366" t="n">
        <v>2</v>
      </c>
      <c r="AP366" t="inlineStr">
        <is>
          <t>Yes</t>
        </is>
      </c>
      <c r="AQ366" t="inlineStr">
        <is>
          <t>Yes</t>
        </is>
      </c>
      <c r="AR366">
        <f>HYPERLINK("http://catalog.hathitrust.org/Record/006548470","HathiTrust Record")</f>
        <v/>
      </c>
      <c r="AS366">
        <f>HYPERLINK("https://creighton-primo.hosted.exlibrisgroup.com/primo-explore/search?tab=default_tab&amp;search_scope=EVERYTHING&amp;vid=01CRU&amp;lang=en_US&amp;offset=0&amp;query=any,contains,991004600619702656","Catalog Record")</f>
        <v/>
      </c>
      <c r="AT366">
        <f>HYPERLINK("http://www.worldcat.org/oclc/4171403","WorldCat Record")</f>
        <v/>
      </c>
      <c r="AU366" t="inlineStr">
        <is>
          <t>3009752005:eng</t>
        </is>
      </c>
      <c r="AV366" t="inlineStr">
        <is>
          <t>4171403</t>
        </is>
      </c>
      <c r="AW366" t="inlineStr">
        <is>
          <t>991004600619702656</t>
        </is>
      </c>
      <c r="AX366" t="inlineStr">
        <is>
          <t>991004600619702656</t>
        </is>
      </c>
      <c r="AY366" t="inlineStr">
        <is>
          <t>2269549030002656</t>
        </is>
      </c>
      <c r="AZ366" t="inlineStr">
        <is>
          <t>BOOK</t>
        </is>
      </c>
      <c r="BC366" t="inlineStr">
        <is>
          <t>32285003366274</t>
        </is>
      </c>
      <c r="BD366" t="inlineStr">
        <is>
          <t>893423983</t>
        </is>
      </c>
    </row>
    <row r="367">
      <c r="A367" t="inlineStr">
        <is>
          <t>No</t>
        </is>
      </c>
      <c r="B367" t="inlineStr">
        <is>
          <t>E176 .D56 SUPP.7</t>
        </is>
      </c>
      <c r="C367" t="inlineStr">
        <is>
          <t>0                      E  0176000D  56                                                      SUPP.7</t>
        </is>
      </c>
      <c r="D367" t="inlineStr">
        <is>
          <t>Dictionary of American biography, under the auspices of the American council of learned societies...</t>
        </is>
      </c>
      <c r="F367" t="inlineStr">
        <is>
          <t>Yes</t>
        </is>
      </c>
      <c r="G367" t="inlineStr">
        <is>
          <t>1</t>
        </is>
      </c>
      <c r="H367" t="inlineStr">
        <is>
          <t>Yes</t>
        </is>
      </c>
      <c r="I367" t="inlineStr">
        <is>
          <t>No</t>
        </is>
      </c>
      <c r="J367" t="inlineStr">
        <is>
          <t>0</t>
        </is>
      </c>
      <c r="L367" t="inlineStr">
        <is>
          <t>New York, C. Scribner's sons, 1928-</t>
        </is>
      </c>
      <c r="M367" t="inlineStr">
        <is>
          <t>1928</t>
        </is>
      </c>
      <c r="O367" t="inlineStr">
        <is>
          <t>eng</t>
        </is>
      </c>
      <c r="P367" t="inlineStr">
        <is>
          <t>nyu</t>
        </is>
      </c>
      <c r="R367" t="inlineStr">
        <is>
          <t xml:space="preserve">E  </t>
        </is>
      </c>
      <c r="S367" t="n">
        <v>1</v>
      </c>
      <c r="T367" t="n">
        <v>42</v>
      </c>
      <c r="U367" t="inlineStr">
        <is>
          <t>1999-01-13</t>
        </is>
      </c>
      <c r="V367" t="inlineStr">
        <is>
          <t>1999-01-13</t>
        </is>
      </c>
      <c r="W367" t="inlineStr">
        <is>
          <t>1998-03-24</t>
        </is>
      </c>
      <c r="X367" t="inlineStr">
        <is>
          <t>1998-03-24</t>
        </is>
      </c>
      <c r="Y367" t="n">
        <v>1155</v>
      </c>
      <c r="Z367" t="n">
        <v>1116</v>
      </c>
      <c r="AA367" t="n">
        <v>1165</v>
      </c>
      <c r="AB367" t="n">
        <v>9</v>
      </c>
      <c r="AC367" t="n">
        <v>10</v>
      </c>
      <c r="AD367" t="n">
        <v>36</v>
      </c>
      <c r="AE367" t="n">
        <v>37</v>
      </c>
      <c r="AF367" t="n">
        <v>10</v>
      </c>
      <c r="AG367" t="n">
        <v>10</v>
      </c>
      <c r="AH367" t="n">
        <v>6</v>
      </c>
      <c r="AI367" t="n">
        <v>7</v>
      </c>
      <c r="AJ367" t="n">
        <v>18</v>
      </c>
      <c r="AK367" t="n">
        <v>18</v>
      </c>
      <c r="AL367" t="n">
        <v>6</v>
      </c>
      <c r="AM367" t="n">
        <v>6</v>
      </c>
      <c r="AN367" t="n">
        <v>2</v>
      </c>
      <c r="AO367" t="n">
        <v>2</v>
      </c>
      <c r="AP367" t="inlineStr">
        <is>
          <t>Yes</t>
        </is>
      </c>
      <c r="AQ367" t="inlineStr">
        <is>
          <t>Yes</t>
        </is>
      </c>
      <c r="AR367">
        <f>HYPERLINK("http://catalog.hathitrust.org/Record/006548470","HathiTrust Record")</f>
        <v/>
      </c>
      <c r="AS367">
        <f>HYPERLINK("https://creighton-primo.hosted.exlibrisgroup.com/primo-explore/search?tab=default_tab&amp;search_scope=EVERYTHING&amp;vid=01CRU&amp;lang=en_US&amp;offset=0&amp;query=any,contains,991004600619702656","Catalog Record")</f>
        <v/>
      </c>
      <c r="AT367">
        <f>HYPERLINK("http://www.worldcat.org/oclc/4171403","WorldCat Record")</f>
        <v/>
      </c>
      <c r="AU367" t="inlineStr">
        <is>
          <t>3009752005:eng</t>
        </is>
      </c>
      <c r="AV367" t="inlineStr">
        <is>
          <t>4171403</t>
        </is>
      </c>
      <c r="AW367" t="inlineStr">
        <is>
          <t>991004600619702656</t>
        </is>
      </c>
      <c r="AX367" t="inlineStr">
        <is>
          <t>991004600619702656</t>
        </is>
      </c>
      <c r="AY367" t="inlineStr">
        <is>
          <t>2269549030002656</t>
        </is>
      </c>
      <c r="AZ367" t="inlineStr">
        <is>
          <t>BOOK</t>
        </is>
      </c>
      <c r="BC367" t="inlineStr">
        <is>
          <t>32285003366282</t>
        </is>
      </c>
      <c r="BD367" t="inlineStr">
        <is>
          <t>893411738</t>
        </is>
      </c>
    </row>
    <row r="368">
      <c r="A368" t="inlineStr">
        <is>
          <t>No</t>
        </is>
      </c>
      <c r="B368" t="inlineStr">
        <is>
          <t>E176 .D56 SUPP.8</t>
        </is>
      </c>
      <c r="C368" t="inlineStr">
        <is>
          <t>0                      E  0176000D  56                                                      SUPP.8</t>
        </is>
      </c>
      <c r="D368" t="inlineStr">
        <is>
          <t>Dictionary of American biography, under the auspices of the American council of learned societies...</t>
        </is>
      </c>
      <c r="F368" t="inlineStr">
        <is>
          <t>Yes</t>
        </is>
      </c>
      <c r="G368" t="inlineStr">
        <is>
          <t>1</t>
        </is>
      </c>
      <c r="H368" t="inlineStr">
        <is>
          <t>Yes</t>
        </is>
      </c>
      <c r="I368" t="inlineStr">
        <is>
          <t>No</t>
        </is>
      </c>
      <c r="J368" t="inlineStr">
        <is>
          <t>0</t>
        </is>
      </c>
      <c r="L368" t="inlineStr">
        <is>
          <t>New York, C. Scribner's sons, 1928-</t>
        </is>
      </c>
      <c r="M368" t="inlineStr">
        <is>
          <t>1928</t>
        </is>
      </c>
      <c r="O368" t="inlineStr">
        <is>
          <t>eng</t>
        </is>
      </c>
      <c r="P368" t="inlineStr">
        <is>
          <t>nyu</t>
        </is>
      </c>
      <c r="R368" t="inlineStr">
        <is>
          <t xml:space="preserve">E  </t>
        </is>
      </c>
      <c r="S368" t="n">
        <v>2</v>
      </c>
      <c r="T368" t="n">
        <v>42</v>
      </c>
      <c r="U368" t="inlineStr">
        <is>
          <t>1999-01-13</t>
        </is>
      </c>
      <c r="V368" t="inlineStr">
        <is>
          <t>1999-01-13</t>
        </is>
      </c>
      <c r="W368" t="inlineStr">
        <is>
          <t>1998-03-24</t>
        </is>
      </c>
      <c r="X368" t="inlineStr">
        <is>
          <t>1998-03-24</t>
        </is>
      </c>
      <c r="Y368" t="n">
        <v>1155</v>
      </c>
      <c r="Z368" t="n">
        <v>1116</v>
      </c>
      <c r="AA368" t="n">
        <v>1165</v>
      </c>
      <c r="AB368" t="n">
        <v>9</v>
      </c>
      <c r="AC368" t="n">
        <v>10</v>
      </c>
      <c r="AD368" t="n">
        <v>36</v>
      </c>
      <c r="AE368" t="n">
        <v>37</v>
      </c>
      <c r="AF368" t="n">
        <v>10</v>
      </c>
      <c r="AG368" t="n">
        <v>10</v>
      </c>
      <c r="AH368" t="n">
        <v>6</v>
      </c>
      <c r="AI368" t="n">
        <v>7</v>
      </c>
      <c r="AJ368" t="n">
        <v>18</v>
      </c>
      <c r="AK368" t="n">
        <v>18</v>
      </c>
      <c r="AL368" t="n">
        <v>6</v>
      </c>
      <c r="AM368" t="n">
        <v>6</v>
      </c>
      <c r="AN368" t="n">
        <v>2</v>
      </c>
      <c r="AO368" t="n">
        <v>2</v>
      </c>
      <c r="AP368" t="inlineStr">
        <is>
          <t>Yes</t>
        </is>
      </c>
      <c r="AQ368" t="inlineStr">
        <is>
          <t>Yes</t>
        </is>
      </c>
      <c r="AR368">
        <f>HYPERLINK("http://catalog.hathitrust.org/Record/006548470","HathiTrust Record")</f>
        <v/>
      </c>
      <c r="AS368">
        <f>HYPERLINK("https://creighton-primo.hosted.exlibrisgroup.com/primo-explore/search?tab=default_tab&amp;search_scope=EVERYTHING&amp;vid=01CRU&amp;lang=en_US&amp;offset=0&amp;query=any,contains,991004600619702656","Catalog Record")</f>
        <v/>
      </c>
      <c r="AT368">
        <f>HYPERLINK("http://www.worldcat.org/oclc/4171403","WorldCat Record")</f>
        <v/>
      </c>
      <c r="AU368" t="inlineStr">
        <is>
          <t>3009752005:eng</t>
        </is>
      </c>
      <c r="AV368" t="inlineStr">
        <is>
          <t>4171403</t>
        </is>
      </c>
      <c r="AW368" t="inlineStr">
        <is>
          <t>991004600619702656</t>
        </is>
      </c>
      <c r="AX368" t="inlineStr">
        <is>
          <t>991004600619702656</t>
        </is>
      </c>
      <c r="AY368" t="inlineStr">
        <is>
          <t>2269549030002656</t>
        </is>
      </c>
      <c r="AZ368" t="inlineStr">
        <is>
          <t>BOOK</t>
        </is>
      </c>
      <c r="BC368" t="inlineStr">
        <is>
          <t>32285003366290</t>
        </is>
      </c>
      <c r="BD368" t="inlineStr">
        <is>
          <t>893442803</t>
        </is>
      </c>
    </row>
    <row r="369">
      <c r="A369" t="inlineStr">
        <is>
          <t>No</t>
        </is>
      </c>
      <c r="B369" t="inlineStr">
        <is>
          <t>E176 .D56 SUPP.9</t>
        </is>
      </c>
      <c r="C369" t="inlineStr">
        <is>
          <t>0                      E  0176000D  56                                                      SUPP.9</t>
        </is>
      </c>
      <c r="D369" t="inlineStr">
        <is>
          <t>Dictionary of American biography, under the auspices of the American council of learned societies...</t>
        </is>
      </c>
      <c r="F369" t="inlineStr">
        <is>
          <t>Yes</t>
        </is>
      </c>
      <c r="G369" t="inlineStr">
        <is>
          <t>1</t>
        </is>
      </c>
      <c r="H369" t="inlineStr">
        <is>
          <t>Yes</t>
        </is>
      </c>
      <c r="I369" t="inlineStr">
        <is>
          <t>No</t>
        </is>
      </c>
      <c r="J369" t="inlineStr">
        <is>
          <t>0</t>
        </is>
      </c>
      <c r="L369" t="inlineStr">
        <is>
          <t>New York, C. Scribner's sons, 1928-</t>
        </is>
      </c>
      <c r="M369" t="inlineStr">
        <is>
          <t>1928</t>
        </is>
      </c>
      <c r="O369" t="inlineStr">
        <is>
          <t>eng</t>
        </is>
      </c>
      <c r="P369" t="inlineStr">
        <is>
          <t>nyu</t>
        </is>
      </c>
      <c r="R369" t="inlineStr">
        <is>
          <t xml:space="preserve">E  </t>
        </is>
      </c>
      <c r="S369" t="n">
        <v>4</v>
      </c>
      <c r="T369" t="n">
        <v>42</v>
      </c>
      <c r="U369" t="inlineStr">
        <is>
          <t>1999-01-13</t>
        </is>
      </c>
      <c r="V369" t="inlineStr">
        <is>
          <t>1999-01-13</t>
        </is>
      </c>
      <c r="W369" t="inlineStr">
        <is>
          <t>1994-04-27</t>
        </is>
      </c>
      <c r="X369" t="inlineStr">
        <is>
          <t>1998-03-24</t>
        </is>
      </c>
      <c r="Y369" t="n">
        <v>1155</v>
      </c>
      <c r="Z369" t="n">
        <v>1116</v>
      </c>
      <c r="AA369" t="n">
        <v>1165</v>
      </c>
      <c r="AB369" t="n">
        <v>9</v>
      </c>
      <c r="AC369" t="n">
        <v>10</v>
      </c>
      <c r="AD369" t="n">
        <v>36</v>
      </c>
      <c r="AE369" t="n">
        <v>37</v>
      </c>
      <c r="AF369" t="n">
        <v>10</v>
      </c>
      <c r="AG369" t="n">
        <v>10</v>
      </c>
      <c r="AH369" t="n">
        <v>6</v>
      </c>
      <c r="AI369" t="n">
        <v>7</v>
      </c>
      <c r="AJ369" t="n">
        <v>18</v>
      </c>
      <c r="AK369" t="n">
        <v>18</v>
      </c>
      <c r="AL369" t="n">
        <v>6</v>
      </c>
      <c r="AM369" t="n">
        <v>6</v>
      </c>
      <c r="AN369" t="n">
        <v>2</v>
      </c>
      <c r="AO369" t="n">
        <v>2</v>
      </c>
      <c r="AP369" t="inlineStr">
        <is>
          <t>Yes</t>
        </is>
      </c>
      <c r="AQ369" t="inlineStr">
        <is>
          <t>Yes</t>
        </is>
      </c>
      <c r="AR369">
        <f>HYPERLINK("http://catalog.hathitrust.org/Record/006548470","HathiTrust Record")</f>
        <v/>
      </c>
      <c r="AS369">
        <f>HYPERLINK("https://creighton-primo.hosted.exlibrisgroup.com/primo-explore/search?tab=default_tab&amp;search_scope=EVERYTHING&amp;vid=01CRU&amp;lang=en_US&amp;offset=0&amp;query=any,contains,991004600619702656","Catalog Record")</f>
        <v/>
      </c>
      <c r="AT369">
        <f>HYPERLINK("http://www.worldcat.org/oclc/4171403","WorldCat Record")</f>
        <v/>
      </c>
      <c r="AU369" t="inlineStr">
        <is>
          <t>3009752005:eng</t>
        </is>
      </c>
      <c r="AV369" t="inlineStr">
        <is>
          <t>4171403</t>
        </is>
      </c>
      <c r="AW369" t="inlineStr">
        <is>
          <t>991004600619702656</t>
        </is>
      </c>
      <c r="AX369" t="inlineStr">
        <is>
          <t>991004600619702656</t>
        </is>
      </c>
      <c r="AY369" t="inlineStr">
        <is>
          <t>2269549030002656</t>
        </is>
      </c>
      <c r="AZ369" t="inlineStr">
        <is>
          <t>BOOK</t>
        </is>
      </c>
      <c r="BC369" t="inlineStr">
        <is>
          <t>32285001864635</t>
        </is>
      </c>
      <c r="BD369" t="inlineStr">
        <is>
          <t>893423982</t>
        </is>
      </c>
    </row>
    <row r="370">
      <c r="A370" t="inlineStr">
        <is>
          <t>No</t>
        </is>
      </c>
      <c r="B370" t="inlineStr">
        <is>
          <t>E176 .F53 1975</t>
        </is>
      </c>
      <c r="C370" t="inlineStr">
        <is>
          <t>0                      E  0176000F  53          1975</t>
        </is>
      </c>
      <c r="D370" t="inlineStr">
        <is>
          <t>American heroes : myth and reality / by Marshall W. Fishwick ; introd. by Carl Carmer.</t>
        </is>
      </c>
      <c r="F370" t="inlineStr">
        <is>
          <t>No</t>
        </is>
      </c>
      <c r="G370" t="inlineStr">
        <is>
          <t>1</t>
        </is>
      </c>
      <c r="H370" t="inlineStr">
        <is>
          <t>No</t>
        </is>
      </c>
      <c r="I370" t="inlineStr">
        <is>
          <t>No</t>
        </is>
      </c>
      <c r="J370" t="inlineStr">
        <is>
          <t>0</t>
        </is>
      </c>
      <c r="K370" t="inlineStr">
        <is>
          <t>Fishwick, Marshall W. (Marshall William), 1923-2006.</t>
        </is>
      </c>
      <c r="L370" t="inlineStr">
        <is>
          <t>Westport, Conn. : Greenwood Press, 1975, c1954.</t>
        </is>
      </c>
      <c r="M370" t="inlineStr">
        <is>
          <t>1975</t>
        </is>
      </c>
      <c r="O370" t="inlineStr">
        <is>
          <t>eng</t>
        </is>
      </c>
      <c r="P370" t="inlineStr">
        <is>
          <t>ctu</t>
        </is>
      </c>
      <c r="R370" t="inlineStr">
        <is>
          <t xml:space="preserve">E  </t>
        </is>
      </c>
      <c r="S370" t="n">
        <v>2</v>
      </c>
      <c r="T370" t="n">
        <v>2</v>
      </c>
      <c r="U370" t="inlineStr">
        <is>
          <t>1997-05-03</t>
        </is>
      </c>
      <c r="V370" t="inlineStr">
        <is>
          <t>1997-05-03</t>
        </is>
      </c>
      <c r="W370" t="inlineStr">
        <is>
          <t>1990-09-04</t>
        </is>
      </c>
      <c r="X370" t="inlineStr">
        <is>
          <t>1990-09-04</t>
        </is>
      </c>
      <c r="Y370" t="n">
        <v>168</v>
      </c>
      <c r="Z370" t="n">
        <v>151</v>
      </c>
      <c r="AA370" t="n">
        <v>473</v>
      </c>
      <c r="AB370" t="n">
        <v>1</v>
      </c>
      <c r="AC370" t="n">
        <v>5</v>
      </c>
      <c r="AD370" t="n">
        <v>6</v>
      </c>
      <c r="AE370" t="n">
        <v>21</v>
      </c>
      <c r="AF370" t="n">
        <v>1</v>
      </c>
      <c r="AG370" t="n">
        <v>7</v>
      </c>
      <c r="AH370" t="n">
        <v>4</v>
      </c>
      <c r="AI370" t="n">
        <v>6</v>
      </c>
      <c r="AJ370" t="n">
        <v>4</v>
      </c>
      <c r="AK370" t="n">
        <v>10</v>
      </c>
      <c r="AL370" t="n">
        <v>0</v>
      </c>
      <c r="AM370" t="n">
        <v>3</v>
      </c>
      <c r="AN370" t="n">
        <v>0</v>
      </c>
      <c r="AO370" t="n">
        <v>0</v>
      </c>
      <c r="AP370" t="inlineStr">
        <is>
          <t>No</t>
        </is>
      </c>
      <c r="AQ370" t="inlineStr">
        <is>
          <t>Yes</t>
        </is>
      </c>
      <c r="AR370">
        <f>HYPERLINK("http://catalog.hathitrust.org/Record/004386079","HathiTrust Record")</f>
        <v/>
      </c>
      <c r="AS370">
        <f>HYPERLINK("https://creighton-primo.hosted.exlibrisgroup.com/primo-explore/search?tab=default_tab&amp;search_scope=EVERYTHING&amp;vid=01CRU&amp;lang=en_US&amp;offset=0&amp;query=any,contains,991003661319702656","Catalog Record")</f>
        <v/>
      </c>
      <c r="AT370">
        <f>HYPERLINK("http://www.worldcat.org/oclc/1272417","WorldCat Record")</f>
        <v/>
      </c>
      <c r="AU370" t="inlineStr">
        <is>
          <t>5177925:eng</t>
        </is>
      </c>
      <c r="AV370" t="inlineStr">
        <is>
          <t>1272417</t>
        </is>
      </c>
      <c r="AW370" t="inlineStr">
        <is>
          <t>991003661319702656</t>
        </is>
      </c>
      <c r="AX370" t="inlineStr">
        <is>
          <t>991003661319702656</t>
        </is>
      </c>
      <c r="AY370" t="inlineStr">
        <is>
          <t>2266492130002656</t>
        </is>
      </c>
      <c r="AZ370" t="inlineStr">
        <is>
          <t>BOOK</t>
        </is>
      </c>
      <c r="BB370" t="inlineStr">
        <is>
          <t>9780837166100</t>
        </is>
      </c>
      <c r="BC370" t="inlineStr">
        <is>
          <t>32285000300037</t>
        </is>
      </c>
      <c r="BD370" t="inlineStr">
        <is>
          <t>893499546</t>
        </is>
      </c>
    </row>
    <row r="371">
      <c r="A371" t="inlineStr">
        <is>
          <t>No</t>
        </is>
      </c>
      <c r="B371" t="inlineStr">
        <is>
          <t>E176 .R63 2004</t>
        </is>
      </c>
      <c r="C371" t="inlineStr">
        <is>
          <t>0                      E  0176000R  63          2004</t>
        </is>
      </c>
      <c r="D371" t="inlineStr">
        <is>
          <t>Founding mothers : the women who raised our nation / Cokie Roberts.</t>
        </is>
      </c>
      <c r="F371" t="inlineStr">
        <is>
          <t>No</t>
        </is>
      </c>
      <c r="G371" t="inlineStr">
        <is>
          <t>1</t>
        </is>
      </c>
      <c r="H371" t="inlineStr">
        <is>
          <t>No</t>
        </is>
      </c>
      <c r="I371" t="inlineStr">
        <is>
          <t>No</t>
        </is>
      </c>
      <c r="J371" t="inlineStr">
        <is>
          <t>0</t>
        </is>
      </c>
      <c r="K371" t="inlineStr">
        <is>
          <t>Roberts, Cokie.</t>
        </is>
      </c>
      <c r="L371" t="inlineStr">
        <is>
          <t>[New York] : William Morrow, c2004.</t>
        </is>
      </c>
      <c r="M371" t="inlineStr">
        <is>
          <t>2004</t>
        </is>
      </c>
      <c r="N371" t="inlineStr">
        <is>
          <t>1st ed.</t>
        </is>
      </c>
      <c r="O371" t="inlineStr">
        <is>
          <t>eng</t>
        </is>
      </c>
      <c r="P371" t="inlineStr">
        <is>
          <t>nyu</t>
        </is>
      </c>
      <c r="R371" t="inlineStr">
        <is>
          <t xml:space="preserve">E  </t>
        </is>
      </c>
      <c r="S371" t="n">
        <v>3</v>
      </c>
      <c r="T371" t="n">
        <v>3</v>
      </c>
      <c r="U371" t="inlineStr">
        <is>
          <t>2005-01-28</t>
        </is>
      </c>
      <c r="V371" t="inlineStr">
        <is>
          <t>2005-01-28</t>
        </is>
      </c>
      <c r="W371" t="inlineStr">
        <is>
          <t>2004-05-11</t>
        </is>
      </c>
      <c r="X371" t="inlineStr">
        <is>
          <t>2004-05-11</t>
        </is>
      </c>
      <c r="Y371" t="n">
        <v>3187</v>
      </c>
      <c r="Z371" t="n">
        <v>3142</v>
      </c>
      <c r="AA371" t="n">
        <v>3634</v>
      </c>
      <c r="AB371" t="n">
        <v>42</v>
      </c>
      <c r="AC371" t="n">
        <v>48</v>
      </c>
      <c r="AD371" t="n">
        <v>44</v>
      </c>
      <c r="AE371" t="n">
        <v>48</v>
      </c>
      <c r="AF371" t="n">
        <v>22</v>
      </c>
      <c r="AG371" t="n">
        <v>24</v>
      </c>
      <c r="AH371" t="n">
        <v>6</v>
      </c>
      <c r="AI371" t="n">
        <v>6</v>
      </c>
      <c r="AJ371" t="n">
        <v>18</v>
      </c>
      <c r="AK371" t="n">
        <v>19</v>
      </c>
      <c r="AL371" t="n">
        <v>7</v>
      </c>
      <c r="AM371" t="n">
        <v>9</v>
      </c>
      <c r="AN371" t="n">
        <v>1</v>
      </c>
      <c r="AO371" t="n">
        <v>1</v>
      </c>
      <c r="AP371" t="inlineStr">
        <is>
          <t>No</t>
        </is>
      </c>
      <c r="AQ371" t="inlineStr">
        <is>
          <t>No</t>
        </is>
      </c>
      <c r="AS371">
        <f>HYPERLINK("https://creighton-primo.hosted.exlibrisgroup.com/primo-explore/search?tab=default_tab&amp;search_scope=EVERYTHING&amp;vid=01CRU&amp;lang=en_US&amp;offset=0&amp;query=any,contains,991004288319702656","Catalog Record")</f>
        <v/>
      </c>
      <c r="AT371">
        <f>HYPERLINK("http://www.worldcat.org/oclc/54365478","WorldCat Record")</f>
        <v/>
      </c>
      <c r="AU371" t="inlineStr">
        <is>
          <t>392148783:eng</t>
        </is>
      </c>
      <c r="AV371" t="inlineStr">
        <is>
          <t>54365478</t>
        </is>
      </c>
      <c r="AW371" t="inlineStr">
        <is>
          <t>991004288319702656</t>
        </is>
      </c>
      <c r="AX371" t="inlineStr">
        <is>
          <t>991004288319702656</t>
        </is>
      </c>
      <c r="AY371" t="inlineStr">
        <is>
          <t>2258226650002656</t>
        </is>
      </c>
      <c r="AZ371" t="inlineStr">
        <is>
          <t>BOOK</t>
        </is>
      </c>
      <c r="BB371" t="inlineStr">
        <is>
          <t>9780060090258</t>
        </is>
      </c>
      <c r="BC371" t="inlineStr">
        <is>
          <t>32285004904636</t>
        </is>
      </c>
      <c r="BD371" t="inlineStr">
        <is>
          <t>893612177</t>
        </is>
      </c>
    </row>
    <row r="372">
      <c r="A372" t="inlineStr">
        <is>
          <t>No</t>
        </is>
      </c>
      <c r="B372" t="inlineStr">
        <is>
          <t>E176.1 .B68</t>
        </is>
      </c>
      <c r="C372" t="inlineStr">
        <is>
          <t>0                      E  0176100B  68</t>
        </is>
      </c>
      <c r="D372" t="inlineStr">
        <is>
          <t>Presidential anecdotes / Paul F. Boller, Jr.</t>
        </is>
      </c>
      <c r="F372" t="inlineStr">
        <is>
          <t>No</t>
        </is>
      </c>
      <c r="G372" t="inlineStr">
        <is>
          <t>1</t>
        </is>
      </c>
      <c r="H372" t="inlineStr">
        <is>
          <t>No</t>
        </is>
      </c>
      <c r="I372" t="inlineStr">
        <is>
          <t>No</t>
        </is>
      </c>
      <c r="J372" t="inlineStr">
        <is>
          <t>0</t>
        </is>
      </c>
      <c r="K372" t="inlineStr">
        <is>
          <t>Boller, Paul F.</t>
        </is>
      </c>
      <c r="L372" t="inlineStr">
        <is>
          <t>New York : Oxford University Press, 1981.</t>
        </is>
      </c>
      <c r="M372" t="inlineStr">
        <is>
          <t>1981</t>
        </is>
      </c>
      <c r="O372" t="inlineStr">
        <is>
          <t>eng</t>
        </is>
      </c>
      <c r="P372" t="inlineStr">
        <is>
          <t>nyu</t>
        </is>
      </c>
      <c r="R372" t="inlineStr">
        <is>
          <t xml:space="preserve">E  </t>
        </is>
      </c>
      <c r="S372" t="n">
        <v>8</v>
      </c>
      <c r="T372" t="n">
        <v>8</v>
      </c>
      <c r="U372" t="inlineStr">
        <is>
          <t>1999-11-12</t>
        </is>
      </c>
      <c r="V372" t="inlineStr">
        <is>
          <t>1999-11-12</t>
        </is>
      </c>
      <c r="W372" t="inlineStr">
        <is>
          <t>1990-06-06</t>
        </is>
      </c>
      <c r="X372" t="inlineStr">
        <is>
          <t>1990-06-06</t>
        </is>
      </c>
      <c r="Y372" t="n">
        <v>1798</v>
      </c>
      <c r="Z372" t="n">
        <v>1716</v>
      </c>
      <c r="AA372" t="n">
        <v>2096</v>
      </c>
      <c r="AB372" t="n">
        <v>12</v>
      </c>
      <c r="AC372" t="n">
        <v>14</v>
      </c>
      <c r="AD372" t="n">
        <v>37</v>
      </c>
      <c r="AE372" t="n">
        <v>43</v>
      </c>
      <c r="AF372" t="n">
        <v>16</v>
      </c>
      <c r="AG372" t="n">
        <v>18</v>
      </c>
      <c r="AH372" t="n">
        <v>6</v>
      </c>
      <c r="AI372" t="n">
        <v>6</v>
      </c>
      <c r="AJ372" t="n">
        <v>18</v>
      </c>
      <c r="AK372" t="n">
        <v>21</v>
      </c>
      <c r="AL372" t="n">
        <v>3</v>
      </c>
      <c r="AM372" t="n">
        <v>4</v>
      </c>
      <c r="AN372" t="n">
        <v>1</v>
      </c>
      <c r="AO372" t="n">
        <v>2</v>
      </c>
      <c r="AP372" t="inlineStr">
        <is>
          <t>No</t>
        </is>
      </c>
      <c r="AQ372" t="inlineStr">
        <is>
          <t>No</t>
        </is>
      </c>
      <c r="AS372">
        <f>HYPERLINK("https://creighton-primo.hosted.exlibrisgroup.com/primo-explore/search?tab=default_tab&amp;search_scope=EVERYTHING&amp;vid=01CRU&amp;lang=en_US&amp;offset=0&amp;query=any,contains,991005067459702656","Catalog Record")</f>
        <v/>
      </c>
      <c r="AT372">
        <f>HYPERLINK("http://www.worldcat.org/oclc/6981785","WorldCat Record")</f>
        <v/>
      </c>
      <c r="AU372" t="inlineStr">
        <is>
          <t>415172:eng</t>
        </is>
      </c>
      <c r="AV372" t="inlineStr">
        <is>
          <t>6981785</t>
        </is>
      </c>
      <c r="AW372" t="inlineStr">
        <is>
          <t>991005067459702656</t>
        </is>
      </c>
      <c r="AX372" t="inlineStr">
        <is>
          <t>991005067459702656</t>
        </is>
      </c>
      <c r="AY372" t="inlineStr">
        <is>
          <t>2272770710002656</t>
        </is>
      </c>
      <c r="AZ372" t="inlineStr">
        <is>
          <t>BOOK</t>
        </is>
      </c>
      <c r="BB372" t="inlineStr">
        <is>
          <t>9780195029154</t>
        </is>
      </c>
      <c r="BC372" t="inlineStr">
        <is>
          <t>32285000182815</t>
        </is>
      </c>
      <c r="BD372" t="inlineStr">
        <is>
          <t>893248298</t>
        </is>
      </c>
    </row>
    <row r="373">
      <c r="A373" t="inlineStr">
        <is>
          <t>No</t>
        </is>
      </c>
      <c r="B373" t="inlineStr">
        <is>
          <t>E176.1 .B935 1988</t>
        </is>
      </c>
      <c r="C373" t="inlineStr">
        <is>
          <t>0                      E  0176100B  935         1988</t>
        </is>
      </c>
      <c r="D373" t="inlineStr">
        <is>
          <t>The learned presidency : Theodore Roosevelt, William Howard Taft, Woodrow Wilson / David H. Burton.</t>
        </is>
      </c>
      <c r="F373" t="inlineStr">
        <is>
          <t>No</t>
        </is>
      </c>
      <c r="G373" t="inlineStr">
        <is>
          <t>1</t>
        </is>
      </c>
      <c r="H373" t="inlineStr">
        <is>
          <t>No</t>
        </is>
      </c>
      <c r="I373" t="inlineStr">
        <is>
          <t>No</t>
        </is>
      </c>
      <c r="J373" t="inlineStr">
        <is>
          <t>0</t>
        </is>
      </c>
      <c r="K373" t="inlineStr">
        <is>
          <t>Burton, David H. (David Henry), 1925-2016.</t>
        </is>
      </c>
      <c r="L373" t="inlineStr">
        <is>
          <t>Rutherford, N.J. : Fairleigh Dickinson University Press ; London : Associated University Presses, c1988.</t>
        </is>
      </c>
      <c r="M373" t="inlineStr">
        <is>
          <t>1988</t>
        </is>
      </c>
      <c r="O373" t="inlineStr">
        <is>
          <t>eng</t>
        </is>
      </c>
      <c r="P373" t="inlineStr">
        <is>
          <t>nju</t>
        </is>
      </c>
      <c r="R373" t="inlineStr">
        <is>
          <t xml:space="preserve">E  </t>
        </is>
      </c>
      <c r="S373" t="n">
        <v>3</v>
      </c>
      <c r="T373" t="n">
        <v>3</v>
      </c>
      <c r="U373" t="inlineStr">
        <is>
          <t>2004-11-16</t>
        </is>
      </c>
      <c r="V373" t="inlineStr">
        <is>
          <t>2004-11-16</t>
        </is>
      </c>
      <c r="W373" t="inlineStr">
        <is>
          <t>1991-01-11</t>
        </is>
      </c>
      <c r="X373" t="inlineStr">
        <is>
          <t>1991-01-11</t>
        </is>
      </c>
      <c r="Y373" t="n">
        <v>755</v>
      </c>
      <c r="Z373" t="n">
        <v>683</v>
      </c>
      <c r="AA373" t="n">
        <v>686</v>
      </c>
      <c r="AB373" t="n">
        <v>5</v>
      </c>
      <c r="AC373" t="n">
        <v>5</v>
      </c>
      <c r="AD373" t="n">
        <v>35</v>
      </c>
      <c r="AE373" t="n">
        <v>36</v>
      </c>
      <c r="AF373" t="n">
        <v>16</v>
      </c>
      <c r="AG373" t="n">
        <v>17</v>
      </c>
      <c r="AH373" t="n">
        <v>8</v>
      </c>
      <c r="AI373" t="n">
        <v>8</v>
      </c>
      <c r="AJ373" t="n">
        <v>16</v>
      </c>
      <c r="AK373" t="n">
        <v>16</v>
      </c>
      <c r="AL373" t="n">
        <v>4</v>
      </c>
      <c r="AM373" t="n">
        <v>4</v>
      </c>
      <c r="AN373" t="n">
        <v>1</v>
      </c>
      <c r="AO373" t="n">
        <v>1</v>
      </c>
      <c r="AP373" t="inlineStr">
        <is>
          <t>No</t>
        </is>
      </c>
      <c r="AQ373" t="inlineStr">
        <is>
          <t>Yes</t>
        </is>
      </c>
      <c r="AR373">
        <f>HYPERLINK("http://catalog.hathitrust.org/Record/000904259","HathiTrust Record")</f>
        <v/>
      </c>
      <c r="AS373">
        <f>HYPERLINK("https://creighton-primo.hosted.exlibrisgroup.com/primo-explore/search?tab=default_tab&amp;search_scope=EVERYTHING&amp;vid=01CRU&amp;lang=en_US&amp;offset=0&amp;query=any,contains,991001117269702656","Catalog Record")</f>
        <v/>
      </c>
      <c r="AT373">
        <f>HYPERLINK("http://www.worldcat.org/oclc/16527987","WorldCat Record")</f>
        <v/>
      </c>
      <c r="AU373" t="inlineStr">
        <is>
          <t>12536462:eng</t>
        </is>
      </c>
      <c r="AV373" t="inlineStr">
        <is>
          <t>16527987</t>
        </is>
      </c>
      <c r="AW373" t="inlineStr">
        <is>
          <t>991001117269702656</t>
        </is>
      </c>
      <c r="AX373" t="inlineStr">
        <is>
          <t>991001117269702656</t>
        </is>
      </c>
      <c r="AY373" t="inlineStr">
        <is>
          <t>2257495140002656</t>
        </is>
      </c>
      <c r="AZ373" t="inlineStr">
        <is>
          <t>BOOK</t>
        </is>
      </c>
      <c r="BB373" t="inlineStr">
        <is>
          <t>9780838633137</t>
        </is>
      </c>
      <c r="BC373" t="inlineStr">
        <is>
          <t>32285000424746</t>
        </is>
      </c>
      <c r="BD373" t="inlineStr">
        <is>
          <t>893865971</t>
        </is>
      </c>
    </row>
    <row r="374">
      <c r="A374" t="inlineStr">
        <is>
          <t>No</t>
        </is>
      </c>
      <c r="B374" t="inlineStr">
        <is>
          <t>E176.1 .C485 1995</t>
        </is>
      </c>
      <c r="C374" t="inlineStr">
        <is>
          <t>0                      E  0176100C  485         1995</t>
        </is>
      </c>
      <c r="D374" t="inlineStr">
        <is>
          <t>Character above all : ten presidents from FDR to George Bush / edited by Robert A. Wilson.</t>
        </is>
      </c>
      <c r="F374" t="inlineStr">
        <is>
          <t>No</t>
        </is>
      </c>
      <c r="G374" t="inlineStr">
        <is>
          <t>1</t>
        </is>
      </c>
      <c r="H374" t="inlineStr">
        <is>
          <t>No</t>
        </is>
      </c>
      <c r="I374" t="inlineStr">
        <is>
          <t>No</t>
        </is>
      </c>
      <c r="J374" t="inlineStr">
        <is>
          <t>0</t>
        </is>
      </c>
      <c r="L374" t="inlineStr">
        <is>
          <t>New York : Simon &amp; Schuster, c1995.</t>
        </is>
      </c>
      <c r="M374" t="inlineStr">
        <is>
          <t>1995</t>
        </is>
      </c>
      <c r="O374" t="inlineStr">
        <is>
          <t>eng</t>
        </is>
      </c>
      <c r="P374" t="inlineStr">
        <is>
          <t>nyu</t>
        </is>
      </c>
      <c r="R374" t="inlineStr">
        <is>
          <t xml:space="preserve">E  </t>
        </is>
      </c>
      <c r="S374" t="n">
        <v>5</v>
      </c>
      <c r="T374" t="n">
        <v>5</v>
      </c>
      <c r="U374" t="inlineStr">
        <is>
          <t>2002-05-03</t>
        </is>
      </c>
      <c r="V374" t="inlineStr">
        <is>
          <t>2002-05-03</t>
        </is>
      </c>
      <c r="W374" t="inlineStr">
        <is>
          <t>1996-05-16</t>
        </is>
      </c>
      <c r="X374" t="inlineStr">
        <is>
          <t>1996-05-16</t>
        </is>
      </c>
      <c r="Y374" t="n">
        <v>899</v>
      </c>
      <c r="Z374" t="n">
        <v>848</v>
      </c>
      <c r="AA374" t="n">
        <v>910</v>
      </c>
      <c r="AB374" t="n">
        <v>9</v>
      </c>
      <c r="AC374" t="n">
        <v>9</v>
      </c>
      <c r="AD374" t="n">
        <v>22</v>
      </c>
      <c r="AE374" t="n">
        <v>23</v>
      </c>
      <c r="AF374" t="n">
        <v>5</v>
      </c>
      <c r="AG374" t="n">
        <v>6</v>
      </c>
      <c r="AH374" t="n">
        <v>5</v>
      </c>
      <c r="AI374" t="n">
        <v>5</v>
      </c>
      <c r="AJ374" t="n">
        <v>11</v>
      </c>
      <c r="AK374" t="n">
        <v>11</v>
      </c>
      <c r="AL374" t="n">
        <v>5</v>
      </c>
      <c r="AM374" t="n">
        <v>5</v>
      </c>
      <c r="AN374" t="n">
        <v>0</v>
      </c>
      <c r="AO374" t="n">
        <v>0</v>
      </c>
      <c r="AP374" t="inlineStr">
        <is>
          <t>No</t>
        </is>
      </c>
      <c r="AQ374" t="inlineStr">
        <is>
          <t>Yes</t>
        </is>
      </c>
      <c r="AR374">
        <f>HYPERLINK("http://catalog.hathitrust.org/Record/003031197","HathiTrust Record")</f>
        <v/>
      </c>
      <c r="AS374">
        <f>HYPERLINK("https://creighton-primo.hosted.exlibrisgroup.com/primo-explore/search?tab=default_tab&amp;search_scope=EVERYTHING&amp;vid=01CRU&amp;lang=en_US&amp;offset=0&amp;query=any,contains,991002560239702656","Catalog Record")</f>
        <v/>
      </c>
      <c r="AT374">
        <f>HYPERLINK("http://www.worldcat.org/oclc/33277239","WorldCat Record")</f>
        <v/>
      </c>
      <c r="AU374" t="inlineStr">
        <is>
          <t>837007106:eng</t>
        </is>
      </c>
      <c r="AV374" t="inlineStr">
        <is>
          <t>33277239</t>
        </is>
      </c>
      <c r="AW374" t="inlineStr">
        <is>
          <t>991002560239702656</t>
        </is>
      </c>
      <c r="AX374" t="inlineStr">
        <is>
          <t>991002560239702656</t>
        </is>
      </c>
      <c r="AY374" t="inlineStr">
        <is>
          <t>2258030710002656</t>
        </is>
      </c>
      <c r="AZ374" t="inlineStr">
        <is>
          <t>BOOK</t>
        </is>
      </c>
      <c r="BB374" t="inlineStr">
        <is>
          <t>9780684814117</t>
        </is>
      </c>
      <c r="BC374" t="inlineStr">
        <is>
          <t>32285002169075</t>
        </is>
      </c>
      <c r="BD374" t="inlineStr">
        <is>
          <t>893245321</t>
        </is>
      </c>
    </row>
    <row r="375">
      <c r="A375" t="inlineStr">
        <is>
          <t>No</t>
        </is>
      </c>
      <c r="B375" t="inlineStr">
        <is>
          <t>E176.1 .C58 1985</t>
        </is>
      </c>
      <c r="C375" t="inlineStr">
        <is>
          <t>0                      E  0176100C  58          1985</t>
        </is>
      </c>
      <c r="D375" t="inlineStr">
        <is>
          <t>Faded glory : presidents out of power / by James C. Clark.</t>
        </is>
      </c>
      <c r="F375" t="inlineStr">
        <is>
          <t>No</t>
        </is>
      </c>
      <c r="G375" t="inlineStr">
        <is>
          <t>1</t>
        </is>
      </c>
      <c r="H375" t="inlineStr">
        <is>
          <t>No</t>
        </is>
      </c>
      <c r="I375" t="inlineStr">
        <is>
          <t>No</t>
        </is>
      </c>
      <c r="J375" t="inlineStr">
        <is>
          <t>0</t>
        </is>
      </c>
      <c r="K375" t="inlineStr">
        <is>
          <t>Clark, James C., 1947-</t>
        </is>
      </c>
      <c r="L375" t="inlineStr">
        <is>
          <t>New York : Praeger, 1985.</t>
        </is>
      </c>
      <c r="M375" t="inlineStr">
        <is>
          <t>1985</t>
        </is>
      </c>
      <c r="O375" t="inlineStr">
        <is>
          <t>eng</t>
        </is>
      </c>
      <c r="P375" t="inlineStr">
        <is>
          <t>nyu</t>
        </is>
      </c>
      <c r="R375" t="inlineStr">
        <is>
          <t xml:space="preserve">E  </t>
        </is>
      </c>
      <c r="S375" t="n">
        <v>2</v>
      </c>
      <c r="T375" t="n">
        <v>2</v>
      </c>
      <c r="U375" t="inlineStr">
        <is>
          <t>2005-09-16</t>
        </is>
      </c>
      <c r="V375" t="inlineStr">
        <is>
          <t>2005-09-16</t>
        </is>
      </c>
      <c r="W375" t="inlineStr">
        <is>
          <t>1991-07-25</t>
        </is>
      </c>
      <c r="X375" t="inlineStr">
        <is>
          <t>1991-07-25</t>
        </is>
      </c>
      <c r="Y375" t="n">
        <v>293</v>
      </c>
      <c r="Z375" t="n">
        <v>265</v>
      </c>
      <c r="AA375" t="n">
        <v>272</v>
      </c>
      <c r="AB375" t="n">
        <v>3</v>
      </c>
      <c r="AC375" t="n">
        <v>3</v>
      </c>
      <c r="AD375" t="n">
        <v>8</v>
      </c>
      <c r="AE375" t="n">
        <v>8</v>
      </c>
      <c r="AF375" t="n">
        <v>3</v>
      </c>
      <c r="AG375" t="n">
        <v>3</v>
      </c>
      <c r="AH375" t="n">
        <v>1</v>
      </c>
      <c r="AI375" t="n">
        <v>1</v>
      </c>
      <c r="AJ375" t="n">
        <v>6</v>
      </c>
      <c r="AK375" t="n">
        <v>6</v>
      </c>
      <c r="AL375" t="n">
        <v>2</v>
      </c>
      <c r="AM375" t="n">
        <v>2</v>
      </c>
      <c r="AN375" t="n">
        <v>0</v>
      </c>
      <c r="AO375" t="n">
        <v>0</v>
      </c>
      <c r="AP375" t="inlineStr">
        <is>
          <t>No</t>
        </is>
      </c>
      <c r="AQ375" t="inlineStr">
        <is>
          <t>Yes</t>
        </is>
      </c>
      <c r="AR375">
        <f>HYPERLINK("http://catalog.hathitrust.org/Record/000646579","HathiTrust Record")</f>
        <v/>
      </c>
      <c r="AS375">
        <f>HYPERLINK("https://creighton-primo.hosted.exlibrisgroup.com/primo-explore/search?tab=default_tab&amp;search_scope=EVERYTHING&amp;vid=01CRU&amp;lang=en_US&amp;offset=0&amp;query=any,contains,991000514009702656","Catalog Record")</f>
        <v/>
      </c>
      <c r="AT375">
        <f>HYPERLINK("http://www.worldcat.org/oclc/11262069","WorldCat Record")</f>
        <v/>
      </c>
      <c r="AU375" t="inlineStr">
        <is>
          <t>2557505:eng</t>
        </is>
      </c>
      <c r="AV375" t="inlineStr">
        <is>
          <t>11262069</t>
        </is>
      </c>
      <c r="AW375" t="inlineStr">
        <is>
          <t>991000514009702656</t>
        </is>
      </c>
      <c r="AX375" t="inlineStr">
        <is>
          <t>991000514009702656</t>
        </is>
      </c>
      <c r="AY375" t="inlineStr">
        <is>
          <t>2265918030002656</t>
        </is>
      </c>
      <c r="AZ375" t="inlineStr">
        <is>
          <t>BOOK</t>
        </is>
      </c>
      <c r="BB375" t="inlineStr">
        <is>
          <t>9780030025723</t>
        </is>
      </c>
      <c r="BC375" t="inlineStr">
        <is>
          <t>32285000662881</t>
        </is>
      </c>
      <c r="BD375" t="inlineStr">
        <is>
          <t>893432028</t>
        </is>
      </c>
    </row>
    <row r="376">
      <c r="A376" t="inlineStr">
        <is>
          <t>No</t>
        </is>
      </c>
      <c r="B376" t="inlineStr">
        <is>
          <t>E176.1 .C7919 1983</t>
        </is>
      </c>
      <c r="C376" t="inlineStr">
        <is>
          <t>0                      E  0176100C  7919        1983</t>
        </is>
      </c>
      <c r="D376" t="inlineStr">
        <is>
          <t>The warrior and the priest : Woodrow Wilson and Theodore Roosevelt / John Milton Cooper, Jr.</t>
        </is>
      </c>
      <c r="F376" t="inlineStr">
        <is>
          <t>No</t>
        </is>
      </c>
      <c r="G376" t="inlineStr">
        <is>
          <t>1</t>
        </is>
      </c>
      <c r="H376" t="inlineStr">
        <is>
          <t>No</t>
        </is>
      </c>
      <c r="I376" t="inlineStr">
        <is>
          <t>No</t>
        </is>
      </c>
      <c r="J376" t="inlineStr">
        <is>
          <t>0</t>
        </is>
      </c>
      <c r="K376" t="inlineStr">
        <is>
          <t>Cooper, John Milton.</t>
        </is>
      </c>
      <c r="L376" t="inlineStr">
        <is>
          <t>Cambridge, Mass. : Belknap Press of Harvard University Press, 1983.</t>
        </is>
      </c>
      <c r="M376" t="inlineStr">
        <is>
          <t>1983</t>
        </is>
      </c>
      <c r="O376" t="inlineStr">
        <is>
          <t>eng</t>
        </is>
      </c>
      <c r="P376" t="inlineStr">
        <is>
          <t>mau</t>
        </is>
      </c>
      <c r="R376" t="inlineStr">
        <is>
          <t xml:space="preserve">E  </t>
        </is>
      </c>
      <c r="S376" t="n">
        <v>5</v>
      </c>
      <c r="T376" t="n">
        <v>5</v>
      </c>
      <c r="U376" t="inlineStr">
        <is>
          <t>2000-09-01</t>
        </is>
      </c>
      <c r="V376" t="inlineStr">
        <is>
          <t>2000-09-01</t>
        </is>
      </c>
      <c r="W376" t="inlineStr">
        <is>
          <t>1991-01-11</t>
        </is>
      </c>
      <c r="X376" t="inlineStr">
        <is>
          <t>1991-01-11</t>
        </is>
      </c>
      <c r="Y376" t="n">
        <v>1639</v>
      </c>
      <c r="Z376" t="n">
        <v>1445</v>
      </c>
      <c r="AA376" t="n">
        <v>1462</v>
      </c>
      <c r="AB376" t="n">
        <v>12</v>
      </c>
      <c r="AC376" t="n">
        <v>12</v>
      </c>
      <c r="AD376" t="n">
        <v>54</v>
      </c>
      <c r="AE376" t="n">
        <v>54</v>
      </c>
      <c r="AF376" t="n">
        <v>22</v>
      </c>
      <c r="AG376" t="n">
        <v>22</v>
      </c>
      <c r="AH376" t="n">
        <v>9</v>
      </c>
      <c r="AI376" t="n">
        <v>9</v>
      </c>
      <c r="AJ376" t="n">
        <v>23</v>
      </c>
      <c r="AK376" t="n">
        <v>23</v>
      </c>
      <c r="AL376" t="n">
        <v>9</v>
      </c>
      <c r="AM376" t="n">
        <v>9</v>
      </c>
      <c r="AN376" t="n">
        <v>2</v>
      </c>
      <c r="AO376" t="n">
        <v>2</v>
      </c>
      <c r="AP376" t="inlineStr">
        <is>
          <t>No</t>
        </is>
      </c>
      <c r="AQ376" t="inlineStr">
        <is>
          <t>Yes</t>
        </is>
      </c>
      <c r="AR376">
        <f>HYPERLINK("http://catalog.hathitrust.org/Record/000772914","HathiTrust Record")</f>
        <v/>
      </c>
      <c r="AS376">
        <f>HYPERLINK("https://creighton-primo.hosted.exlibrisgroup.com/primo-explore/search?tab=default_tab&amp;search_scope=EVERYTHING&amp;vid=01CRU&amp;lang=en_US&amp;offset=0&amp;query=any,contains,991000184039702656","Catalog Record")</f>
        <v/>
      </c>
      <c r="AT376">
        <f>HYPERLINK("http://www.worldcat.org/oclc/9393023","WorldCat Record")</f>
        <v/>
      </c>
      <c r="AU376" t="inlineStr">
        <is>
          <t>20984523:eng</t>
        </is>
      </c>
      <c r="AV376" t="inlineStr">
        <is>
          <t>9393023</t>
        </is>
      </c>
      <c r="AW376" t="inlineStr">
        <is>
          <t>991000184039702656</t>
        </is>
      </c>
      <c r="AX376" t="inlineStr">
        <is>
          <t>991000184039702656</t>
        </is>
      </c>
      <c r="AY376" t="inlineStr">
        <is>
          <t>2266015430002656</t>
        </is>
      </c>
      <c r="AZ376" t="inlineStr">
        <is>
          <t>BOOK</t>
        </is>
      </c>
      <c r="BB376" t="inlineStr">
        <is>
          <t>9780674947504</t>
        </is>
      </c>
      <c r="BC376" t="inlineStr">
        <is>
          <t>32285000424753</t>
        </is>
      </c>
      <c r="BD376" t="inlineStr">
        <is>
          <t>893527880</t>
        </is>
      </c>
    </row>
    <row r="377">
      <c r="A377" t="inlineStr">
        <is>
          <t>No</t>
        </is>
      </c>
      <c r="B377" t="inlineStr">
        <is>
          <t>E176.1 .D42 2000</t>
        </is>
      </c>
      <c r="C377" t="inlineStr">
        <is>
          <t>0                      E  0176100D  42          2000</t>
        </is>
      </c>
      <c r="D377" t="inlineStr">
        <is>
          <t>Presidential machismo : executive authority, military intervention, and foreign relations / Alexander DeConde.</t>
        </is>
      </c>
      <c r="F377" t="inlineStr">
        <is>
          <t>No</t>
        </is>
      </c>
      <c r="G377" t="inlineStr">
        <is>
          <t>1</t>
        </is>
      </c>
      <c r="H377" t="inlineStr">
        <is>
          <t>No</t>
        </is>
      </c>
      <c r="I377" t="inlineStr">
        <is>
          <t>No</t>
        </is>
      </c>
      <c r="J377" t="inlineStr">
        <is>
          <t>0</t>
        </is>
      </c>
      <c r="K377" t="inlineStr">
        <is>
          <t>DeConde, Alexander.</t>
        </is>
      </c>
      <c r="L377" t="inlineStr">
        <is>
          <t>Boston : Northeastern University Press, c2000.</t>
        </is>
      </c>
      <c r="M377" t="inlineStr">
        <is>
          <t>2000</t>
        </is>
      </c>
      <c r="O377" t="inlineStr">
        <is>
          <t>eng</t>
        </is>
      </c>
      <c r="P377" t="inlineStr">
        <is>
          <t>mau</t>
        </is>
      </c>
      <c r="R377" t="inlineStr">
        <is>
          <t xml:space="preserve">E  </t>
        </is>
      </c>
      <c r="S377" t="n">
        <v>2</v>
      </c>
      <c r="T377" t="n">
        <v>2</v>
      </c>
      <c r="U377" t="inlineStr">
        <is>
          <t>2001-06-17</t>
        </is>
      </c>
      <c r="V377" t="inlineStr">
        <is>
          <t>2001-06-17</t>
        </is>
      </c>
      <c r="W377" t="inlineStr">
        <is>
          <t>2001-05-23</t>
        </is>
      </c>
      <c r="X377" t="inlineStr">
        <is>
          <t>2001-05-23</t>
        </is>
      </c>
      <c r="Y377" t="n">
        <v>545</v>
      </c>
      <c r="Z377" t="n">
        <v>487</v>
      </c>
      <c r="AA377" t="n">
        <v>496</v>
      </c>
      <c r="AB377" t="n">
        <v>5</v>
      </c>
      <c r="AC377" t="n">
        <v>5</v>
      </c>
      <c r="AD377" t="n">
        <v>29</v>
      </c>
      <c r="AE377" t="n">
        <v>30</v>
      </c>
      <c r="AF377" t="n">
        <v>12</v>
      </c>
      <c r="AG377" t="n">
        <v>12</v>
      </c>
      <c r="AH377" t="n">
        <v>6</v>
      </c>
      <c r="AI377" t="n">
        <v>6</v>
      </c>
      <c r="AJ377" t="n">
        <v>13</v>
      </c>
      <c r="AK377" t="n">
        <v>14</v>
      </c>
      <c r="AL377" t="n">
        <v>4</v>
      </c>
      <c r="AM377" t="n">
        <v>4</v>
      </c>
      <c r="AN377" t="n">
        <v>2</v>
      </c>
      <c r="AO377" t="n">
        <v>2</v>
      </c>
      <c r="AP377" t="inlineStr">
        <is>
          <t>No</t>
        </is>
      </c>
      <c r="AQ377" t="inlineStr">
        <is>
          <t>Yes</t>
        </is>
      </c>
      <c r="AR377">
        <f>HYPERLINK("http://catalog.hathitrust.org/Record/004066593","HathiTrust Record")</f>
        <v/>
      </c>
      <c r="AS377">
        <f>HYPERLINK("https://creighton-primo.hosted.exlibrisgroup.com/primo-explore/search?tab=default_tab&amp;search_scope=EVERYTHING&amp;vid=01CRU&amp;lang=en_US&amp;offset=0&amp;query=any,contains,991003501139702656","Catalog Record")</f>
        <v/>
      </c>
      <c r="AT377">
        <f>HYPERLINK("http://www.worldcat.org/oclc/41320135","WorldCat Record")</f>
        <v/>
      </c>
      <c r="AU377" t="inlineStr">
        <is>
          <t>2995808:eng</t>
        </is>
      </c>
      <c r="AV377" t="inlineStr">
        <is>
          <t>41320135</t>
        </is>
      </c>
      <c r="AW377" t="inlineStr">
        <is>
          <t>991003501139702656</t>
        </is>
      </c>
      <c r="AX377" t="inlineStr">
        <is>
          <t>991003501139702656</t>
        </is>
      </c>
      <c r="AY377" t="inlineStr">
        <is>
          <t>2268025480002656</t>
        </is>
      </c>
      <c r="AZ377" t="inlineStr">
        <is>
          <t>BOOK</t>
        </is>
      </c>
      <c r="BB377" t="inlineStr">
        <is>
          <t>9781555534035</t>
        </is>
      </c>
      <c r="BC377" t="inlineStr">
        <is>
          <t>32285004318340</t>
        </is>
      </c>
      <c r="BD377" t="inlineStr">
        <is>
          <t>893887534</t>
        </is>
      </c>
    </row>
    <row r="378">
      <c r="A378" t="inlineStr">
        <is>
          <t>No</t>
        </is>
      </c>
      <c r="B378" t="inlineStr">
        <is>
          <t>E176.1 .D73 1999</t>
        </is>
      </c>
      <c r="C378" t="inlineStr">
        <is>
          <t>0                      E  0176100D  73          1999</t>
        </is>
      </c>
      <c r="D378" t="inlineStr">
        <is>
          <t>Inside the Oval Office : the White House tapes from FDR to Clinton / William Doyle.</t>
        </is>
      </c>
      <c r="F378" t="inlineStr">
        <is>
          <t>No</t>
        </is>
      </c>
      <c r="G378" t="inlineStr">
        <is>
          <t>1</t>
        </is>
      </c>
      <c r="H378" t="inlineStr">
        <is>
          <t>No</t>
        </is>
      </c>
      <c r="I378" t="inlineStr">
        <is>
          <t>No</t>
        </is>
      </c>
      <c r="J378" t="inlineStr">
        <is>
          <t>0</t>
        </is>
      </c>
      <c r="K378" t="inlineStr">
        <is>
          <t>Doyle, William, 1957-</t>
        </is>
      </c>
      <c r="L378" t="inlineStr">
        <is>
          <t>New York : Kodansha International, 1999.</t>
        </is>
      </c>
      <c r="M378" t="inlineStr">
        <is>
          <t>1999</t>
        </is>
      </c>
      <c r="O378" t="inlineStr">
        <is>
          <t>eng</t>
        </is>
      </c>
      <c r="P378" t="inlineStr">
        <is>
          <t>nyu</t>
        </is>
      </c>
      <c r="R378" t="inlineStr">
        <is>
          <t xml:space="preserve">E  </t>
        </is>
      </c>
      <c r="S378" t="n">
        <v>7</v>
      </c>
      <c r="T378" t="n">
        <v>7</v>
      </c>
      <c r="U378" t="inlineStr">
        <is>
          <t>2002-05-03</t>
        </is>
      </c>
      <c r="V378" t="inlineStr">
        <is>
          <t>2002-05-03</t>
        </is>
      </c>
      <c r="W378" t="inlineStr">
        <is>
          <t>1999-09-13</t>
        </is>
      </c>
      <c r="X378" t="inlineStr">
        <is>
          <t>1999-09-13</t>
        </is>
      </c>
      <c r="Y378" t="n">
        <v>841</v>
      </c>
      <c r="Z378" t="n">
        <v>794</v>
      </c>
      <c r="AA378" t="n">
        <v>855</v>
      </c>
      <c r="AB378" t="n">
        <v>6</v>
      </c>
      <c r="AC378" t="n">
        <v>7</v>
      </c>
      <c r="AD378" t="n">
        <v>24</v>
      </c>
      <c r="AE378" t="n">
        <v>26</v>
      </c>
      <c r="AF378" t="n">
        <v>7</v>
      </c>
      <c r="AG378" t="n">
        <v>8</v>
      </c>
      <c r="AH378" t="n">
        <v>6</v>
      </c>
      <c r="AI378" t="n">
        <v>6</v>
      </c>
      <c r="AJ378" t="n">
        <v>13</v>
      </c>
      <c r="AK378" t="n">
        <v>13</v>
      </c>
      <c r="AL378" t="n">
        <v>2</v>
      </c>
      <c r="AM378" t="n">
        <v>3</v>
      </c>
      <c r="AN378" t="n">
        <v>1</v>
      </c>
      <c r="AO378" t="n">
        <v>1</v>
      </c>
      <c r="AP378" t="inlineStr">
        <is>
          <t>No</t>
        </is>
      </c>
      <c r="AQ378" t="inlineStr">
        <is>
          <t>Yes</t>
        </is>
      </c>
      <c r="AR378">
        <f>HYPERLINK("http://catalog.hathitrust.org/Record/004035895","HathiTrust Record")</f>
        <v/>
      </c>
      <c r="AS378">
        <f>HYPERLINK("https://creighton-primo.hosted.exlibrisgroup.com/primo-explore/search?tab=default_tab&amp;search_scope=EVERYTHING&amp;vid=01CRU&amp;lang=en_US&amp;offset=0&amp;query=any,contains,991002980779702656","Catalog Record")</f>
        <v/>
      </c>
      <c r="AT378">
        <f>HYPERLINK("http://www.worldcat.org/oclc/40076716","WorldCat Record")</f>
        <v/>
      </c>
      <c r="AU378" t="inlineStr">
        <is>
          <t>11655850:eng</t>
        </is>
      </c>
      <c r="AV378" t="inlineStr">
        <is>
          <t>40076716</t>
        </is>
      </c>
      <c r="AW378" t="inlineStr">
        <is>
          <t>991002980779702656</t>
        </is>
      </c>
      <c r="AX378" t="inlineStr">
        <is>
          <t>991002980779702656</t>
        </is>
      </c>
      <c r="AY378" t="inlineStr">
        <is>
          <t>2266174400002656</t>
        </is>
      </c>
      <c r="AZ378" t="inlineStr">
        <is>
          <t>BOOK</t>
        </is>
      </c>
      <c r="BB378" t="inlineStr">
        <is>
          <t>9781568362854</t>
        </is>
      </c>
      <c r="BC378" t="inlineStr">
        <is>
          <t>32285003587994</t>
        </is>
      </c>
      <c r="BD378" t="inlineStr">
        <is>
          <t>893329797</t>
        </is>
      </c>
    </row>
    <row r="379">
      <c r="A379" t="inlineStr">
        <is>
          <t>No</t>
        </is>
      </c>
      <c r="B379" t="inlineStr">
        <is>
          <t>E176.1 .F228 2006</t>
        </is>
      </c>
      <c r="C379" t="inlineStr">
        <is>
          <t>0                      E  0176100F  228         2006</t>
        </is>
      </c>
      <c r="D379" t="inlineStr">
        <is>
          <t>The mediated presidency : television news and presidential governance / Stephen J. Farnsworth and S. Robert Lichter.</t>
        </is>
      </c>
      <c r="F379" t="inlineStr">
        <is>
          <t>No</t>
        </is>
      </c>
      <c r="G379" t="inlineStr">
        <is>
          <t>1</t>
        </is>
      </c>
      <c r="H379" t="inlineStr">
        <is>
          <t>No</t>
        </is>
      </c>
      <c r="I379" t="inlineStr">
        <is>
          <t>No</t>
        </is>
      </c>
      <c r="J379" t="inlineStr">
        <is>
          <t>0</t>
        </is>
      </c>
      <c r="K379" t="inlineStr">
        <is>
          <t>Farnsworth, Stephen J., 1961-</t>
        </is>
      </c>
      <c r="L379" t="inlineStr">
        <is>
          <t>Lanham, Md. : Rowman &amp; Littlefield, c2006.</t>
        </is>
      </c>
      <c r="M379" t="inlineStr">
        <is>
          <t>2006</t>
        </is>
      </c>
      <c r="O379" t="inlineStr">
        <is>
          <t>eng</t>
        </is>
      </c>
      <c r="P379" t="inlineStr">
        <is>
          <t>mdu</t>
        </is>
      </c>
      <c r="R379" t="inlineStr">
        <is>
          <t xml:space="preserve">E  </t>
        </is>
      </c>
      <c r="S379" t="n">
        <v>2</v>
      </c>
      <c r="T379" t="n">
        <v>2</v>
      </c>
      <c r="U379" t="inlineStr">
        <is>
          <t>2005-11-09</t>
        </is>
      </c>
      <c r="V379" t="inlineStr">
        <is>
          <t>2005-11-09</t>
        </is>
      </c>
      <c r="W379" t="inlineStr">
        <is>
          <t>2005-10-25</t>
        </is>
      </c>
      <c r="X379" t="inlineStr">
        <is>
          <t>2005-10-25</t>
        </is>
      </c>
      <c r="Y379" t="n">
        <v>601</v>
      </c>
      <c r="Z379" t="n">
        <v>536</v>
      </c>
      <c r="AA379" t="n">
        <v>557</v>
      </c>
      <c r="AB379" t="n">
        <v>5</v>
      </c>
      <c r="AC379" t="n">
        <v>5</v>
      </c>
      <c r="AD379" t="n">
        <v>34</v>
      </c>
      <c r="AE379" t="n">
        <v>34</v>
      </c>
      <c r="AF379" t="n">
        <v>17</v>
      </c>
      <c r="AG379" t="n">
        <v>17</v>
      </c>
      <c r="AH379" t="n">
        <v>9</v>
      </c>
      <c r="AI379" t="n">
        <v>9</v>
      </c>
      <c r="AJ379" t="n">
        <v>12</v>
      </c>
      <c r="AK379" t="n">
        <v>12</v>
      </c>
      <c r="AL379" t="n">
        <v>4</v>
      </c>
      <c r="AM379" t="n">
        <v>4</v>
      </c>
      <c r="AN379" t="n">
        <v>0</v>
      </c>
      <c r="AO379" t="n">
        <v>0</v>
      </c>
      <c r="AP379" t="inlineStr">
        <is>
          <t>No</t>
        </is>
      </c>
      <c r="AQ379" t="inlineStr">
        <is>
          <t>No</t>
        </is>
      </c>
      <c r="AS379">
        <f>HYPERLINK("https://creighton-primo.hosted.exlibrisgroup.com/primo-explore/search?tab=default_tab&amp;search_scope=EVERYTHING&amp;vid=01CRU&amp;lang=en_US&amp;offset=0&amp;query=any,contains,991004666459702656","Catalog Record")</f>
        <v/>
      </c>
      <c r="AT379">
        <f>HYPERLINK("http://www.worldcat.org/oclc/58647940","WorldCat Record")</f>
        <v/>
      </c>
      <c r="AU379" t="inlineStr">
        <is>
          <t>1011727:eng</t>
        </is>
      </c>
      <c r="AV379" t="inlineStr">
        <is>
          <t>58647940</t>
        </is>
      </c>
      <c r="AW379" t="inlineStr">
        <is>
          <t>991004666459702656</t>
        </is>
      </c>
      <c r="AX379" t="inlineStr">
        <is>
          <t>991004666459702656</t>
        </is>
      </c>
      <c r="AY379" t="inlineStr">
        <is>
          <t>2268944470002656</t>
        </is>
      </c>
      <c r="AZ379" t="inlineStr">
        <is>
          <t>BOOK</t>
        </is>
      </c>
      <c r="BB379" t="inlineStr">
        <is>
          <t>9780742536777</t>
        </is>
      </c>
      <c r="BC379" t="inlineStr">
        <is>
          <t>32285005142129</t>
        </is>
      </c>
      <c r="BD379" t="inlineStr">
        <is>
          <t>893593948</t>
        </is>
      </c>
    </row>
    <row r="380">
      <c r="A380" t="inlineStr">
        <is>
          <t>No</t>
        </is>
      </c>
      <c r="B380" t="inlineStr">
        <is>
          <t>E176.1 .F7895 2003</t>
        </is>
      </c>
      <c r="C380" t="inlineStr">
        <is>
          <t>0                      E  0176100F  7895        2003</t>
        </is>
      </c>
      <c r="D380" t="inlineStr">
        <is>
          <t>Franklin D. Roosevelt and Abraham Lincoln : competing perspectives on two great presidencies / William D. Pederson and Frank J. Williams, editors.</t>
        </is>
      </c>
      <c r="F380" t="inlineStr">
        <is>
          <t>No</t>
        </is>
      </c>
      <c r="G380" t="inlineStr">
        <is>
          <t>1</t>
        </is>
      </c>
      <c r="H380" t="inlineStr">
        <is>
          <t>No</t>
        </is>
      </c>
      <c r="I380" t="inlineStr">
        <is>
          <t>No</t>
        </is>
      </c>
      <c r="J380" t="inlineStr">
        <is>
          <t>0</t>
        </is>
      </c>
      <c r="L380" t="inlineStr">
        <is>
          <t>Armonk, N.Y. : M.E. Sharpe, c2003.</t>
        </is>
      </c>
      <c r="M380" t="inlineStr">
        <is>
          <t>2003</t>
        </is>
      </c>
      <c r="O380" t="inlineStr">
        <is>
          <t>eng</t>
        </is>
      </c>
      <c r="P380" t="inlineStr">
        <is>
          <t>nyu</t>
        </is>
      </c>
      <c r="Q380" t="inlineStr">
        <is>
          <t>M.E. Sharpe library of Franklin D. Roosevelt studies ; v. 5</t>
        </is>
      </c>
      <c r="R380" t="inlineStr">
        <is>
          <t xml:space="preserve">E  </t>
        </is>
      </c>
      <c r="S380" t="n">
        <v>1</v>
      </c>
      <c r="T380" t="n">
        <v>1</v>
      </c>
      <c r="U380" t="inlineStr">
        <is>
          <t>2004-04-07</t>
        </is>
      </c>
      <c r="V380" t="inlineStr">
        <is>
          <t>2004-04-07</t>
        </is>
      </c>
      <c r="W380" t="inlineStr">
        <is>
          <t>2004-04-07</t>
        </is>
      </c>
      <c r="X380" t="inlineStr">
        <is>
          <t>2004-04-07</t>
        </is>
      </c>
      <c r="Y380" t="n">
        <v>248</v>
      </c>
      <c r="Z380" t="n">
        <v>228</v>
      </c>
      <c r="AA380" t="n">
        <v>293</v>
      </c>
      <c r="AB380" t="n">
        <v>1</v>
      </c>
      <c r="AC380" t="n">
        <v>2</v>
      </c>
      <c r="AD380" t="n">
        <v>9</v>
      </c>
      <c r="AE380" t="n">
        <v>11</v>
      </c>
      <c r="AF380" t="n">
        <v>4</v>
      </c>
      <c r="AG380" t="n">
        <v>4</v>
      </c>
      <c r="AH380" t="n">
        <v>5</v>
      </c>
      <c r="AI380" t="n">
        <v>5</v>
      </c>
      <c r="AJ380" t="n">
        <v>3</v>
      </c>
      <c r="AK380" t="n">
        <v>4</v>
      </c>
      <c r="AL380" t="n">
        <v>0</v>
      </c>
      <c r="AM380" t="n">
        <v>1</v>
      </c>
      <c r="AN380" t="n">
        <v>0</v>
      </c>
      <c r="AO380" t="n">
        <v>0</v>
      </c>
      <c r="AP380" t="inlineStr">
        <is>
          <t>No</t>
        </is>
      </c>
      <c r="AQ380" t="inlineStr">
        <is>
          <t>Yes</t>
        </is>
      </c>
      <c r="AR380">
        <f>HYPERLINK("http://catalog.hathitrust.org/Record/004309737","HathiTrust Record")</f>
        <v/>
      </c>
      <c r="AS380">
        <f>HYPERLINK("https://creighton-primo.hosted.exlibrisgroup.com/primo-explore/search?tab=default_tab&amp;search_scope=EVERYTHING&amp;vid=01CRU&amp;lang=en_US&amp;offset=0&amp;query=any,contains,991004275039702656","Catalog Record")</f>
        <v/>
      </c>
      <c r="AT380">
        <f>HYPERLINK("http://www.worldcat.org/oclc/49225638","WorldCat Record")</f>
        <v/>
      </c>
      <c r="AU380" t="inlineStr">
        <is>
          <t>809705454:eng</t>
        </is>
      </c>
      <c r="AV380" t="inlineStr">
        <is>
          <t>49225638</t>
        </is>
      </c>
      <c r="AW380" t="inlineStr">
        <is>
          <t>991004275039702656</t>
        </is>
      </c>
      <c r="AX380" t="inlineStr">
        <is>
          <t>991004275039702656</t>
        </is>
      </c>
      <c r="AY380" t="inlineStr">
        <is>
          <t>2265810290002656</t>
        </is>
      </c>
      <c r="AZ380" t="inlineStr">
        <is>
          <t>BOOK</t>
        </is>
      </c>
      <c r="BB380" t="inlineStr">
        <is>
          <t>9780765610348</t>
        </is>
      </c>
      <c r="BC380" t="inlineStr">
        <is>
          <t>32285004898333</t>
        </is>
      </c>
      <c r="BD380" t="inlineStr">
        <is>
          <t>893882279</t>
        </is>
      </c>
    </row>
    <row r="381">
      <c r="A381" t="inlineStr">
        <is>
          <t>No</t>
        </is>
      </c>
      <c r="B381" t="inlineStr">
        <is>
          <t>E176.1 .F79 1977</t>
        </is>
      </c>
      <c r="C381" t="inlineStr">
        <is>
          <t>0                      E  0176100F  79          1977</t>
        </is>
      </c>
      <c r="D381" t="inlineStr">
        <is>
          <t>Our country's Presidents / by Frank Freidel ; introduction by Jimmy Carter ; foreword by Melville Bell Grosvenor ; prepared by National Geographic Special Publications Division.</t>
        </is>
      </c>
      <c r="F381" t="inlineStr">
        <is>
          <t>No</t>
        </is>
      </c>
      <c r="G381" t="inlineStr">
        <is>
          <t>1</t>
        </is>
      </c>
      <c r="H381" t="inlineStr">
        <is>
          <t>No</t>
        </is>
      </c>
      <c r="I381" t="inlineStr">
        <is>
          <t>No</t>
        </is>
      </c>
      <c r="J381" t="inlineStr">
        <is>
          <t>0</t>
        </is>
      </c>
      <c r="K381" t="inlineStr">
        <is>
          <t>Freidel, Frank, 1916-1993.</t>
        </is>
      </c>
      <c r="L381" t="inlineStr">
        <is>
          <t>Washington : National Geographic Society, c1977.</t>
        </is>
      </c>
      <c r="M381" t="inlineStr">
        <is>
          <t>1977</t>
        </is>
      </c>
      <c r="N381" t="inlineStr">
        <is>
          <t>7th ed.</t>
        </is>
      </c>
      <c r="O381" t="inlineStr">
        <is>
          <t>eng</t>
        </is>
      </c>
      <c r="P381" t="inlineStr">
        <is>
          <t>dcu</t>
        </is>
      </c>
      <c r="R381" t="inlineStr">
        <is>
          <t xml:space="preserve">E  </t>
        </is>
      </c>
      <c r="S381" t="n">
        <v>8</v>
      </c>
      <c r="T381" t="n">
        <v>8</v>
      </c>
      <c r="U381" t="inlineStr">
        <is>
          <t>1998-04-08</t>
        </is>
      </c>
      <c r="V381" t="inlineStr">
        <is>
          <t>1998-04-08</t>
        </is>
      </c>
      <c r="W381" t="inlineStr">
        <is>
          <t>1991-01-11</t>
        </is>
      </c>
      <c r="X381" t="inlineStr">
        <is>
          <t>1991-01-11</t>
        </is>
      </c>
      <c r="Y381" t="n">
        <v>94</v>
      </c>
      <c r="Z381" t="n">
        <v>94</v>
      </c>
      <c r="AA381" t="n">
        <v>1780</v>
      </c>
      <c r="AB381" t="n">
        <v>1</v>
      </c>
      <c r="AC381" t="n">
        <v>21</v>
      </c>
      <c r="AD381" t="n">
        <v>0</v>
      </c>
      <c r="AE381" t="n">
        <v>28</v>
      </c>
      <c r="AF381" t="n">
        <v>0</v>
      </c>
      <c r="AG381" t="n">
        <v>9</v>
      </c>
      <c r="AH381" t="n">
        <v>0</v>
      </c>
      <c r="AI381" t="n">
        <v>3</v>
      </c>
      <c r="AJ381" t="n">
        <v>0</v>
      </c>
      <c r="AK381" t="n">
        <v>9</v>
      </c>
      <c r="AL381" t="n">
        <v>0</v>
      </c>
      <c r="AM381" t="n">
        <v>10</v>
      </c>
      <c r="AN381" t="n">
        <v>0</v>
      </c>
      <c r="AO381" t="n">
        <v>0</v>
      </c>
      <c r="AP381" t="inlineStr">
        <is>
          <t>No</t>
        </is>
      </c>
      <c r="AQ381" t="inlineStr">
        <is>
          <t>No</t>
        </is>
      </c>
      <c r="AS381">
        <f>HYPERLINK("https://creighton-primo.hosted.exlibrisgroup.com/primo-explore/search?tab=default_tab&amp;search_scope=EVERYTHING&amp;vid=01CRU&amp;lang=en_US&amp;offset=0&amp;query=any,contains,991004388319702656","Catalog Record")</f>
        <v/>
      </c>
      <c r="AT381">
        <f>HYPERLINK("http://www.worldcat.org/oclc/3252080","WorldCat Record")</f>
        <v/>
      </c>
      <c r="AU381" t="inlineStr">
        <is>
          <t>1239902:eng</t>
        </is>
      </c>
      <c r="AV381" t="inlineStr">
        <is>
          <t>3252080</t>
        </is>
      </c>
      <c r="AW381" t="inlineStr">
        <is>
          <t>991004388319702656</t>
        </is>
      </c>
      <c r="AX381" t="inlineStr">
        <is>
          <t>991004388319702656</t>
        </is>
      </c>
      <c r="AY381" t="inlineStr">
        <is>
          <t>2255463770002656</t>
        </is>
      </c>
      <c r="AZ381" t="inlineStr">
        <is>
          <t>BOOK</t>
        </is>
      </c>
      <c r="BB381" t="inlineStr">
        <is>
          <t>9780870440243</t>
        </is>
      </c>
      <c r="BC381" t="inlineStr">
        <is>
          <t>32285000424795</t>
        </is>
      </c>
      <c r="BD381" t="inlineStr">
        <is>
          <t>893500489</t>
        </is>
      </c>
    </row>
    <row r="382">
      <c r="A382" t="inlineStr">
        <is>
          <t>No</t>
        </is>
      </c>
      <c r="B382" t="inlineStr">
        <is>
          <t>E176.1 .G55 1992</t>
        </is>
      </c>
      <c r="C382" t="inlineStr">
        <is>
          <t>0                      E  0176100G  55          1992</t>
        </is>
      </c>
      <c r="D382" t="inlineStr">
        <is>
          <t>The mortal presidency : illness and anguish in the White House / Robert E. Gilbert.</t>
        </is>
      </c>
      <c r="F382" t="inlineStr">
        <is>
          <t>No</t>
        </is>
      </c>
      <c r="G382" t="inlineStr">
        <is>
          <t>1</t>
        </is>
      </c>
      <c r="H382" t="inlineStr">
        <is>
          <t>No</t>
        </is>
      </c>
      <c r="I382" t="inlineStr">
        <is>
          <t>No</t>
        </is>
      </c>
      <c r="J382" t="inlineStr">
        <is>
          <t>0</t>
        </is>
      </c>
      <c r="K382" t="inlineStr">
        <is>
          <t>Gilbert, Robert E.</t>
        </is>
      </c>
      <c r="L382" t="inlineStr">
        <is>
          <t>New York : BasicBooks, c1992.</t>
        </is>
      </c>
      <c r="M382" t="inlineStr">
        <is>
          <t>1992</t>
        </is>
      </c>
      <c r="O382" t="inlineStr">
        <is>
          <t>eng</t>
        </is>
      </c>
      <c r="P382" t="inlineStr">
        <is>
          <t>nyu</t>
        </is>
      </c>
      <c r="R382" t="inlineStr">
        <is>
          <t xml:space="preserve">E  </t>
        </is>
      </c>
      <c r="S382" t="n">
        <v>6</v>
      </c>
      <c r="T382" t="n">
        <v>6</v>
      </c>
      <c r="U382" t="inlineStr">
        <is>
          <t>2003-03-28</t>
        </is>
      </c>
      <c r="V382" t="inlineStr">
        <is>
          <t>2003-03-28</t>
        </is>
      </c>
      <c r="W382" t="inlineStr">
        <is>
          <t>1994-04-05</t>
        </is>
      </c>
      <c r="X382" t="inlineStr">
        <is>
          <t>1994-04-05</t>
        </is>
      </c>
      <c r="Y382" t="n">
        <v>716</v>
      </c>
      <c r="Z382" t="n">
        <v>681</v>
      </c>
      <c r="AA382" t="n">
        <v>1811</v>
      </c>
      <c r="AB382" t="n">
        <v>5</v>
      </c>
      <c r="AC382" t="n">
        <v>10</v>
      </c>
      <c r="AD382" t="n">
        <v>29</v>
      </c>
      <c r="AE382" t="n">
        <v>49</v>
      </c>
      <c r="AF382" t="n">
        <v>9</v>
      </c>
      <c r="AG382" t="n">
        <v>18</v>
      </c>
      <c r="AH382" t="n">
        <v>9</v>
      </c>
      <c r="AI382" t="n">
        <v>10</v>
      </c>
      <c r="AJ382" t="n">
        <v>14</v>
      </c>
      <c r="AK382" t="n">
        <v>21</v>
      </c>
      <c r="AL382" t="n">
        <v>3</v>
      </c>
      <c r="AM382" t="n">
        <v>7</v>
      </c>
      <c r="AN382" t="n">
        <v>2</v>
      </c>
      <c r="AO382" t="n">
        <v>4</v>
      </c>
      <c r="AP382" t="inlineStr">
        <is>
          <t>No</t>
        </is>
      </c>
      <c r="AQ382" t="inlineStr">
        <is>
          <t>Yes</t>
        </is>
      </c>
      <c r="AR382">
        <f>HYPERLINK("http://catalog.hathitrust.org/Record/002591751","HathiTrust Record")</f>
        <v/>
      </c>
      <c r="AS382">
        <f>HYPERLINK("https://creighton-primo.hosted.exlibrisgroup.com/primo-explore/search?tab=default_tab&amp;search_scope=EVERYTHING&amp;vid=01CRU&amp;lang=en_US&amp;offset=0&amp;query=any,contains,991002045059702656","Catalog Record")</f>
        <v/>
      </c>
      <c r="AT382">
        <f>HYPERLINK("http://www.worldcat.org/oclc/26096640","WorldCat Record")</f>
        <v/>
      </c>
      <c r="AU382" t="inlineStr">
        <is>
          <t>627338:eng</t>
        </is>
      </c>
      <c r="AV382" t="inlineStr">
        <is>
          <t>26096640</t>
        </is>
      </c>
      <c r="AW382" t="inlineStr">
        <is>
          <t>991002045059702656</t>
        </is>
      </c>
      <c r="AX382" t="inlineStr">
        <is>
          <t>991002045059702656</t>
        </is>
      </c>
      <c r="AY382" t="inlineStr">
        <is>
          <t>2268276250002656</t>
        </is>
      </c>
      <c r="AZ382" t="inlineStr">
        <is>
          <t>BOOK</t>
        </is>
      </c>
      <c r="BB382" t="inlineStr">
        <is>
          <t>9780465032082</t>
        </is>
      </c>
      <c r="BC382" t="inlineStr">
        <is>
          <t>32285001859148</t>
        </is>
      </c>
      <c r="BD382" t="inlineStr">
        <is>
          <t>893232500</t>
        </is>
      </c>
    </row>
    <row r="383">
      <c r="A383" t="inlineStr">
        <is>
          <t>No</t>
        </is>
      </c>
      <c r="B383" t="inlineStr">
        <is>
          <t>E176.1 .H46 1996</t>
        </is>
      </c>
      <c r="C383" t="inlineStr">
        <is>
          <t>0                      E  0176100H  46          1996</t>
        </is>
      </c>
      <c r="D383" t="inlineStr">
        <is>
          <t>Presidents &amp; the Presidency : essays / by Stephen Hess.</t>
        </is>
      </c>
      <c r="F383" t="inlineStr">
        <is>
          <t>No</t>
        </is>
      </c>
      <c r="G383" t="inlineStr">
        <is>
          <t>1</t>
        </is>
      </c>
      <c r="H383" t="inlineStr">
        <is>
          <t>No</t>
        </is>
      </c>
      <c r="I383" t="inlineStr">
        <is>
          <t>No</t>
        </is>
      </c>
      <c r="J383" t="inlineStr">
        <is>
          <t>0</t>
        </is>
      </c>
      <c r="K383" t="inlineStr">
        <is>
          <t>Hess, Stephen.</t>
        </is>
      </c>
      <c r="L383" t="inlineStr">
        <is>
          <t>Washington, DC : Brookings Institution, c1996.</t>
        </is>
      </c>
      <c r="M383" t="inlineStr">
        <is>
          <t>1996</t>
        </is>
      </c>
      <c r="O383" t="inlineStr">
        <is>
          <t>eng</t>
        </is>
      </c>
      <c r="P383" t="inlineStr">
        <is>
          <t>dcu</t>
        </is>
      </c>
      <c r="R383" t="inlineStr">
        <is>
          <t xml:space="preserve">E  </t>
        </is>
      </c>
      <c r="S383" t="n">
        <v>2</v>
      </c>
      <c r="T383" t="n">
        <v>2</v>
      </c>
      <c r="U383" t="inlineStr">
        <is>
          <t>1996-04-08</t>
        </is>
      </c>
      <c r="V383" t="inlineStr">
        <is>
          <t>1996-04-08</t>
        </is>
      </c>
      <c r="W383" t="inlineStr">
        <is>
          <t>1996-01-24</t>
        </is>
      </c>
      <c r="X383" t="inlineStr">
        <is>
          <t>1996-01-24</t>
        </is>
      </c>
      <c r="Y383" t="n">
        <v>582</v>
      </c>
      <c r="Z383" t="n">
        <v>525</v>
      </c>
      <c r="AA383" t="n">
        <v>533</v>
      </c>
      <c r="AB383" t="n">
        <v>5</v>
      </c>
      <c r="AC383" t="n">
        <v>5</v>
      </c>
      <c r="AD383" t="n">
        <v>26</v>
      </c>
      <c r="AE383" t="n">
        <v>26</v>
      </c>
      <c r="AF383" t="n">
        <v>11</v>
      </c>
      <c r="AG383" t="n">
        <v>11</v>
      </c>
      <c r="AH383" t="n">
        <v>5</v>
      </c>
      <c r="AI383" t="n">
        <v>5</v>
      </c>
      <c r="AJ383" t="n">
        <v>11</v>
      </c>
      <c r="AK383" t="n">
        <v>11</v>
      </c>
      <c r="AL383" t="n">
        <v>4</v>
      </c>
      <c r="AM383" t="n">
        <v>4</v>
      </c>
      <c r="AN383" t="n">
        <v>2</v>
      </c>
      <c r="AO383" t="n">
        <v>2</v>
      </c>
      <c r="AP383" t="inlineStr">
        <is>
          <t>No</t>
        </is>
      </c>
      <c r="AQ383" t="inlineStr">
        <is>
          <t>Yes</t>
        </is>
      </c>
      <c r="AR383">
        <f>HYPERLINK("http://catalog.hathitrust.org/Record/003026116","HathiTrust Record")</f>
        <v/>
      </c>
      <c r="AS383">
        <f>HYPERLINK("https://creighton-primo.hosted.exlibrisgroup.com/primo-explore/search?tab=default_tab&amp;search_scope=EVERYTHING&amp;vid=01CRU&amp;lang=en_US&amp;offset=0&amp;query=any,contains,991002514469702656","Catalog Record")</f>
        <v/>
      </c>
      <c r="AT383">
        <f>HYPERLINK("http://www.worldcat.org/oclc/32699652","WorldCat Record")</f>
        <v/>
      </c>
      <c r="AU383" t="inlineStr">
        <is>
          <t>37384817:eng</t>
        </is>
      </c>
      <c r="AV383" t="inlineStr">
        <is>
          <t>32699652</t>
        </is>
      </c>
      <c r="AW383" t="inlineStr">
        <is>
          <t>991002514469702656</t>
        </is>
      </c>
      <c r="AX383" t="inlineStr">
        <is>
          <t>991002514469702656</t>
        </is>
      </c>
      <c r="AY383" t="inlineStr">
        <is>
          <t>2266093130002656</t>
        </is>
      </c>
      <c r="AZ383" t="inlineStr">
        <is>
          <t>BOOK</t>
        </is>
      </c>
      <c r="BB383" t="inlineStr">
        <is>
          <t>9780815736318</t>
        </is>
      </c>
      <c r="BC383" t="inlineStr">
        <is>
          <t>32285002125598</t>
        </is>
      </c>
      <c r="BD383" t="inlineStr">
        <is>
          <t>893716549</t>
        </is>
      </c>
    </row>
    <row r="384">
      <c r="A384" t="inlineStr">
        <is>
          <t>No</t>
        </is>
      </c>
      <c r="B384" t="inlineStr">
        <is>
          <t>E176.1 .K3 1981</t>
        </is>
      </c>
      <c r="C384" t="inlineStr">
        <is>
          <t>0                      E  0176100K  3           1981</t>
        </is>
      </c>
      <c r="D384" t="inlineStr">
        <is>
          <t>Facts about the presidents : a compilation of biographical and historical information / Joseph Nathan Kane.</t>
        </is>
      </c>
      <c r="F384" t="inlineStr">
        <is>
          <t>No</t>
        </is>
      </c>
      <c r="G384" t="inlineStr">
        <is>
          <t>1</t>
        </is>
      </c>
      <c r="H384" t="inlineStr">
        <is>
          <t>No</t>
        </is>
      </c>
      <c r="I384" t="inlineStr">
        <is>
          <t>Yes</t>
        </is>
      </c>
      <c r="J384" t="inlineStr">
        <is>
          <t>0</t>
        </is>
      </c>
      <c r="K384" t="inlineStr">
        <is>
          <t>Kane, Joseph Nathan, 1899-2002.</t>
        </is>
      </c>
      <c r="L384" t="inlineStr">
        <is>
          <t>New York : Wilson, 1981.</t>
        </is>
      </c>
      <c r="M384" t="inlineStr">
        <is>
          <t>1981</t>
        </is>
      </c>
      <c r="N384" t="inlineStr">
        <is>
          <t>4th ed.</t>
        </is>
      </c>
      <c r="O384" t="inlineStr">
        <is>
          <t>eng</t>
        </is>
      </c>
      <c r="P384" t="inlineStr">
        <is>
          <t>nyu</t>
        </is>
      </c>
      <c r="R384" t="inlineStr">
        <is>
          <t xml:space="preserve">E  </t>
        </is>
      </c>
      <c r="S384" t="n">
        <v>2</v>
      </c>
      <c r="T384" t="n">
        <v>2</v>
      </c>
      <c r="U384" t="inlineStr">
        <is>
          <t>1997-01-21</t>
        </is>
      </c>
      <c r="V384" t="inlineStr">
        <is>
          <t>1997-01-21</t>
        </is>
      </c>
      <c r="W384" t="inlineStr">
        <is>
          <t>1993-11-03</t>
        </is>
      </c>
      <c r="X384" t="inlineStr">
        <is>
          <t>1993-11-03</t>
        </is>
      </c>
      <c r="Y384" t="n">
        <v>1396</v>
      </c>
      <c r="Z384" t="n">
        <v>1333</v>
      </c>
      <c r="AA384" t="n">
        <v>3773</v>
      </c>
      <c r="AB384" t="n">
        <v>8</v>
      </c>
      <c r="AC384" t="n">
        <v>44</v>
      </c>
      <c r="AD384" t="n">
        <v>17</v>
      </c>
      <c r="AE384" t="n">
        <v>69</v>
      </c>
      <c r="AF384" t="n">
        <v>5</v>
      </c>
      <c r="AG384" t="n">
        <v>24</v>
      </c>
      <c r="AH384" t="n">
        <v>3</v>
      </c>
      <c r="AI384" t="n">
        <v>10</v>
      </c>
      <c r="AJ384" t="n">
        <v>7</v>
      </c>
      <c r="AK384" t="n">
        <v>20</v>
      </c>
      <c r="AL384" t="n">
        <v>3</v>
      </c>
      <c r="AM384" t="n">
        <v>18</v>
      </c>
      <c r="AN384" t="n">
        <v>1</v>
      </c>
      <c r="AO384" t="n">
        <v>7</v>
      </c>
      <c r="AP384" t="inlineStr">
        <is>
          <t>No</t>
        </is>
      </c>
      <c r="AQ384" t="inlineStr">
        <is>
          <t>Yes</t>
        </is>
      </c>
      <c r="AR384">
        <f>HYPERLINK("http://catalog.hathitrust.org/Record/000109532","HathiTrust Record")</f>
        <v/>
      </c>
      <c r="AS384">
        <f>HYPERLINK("https://creighton-primo.hosted.exlibrisgroup.com/primo-explore/search?tab=default_tab&amp;search_scope=EVERYTHING&amp;vid=01CRU&amp;lang=en_US&amp;offset=0&amp;query=any,contains,991005128069702656","Catalog Record")</f>
        <v/>
      </c>
      <c r="AT384">
        <f>HYPERLINK("http://www.worldcat.org/oclc/7554865","WorldCat Record")</f>
        <v/>
      </c>
      <c r="AU384" t="inlineStr">
        <is>
          <t>4917060641:eng</t>
        </is>
      </c>
      <c r="AV384" t="inlineStr">
        <is>
          <t>7554865</t>
        </is>
      </c>
      <c r="AW384" t="inlineStr">
        <is>
          <t>991005128069702656</t>
        </is>
      </c>
      <c r="AX384" t="inlineStr">
        <is>
          <t>991005128069702656</t>
        </is>
      </c>
      <c r="AY384" t="inlineStr">
        <is>
          <t>2264583820002656</t>
        </is>
      </c>
      <c r="AZ384" t="inlineStr">
        <is>
          <t>BOOK</t>
        </is>
      </c>
      <c r="BB384" t="inlineStr">
        <is>
          <t>9780824206123</t>
        </is>
      </c>
      <c r="BC384" t="inlineStr">
        <is>
          <t>32285001678274</t>
        </is>
      </c>
      <c r="BD384" t="inlineStr">
        <is>
          <t>893236326</t>
        </is>
      </c>
    </row>
    <row r="385">
      <c r="A385" t="inlineStr">
        <is>
          <t>No</t>
        </is>
      </c>
      <c r="B385" t="inlineStr">
        <is>
          <t>E176.1 .K3 1989</t>
        </is>
      </c>
      <c r="C385" t="inlineStr">
        <is>
          <t>0                      E  0176100K  3           1989</t>
        </is>
      </c>
      <c r="D385" t="inlineStr">
        <is>
          <t>Facts about the presidents : a compilation of biographical and historical information / Joseph Nathan Kane.</t>
        </is>
      </c>
      <c r="F385" t="inlineStr">
        <is>
          <t>No</t>
        </is>
      </c>
      <c r="G385" t="inlineStr">
        <is>
          <t>1</t>
        </is>
      </c>
      <c r="H385" t="inlineStr">
        <is>
          <t>No</t>
        </is>
      </c>
      <c r="I385" t="inlineStr">
        <is>
          <t>Yes</t>
        </is>
      </c>
      <c r="J385" t="inlineStr">
        <is>
          <t>0</t>
        </is>
      </c>
      <c r="K385" t="inlineStr">
        <is>
          <t>Kane, Joseph Nathan, 1899-2002.</t>
        </is>
      </c>
      <c r="L385" t="inlineStr">
        <is>
          <t>New York : Wilson, 1989.</t>
        </is>
      </c>
      <c r="M385" t="inlineStr">
        <is>
          <t>1989</t>
        </is>
      </c>
      <c r="N385" t="inlineStr">
        <is>
          <t>5th ed.</t>
        </is>
      </c>
      <c r="O385" t="inlineStr">
        <is>
          <t>eng</t>
        </is>
      </c>
      <c r="P385" t="inlineStr">
        <is>
          <t>nyu</t>
        </is>
      </c>
      <c r="R385" t="inlineStr">
        <is>
          <t xml:space="preserve">E  </t>
        </is>
      </c>
      <c r="S385" t="n">
        <v>14</v>
      </c>
      <c r="T385" t="n">
        <v>14</v>
      </c>
      <c r="U385" t="inlineStr">
        <is>
          <t>2005-11-09</t>
        </is>
      </c>
      <c r="V385" t="inlineStr">
        <is>
          <t>2005-11-09</t>
        </is>
      </c>
      <c r="W385" t="inlineStr">
        <is>
          <t>1991-04-16</t>
        </is>
      </c>
      <c r="X385" t="inlineStr">
        <is>
          <t>1991-04-16</t>
        </is>
      </c>
      <c r="Y385" t="n">
        <v>1202</v>
      </c>
      <c r="Z385" t="n">
        <v>1150</v>
      </c>
      <c r="AA385" t="n">
        <v>3773</v>
      </c>
      <c r="AB385" t="n">
        <v>8</v>
      </c>
      <c r="AC385" t="n">
        <v>44</v>
      </c>
      <c r="AD385" t="n">
        <v>20</v>
      </c>
      <c r="AE385" t="n">
        <v>69</v>
      </c>
      <c r="AF385" t="n">
        <v>3</v>
      </c>
      <c r="AG385" t="n">
        <v>24</v>
      </c>
      <c r="AH385" t="n">
        <v>6</v>
      </c>
      <c r="AI385" t="n">
        <v>10</v>
      </c>
      <c r="AJ385" t="n">
        <v>6</v>
      </c>
      <c r="AK385" t="n">
        <v>20</v>
      </c>
      <c r="AL385" t="n">
        <v>3</v>
      </c>
      <c r="AM385" t="n">
        <v>18</v>
      </c>
      <c r="AN385" t="n">
        <v>4</v>
      </c>
      <c r="AO385" t="n">
        <v>7</v>
      </c>
      <c r="AP385" t="inlineStr">
        <is>
          <t>No</t>
        </is>
      </c>
      <c r="AQ385" t="inlineStr">
        <is>
          <t>Yes</t>
        </is>
      </c>
      <c r="AR385">
        <f>HYPERLINK("http://catalog.hathitrust.org/Record/001820805","HathiTrust Record")</f>
        <v/>
      </c>
      <c r="AS385">
        <f>HYPERLINK("https://creighton-primo.hosted.exlibrisgroup.com/primo-explore/search?tab=default_tab&amp;search_scope=EVERYTHING&amp;vid=01CRU&amp;lang=en_US&amp;offset=0&amp;query=any,contains,991001473179702656","Catalog Record")</f>
        <v/>
      </c>
      <c r="AT385">
        <f>HYPERLINK("http://www.worldcat.org/oclc/19554744","WorldCat Record")</f>
        <v/>
      </c>
      <c r="AU385" t="inlineStr">
        <is>
          <t>4917060641:eng</t>
        </is>
      </c>
      <c r="AV385" t="inlineStr">
        <is>
          <t>19554744</t>
        </is>
      </c>
      <c r="AW385" t="inlineStr">
        <is>
          <t>991001473179702656</t>
        </is>
      </c>
      <c r="AX385" t="inlineStr">
        <is>
          <t>991001473179702656</t>
        </is>
      </c>
      <c r="AY385" t="inlineStr">
        <is>
          <t>2270967180002656</t>
        </is>
      </c>
      <c r="AZ385" t="inlineStr">
        <is>
          <t>BOOK</t>
        </is>
      </c>
      <c r="BB385" t="inlineStr">
        <is>
          <t>9780824207748</t>
        </is>
      </c>
      <c r="BC385" t="inlineStr">
        <is>
          <t>32285000567718</t>
        </is>
      </c>
      <c r="BD385" t="inlineStr">
        <is>
          <t>893897805</t>
        </is>
      </c>
    </row>
    <row r="386">
      <c r="A386" t="inlineStr">
        <is>
          <t>No</t>
        </is>
      </c>
      <c r="B386" t="inlineStr">
        <is>
          <t>E176.1 .K38 1981</t>
        </is>
      </c>
      <c r="C386" t="inlineStr">
        <is>
          <t>0                      E  0176100K  38          1981</t>
        </is>
      </c>
      <c r="D386" t="inlineStr">
        <is>
          <t>All the President's kin / Barbara Kellerman.</t>
        </is>
      </c>
      <c r="F386" t="inlineStr">
        <is>
          <t>No</t>
        </is>
      </c>
      <c r="G386" t="inlineStr">
        <is>
          <t>1</t>
        </is>
      </c>
      <c r="H386" t="inlineStr">
        <is>
          <t>No</t>
        </is>
      </c>
      <c r="I386" t="inlineStr">
        <is>
          <t>No</t>
        </is>
      </c>
      <c r="J386" t="inlineStr">
        <is>
          <t>0</t>
        </is>
      </c>
      <c r="K386" t="inlineStr">
        <is>
          <t>Kellerman, Barbara.</t>
        </is>
      </c>
      <c r="L386" t="inlineStr">
        <is>
          <t>New York : Free Press ; London : Collier Macmillan, c1981.</t>
        </is>
      </c>
      <c r="M386" t="inlineStr">
        <is>
          <t>1981</t>
        </is>
      </c>
      <c r="O386" t="inlineStr">
        <is>
          <t>eng</t>
        </is>
      </c>
      <c r="P386" t="inlineStr">
        <is>
          <t>nyu</t>
        </is>
      </c>
      <c r="R386" t="inlineStr">
        <is>
          <t xml:space="preserve">E  </t>
        </is>
      </c>
      <c r="S386" t="n">
        <v>2</v>
      </c>
      <c r="T386" t="n">
        <v>2</v>
      </c>
      <c r="U386" t="inlineStr">
        <is>
          <t>1993-02-02</t>
        </is>
      </c>
      <c r="V386" t="inlineStr">
        <is>
          <t>1993-02-02</t>
        </is>
      </c>
      <c r="W386" t="inlineStr">
        <is>
          <t>1991-01-11</t>
        </is>
      </c>
      <c r="X386" t="inlineStr">
        <is>
          <t>1991-01-11</t>
        </is>
      </c>
      <c r="Y386" t="n">
        <v>531</v>
      </c>
      <c r="Z386" t="n">
        <v>510</v>
      </c>
      <c r="AA386" t="n">
        <v>566</v>
      </c>
      <c r="AB386" t="n">
        <v>5</v>
      </c>
      <c r="AC386" t="n">
        <v>6</v>
      </c>
      <c r="AD386" t="n">
        <v>13</v>
      </c>
      <c r="AE386" t="n">
        <v>20</v>
      </c>
      <c r="AF386" t="n">
        <v>3</v>
      </c>
      <c r="AG386" t="n">
        <v>6</v>
      </c>
      <c r="AH386" t="n">
        <v>2</v>
      </c>
      <c r="AI386" t="n">
        <v>4</v>
      </c>
      <c r="AJ386" t="n">
        <v>10</v>
      </c>
      <c r="AK386" t="n">
        <v>12</v>
      </c>
      <c r="AL386" t="n">
        <v>2</v>
      </c>
      <c r="AM386" t="n">
        <v>3</v>
      </c>
      <c r="AN386" t="n">
        <v>0</v>
      </c>
      <c r="AO386" t="n">
        <v>0</v>
      </c>
      <c r="AP386" t="inlineStr">
        <is>
          <t>No</t>
        </is>
      </c>
      <c r="AQ386" t="inlineStr">
        <is>
          <t>No</t>
        </is>
      </c>
      <c r="AS386">
        <f>HYPERLINK("https://creighton-primo.hosted.exlibrisgroup.com/primo-explore/search?tab=default_tab&amp;search_scope=EVERYTHING&amp;vid=01CRU&amp;lang=en_US&amp;offset=0&amp;query=any,contains,991005099099702656","Catalog Record")</f>
        <v/>
      </c>
      <c r="AT386">
        <f>HYPERLINK("http://www.worldcat.org/oclc/7278885","WorldCat Record")</f>
        <v/>
      </c>
      <c r="AU386" t="inlineStr">
        <is>
          <t>400583:eng</t>
        </is>
      </c>
      <c r="AV386" t="inlineStr">
        <is>
          <t>7278885</t>
        </is>
      </c>
      <c r="AW386" t="inlineStr">
        <is>
          <t>991005099099702656</t>
        </is>
      </c>
      <c r="AX386" t="inlineStr">
        <is>
          <t>991005099099702656</t>
        </is>
      </c>
      <c r="AY386" t="inlineStr">
        <is>
          <t>2263293570002656</t>
        </is>
      </c>
      <c r="AZ386" t="inlineStr">
        <is>
          <t>BOOK</t>
        </is>
      </c>
      <c r="BB386" t="inlineStr">
        <is>
          <t>9780029167007</t>
        </is>
      </c>
      <c r="BC386" t="inlineStr">
        <is>
          <t>32285000424803</t>
        </is>
      </c>
      <c r="BD386" t="inlineStr">
        <is>
          <t>893350707</t>
        </is>
      </c>
    </row>
    <row r="387">
      <c r="A387" t="inlineStr">
        <is>
          <t>No</t>
        </is>
      </c>
      <c r="B387" t="inlineStr">
        <is>
          <t>E176.1 .K45 1995</t>
        </is>
      </c>
      <c r="C387" t="inlineStr">
        <is>
          <t>0                      E  0176100K  45          1995</t>
        </is>
      </c>
      <c r="D387" t="inlineStr">
        <is>
          <t>Inside the White House : the hidden lives of the modern presidents and the secrets of the world's most powerful institution / Ronald Kessler.</t>
        </is>
      </c>
      <c r="F387" t="inlineStr">
        <is>
          <t>No</t>
        </is>
      </c>
      <c r="G387" t="inlineStr">
        <is>
          <t>1</t>
        </is>
      </c>
      <c r="H387" t="inlineStr">
        <is>
          <t>No</t>
        </is>
      </c>
      <c r="I387" t="inlineStr">
        <is>
          <t>No</t>
        </is>
      </c>
      <c r="J387" t="inlineStr">
        <is>
          <t>0</t>
        </is>
      </c>
      <c r="K387" t="inlineStr">
        <is>
          <t>Kessler, Ronald, 1943-</t>
        </is>
      </c>
      <c r="L387" t="inlineStr">
        <is>
          <t>New York, NY : Pocket Books, c1995.</t>
        </is>
      </c>
      <c r="M387" t="inlineStr">
        <is>
          <t>1995</t>
        </is>
      </c>
      <c r="O387" t="inlineStr">
        <is>
          <t>eng</t>
        </is>
      </c>
      <c r="P387" t="inlineStr">
        <is>
          <t>nyu</t>
        </is>
      </c>
      <c r="R387" t="inlineStr">
        <is>
          <t xml:space="preserve">E  </t>
        </is>
      </c>
      <c r="S387" t="n">
        <v>3</v>
      </c>
      <c r="T387" t="n">
        <v>3</v>
      </c>
      <c r="U387" t="inlineStr">
        <is>
          <t>1997-07-10</t>
        </is>
      </c>
      <c r="V387" t="inlineStr">
        <is>
          <t>1997-07-10</t>
        </is>
      </c>
      <c r="W387" t="inlineStr">
        <is>
          <t>1995-03-29</t>
        </is>
      </c>
      <c r="X387" t="inlineStr">
        <is>
          <t>1995-03-29</t>
        </is>
      </c>
      <c r="Y387" t="n">
        <v>1429</v>
      </c>
      <c r="Z387" t="n">
        <v>1363</v>
      </c>
      <c r="AA387" t="n">
        <v>1467</v>
      </c>
      <c r="AB387" t="n">
        <v>11</v>
      </c>
      <c r="AC387" t="n">
        <v>11</v>
      </c>
      <c r="AD387" t="n">
        <v>18</v>
      </c>
      <c r="AE387" t="n">
        <v>20</v>
      </c>
      <c r="AF387" t="n">
        <v>4</v>
      </c>
      <c r="AG387" t="n">
        <v>5</v>
      </c>
      <c r="AH387" t="n">
        <v>4</v>
      </c>
      <c r="AI387" t="n">
        <v>5</v>
      </c>
      <c r="AJ387" t="n">
        <v>8</v>
      </c>
      <c r="AK387" t="n">
        <v>8</v>
      </c>
      <c r="AL387" t="n">
        <v>2</v>
      </c>
      <c r="AM387" t="n">
        <v>2</v>
      </c>
      <c r="AN387" t="n">
        <v>2</v>
      </c>
      <c r="AO387" t="n">
        <v>2</v>
      </c>
      <c r="AP387" t="inlineStr">
        <is>
          <t>No</t>
        </is>
      </c>
      <c r="AQ387" t="inlineStr">
        <is>
          <t>Yes</t>
        </is>
      </c>
      <c r="AR387">
        <f>HYPERLINK("http://catalog.hathitrust.org/Record/002982065","HathiTrust Record")</f>
        <v/>
      </c>
      <c r="AS387">
        <f>HYPERLINK("https://creighton-primo.hosted.exlibrisgroup.com/primo-explore/search?tab=default_tab&amp;search_scope=EVERYTHING&amp;vid=01CRU&amp;lang=en_US&amp;offset=0&amp;query=any,contains,991002401159702656","Catalog Record")</f>
        <v/>
      </c>
      <c r="AT387">
        <f>HYPERLINK("http://www.worldcat.org/oclc/31207074","WorldCat Record")</f>
        <v/>
      </c>
      <c r="AU387" t="inlineStr">
        <is>
          <t>32742054:eng</t>
        </is>
      </c>
      <c r="AV387" t="inlineStr">
        <is>
          <t>31207074</t>
        </is>
      </c>
      <c r="AW387" t="inlineStr">
        <is>
          <t>991002401159702656</t>
        </is>
      </c>
      <c r="AX387" t="inlineStr">
        <is>
          <t>991002401159702656</t>
        </is>
      </c>
      <c r="AY387" t="inlineStr">
        <is>
          <t>2257390240002656</t>
        </is>
      </c>
      <c r="AZ387" t="inlineStr">
        <is>
          <t>BOOK</t>
        </is>
      </c>
      <c r="BB387" t="inlineStr">
        <is>
          <t>9780671879204</t>
        </is>
      </c>
      <c r="BC387" t="inlineStr">
        <is>
          <t>32285002015179</t>
        </is>
      </c>
      <c r="BD387" t="inlineStr">
        <is>
          <t>893609817</t>
        </is>
      </c>
    </row>
    <row r="388">
      <c r="A388" t="inlineStr">
        <is>
          <t>No</t>
        </is>
      </c>
      <c r="B388" t="inlineStr">
        <is>
          <t>E176.1 .M39 1996</t>
        </is>
      </c>
      <c r="C388" t="inlineStr">
        <is>
          <t>0                      E  0176100M  39          1996</t>
        </is>
      </c>
      <c r="D388" t="inlineStr">
        <is>
          <t>Mr. President, Mr. President! : my 50 years of covering the White House / by Sarah McClendon ; with Jules Minton.</t>
        </is>
      </c>
      <c r="F388" t="inlineStr">
        <is>
          <t>No</t>
        </is>
      </c>
      <c r="G388" t="inlineStr">
        <is>
          <t>1</t>
        </is>
      </c>
      <c r="H388" t="inlineStr">
        <is>
          <t>No</t>
        </is>
      </c>
      <c r="I388" t="inlineStr">
        <is>
          <t>No</t>
        </is>
      </c>
      <c r="J388" t="inlineStr">
        <is>
          <t>0</t>
        </is>
      </c>
      <c r="K388" t="inlineStr">
        <is>
          <t>McClendon, Sarah.</t>
        </is>
      </c>
      <c r="L388" t="inlineStr">
        <is>
          <t>Los Angeles, Calif. : General Pub. Group, c1996.</t>
        </is>
      </c>
      <c r="M388" t="inlineStr">
        <is>
          <t>1996</t>
        </is>
      </c>
      <c r="O388" t="inlineStr">
        <is>
          <t>eng</t>
        </is>
      </c>
      <c r="P388" t="inlineStr">
        <is>
          <t>cau</t>
        </is>
      </c>
      <c r="R388" t="inlineStr">
        <is>
          <t xml:space="preserve">E  </t>
        </is>
      </c>
      <c r="S388" t="n">
        <v>1</v>
      </c>
      <c r="T388" t="n">
        <v>1</v>
      </c>
      <c r="U388" t="inlineStr">
        <is>
          <t>1998-06-10</t>
        </is>
      </c>
      <c r="V388" t="inlineStr">
        <is>
          <t>1998-06-10</t>
        </is>
      </c>
      <c r="W388" t="inlineStr">
        <is>
          <t>1998-04-16</t>
        </is>
      </c>
      <c r="X388" t="inlineStr">
        <is>
          <t>1998-04-16</t>
        </is>
      </c>
      <c r="Y388" t="n">
        <v>526</v>
      </c>
      <c r="Z388" t="n">
        <v>513</v>
      </c>
      <c r="AA388" t="n">
        <v>546</v>
      </c>
      <c r="AB388" t="n">
        <v>2</v>
      </c>
      <c r="AC388" t="n">
        <v>2</v>
      </c>
      <c r="AD388" t="n">
        <v>9</v>
      </c>
      <c r="AE388" t="n">
        <v>9</v>
      </c>
      <c r="AF388" t="n">
        <v>5</v>
      </c>
      <c r="AG388" t="n">
        <v>5</v>
      </c>
      <c r="AH388" t="n">
        <v>0</v>
      </c>
      <c r="AI388" t="n">
        <v>0</v>
      </c>
      <c r="AJ388" t="n">
        <v>6</v>
      </c>
      <c r="AK388" t="n">
        <v>6</v>
      </c>
      <c r="AL388" t="n">
        <v>1</v>
      </c>
      <c r="AM388" t="n">
        <v>1</v>
      </c>
      <c r="AN388" t="n">
        <v>0</v>
      </c>
      <c r="AO388" t="n">
        <v>0</v>
      </c>
      <c r="AP388" t="inlineStr">
        <is>
          <t>No</t>
        </is>
      </c>
      <c r="AQ388" t="inlineStr">
        <is>
          <t>Yes</t>
        </is>
      </c>
      <c r="AR388">
        <f>HYPERLINK("http://catalog.hathitrust.org/Record/008368421","HathiTrust Record")</f>
        <v/>
      </c>
      <c r="AS388">
        <f>HYPERLINK("https://creighton-primo.hosted.exlibrisgroup.com/primo-explore/search?tab=default_tab&amp;search_scope=EVERYTHING&amp;vid=01CRU&amp;lang=en_US&amp;offset=0&amp;query=any,contains,991002686409702656","Catalog Record")</f>
        <v/>
      </c>
      <c r="AT388">
        <f>HYPERLINK("http://www.worldcat.org/oclc/35096083","WorldCat Record")</f>
        <v/>
      </c>
      <c r="AU388" t="inlineStr">
        <is>
          <t>233729498:eng</t>
        </is>
      </c>
      <c r="AV388" t="inlineStr">
        <is>
          <t>35096083</t>
        </is>
      </c>
      <c r="AW388" t="inlineStr">
        <is>
          <t>991002686409702656</t>
        </is>
      </c>
      <c r="AX388" t="inlineStr">
        <is>
          <t>991002686409702656</t>
        </is>
      </c>
      <c r="AY388" t="inlineStr">
        <is>
          <t>2271985940002656</t>
        </is>
      </c>
      <c r="AZ388" t="inlineStr">
        <is>
          <t>BOOK</t>
        </is>
      </c>
      <c r="BB388" t="inlineStr">
        <is>
          <t>9781575440057</t>
        </is>
      </c>
      <c r="BC388" t="inlineStr">
        <is>
          <t>32285003375416</t>
        </is>
      </c>
      <c r="BD388" t="inlineStr">
        <is>
          <t>893427886</t>
        </is>
      </c>
    </row>
    <row r="389">
      <c r="A389" t="inlineStr">
        <is>
          <t>No</t>
        </is>
      </c>
      <c r="B389" t="inlineStr">
        <is>
          <t>E176.1 .M665 1998</t>
        </is>
      </c>
      <c r="C389" t="inlineStr">
        <is>
          <t>0                      E  0176100M  665         1998</t>
        </is>
      </c>
      <c r="D389" t="inlineStr">
        <is>
          <t>Star-spangled men : America's ten worst presidents / Nathan Miller.</t>
        </is>
      </c>
      <c r="F389" t="inlineStr">
        <is>
          <t>No</t>
        </is>
      </c>
      <c r="G389" t="inlineStr">
        <is>
          <t>1</t>
        </is>
      </c>
      <c r="H389" t="inlineStr">
        <is>
          <t>No</t>
        </is>
      </c>
      <c r="I389" t="inlineStr">
        <is>
          <t>No</t>
        </is>
      </c>
      <c r="J389" t="inlineStr">
        <is>
          <t>0</t>
        </is>
      </c>
      <c r="K389" t="inlineStr">
        <is>
          <t>Miller, Nathan, 1927-2004.</t>
        </is>
      </c>
      <c r="L389" t="inlineStr">
        <is>
          <t>New York, NY : Scribner, c1998.</t>
        </is>
      </c>
      <c r="M389" t="inlineStr">
        <is>
          <t>1998</t>
        </is>
      </c>
      <c r="O389" t="inlineStr">
        <is>
          <t>eng</t>
        </is>
      </c>
      <c r="P389" t="inlineStr">
        <is>
          <t>nyu</t>
        </is>
      </c>
      <c r="R389" t="inlineStr">
        <is>
          <t xml:space="preserve">E  </t>
        </is>
      </c>
      <c r="S389" t="n">
        <v>2</v>
      </c>
      <c r="T389" t="n">
        <v>2</v>
      </c>
      <c r="U389" t="inlineStr">
        <is>
          <t>1999-02-20</t>
        </is>
      </c>
      <c r="V389" t="inlineStr">
        <is>
          <t>1999-02-20</t>
        </is>
      </c>
      <c r="W389" t="inlineStr">
        <is>
          <t>1998-03-05</t>
        </is>
      </c>
      <c r="X389" t="inlineStr">
        <is>
          <t>1998-03-05</t>
        </is>
      </c>
      <c r="Y389" t="n">
        <v>648</v>
      </c>
      <c r="Z389" t="n">
        <v>628</v>
      </c>
      <c r="AA389" t="n">
        <v>659</v>
      </c>
      <c r="AB389" t="n">
        <v>5</v>
      </c>
      <c r="AC389" t="n">
        <v>5</v>
      </c>
      <c r="AD389" t="n">
        <v>14</v>
      </c>
      <c r="AE389" t="n">
        <v>14</v>
      </c>
      <c r="AF389" t="n">
        <v>3</v>
      </c>
      <c r="AG389" t="n">
        <v>3</v>
      </c>
      <c r="AH389" t="n">
        <v>5</v>
      </c>
      <c r="AI389" t="n">
        <v>5</v>
      </c>
      <c r="AJ389" t="n">
        <v>7</v>
      </c>
      <c r="AK389" t="n">
        <v>7</v>
      </c>
      <c r="AL389" t="n">
        <v>2</v>
      </c>
      <c r="AM389" t="n">
        <v>2</v>
      </c>
      <c r="AN389" t="n">
        <v>0</v>
      </c>
      <c r="AO389" t="n">
        <v>0</v>
      </c>
      <c r="AP389" t="inlineStr">
        <is>
          <t>No</t>
        </is>
      </c>
      <c r="AQ389" t="inlineStr">
        <is>
          <t>Yes</t>
        </is>
      </c>
      <c r="AR389">
        <f>HYPERLINK("http://catalog.hathitrust.org/Record/003972220","HathiTrust Record")</f>
        <v/>
      </c>
      <c r="AS389">
        <f>HYPERLINK("https://creighton-primo.hosted.exlibrisgroup.com/primo-explore/search?tab=default_tab&amp;search_scope=EVERYTHING&amp;vid=01CRU&amp;lang=en_US&amp;offset=0&amp;query=any,contains,991002839919702656","Catalog Record")</f>
        <v/>
      </c>
      <c r="AT389">
        <f>HYPERLINK("http://www.worldcat.org/oclc/37401013","WorldCat Record")</f>
        <v/>
      </c>
      <c r="AU389" t="inlineStr">
        <is>
          <t>572553:eng</t>
        </is>
      </c>
      <c r="AV389" t="inlineStr">
        <is>
          <t>37401013</t>
        </is>
      </c>
      <c r="AW389" t="inlineStr">
        <is>
          <t>991002839919702656</t>
        </is>
      </c>
      <c r="AX389" t="inlineStr">
        <is>
          <t>991002839919702656</t>
        </is>
      </c>
      <c r="AY389" t="inlineStr">
        <is>
          <t>2258591300002656</t>
        </is>
      </c>
      <c r="AZ389" t="inlineStr">
        <is>
          <t>BOOK</t>
        </is>
      </c>
      <c r="BB389" t="inlineStr">
        <is>
          <t>9780684836102</t>
        </is>
      </c>
      <c r="BC389" t="inlineStr">
        <is>
          <t>32285003356754</t>
        </is>
      </c>
      <c r="BD389" t="inlineStr">
        <is>
          <t>893421859</t>
        </is>
      </c>
    </row>
    <row r="390">
      <c r="A390" t="inlineStr">
        <is>
          <t>No</t>
        </is>
      </c>
      <c r="B390" t="inlineStr">
        <is>
          <t>E176.1 .P475 1984</t>
        </is>
      </c>
      <c r="C390" t="inlineStr">
        <is>
          <t>0                      E  0176100P  475         1984</t>
        </is>
      </c>
      <c r="D390" t="inlineStr">
        <is>
          <t>The log cabin myth : the social backgrounds of the presidents / Edward Pessen.</t>
        </is>
      </c>
      <c r="F390" t="inlineStr">
        <is>
          <t>No</t>
        </is>
      </c>
      <c r="G390" t="inlineStr">
        <is>
          <t>1</t>
        </is>
      </c>
      <c r="H390" t="inlineStr">
        <is>
          <t>No</t>
        </is>
      </c>
      <c r="I390" t="inlineStr">
        <is>
          <t>No</t>
        </is>
      </c>
      <c r="J390" t="inlineStr">
        <is>
          <t>0</t>
        </is>
      </c>
      <c r="K390" t="inlineStr">
        <is>
          <t>Pessen, Edward, 1920-1992.</t>
        </is>
      </c>
      <c r="L390" t="inlineStr">
        <is>
          <t>New Haven : Yale University Press, c1984.</t>
        </is>
      </c>
      <c r="M390" t="inlineStr">
        <is>
          <t>1984</t>
        </is>
      </c>
      <c r="O390" t="inlineStr">
        <is>
          <t>eng</t>
        </is>
      </c>
      <c r="P390" t="inlineStr">
        <is>
          <t>ctu</t>
        </is>
      </c>
      <c r="R390" t="inlineStr">
        <is>
          <t xml:space="preserve">E  </t>
        </is>
      </c>
      <c r="S390" t="n">
        <v>3</v>
      </c>
      <c r="T390" t="n">
        <v>3</v>
      </c>
      <c r="U390" t="inlineStr">
        <is>
          <t>1995-02-22</t>
        </is>
      </c>
      <c r="V390" t="inlineStr">
        <is>
          <t>1995-02-22</t>
        </is>
      </c>
      <c r="W390" t="inlineStr">
        <is>
          <t>1990-03-28</t>
        </is>
      </c>
      <c r="X390" t="inlineStr">
        <is>
          <t>1990-03-28</t>
        </is>
      </c>
      <c r="Y390" t="n">
        <v>1071</v>
      </c>
      <c r="Z390" t="n">
        <v>950</v>
      </c>
      <c r="AA390" t="n">
        <v>960</v>
      </c>
      <c r="AB390" t="n">
        <v>9</v>
      </c>
      <c r="AC390" t="n">
        <v>9</v>
      </c>
      <c r="AD390" t="n">
        <v>33</v>
      </c>
      <c r="AE390" t="n">
        <v>34</v>
      </c>
      <c r="AF390" t="n">
        <v>11</v>
      </c>
      <c r="AG390" t="n">
        <v>12</v>
      </c>
      <c r="AH390" t="n">
        <v>7</v>
      </c>
      <c r="AI390" t="n">
        <v>7</v>
      </c>
      <c r="AJ390" t="n">
        <v>14</v>
      </c>
      <c r="AK390" t="n">
        <v>15</v>
      </c>
      <c r="AL390" t="n">
        <v>8</v>
      </c>
      <c r="AM390" t="n">
        <v>8</v>
      </c>
      <c r="AN390" t="n">
        <v>1</v>
      </c>
      <c r="AO390" t="n">
        <v>1</v>
      </c>
      <c r="AP390" t="inlineStr">
        <is>
          <t>No</t>
        </is>
      </c>
      <c r="AQ390" t="inlineStr">
        <is>
          <t>No</t>
        </is>
      </c>
      <c r="AS390">
        <f>HYPERLINK("https://creighton-primo.hosted.exlibrisgroup.com/primo-explore/search?tab=default_tab&amp;search_scope=EVERYTHING&amp;vid=01CRU&amp;lang=en_US&amp;offset=0&amp;query=any,contains,991000313219702656","Catalog Record")</f>
        <v/>
      </c>
      <c r="AT390">
        <f>HYPERLINK("http://www.worldcat.org/oclc/10100822","WorldCat Record")</f>
        <v/>
      </c>
      <c r="AU390" t="inlineStr">
        <is>
          <t>836639748:eng</t>
        </is>
      </c>
      <c r="AV390" t="inlineStr">
        <is>
          <t>10100822</t>
        </is>
      </c>
      <c r="AW390" t="inlineStr">
        <is>
          <t>991000313219702656</t>
        </is>
      </c>
      <c r="AX390" t="inlineStr">
        <is>
          <t>991000313219702656</t>
        </is>
      </c>
      <c r="AY390" t="inlineStr">
        <is>
          <t>2256137900002656</t>
        </is>
      </c>
      <c r="AZ390" t="inlineStr">
        <is>
          <t>BOOK</t>
        </is>
      </c>
      <c r="BB390" t="inlineStr">
        <is>
          <t>9780300031669</t>
        </is>
      </c>
      <c r="BC390" t="inlineStr">
        <is>
          <t>32285000099431</t>
        </is>
      </c>
      <c r="BD390" t="inlineStr">
        <is>
          <t>893695747</t>
        </is>
      </c>
    </row>
    <row r="391">
      <c r="A391" t="inlineStr">
        <is>
          <t>No</t>
        </is>
      </c>
      <c r="B391" t="inlineStr">
        <is>
          <t>E176.1 .P76 1986</t>
        </is>
      </c>
      <c r="C391" t="inlineStr">
        <is>
          <t>0                      E  0176100P  76          1986</t>
        </is>
      </c>
      <c r="D391" t="inlineStr">
        <is>
          <t>Diplomat in chief : the President at the summit / Elmer Plischke.</t>
        </is>
      </c>
      <c r="F391" t="inlineStr">
        <is>
          <t>No</t>
        </is>
      </c>
      <c r="G391" t="inlineStr">
        <is>
          <t>1</t>
        </is>
      </c>
      <c r="H391" t="inlineStr">
        <is>
          <t>No</t>
        </is>
      </c>
      <c r="I391" t="inlineStr">
        <is>
          <t>No</t>
        </is>
      </c>
      <c r="J391" t="inlineStr">
        <is>
          <t>0</t>
        </is>
      </c>
      <c r="K391" t="inlineStr">
        <is>
          <t>Plischke, Elmer, 1914-2005.</t>
        </is>
      </c>
      <c r="L391" t="inlineStr">
        <is>
          <t>New York : Praeger, 1986.</t>
        </is>
      </c>
      <c r="M391" t="inlineStr">
        <is>
          <t>1986</t>
        </is>
      </c>
      <c r="O391" t="inlineStr">
        <is>
          <t>eng</t>
        </is>
      </c>
      <c r="P391" t="inlineStr">
        <is>
          <t>nyu</t>
        </is>
      </c>
      <c r="R391" t="inlineStr">
        <is>
          <t xml:space="preserve">E  </t>
        </is>
      </c>
      <c r="S391" t="n">
        <v>1</v>
      </c>
      <c r="T391" t="n">
        <v>1</v>
      </c>
      <c r="U391" t="inlineStr">
        <is>
          <t>1996-03-24</t>
        </is>
      </c>
      <c r="V391" t="inlineStr">
        <is>
          <t>1996-03-24</t>
        </is>
      </c>
      <c r="W391" t="inlineStr">
        <is>
          <t>1991-01-11</t>
        </is>
      </c>
      <c r="X391" t="inlineStr">
        <is>
          <t>1991-01-11</t>
        </is>
      </c>
      <c r="Y391" t="n">
        <v>477</v>
      </c>
      <c r="Z391" t="n">
        <v>422</v>
      </c>
      <c r="AA391" t="n">
        <v>424</v>
      </c>
      <c r="AB391" t="n">
        <v>4</v>
      </c>
      <c r="AC391" t="n">
        <v>4</v>
      </c>
      <c r="AD391" t="n">
        <v>19</v>
      </c>
      <c r="AE391" t="n">
        <v>19</v>
      </c>
      <c r="AF391" t="n">
        <v>6</v>
      </c>
      <c r="AG391" t="n">
        <v>6</v>
      </c>
      <c r="AH391" t="n">
        <v>6</v>
      </c>
      <c r="AI391" t="n">
        <v>6</v>
      </c>
      <c r="AJ391" t="n">
        <v>9</v>
      </c>
      <c r="AK391" t="n">
        <v>9</v>
      </c>
      <c r="AL391" t="n">
        <v>3</v>
      </c>
      <c r="AM391" t="n">
        <v>3</v>
      </c>
      <c r="AN391" t="n">
        <v>0</v>
      </c>
      <c r="AO391" t="n">
        <v>0</v>
      </c>
      <c r="AP391" t="inlineStr">
        <is>
          <t>No</t>
        </is>
      </c>
      <c r="AQ391" t="inlineStr">
        <is>
          <t>Yes</t>
        </is>
      </c>
      <c r="AR391">
        <f>HYPERLINK("http://catalog.hathitrust.org/Record/000623433","HathiTrust Record")</f>
        <v/>
      </c>
      <c r="AS391">
        <f>HYPERLINK("https://creighton-primo.hosted.exlibrisgroup.com/primo-explore/search?tab=default_tab&amp;search_scope=EVERYTHING&amp;vid=01CRU&amp;lang=en_US&amp;offset=0&amp;query=any,contains,991000667229702656","Catalog Record")</f>
        <v/>
      </c>
      <c r="AT391">
        <f>HYPERLINK("http://www.worldcat.org/oclc/12286610","WorldCat Record")</f>
        <v/>
      </c>
      <c r="AU391" t="inlineStr">
        <is>
          <t>203133005:eng</t>
        </is>
      </c>
      <c r="AV391" t="inlineStr">
        <is>
          <t>12286610</t>
        </is>
      </c>
      <c r="AW391" t="inlineStr">
        <is>
          <t>991000667229702656</t>
        </is>
      </c>
      <c r="AX391" t="inlineStr">
        <is>
          <t>991000667229702656</t>
        </is>
      </c>
      <c r="AY391" t="inlineStr">
        <is>
          <t>2259240570002656</t>
        </is>
      </c>
      <c r="AZ391" t="inlineStr">
        <is>
          <t>BOOK</t>
        </is>
      </c>
      <c r="BB391" t="inlineStr">
        <is>
          <t>9780030018237</t>
        </is>
      </c>
      <c r="BC391" t="inlineStr">
        <is>
          <t>32285000424837</t>
        </is>
      </c>
      <c r="BD391" t="inlineStr">
        <is>
          <t>893689918</t>
        </is>
      </c>
    </row>
    <row r="392">
      <c r="A392" t="inlineStr">
        <is>
          <t>No</t>
        </is>
      </c>
      <c r="B392" t="inlineStr">
        <is>
          <t>E176.1 .P816 2000</t>
        </is>
      </c>
      <c r="C392" t="inlineStr">
        <is>
          <t>0                      E  0176100P  816         2000</t>
        </is>
      </c>
      <c r="D392" t="inlineStr">
        <is>
          <t>Managing the press : origins of the media presidency, 1897-1933 / Stephen Ponder.</t>
        </is>
      </c>
      <c r="F392" t="inlineStr">
        <is>
          <t>No</t>
        </is>
      </c>
      <c r="G392" t="inlineStr">
        <is>
          <t>1</t>
        </is>
      </c>
      <c r="H392" t="inlineStr">
        <is>
          <t>No</t>
        </is>
      </c>
      <c r="I392" t="inlineStr">
        <is>
          <t>No</t>
        </is>
      </c>
      <c r="J392" t="inlineStr">
        <is>
          <t>0</t>
        </is>
      </c>
      <c r="K392" t="inlineStr">
        <is>
          <t>Ponder, Stephen, 1942-</t>
        </is>
      </c>
      <c r="L392" t="inlineStr">
        <is>
          <t>New York : Palgrave, St. Martin's Press, 2000, c1998.</t>
        </is>
      </c>
      <c r="M392" t="inlineStr">
        <is>
          <t>2000</t>
        </is>
      </c>
      <c r="N392" t="inlineStr">
        <is>
          <t>1st PALGRAVE ed.</t>
        </is>
      </c>
      <c r="O392" t="inlineStr">
        <is>
          <t>eng</t>
        </is>
      </c>
      <c r="P392" t="inlineStr">
        <is>
          <t>nyu</t>
        </is>
      </c>
      <c r="R392" t="inlineStr">
        <is>
          <t xml:space="preserve">E  </t>
        </is>
      </c>
      <c r="S392" t="n">
        <v>4</v>
      </c>
      <c r="T392" t="n">
        <v>4</v>
      </c>
      <c r="U392" t="inlineStr">
        <is>
          <t>2001-08-14</t>
        </is>
      </c>
      <c r="V392" t="inlineStr">
        <is>
          <t>2001-08-14</t>
        </is>
      </c>
      <c r="W392" t="inlineStr">
        <is>
          <t>2001-08-14</t>
        </is>
      </c>
      <c r="X392" t="inlineStr">
        <is>
          <t>2001-08-14</t>
        </is>
      </c>
      <c r="Y392" t="n">
        <v>527</v>
      </c>
      <c r="Z392" t="n">
        <v>482</v>
      </c>
      <c r="AA392" t="n">
        <v>507</v>
      </c>
      <c r="AB392" t="n">
        <v>4</v>
      </c>
      <c r="AC392" t="n">
        <v>4</v>
      </c>
      <c r="AD392" t="n">
        <v>27</v>
      </c>
      <c r="AE392" t="n">
        <v>27</v>
      </c>
      <c r="AF392" t="n">
        <v>11</v>
      </c>
      <c r="AG392" t="n">
        <v>11</v>
      </c>
      <c r="AH392" t="n">
        <v>8</v>
      </c>
      <c r="AI392" t="n">
        <v>8</v>
      </c>
      <c r="AJ392" t="n">
        <v>11</v>
      </c>
      <c r="AK392" t="n">
        <v>11</v>
      </c>
      <c r="AL392" t="n">
        <v>3</v>
      </c>
      <c r="AM392" t="n">
        <v>3</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HYPERLINK("https://creighton-primo.hosted.exlibrisgroup.com/primo-explore/search?tab=default_tab&amp;search_scope=EVERYTHING&amp;vid=01CRU&amp;lang=en_US&amp;offset=0&amp;query=any,contains,991003600329702656","Catalog Record")</f>
        <v/>
      </c>
      <c r="AT392">
        <f>HYPERLINK("http://www.worldcat.org/oclc/39659762","WorldCat Record")</f>
        <v/>
      </c>
      <c r="AU392" t="inlineStr">
        <is>
          <t>26422365:eng</t>
        </is>
      </c>
      <c r="AV392" t="inlineStr">
        <is>
          <t>39659762</t>
        </is>
      </c>
      <c r="AW392" t="inlineStr">
        <is>
          <t>991003600329702656</t>
        </is>
      </c>
      <c r="AX392" t="inlineStr">
        <is>
          <t>991003600329702656</t>
        </is>
      </c>
      <c r="AY392" t="inlineStr">
        <is>
          <t>2265676350002656</t>
        </is>
      </c>
      <c r="AZ392" t="inlineStr">
        <is>
          <t>BOOK</t>
        </is>
      </c>
      <c r="BB392" t="inlineStr">
        <is>
          <t>9780312213848</t>
        </is>
      </c>
      <c r="BC392" t="inlineStr">
        <is>
          <t>32285004377726</t>
        </is>
      </c>
      <c r="BD392" t="inlineStr">
        <is>
          <t>893881338</t>
        </is>
      </c>
    </row>
    <row r="393">
      <c r="A393" t="inlineStr">
        <is>
          <t>No</t>
        </is>
      </c>
      <c r="B393" t="inlineStr">
        <is>
          <t>E176.1 .P965 1980</t>
        </is>
      </c>
      <c r="C393" t="inlineStr">
        <is>
          <t>0                      E  0176100P  965         1980</t>
        </is>
      </c>
      <c r="D393" t="inlineStr">
        <is>
          <t>The Presidents, their lives, families, and great decisions / as told by The Saturday evening post.</t>
        </is>
      </c>
      <c r="F393" t="inlineStr">
        <is>
          <t>No</t>
        </is>
      </c>
      <c r="G393" t="inlineStr">
        <is>
          <t>1</t>
        </is>
      </c>
      <c r="H393" t="inlineStr">
        <is>
          <t>No</t>
        </is>
      </c>
      <c r="I393" t="inlineStr">
        <is>
          <t>No</t>
        </is>
      </c>
      <c r="J393" t="inlineStr">
        <is>
          <t>0</t>
        </is>
      </c>
      <c r="L393" t="inlineStr">
        <is>
          <t>Indianapolis, Ind. : Curtis Pub. Co., c1980.</t>
        </is>
      </c>
      <c r="M393" t="inlineStr">
        <is>
          <t>1980</t>
        </is>
      </c>
      <c r="O393" t="inlineStr">
        <is>
          <t>eng</t>
        </is>
      </c>
      <c r="P393" t="inlineStr">
        <is>
          <t>inu</t>
        </is>
      </c>
      <c r="R393" t="inlineStr">
        <is>
          <t xml:space="preserve">E  </t>
        </is>
      </c>
      <c r="S393" t="n">
        <v>1</v>
      </c>
      <c r="T393" t="n">
        <v>1</v>
      </c>
      <c r="U393" t="inlineStr">
        <is>
          <t>1992-11-03</t>
        </is>
      </c>
      <c r="V393" t="inlineStr">
        <is>
          <t>1992-11-03</t>
        </is>
      </c>
      <c r="W393" t="inlineStr">
        <is>
          <t>1990-06-05</t>
        </is>
      </c>
      <c r="X393" t="inlineStr">
        <is>
          <t>1990-06-05</t>
        </is>
      </c>
      <c r="Y393" t="n">
        <v>330</v>
      </c>
      <c r="Z393" t="n">
        <v>325</v>
      </c>
      <c r="AA393" t="n">
        <v>502</v>
      </c>
      <c r="AB393" t="n">
        <v>5</v>
      </c>
      <c r="AC393" t="n">
        <v>6</v>
      </c>
      <c r="AD393" t="n">
        <v>0</v>
      </c>
      <c r="AE393" t="n">
        <v>2</v>
      </c>
      <c r="AF393" t="n">
        <v>0</v>
      </c>
      <c r="AG393" t="n">
        <v>1</v>
      </c>
      <c r="AH393" t="n">
        <v>0</v>
      </c>
      <c r="AI393" t="n">
        <v>1</v>
      </c>
      <c r="AJ393" t="n">
        <v>0</v>
      </c>
      <c r="AK393" t="n">
        <v>1</v>
      </c>
      <c r="AL393" t="n">
        <v>0</v>
      </c>
      <c r="AM393" t="n">
        <v>0</v>
      </c>
      <c r="AN393" t="n">
        <v>0</v>
      </c>
      <c r="AO393" t="n">
        <v>0</v>
      </c>
      <c r="AP393" t="inlineStr">
        <is>
          <t>No</t>
        </is>
      </c>
      <c r="AQ393" t="inlineStr">
        <is>
          <t>Yes</t>
        </is>
      </c>
      <c r="AR393">
        <f>HYPERLINK("http://catalog.hathitrust.org/Record/008371638","HathiTrust Record")</f>
        <v/>
      </c>
      <c r="AS393">
        <f>HYPERLINK("https://creighton-primo.hosted.exlibrisgroup.com/primo-explore/search?tab=default_tab&amp;search_scope=EVERYTHING&amp;vid=01CRU&amp;lang=en_US&amp;offset=0&amp;query=any,contains,991005059419702656","Catalog Record")</f>
        <v/>
      </c>
      <c r="AT393">
        <f>HYPERLINK("http://www.worldcat.org/oclc/6916176","WorldCat Record")</f>
        <v/>
      </c>
      <c r="AU393" t="inlineStr">
        <is>
          <t>54410448:eng</t>
        </is>
      </c>
      <c r="AV393" t="inlineStr">
        <is>
          <t>6916176</t>
        </is>
      </c>
      <c r="AW393" t="inlineStr">
        <is>
          <t>991005059419702656</t>
        </is>
      </c>
      <c r="AX393" t="inlineStr">
        <is>
          <t>991005059419702656</t>
        </is>
      </c>
      <c r="AY393" t="inlineStr">
        <is>
          <t>2266274590002656</t>
        </is>
      </c>
      <c r="AZ393" t="inlineStr">
        <is>
          <t>BOOK</t>
        </is>
      </c>
      <c r="BB393" t="inlineStr">
        <is>
          <t>9780893870386</t>
        </is>
      </c>
      <c r="BC393" t="inlineStr">
        <is>
          <t>32285000181734</t>
        </is>
      </c>
      <c r="BD393" t="inlineStr">
        <is>
          <t>893236206</t>
        </is>
      </c>
    </row>
    <row r="394">
      <c r="A394" t="inlineStr">
        <is>
          <t>No</t>
        </is>
      </c>
      <c r="B394" t="inlineStr">
        <is>
          <t>E176.1 .R355 1988</t>
        </is>
      </c>
      <c r="C394" t="inlineStr">
        <is>
          <t>0                      E  0176100R  355         1988</t>
        </is>
      </c>
      <c r="D394" t="inlineStr">
        <is>
          <t>Getting elected : from radio and Roosevelt to television and Reagan / J. Leonard Reinsch.</t>
        </is>
      </c>
      <c r="F394" t="inlineStr">
        <is>
          <t>No</t>
        </is>
      </c>
      <c r="G394" t="inlineStr">
        <is>
          <t>1</t>
        </is>
      </c>
      <c r="H394" t="inlineStr">
        <is>
          <t>No</t>
        </is>
      </c>
      <c r="I394" t="inlineStr">
        <is>
          <t>No</t>
        </is>
      </c>
      <c r="J394" t="inlineStr">
        <is>
          <t>0</t>
        </is>
      </c>
      <c r="K394" t="inlineStr">
        <is>
          <t>Reinsch, J. Leonard (James Leonard), 1908-1991.</t>
        </is>
      </c>
      <c r="L394" t="inlineStr">
        <is>
          <t>New York : Hippocrene Books, [c1988]</t>
        </is>
      </c>
      <c r="M394" t="inlineStr">
        <is>
          <t>1988</t>
        </is>
      </c>
      <c r="O394" t="inlineStr">
        <is>
          <t>eng</t>
        </is>
      </c>
      <c r="P394" t="inlineStr">
        <is>
          <t>nyu</t>
        </is>
      </c>
      <c r="R394" t="inlineStr">
        <is>
          <t xml:space="preserve">E  </t>
        </is>
      </c>
      <c r="S394" t="n">
        <v>3</v>
      </c>
      <c r="T394" t="n">
        <v>3</v>
      </c>
      <c r="U394" t="inlineStr">
        <is>
          <t>1994-10-28</t>
        </is>
      </c>
      <c r="V394" t="inlineStr">
        <is>
          <t>1994-10-28</t>
        </is>
      </c>
      <c r="W394" t="inlineStr">
        <is>
          <t>1990-04-17</t>
        </is>
      </c>
      <c r="X394" t="inlineStr">
        <is>
          <t>1990-04-17</t>
        </is>
      </c>
      <c r="Y394" t="n">
        <v>846</v>
      </c>
      <c r="Z394" t="n">
        <v>792</v>
      </c>
      <c r="AA394" t="n">
        <v>802</v>
      </c>
      <c r="AB394" t="n">
        <v>8</v>
      </c>
      <c r="AC394" t="n">
        <v>8</v>
      </c>
      <c r="AD394" t="n">
        <v>28</v>
      </c>
      <c r="AE394" t="n">
        <v>29</v>
      </c>
      <c r="AF394" t="n">
        <v>12</v>
      </c>
      <c r="AG394" t="n">
        <v>13</v>
      </c>
      <c r="AH394" t="n">
        <v>6</v>
      </c>
      <c r="AI394" t="n">
        <v>6</v>
      </c>
      <c r="AJ394" t="n">
        <v>14</v>
      </c>
      <c r="AK394" t="n">
        <v>15</v>
      </c>
      <c r="AL394" t="n">
        <v>4</v>
      </c>
      <c r="AM394" t="n">
        <v>4</v>
      </c>
      <c r="AN394" t="n">
        <v>0</v>
      </c>
      <c r="AO394" t="n">
        <v>0</v>
      </c>
      <c r="AP394" t="inlineStr">
        <is>
          <t>No</t>
        </is>
      </c>
      <c r="AQ394" t="inlineStr">
        <is>
          <t>Yes</t>
        </is>
      </c>
      <c r="AR394">
        <f>HYPERLINK("http://catalog.hathitrust.org/Record/000909866","HathiTrust Record")</f>
        <v/>
      </c>
      <c r="AS394">
        <f>HYPERLINK("https://creighton-primo.hosted.exlibrisgroup.com/primo-explore/search?tab=default_tab&amp;search_scope=EVERYTHING&amp;vid=01CRU&amp;lang=en_US&amp;offset=0&amp;query=any,contains,991001157559702656","Catalog Record")</f>
        <v/>
      </c>
      <c r="AT394">
        <f>HYPERLINK("http://www.worldcat.org/oclc/16869288","WorldCat Record")</f>
        <v/>
      </c>
      <c r="AU394" t="inlineStr">
        <is>
          <t>13237160:eng</t>
        </is>
      </c>
      <c r="AV394" t="inlineStr">
        <is>
          <t>16869288</t>
        </is>
      </c>
      <c r="AW394" t="inlineStr">
        <is>
          <t>991001157559702656</t>
        </is>
      </c>
      <c r="AX394" t="inlineStr">
        <is>
          <t>991001157559702656</t>
        </is>
      </c>
      <c r="AY394" t="inlineStr">
        <is>
          <t>2255401810002656</t>
        </is>
      </c>
      <c r="AZ394" t="inlineStr">
        <is>
          <t>BOOK</t>
        </is>
      </c>
      <c r="BB394" t="inlineStr">
        <is>
          <t>9780870525001</t>
        </is>
      </c>
      <c r="BC394" t="inlineStr">
        <is>
          <t>32285000122332</t>
        </is>
      </c>
      <c r="BD394" t="inlineStr">
        <is>
          <t>893784875</t>
        </is>
      </c>
    </row>
    <row r="395">
      <c r="A395" t="inlineStr">
        <is>
          <t>No</t>
        </is>
      </c>
      <c r="B395" t="inlineStr">
        <is>
          <t>E176.1 .S565 1999</t>
        </is>
      </c>
      <c r="C395" t="inlineStr">
        <is>
          <t>0                      E  0176100S  565         1999</t>
        </is>
      </c>
      <c r="D395" t="inlineStr">
        <is>
          <t>The double-edged sword : how character makes and ruins presidents, from Washington to Clinton / Robert Shogan.</t>
        </is>
      </c>
      <c r="F395" t="inlineStr">
        <is>
          <t>No</t>
        </is>
      </c>
      <c r="G395" t="inlineStr">
        <is>
          <t>1</t>
        </is>
      </c>
      <c r="H395" t="inlineStr">
        <is>
          <t>No</t>
        </is>
      </c>
      <c r="I395" t="inlineStr">
        <is>
          <t>No</t>
        </is>
      </c>
      <c r="J395" t="inlineStr">
        <is>
          <t>0</t>
        </is>
      </c>
      <c r="K395" t="inlineStr">
        <is>
          <t>Shogan, Robert.</t>
        </is>
      </c>
      <c r="L395" t="inlineStr">
        <is>
          <t>Boulder, Colo. : Westview Press, 1999.</t>
        </is>
      </c>
      <c r="M395" t="inlineStr">
        <is>
          <t>1999</t>
        </is>
      </c>
      <c r="O395" t="inlineStr">
        <is>
          <t>eng</t>
        </is>
      </c>
      <c r="P395" t="inlineStr">
        <is>
          <t>cou</t>
        </is>
      </c>
      <c r="R395" t="inlineStr">
        <is>
          <t xml:space="preserve">E  </t>
        </is>
      </c>
      <c r="S395" t="n">
        <v>7</v>
      </c>
      <c r="T395" t="n">
        <v>7</v>
      </c>
      <c r="U395" t="inlineStr">
        <is>
          <t>2000-03-14</t>
        </is>
      </c>
      <c r="V395" t="inlineStr">
        <is>
          <t>2000-03-14</t>
        </is>
      </c>
      <c r="W395" t="inlineStr">
        <is>
          <t>1999-01-04</t>
        </is>
      </c>
      <c r="X395" t="inlineStr">
        <is>
          <t>1999-01-04</t>
        </is>
      </c>
      <c r="Y395" t="n">
        <v>666</v>
      </c>
      <c r="Z395" t="n">
        <v>616</v>
      </c>
      <c r="AA395" t="n">
        <v>657</v>
      </c>
      <c r="AB395" t="n">
        <v>5</v>
      </c>
      <c r="AC395" t="n">
        <v>5</v>
      </c>
      <c r="AD395" t="n">
        <v>21</v>
      </c>
      <c r="AE395" t="n">
        <v>23</v>
      </c>
      <c r="AF395" t="n">
        <v>8</v>
      </c>
      <c r="AG395" t="n">
        <v>8</v>
      </c>
      <c r="AH395" t="n">
        <v>5</v>
      </c>
      <c r="AI395" t="n">
        <v>7</v>
      </c>
      <c r="AJ395" t="n">
        <v>11</v>
      </c>
      <c r="AK395" t="n">
        <v>11</v>
      </c>
      <c r="AL395" t="n">
        <v>3</v>
      </c>
      <c r="AM395" t="n">
        <v>3</v>
      </c>
      <c r="AN395" t="n">
        <v>0</v>
      </c>
      <c r="AO395" t="n">
        <v>0</v>
      </c>
      <c r="AP395" t="inlineStr">
        <is>
          <t>No</t>
        </is>
      </c>
      <c r="AQ395" t="inlineStr">
        <is>
          <t>Yes</t>
        </is>
      </c>
      <c r="AR395">
        <f>HYPERLINK("http://catalog.hathitrust.org/Record/004016151","HathiTrust Record")</f>
        <v/>
      </c>
      <c r="AS395">
        <f>HYPERLINK("https://creighton-primo.hosted.exlibrisgroup.com/primo-explore/search?tab=default_tab&amp;search_scope=EVERYTHING&amp;vid=01CRU&amp;lang=en_US&amp;offset=0&amp;query=any,contains,991002968779702656","Catalog Record")</f>
        <v/>
      </c>
      <c r="AT395">
        <f>HYPERLINK("http://www.worldcat.org/oclc/39733758","WorldCat Record")</f>
        <v/>
      </c>
      <c r="AU395" t="inlineStr">
        <is>
          <t>20665960:eng</t>
        </is>
      </c>
      <c r="AV395" t="inlineStr">
        <is>
          <t>39733758</t>
        </is>
      </c>
      <c r="AW395" t="inlineStr">
        <is>
          <t>991002968779702656</t>
        </is>
      </c>
      <c r="AX395" t="inlineStr">
        <is>
          <t>991002968779702656</t>
        </is>
      </c>
      <c r="AY395" t="inlineStr">
        <is>
          <t>2257188910002656</t>
        </is>
      </c>
      <c r="AZ395" t="inlineStr">
        <is>
          <t>BOOK</t>
        </is>
      </c>
      <c r="BB395" t="inlineStr">
        <is>
          <t>9780813368726</t>
        </is>
      </c>
      <c r="BC395" t="inlineStr">
        <is>
          <t>32285003508446</t>
        </is>
      </c>
      <c r="BD395" t="inlineStr">
        <is>
          <t>893434508</t>
        </is>
      </c>
    </row>
    <row r="396">
      <c r="A396" t="inlineStr">
        <is>
          <t>No</t>
        </is>
      </c>
      <c r="B396" t="inlineStr">
        <is>
          <t>E176.2 .A44 1996</t>
        </is>
      </c>
      <c r="C396" t="inlineStr">
        <is>
          <t>0                      E  0176200A  44          1996</t>
        </is>
      </c>
      <c r="D396" t="inlineStr">
        <is>
          <t>American first ladies : their lives and their legacy / edited by Lewis L. Gould.</t>
        </is>
      </c>
      <c r="F396" t="inlineStr">
        <is>
          <t>No</t>
        </is>
      </c>
      <c r="G396" t="inlineStr">
        <is>
          <t>1</t>
        </is>
      </c>
      <c r="H396" t="inlineStr">
        <is>
          <t>No</t>
        </is>
      </c>
      <c r="I396" t="inlineStr">
        <is>
          <t>No</t>
        </is>
      </c>
      <c r="J396" t="inlineStr">
        <is>
          <t>0</t>
        </is>
      </c>
      <c r="L396" t="inlineStr">
        <is>
          <t>New York : Garland Pub., 1996.</t>
        </is>
      </c>
      <c r="M396" t="inlineStr">
        <is>
          <t>1996</t>
        </is>
      </c>
      <c r="O396" t="inlineStr">
        <is>
          <t>eng</t>
        </is>
      </c>
      <c r="P396" t="inlineStr">
        <is>
          <t>nyu</t>
        </is>
      </c>
      <c r="R396" t="inlineStr">
        <is>
          <t xml:space="preserve">E  </t>
        </is>
      </c>
      <c r="S396" t="n">
        <v>9</v>
      </c>
      <c r="T396" t="n">
        <v>9</v>
      </c>
      <c r="U396" t="inlineStr">
        <is>
          <t>2004-08-26</t>
        </is>
      </c>
      <c r="V396" t="inlineStr">
        <is>
          <t>2004-08-26</t>
        </is>
      </c>
      <c r="W396" t="inlineStr">
        <is>
          <t>1996-11-08</t>
        </is>
      </c>
      <c r="X396" t="inlineStr">
        <is>
          <t>1996-11-08</t>
        </is>
      </c>
      <c r="Y396" t="n">
        <v>862</v>
      </c>
      <c r="Z396" t="n">
        <v>815</v>
      </c>
      <c r="AA396" t="n">
        <v>1108</v>
      </c>
      <c r="AB396" t="n">
        <v>9</v>
      </c>
      <c r="AC396" t="n">
        <v>9</v>
      </c>
      <c r="AD396" t="n">
        <v>29</v>
      </c>
      <c r="AE396" t="n">
        <v>34</v>
      </c>
      <c r="AF396" t="n">
        <v>14</v>
      </c>
      <c r="AG396" t="n">
        <v>15</v>
      </c>
      <c r="AH396" t="n">
        <v>4</v>
      </c>
      <c r="AI396" t="n">
        <v>6</v>
      </c>
      <c r="AJ396" t="n">
        <v>10</v>
      </c>
      <c r="AK396" t="n">
        <v>13</v>
      </c>
      <c r="AL396" t="n">
        <v>7</v>
      </c>
      <c r="AM396" t="n">
        <v>7</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HYPERLINK("https://creighton-primo.hosted.exlibrisgroup.com/primo-explore/search?tab=default_tab&amp;search_scope=EVERYTHING&amp;vid=01CRU&amp;lang=en_US&amp;offset=0&amp;query=any,contains,991002567809702656","Catalog Record")</f>
        <v/>
      </c>
      <c r="AT396">
        <f>HYPERLINK("http://www.worldcat.org/oclc/33361430","WorldCat Record")</f>
        <v/>
      </c>
      <c r="AU396" t="inlineStr">
        <is>
          <t>837013284:eng</t>
        </is>
      </c>
      <c r="AV396" t="inlineStr">
        <is>
          <t>33361430</t>
        </is>
      </c>
      <c r="AW396" t="inlineStr">
        <is>
          <t>991002567809702656</t>
        </is>
      </c>
      <c r="AX396" t="inlineStr">
        <is>
          <t>991002567809702656</t>
        </is>
      </c>
      <c r="AY396" t="inlineStr">
        <is>
          <t>2266273910002656</t>
        </is>
      </c>
      <c r="AZ396" t="inlineStr">
        <is>
          <t>BOOK</t>
        </is>
      </c>
      <c r="BB396" t="inlineStr">
        <is>
          <t>9780815314790</t>
        </is>
      </c>
      <c r="BC396" t="inlineStr">
        <is>
          <t>32285002199825</t>
        </is>
      </c>
      <c r="BD396" t="inlineStr">
        <is>
          <t>893323096</t>
        </is>
      </c>
    </row>
    <row r="397">
      <c r="A397" t="inlineStr">
        <is>
          <t>No</t>
        </is>
      </c>
      <c r="B397" t="inlineStr">
        <is>
          <t>E176.2 .A58 1990, v...</t>
        </is>
      </c>
      <c r="C397" t="inlineStr">
        <is>
          <t>0                      E  0176200A  58          1990                                        v...</t>
        </is>
      </c>
      <c r="D397" t="inlineStr">
        <is>
          <t>First ladies : the saga of the presidents' wives and their power / Carl Sferrazza Anthony.</t>
        </is>
      </c>
      <c r="E397" t="inlineStr">
        <is>
          <t>V.1</t>
        </is>
      </c>
      <c r="F397" t="inlineStr">
        <is>
          <t>No</t>
        </is>
      </c>
      <c r="G397" t="inlineStr">
        <is>
          <t>1</t>
        </is>
      </c>
      <c r="H397" t="inlineStr">
        <is>
          <t>No</t>
        </is>
      </c>
      <c r="I397" t="inlineStr">
        <is>
          <t>No</t>
        </is>
      </c>
      <c r="J397" t="inlineStr">
        <is>
          <t>0</t>
        </is>
      </c>
      <c r="K397" t="inlineStr">
        <is>
          <t>Anthony, Carl Sferrazza.</t>
        </is>
      </c>
      <c r="L397" t="inlineStr">
        <is>
          <t>New York : W. Morrow, 1990-</t>
        </is>
      </c>
      <c r="M397" t="inlineStr">
        <is>
          <t>1990</t>
        </is>
      </c>
      <c r="O397" t="inlineStr">
        <is>
          <t>eng</t>
        </is>
      </c>
      <c r="P397" t="inlineStr">
        <is>
          <t>nyu</t>
        </is>
      </c>
      <c r="R397" t="inlineStr">
        <is>
          <t xml:space="preserve">E  </t>
        </is>
      </c>
      <c r="S397" t="n">
        <v>7</v>
      </c>
      <c r="T397" t="n">
        <v>7</v>
      </c>
      <c r="U397" t="inlineStr">
        <is>
          <t>2004-08-26</t>
        </is>
      </c>
      <c r="V397" t="inlineStr">
        <is>
          <t>2004-08-26</t>
        </is>
      </c>
      <c r="W397" t="inlineStr">
        <is>
          <t>1991-06-26</t>
        </is>
      </c>
      <c r="X397" t="inlineStr">
        <is>
          <t>1991-06-26</t>
        </is>
      </c>
      <c r="Y397" t="n">
        <v>1163</v>
      </c>
      <c r="Z397" t="n">
        <v>1138</v>
      </c>
      <c r="AA397" t="n">
        <v>1350</v>
      </c>
      <c r="AB397" t="n">
        <v>7</v>
      </c>
      <c r="AC397" t="n">
        <v>11</v>
      </c>
      <c r="AD397" t="n">
        <v>23</v>
      </c>
      <c r="AE397" t="n">
        <v>30</v>
      </c>
      <c r="AF397" t="n">
        <v>6</v>
      </c>
      <c r="AG397" t="n">
        <v>9</v>
      </c>
      <c r="AH397" t="n">
        <v>6</v>
      </c>
      <c r="AI397" t="n">
        <v>8</v>
      </c>
      <c r="AJ397" t="n">
        <v>9</v>
      </c>
      <c r="AK397" t="n">
        <v>11</v>
      </c>
      <c r="AL397" t="n">
        <v>5</v>
      </c>
      <c r="AM397" t="n">
        <v>7</v>
      </c>
      <c r="AN397" t="n">
        <v>2</v>
      </c>
      <c r="AO397" t="n">
        <v>2</v>
      </c>
      <c r="AP397" t="inlineStr">
        <is>
          <t>No</t>
        </is>
      </c>
      <c r="AQ397" t="inlineStr">
        <is>
          <t>No</t>
        </is>
      </c>
      <c r="AS397">
        <f>HYPERLINK("https://creighton-primo.hosted.exlibrisgroup.com/primo-explore/search?tab=default_tab&amp;search_scope=EVERYTHING&amp;vid=01CRU&amp;lang=en_US&amp;offset=0&amp;query=any,contains,991001679649702656","Catalog Record")</f>
        <v/>
      </c>
      <c r="AT397">
        <f>HYPERLINK("http://www.worldcat.org/oclc/21336434","WorldCat Record")</f>
        <v/>
      </c>
      <c r="AU397" t="inlineStr">
        <is>
          <t>10154854:eng</t>
        </is>
      </c>
      <c r="AV397" t="inlineStr">
        <is>
          <t>21336434</t>
        </is>
      </c>
      <c r="AW397" t="inlineStr">
        <is>
          <t>991001679649702656</t>
        </is>
      </c>
      <c r="AX397" t="inlineStr">
        <is>
          <t>991001679649702656</t>
        </is>
      </c>
      <c r="AY397" t="inlineStr">
        <is>
          <t>2263326080002656</t>
        </is>
      </c>
      <c r="AZ397" t="inlineStr">
        <is>
          <t>BOOK</t>
        </is>
      </c>
      <c r="BB397" t="inlineStr">
        <is>
          <t>9780688077044</t>
        </is>
      </c>
      <c r="BC397" t="inlineStr">
        <is>
          <t>32285000658855</t>
        </is>
      </c>
      <c r="BD397" t="inlineStr">
        <is>
          <t>893785307</t>
        </is>
      </c>
    </row>
    <row r="398">
      <c r="A398" t="inlineStr">
        <is>
          <t>No</t>
        </is>
      </c>
      <c r="B398" t="inlineStr">
        <is>
          <t>E176.2 .B65 1988</t>
        </is>
      </c>
      <c r="C398" t="inlineStr">
        <is>
          <t>0                      E  0176200B  65          1988</t>
        </is>
      </c>
      <c r="D398" t="inlineStr">
        <is>
          <t>Presidential wives / Paul F. Boller, Jr.</t>
        </is>
      </c>
      <c r="F398" t="inlineStr">
        <is>
          <t>No</t>
        </is>
      </c>
      <c r="G398" t="inlineStr">
        <is>
          <t>1</t>
        </is>
      </c>
      <c r="H398" t="inlineStr">
        <is>
          <t>No</t>
        </is>
      </c>
      <c r="I398" t="inlineStr">
        <is>
          <t>No</t>
        </is>
      </c>
      <c r="J398" t="inlineStr">
        <is>
          <t>0</t>
        </is>
      </c>
      <c r="K398" t="inlineStr">
        <is>
          <t>Boller, Paul F.</t>
        </is>
      </c>
      <c r="L398" t="inlineStr">
        <is>
          <t>New York : Oxford University Press, 1988.</t>
        </is>
      </c>
      <c r="M398" t="inlineStr">
        <is>
          <t>1988</t>
        </is>
      </c>
      <c r="O398" t="inlineStr">
        <is>
          <t>eng</t>
        </is>
      </c>
      <c r="P398" t="inlineStr">
        <is>
          <t>nyu</t>
        </is>
      </c>
      <c r="R398" t="inlineStr">
        <is>
          <t xml:space="preserve">E  </t>
        </is>
      </c>
      <c r="S398" t="n">
        <v>3</v>
      </c>
      <c r="T398" t="n">
        <v>3</v>
      </c>
      <c r="U398" t="inlineStr">
        <is>
          <t>1994-03-30</t>
        </is>
      </c>
      <c r="V398" t="inlineStr">
        <is>
          <t>1994-03-30</t>
        </is>
      </c>
      <c r="W398" t="inlineStr">
        <is>
          <t>1991-01-11</t>
        </is>
      </c>
      <c r="X398" t="inlineStr">
        <is>
          <t>1991-01-11</t>
        </is>
      </c>
      <c r="Y398" t="n">
        <v>1664</v>
      </c>
      <c r="Z398" t="n">
        <v>1587</v>
      </c>
      <c r="AA398" t="n">
        <v>1799</v>
      </c>
      <c r="AB398" t="n">
        <v>9</v>
      </c>
      <c r="AC398" t="n">
        <v>11</v>
      </c>
      <c r="AD398" t="n">
        <v>20</v>
      </c>
      <c r="AE398" t="n">
        <v>26</v>
      </c>
      <c r="AF398" t="n">
        <v>9</v>
      </c>
      <c r="AG398" t="n">
        <v>11</v>
      </c>
      <c r="AH398" t="n">
        <v>5</v>
      </c>
      <c r="AI398" t="n">
        <v>6</v>
      </c>
      <c r="AJ398" t="n">
        <v>11</v>
      </c>
      <c r="AK398" t="n">
        <v>14</v>
      </c>
      <c r="AL398" t="n">
        <v>2</v>
      </c>
      <c r="AM398" t="n">
        <v>2</v>
      </c>
      <c r="AN398" t="n">
        <v>0</v>
      </c>
      <c r="AO398" t="n">
        <v>1</v>
      </c>
      <c r="AP398" t="inlineStr">
        <is>
          <t>No</t>
        </is>
      </c>
      <c r="AQ398" t="inlineStr">
        <is>
          <t>Yes</t>
        </is>
      </c>
      <c r="AR398">
        <f>HYPERLINK("http://catalog.hathitrust.org/Record/000923819","HathiTrust Record")</f>
        <v/>
      </c>
      <c r="AS398">
        <f>HYPERLINK("https://creighton-primo.hosted.exlibrisgroup.com/primo-explore/search?tab=default_tab&amp;search_scope=EVERYTHING&amp;vid=01CRU&amp;lang=en_US&amp;offset=0&amp;query=any,contains,991001188789702656","Catalog Record")</f>
        <v/>
      </c>
      <c r="AT398">
        <f>HYPERLINK("http://www.worldcat.org/oclc/17234071","WorldCat Record")</f>
        <v/>
      </c>
      <c r="AU398" t="inlineStr">
        <is>
          <t>1060631:eng</t>
        </is>
      </c>
      <c r="AV398" t="inlineStr">
        <is>
          <t>17234071</t>
        </is>
      </c>
      <c r="AW398" t="inlineStr">
        <is>
          <t>991001188789702656</t>
        </is>
      </c>
      <c r="AX398" t="inlineStr">
        <is>
          <t>991001188789702656</t>
        </is>
      </c>
      <c r="AY398" t="inlineStr">
        <is>
          <t>2271936710002656</t>
        </is>
      </c>
      <c r="AZ398" t="inlineStr">
        <is>
          <t>BOOK</t>
        </is>
      </c>
      <c r="BB398" t="inlineStr">
        <is>
          <t>9780195037630</t>
        </is>
      </c>
      <c r="BC398" t="inlineStr">
        <is>
          <t>32285000424852</t>
        </is>
      </c>
      <c r="BD398" t="inlineStr">
        <is>
          <t>893522375</t>
        </is>
      </c>
    </row>
    <row r="399">
      <c r="A399" t="inlineStr">
        <is>
          <t>No</t>
        </is>
      </c>
      <c r="B399" t="inlineStr">
        <is>
          <t>E176.2 .B76 1969</t>
        </is>
      </c>
      <c r="C399" t="inlineStr">
        <is>
          <t>0                      E  0176200B  76          1969</t>
        </is>
      </c>
      <c r="D399" t="inlineStr">
        <is>
          <t>First ladies of the White House / by Gertrude Zeth Brooks ; Jan Pitts, Editor.</t>
        </is>
      </c>
      <c r="F399" t="inlineStr">
        <is>
          <t>No</t>
        </is>
      </c>
      <c r="G399" t="inlineStr">
        <is>
          <t>1</t>
        </is>
      </c>
      <c r="H399" t="inlineStr">
        <is>
          <t>No</t>
        </is>
      </c>
      <c r="I399" t="inlineStr">
        <is>
          <t>No</t>
        </is>
      </c>
      <c r="J399" t="inlineStr">
        <is>
          <t>0</t>
        </is>
      </c>
      <c r="K399" t="inlineStr">
        <is>
          <t>Brooks, Gertrude Zeth.</t>
        </is>
      </c>
      <c r="L399" t="inlineStr">
        <is>
          <t>Chicago : C. Hallberg, [1969]</t>
        </is>
      </c>
      <c r="M399" t="inlineStr">
        <is>
          <t>1969</t>
        </is>
      </c>
      <c r="O399" t="inlineStr">
        <is>
          <t>eng</t>
        </is>
      </c>
      <c r="P399" t="inlineStr">
        <is>
          <t>ilu</t>
        </is>
      </c>
      <c r="R399" t="inlineStr">
        <is>
          <t xml:space="preserve">E  </t>
        </is>
      </c>
      <c r="S399" t="n">
        <v>2</v>
      </c>
      <c r="T399" t="n">
        <v>2</v>
      </c>
      <c r="U399" t="inlineStr">
        <is>
          <t>1994-04-16</t>
        </is>
      </c>
      <c r="V399" t="inlineStr">
        <is>
          <t>1994-04-16</t>
        </is>
      </c>
      <c r="W399" t="inlineStr">
        <is>
          <t>1991-01-11</t>
        </is>
      </c>
      <c r="X399" t="inlineStr">
        <is>
          <t>1991-01-11</t>
        </is>
      </c>
      <c r="Y399" t="n">
        <v>90</v>
      </c>
      <c r="Z399" t="n">
        <v>89</v>
      </c>
      <c r="AA399" t="n">
        <v>92</v>
      </c>
      <c r="AB399" t="n">
        <v>3</v>
      </c>
      <c r="AC399" t="n">
        <v>3</v>
      </c>
      <c r="AD399" t="n">
        <v>2</v>
      </c>
      <c r="AE399" t="n">
        <v>2</v>
      </c>
      <c r="AF399" t="n">
        <v>1</v>
      </c>
      <c r="AG399" t="n">
        <v>1</v>
      </c>
      <c r="AH399" t="n">
        <v>0</v>
      </c>
      <c r="AI399" t="n">
        <v>0</v>
      </c>
      <c r="AJ399" t="n">
        <v>0</v>
      </c>
      <c r="AK399" t="n">
        <v>0</v>
      </c>
      <c r="AL399" t="n">
        <v>1</v>
      </c>
      <c r="AM399" t="n">
        <v>1</v>
      </c>
      <c r="AN399" t="n">
        <v>0</v>
      </c>
      <c r="AO399" t="n">
        <v>0</v>
      </c>
      <c r="AP399" t="inlineStr">
        <is>
          <t>No</t>
        </is>
      </c>
      <c r="AQ399" t="inlineStr">
        <is>
          <t>No</t>
        </is>
      </c>
      <c r="AS399">
        <f>HYPERLINK("https://creighton-primo.hosted.exlibrisgroup.com/primo-explore/search?tab=default_tab&amp;search_scope=EVERYTHING&amp;vid=01CRU&amp;lang=en_US&amp;offset=0&amp;query=any,contains,991000608209702656","Catalog Record")</f>
        <v/>
      </c>
      <c r="AT399">
        <f>HYPERLINK("http://www.worldcat.org/oclc/99819","WorldCat Record")</f>
        <v/>
      </c>
      <c r="AU399" t="inlineStr">
        <is>
          <t>1911535660:eng</t>
        </is>
      </c>
      <c r="AV399" t="inlineStr">
        <is>
          <t>99819</t>
        </is>
      </c>
      <c r="AW399" t="inlineStr">
        <is>
          <t>991000608209702656</t>
        </is>
      </c>
      <c r="AX399" t="inlineStr">
        <is>
          <t>991000608209702656</t>
        </is>
      </c>
      <c r="AY399" t="inlineStr">
        <is>
          <t>2270603000002656</t>
        </is>
      </c>
      <c r="AZ399" t="inlineStr">
        <is>
          <t>BOOK</t>
        </is>
      </c>
      <c r="BC399" t="inlineStr">
        <is>
          <t>32285000424860</t>
        </is>
      </c>
      <c r="BD399" t="inlineStr">
        <is>
          <t>893790684</t>
        </is>
      </c>
    </row>
    <row r="400">
      <c r="A400" t="inlineStr">
        <is>
          <t>No</t>
        </is>
      </c>
      <c r="B400" t="inlineStr">
        <is>
          <t>E176.25 .G85 2004</t>
        </is>
      </c>
      <c r="C400" t="inlineStr">
        <is>
          <t>0                      E  0176250G  85          2004</t>
        </is>
      </c>
      <c r="D400" t="inlineStr">
        <is>
          <t>First fathers : the men who inspired our Presidents / Harold I. Gullan.</t>
        </is>
      </c>
      <c r="F400" t="inlineStr">
        <is>
          <t>No</t>
        </is>
      </c>
      <c r="G400" t="inlineStr">
        <is>
          <t>1</t>
        </is>
      </c>
      <c r="H400" t="inlineStr">
        <is>
          <t>No</t>
        </is>
      </c>
      <c r="I400" t="inlineStr">
        <is>
          <t>No</t>
        </is>
      </c>
      <c r="J400" t="inlineStr">
        <is>
          <t>0</t>
        </is>
      </c>
      <c r="K400" t="inlineStr">
        <is>
          <t>Gullan, Harold I., 1931-</t>
        </is>
      </c>
      <c r="L400" t="inlineStr">
        <is>
          <t>Hoboken, N.J. : John Wiley &amp; Sons, c2004.</t>
        </is>
      </c>
      <c r="M400" t="inlineStr">
        <is>
          <t>2004</t>
        </is>
      </c>
      <c r="O400" t="inlineStr">
        <is>
          <t>eng</t>
        </is>
      </c>
      <c r="P400" t="inlineStr">
        <is>
          <t>nju</t>
        </is>
      </c>
      <c r="R400" t="inlineStr">
        <is>
          <t xml:space="preserve">E  </t>
        </is>
      </c>
      <c r="S400" t="n">
        <v>1</v>
      </c>
      <c r="T400" t="n">
        <v>1</v>
      </c>
      <c r="U400" t="inlineStr">
        <is>
          <t>2004-06-29</t>
        </is>
      </c>
      <c r="V400" t="inlineStr">
        <is>
          <t>2004-06-29</t>
        </is>
      </c>
      <c r="W400" t="inlineStr">
        <is>
          <t>2004-06-29</t>
        </is>
      </c>
      <c r="X400" t="inlineStr">
        <is>
          <t>2004-06-29</t>
        </is>
      </c>
      <c r="Y400" t="n">
        <v>371</v>
      </c>
      <c r="Z400" t="n">
        <v>351</v>
      </c>
      <c r="AA400" t="n">
        <v>353</v>
      </c>
      <c r="AB400" t="n">
        <v>6</v>
      </c>
      <c r="AC400" t="n">
        <v>6</v>
      </c>
      <c r="AD400" t="n">
        <v>12</v>
      </c>
      <c r="AE400" t="n">
        <v>12</v>
      </c>
      <c r="AF400" t="n">
        <v>3</v>
      </c>
      <c r="AG400" t="n">
        <v>3</v>
      </c>
      <c r="AH400" t="n">
        <v>4</v>
      </c>
      <c r="AI400" t="n">
        <v>4</v>
      </c>
      <c r="AJ400" t="n">
        <v>7</v>
      </c>
      <c r="AK400" t="n">
        <v>7</v>
      </c>
      <c r="AL400" t="n">
        <v>2</v>
      </c>
      <c r="AM400" t="n">
        <v>2</v>
      </c>
      <c r="AN400" t="n">
        <v>0</v>
      </c>
      <c r="AO400" t="n">
        <v>0</v>
      </c>
      <c r="AP400" t="inlineStr">
        <is>
          <t>No</t>
        </is>
      </c>
      <c r="AQ400" t="inlineStr">
        <is>
          <t>Yes</t>
        </is>
      </c>
      <c r="AR400">
        <f>HYPERLINK("http://catalog.hathitrust.org/Record/004727993","HathiTrust Record")</f>
        <v/>
      </c>
      <c r="AS400">
        <f>HYPERLINK("https://creighton-primo.hosted.exlibrisgroup.com/primo-explore/search?tab=default_tab&amp;search_scope=EVERYTHING&amp;vid=01CRU&amp;lang=en_US&amp;offset=0&amp;query=any,contains,991004307959702656","Catalog Record")</f>
        <v/>
      </c>
      <c r="AT400">
        <f>HYPERLINK("http://www.worldcat.org/oclc/53090968","WorldCat Record")</f>
        <v/>
      </c>
      <c r="AU400" t="inlineStr">
        <is>
          <t>226564957:eng</t>
        </is>
      </c>
      <c r="AV400" t="inlineStr">
        <is>
          <t>53090968</t>
        </is>
      </c>
      <c r="AW400" t="inlineStr">
        <is>
          <t>991004307959702656</t>
        </is>
      </c>
      <c r="AX400" t="inlineStr">
        <is>
          <t>991004307959702656</t>
        </is>
      </c>
      <c r="AY400" t="inlineStr">
        <is>
          <t>2256729650002656</t>
        </is>
      </c>
      <c r="AZ400" t="inlineStr">
        <is>
          <t>BOOK</t>
        </is>
      </c>
      <c r="BB400" t="inlineStr">
        <is>
          <t>9780471465973</t>
        </is>
      </c>
      <c r="BC400" t="inlineStr">
        <is>
          <t>32285004922075</t>
        </is>
      </c>
      <c r="BD400" t="inlineStr">
        <is>
          <t>893423645</t>
        </is>
      </c>
    </row>
    <row r="401">
      <c r="A401" t="inlineStr">
        <is>
          <t>No</t>
        </is>
      </c>
      <c r="B401" t="inlineStr">
        <is>
          <t>E176.4 .H34 1998</t>
        </is>
      </c>
      <c r="C401" t="inlineStr">
        <is>
          <t>0                      E  0176400H  34          1998</t>
        </is>
      </c>
      <c r="D401" t="inlineStr">
        <is>
          <t>Presidential sex : from the founding fathers to Bill Clinton / Wesley O. Hagood.</t>
        </is>
      </c>
      <c r="F401" t="inlineStr">
        <is>
          <t>No</t>
        </is>
      </c>
      <c r="G401" t="inlineStr">
        <is>
          <t>1</t>
        </is>
      </c>
      <c r="H401" t="inlineStr">
        <is>
          <t>No</t>
        </is>
      </c>
      <c r="I401" t="inlineStr">
        <is>
          <t>No</t>
        </is>
      </c>
      <c r="J401" t="inlineStr">
        <is>
          <t>0</t>
        </is>
      </c>
      <c r="K401" t="inlineStr">
        <is>
          <t>Hagood, Wesley O.</t>
        </is>
      </c>
      <c r="L401" t="inlineStr">
        <is>
          <t>Secaucus, N.J. : Carol Pub., c1998.</t>
        </is>
      </c>
      <c r="M401" t="inlineStr">
        <is>
          <t>1998</t>
        </is>
      </c>
      <c r="N401" t="inlineStr">
        <is>
          <t>Rev. and updated.</t>
        </is>
      </c>
      <c r="O401" t="inlineStr">
        <is>
          <t>eng</t>
        </is>
      </c>
      <c r="P401" t="inlineStr">
        <is>
          <t>nju</t>
        </is>
      </c>
      <c r="R401" t="inlineStr">
        <is>
          <t xml:space="preserve">E  </t>
        </is>
      </c>
      <c r="S401" t="n">
        <v>5</v>
      </c>
      <c r="T401" t="n">
        <v>5</v>
      </c>
      <c r="U401" t="inlineStr">
        <is>
          <t>2001-06-17</t>
        </is>
      </c>
      <c r="V401" t="inlineStr">
        <is>
          <t>2001-06-17</t>
        </is>
      </c>
      <c r="W401" t="inlineStr">
        <is>
          <t>2001-06-05</t>
        </is>
      </c>
      <c r="X401" t="inlineStr">
        <is>
          <t>2001-06-05</t>
        </is>
      </c>
      <c r="Y401" t="n">
        <v>122</v>
      </c>
      <c r="Z401" t="n">
        <v>115</v>
      </c>
      <c r="AA401" t="n">
        <v>251</v>
      </c>
      <c r="AB401" t="n">
        <v>2</v>
      </c>
      <c r="AC401" t="n">
        <v>2</v>
      </c>
      <c r="AD401" t="n">
        <v>4</v>
      </c>
      <c r="AE401" t="n">
        <v>5</v>
      </c>
      <c r="AF401" t="n">
        <v>1</v>
      </c>
      <c r="AG401" t="n">
        <v>1</v>
      </c>
      <c r="AH401" t="n">
        <v>0</v>
      </c>
      <c r="AI401" t="n">
        <v>0</v>
      </c>
      <c r="AJ401" t="n">
        <v>2</v>
      </c>
      <c r="AK401" t="n">
        <v>2</v>
      </c>
      <c r="AL401" t="n">
        <v>1</v>
      </c>
      <c r="AM401" t="n">
        <v>1</v>
      </c>
      <c r="AN401" t="n">
        <v>0</v>
      </c>
      <c r="AO401" t="n">
        <v>1</v>
      </c>
      <c r="AP401" t="inlineStr">
        <is>
          <t>No</t>
        </is>
      </c>
      <c r="AQ401" t="inlineStr">
        <is>
          <t>No</t>
        </is>
      </c>
      <c r="AS401">
        <f>HYPERLINK("https://creighton-primo.hosted.exlibrisgroup.com/primo-explore/search?tab=default_tab&amp;search_scope=EVERYTHING&amp;vid=01CRU&amp;lang=en_US&amp;offset=0&amp;query=any,contains,991003545709702656","Catalog Record")</f>
        <v/>
      </c>
      <c r="AT401">
        <f>HYPERLINK("http://www.worldcat.org/oclc/38747180","WorldCat Record")</f>
        <v/>
      </c>
      <c r="AU401" t="inlineStr">
        <is>
          <t>13902527:eng</t>
        </is>
      </c>
      <c r="AV401" t="inlineStr">
        <is>
          <t>38747180</t>
        </is>
      </c>
      <c r="AW401" t="inlineStr">
        <is>
          <t>991003545709702656</t>
        </is>
      </c>
      <c r="AX401" t="inlineStr">
        <is>
          <t>991003545709702656</t>
        </is>
      </c>
      <c r="AY401" t="inlineStr">
        <is>
          <t>2269695730002656</t>
        </is>
      </c>
      <c r="AZ401" t="inlineStr">
        <is>
          <t>BOOK</t>
        </is>
      </c>
      <c r="BB401" t="inlineStr">
        <is>
          <t>9780806520070</t>
        </is>
      </c>
      <c r="BC401" t="inlineStr">
        <is>
          <t>32285004325105</t>
        </is>
      </c>
      <c r="BD401" t="inlineStr">
        <is>
          <t>893246474</t>
        </is>
      </c>
    </row>
    <row r="402">
      <c r="A402" t="inlineStr">
        <is>
          <t>No</t>
        </is>
      </c>
      <c r="B402" t="inlineStr">
        <is>
          <t>E176.4 .S86 1991</t>
        </is>
      </c>
      <c r="C402" t="inlineStr">
        <is>
          <t>0                      E  0176400S  86          1991</t>
        </is>
      </c>
      <c r="D402" t="inlineStr">
        <is>
          <t>Presidential passions : the love affairs of America's presidents--from Washington and Jefferson to Kennedy and Johnson / Michael John Sullivan ; foreword by John H. Davis.</t>
        </is>
      </c>
      <c r="F402" t="inlineStr">
        <is>
          <t>No</t>
        </is>
      </c>
      <c r="G402" t="inlineStr">
        <is>
          <t>1</t>
        </is>
      </c>
      <c r="H402" t="inlineStr">
        <is>
          <t>No</t>
        </is>
      </c>
      <c r="I402" t="inlineStr">
        <is>
          <t>No</t>
        </is>
      </c>
      <c r="J402" t="inlineStr">
        <is>
          <t>0</t>
        </is>
      </c>
      <c r="K402" t="inlineStr">
        <is>
          <t>Sullivan, Michael John.</t>
        </is>
      </c>
      <c r="L402" t="inlineStr">
        <is>
          <t>New York : Shapolsky Publishers, c1991.</t>
        </is>
      </c>
      <c r="M402" t="inlineStr">
        <is>
          <t>1991</t>
        </is>
      </c>
      <c r="O402" t="inlineStr">
        <is>
          <t>eng</t>
        </is>
      </c>
      <c r="P402" t="inlineStr">
        <is>
          <t>nyu</t>
        </is>
      </c>
      <c r="R402" t="inlineStr">
        <is>
          <t xml:space="preserve">E  </t>
        </is>
      </c>
      <c r="S402" t="n">
        <v>12</v>
      </c>
      <c r="T402" t="n">
        <v>12</v>
      </c>
      <c r="U402" t="inlineStr">
        <is>
          <t>2000-03-14</t>
        </is>
      </c>
      <c r="V402" t="inlineStr">
        <is>
          <t>2000-03-14</t>
        </is>
      </c>
      <c r="W402" t="inlineStr">
        <is>
          <t>1991-08-06</t>
        </is>
      </c>
      <c r="X402" t="inlineStr">
        <is>
          <t>1991-08-06</t>
        </is>
      </c>
      <c r="Y402" t="n">
        <v>363</v>
      </c>
      <c r="Z402" t="n">
        <v>345</v>
      </c>
      <c r="AA402" t="n">
        <v>363</v>
      </c>
      <c r="AB402" t="n">
        <v>2</v>
      </c>
      <c r="AC402" t="n">
        <v>2</v>
      </c>
      <c r="AD402" t="n">
        <v>3</v>
      </c>
      <c r="AE402" t="n">
        <v>3</v>
      </c>
      <c r="AF402" t="n">
        <v>2</v>
      </c>
      <c r="AG402" t="n">
        <v>2</v>
      </c>
      <c r="AH402" t="n">
        <v>1</v>
      </c>
      <c r="AI402" t="n">
        <v>1</v>
      </c>
      <c r="AJ402" t="n">
        <v>1</v>
      </c>
      <c r="AK402" t="n">
        <v>1</v>
      </c>
      <c r="AL402" t="n">
        <v>0</v>
      </c>
      <c r="AM402" t="n">
        <v>0</v>
      </c>
      <c r="AN402" t="n">
        <v>0</v>
      </c>
      <c r="AO402" t="n">
        <v>0</v>
      </c>
      <c r="AP402" t="inlineStr">
        <is>
          <t>No</t>
        </is>
      </c>
      <c r="AQ402" t="inlineStr">
        <is>
          <t>Yes</t>
        </is>
      </c>
      <c r="AR402">
        <f>HYPERLINK("http://catalog.hathitrust.org/Record/008371678","HathiTrust Record")</f>
        <v/>
      </c>
      <c r="AS402">
        <f>HYPERLINK("https://creighton-primo.hosted.exlibrisgroup.com/primo-explore/search?tab=default_tab&amp;search_scope=EVERYTHING&amp;vid=01CRU&amp;lang=en_US&amp;offset=0&amp;query=any,contains,991001773779702656","Catalog Record")</f>
        <v/>
      </c>
      <c r="AT402">
        <f>HYPERLINK("http://www.worldcat.org/oclc/22389036","WorldCat Record")</f>
        <v/>
      </c>
      <c r="AU402" t="inlineStr">
        <is>
          <t>24528402:eng</t>
        </is>
      </c>
      <c r="AV402" t="inlineStr">
        <is>
          <t>22389036</t>
        </is>
      </c>
      <c r="AW402" t="inlineStr">
        <is>
          <t>991001773779702656</t>
        </is>
      </c>
      <c r="AX402" t="inlineStr">
        <is>
          <t>991001773779702656</t>
        </is>
      </c>
      <c r="AY402" t="inlineStr">
        <is>
          <t>2265146560002656</t>
        </is>
      </c>
      <c r="AZ402" t="inlineStr">
        <is>
          <t>BOOK</t>
        </is>
      </c>
      <c r="BB402" t="inlineStr">
        <is>
          <t>9781561710041</t>
        </is>
      </c>
      <c r="BC402" t="inlineStr">
        <is>
          <t>32285000664077</t>
        </is>
      </c>
      <c r="BD402" t="inlineStr">
        <is>
          <t>893334593</t>
        </is>
      </c>
    </row>
    <row r="403">
      <c r="A403" t="inlineStr">
        <is>
          <t>No</t>
        </is>
      </c>
      <c r="B403" t="inlineStr">
        <is>
          <t>E176.49 .H4 1984</t>
        </is>
      </c>
      <c r="C403" t="inlineStr">
        <is>
          <t>0                      E  0176490H  4           1984</t>
        </is>
      </c>
      <c r="D403" t="inlineStr">
        <is>
          <t>America's vice-presidents : our first forty-three vice-presidents and how they got to be number two / Diana Dixon Healy.</t>
        </is>
      </c>
      <c r="F403" t="inlineStr">
        <is>
          <t>No</t>
        </is>
      </c>
      <c r="G403" t="inlineStr">
        <is>
          <t>1</t>
        </is>
      </c>
      <c r="H403" t="inlineStr">
        <is>
          <t>No</t>
        </is>
      </c>
      <c r="I403" t="inlineStr">
        <is>
          <t>No</t>
        </is>
      </c>
      <c r="J403" t="inlineStr">
        <is>
          <t>0</t>
        </is>
      </c>
      <c r="K403" t="inlineStr">
        <is>
          <t>Healy, Diana Dixon.</t>
        </is>
      </c>
      <c r="L403" t="inlineStr">
        <is>
          <t>New York : Atheneum, 1984.</t>
        </is>
      </c>
      <c r="M403" t="inlineStr">
        <is>
          <t>1984</t>
        </is>
      </c>
      <c r="N403" t="inlineStr">
        <is>
          <t>1st ed.</t>
        </is>
      </c>
      <c r="O403" t="inlineStr">
        <is>
          <t>eng</t>
        </is>
      </c>
      <c r="P403" t="inlineStr">
        <is>
          <t>nyu</t>
        </is>
      </c>
      <c r="R403" t="inlineStr">
        <is>
          <t xml:space="preserve">E  </t>
        </is>
      </c>
      <c r="S403" t="n">
        <v>1</v>
      </c>
      <c r="T403" t="n">
        <v>1</v>
      </c>
      <c r="U403" t="inlineStr">
        <is>
          <t>1992-04-17</t>
        </is>
      </c>
      <c r="V403" t="inlineStr">
        <is>
          <t>1992-04-17</t>
        </is>
      </c>
      <c r="W403" t="inlineStr">
        <is>
          <t>1991-01-11</t>
        </is>
      </c>
      <c r="X403" t="inlineStr">
        <is>
          <t>1991-01-11</t>
        </is>
      </c>
      <c r="Y403" t="n">
        <v>640</v>
      </c>
      <c r="Z403" t="n">
        <v>616</v>
      </c>
      <c r="AA403" t="n">
        <v>632</v>
      </c>
      <c r="AB403" t="n">
        <v>3</v>
      </c>
      <c r="AC403" t="n">
        <v>3</v>
      </c>
      <c r="AD403" t="n">
        <v>11</v>
      </c>
      <c r="AE403" t="n">
        <v>13</v>
      </c>
      <c r="AF403" t="n">
        <v>4</v>
      </c>
      <c r="AG403" t="n">
        <v>5</v>
      </c>
      <c r="AH403" t="n">
        <v>4</v>
      </c>
      <c r="AI403" t="n">
        <v>5</v>
      </c>
      <c r="AJ403" t="n">
        <v>7</v>
      </c>
      <c r="AK403" t="n">
        <v>7</v>
      </c>
      <c r="AL403" t="n">
        <v>0</v>
      </c>
      <c r="AM403" t="n">
        <v>0</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HYPERLINK("https://creighton-primo.hosted.exlibrisgroup.com/primo-explore/search?tab=default_tab&amp;search_scope=EVERYTHING&amp;vid=01CRU&amp;lang=en_US&amp;offset=0&amp;query=any,contains,991000347679702656","Catalog Record")</f>
        <v/>
      </c>
      <c r="AT403">
        <f>HYPERLINK("http://www.worldcat.org/oclc/10298883","WorldCat Record")</f>
        <v/>
      </c>
      <c r="AU403" t="inlineStr">
        <is>
          <t>894518400:eng</t>
        </is>
      </c>
      <c r="AV403" t="inlineStr">
        <is>
          <t>10298883</t>
        </is>
      </c>
      <c r="AW403" t="inlineStr">
        <is>
          <t>991000347679702656</t>
        </is>
      </c>
      <c r="AX403" t="inlineStr">
        <is>
          <t>991000347679702656</t>
        </is>
      </c>
      <c r="AY403" t="inlineStr">
        <is>
          <t>2257128470002656</t>
        </is>
      </c>
      <c r="AZ403" t="inlineStr">
        <is>
          <t>BOOK</t>
        </is>
      </c>
      <c r="BB403" t="inlineStr">
        <is>
          <t>9780689114540</t>
        </is>
      </c>
      <c r="BC403" t="inlineStr">
        <is>
          <t>32285000424886</t>
        </is>
      </c>
      <c r="BD403" t="inlineStr">
        <is>
          <t>893689621</t>
        </is>
      </c>
    </row>
    <row r="404">
      <c r="A404" t="inlineStr">
        <is>
          <t>No</t>
        </is>
      </c>
      <c r="B404" t="inlineStr">
        <is>
          <t>E178 .A2852</t>
        </is>
      </c>
      <c r="C404" t="inlineStr">
        <is>
          <t>0                      E  0178000A  2852</t>
        </is>
      </c>
      <c r="D404" t="inlineStr">
        <is>
          <t>The march of democracy; a history of the United States.</t>
        </is>
      </c>
      <c r="E404" t="inlineStr">
        <is>
          <t>V.7</t>
        </is>
      </c>
      <c r="F404" t="inlineStr">
        <is>
          <t>Yes</t>
        </is>
      </c>
      <c r="G404" t="inlineStr">
        <is>
          <t>1</t>
        </is>
      </c>
      <c r="H404" t="inlineStr">
        <is>
          <t>No</t>
        </is>
      </c>
      <c r="I404" t="inlineStr">
        <is>
          <t>Yes</t>
        </is>
      </c>
      <c r="J404" t="inlineStr">
        <is>
          <t>0</t>
        </is>
      </c>
      <c r="K404" t="inlineStr">
        <is>
          <t>Adams, James Truslow, 1878-1949.</t>
        </is>
      </c>
      <c r="L404" t="inlineStr">
        <is>
          <t>New York : Scribner, [1965-76]</t>
        </is>
      </c>
      <c r="M404" t="inlineStr">
        <is>
          <t>1965</t>
        </is>
      </c>
      <c r="O404" t="inlineStr">
        <is>
          <t>eng</t>
        </is>
      </c>
      <c r="P404" t="inlineStr">
        <is>
          <t>nyu</t>
        </is>
      </c>
      <c r="R404" t="inlineStr">
        <is>
          <t xml:space="preserve">E  </t>
        </is>
      </c>
      <c r="S404" t="n">
        <v>1</v>
      </c>
      <c r="T404" t="n">
        <v>2</v>
      </c>
      <c r="V404" t="inlineStr">
        <is>
          <t>1993-03-04</t>
        </is>
      </c>
      <c r="W404" t="inlineStr">
        <is>
          <t>1991-01-11</t>
        </is>
      </c>
      <c r="X404" t="inlineStr">
        <is>
          <t>1991-01-11</t>
        </is>
      </c>
      <c r="Y404" t="n">
        <v>486</v>
      </c>
      <c r="Z404" t="n">
        <v>483</v>
      </c>
      <c r="AA404" t="n">
        <v>1423</v>
      </c>
      <c r="AB404" t="n">
        <v>9</v>
      </c>
      <c r="AC404" t="n">
        <v>15</v>
      </c>
      <c r="AD404" t="n">
        <v>11</v>
      </c>
      <c r="AE404" t="n">
        <v>36</v>
      </c>
      <c r="AF404" t="n">
        <v>4</v>
      </c>
      <c r="AG404" t="n">
        <v>14</v>
      </c>
      <c r="AH404" t="n">
        <v>2</v>
      </c>
      <c r="AI404" t="n">
        <v>7</v>
      </c>
      <c r="AJ404" t="n">
        <v>3</v>
      </c>
      <c r="AK404" t="n">
        <v>14</v>
      </c>
      <c r="AL404" t="n">
        <v>5</v>
      </c>
      <c r="AM404" t="n">
        <v>8</v>
      </c>
      <c r="AN404" t="n">
        <v>0</v>
      </c>
      <c r="AO404" t="n">
        <v>1</v>
      </c>
      <c r="AP404" t="inlineStr">
        <is>
          <t>No</t>
        </is>
      </c>
      <c r="AQ404" t="inlineStr">
        <is>
          <t>No</t>
        </is>
      </c>
      <c r="AS404">
        <f>HYPERLINK("https://creighton-primo.hosted.exlibrisgroup.com/primo-explore/search?tab=default_tab&amp;search_scope=EVERYTHING&amp;vid=01CRU&amp;lang=en_US&amp;offset=0&amp;query=any,contains,991004537079702656","Catalog Record")</f>
        <v/>
      </c>
      <c r="AT404">
        <f>HYPERLINK("http://www.worldcat.org/oclc/3873078","WorldCat Record")</f>
        <v/>
      </c>
      <c r="AU404" t="inlineStr">
        <is>
          <t>777495611:eng</t>
        </is>
      </c>
      <c r="AV404" t="inlineStr">
        <is>
          <t>3873078</t>
        </is>
      </c>
      <c r="AW404" t="inlineStr">
        <is>
          <t>991004537079702656</t>
        </is>
      </c>
      <c r="AX404" t="inlineStr">
        <is>
          <t>991004537079702656</t>
        </is>
      </c>
      <c r="AY404" t="inlineStr">
        <is>
          <t>2270588390002656</t>
        </is>
      </c>
      <c r="AZ404" t="inlineStr">
        <is>
          <t>BOOK</t>
        </is>
      </c>
      <c r="BB404" t="inlineStr">
        <is>
          <t>9780684148274</t>
        </is>
      </c>
      <c r="BC404" t="inlineStr">
        <is>
          <t>32285000424969</t>
        </is>
      </c>
      <c r="BD404" t="inlineStr">
        <is>
          <t>893888843</t>
        </is>
      </c>
    </row>
    <row r="405">
      <c r="A405" t="inlineStr">
        <is>
          <t>No</t>
        </is>
      </c>
      <c r="B405" t="inlineStr">
        <is>
          <t>E178 .A2852</t>
        </is>
      </c>
      <c r="C405" t="inlineStr">
        <is>
          <t>0                      E  0178000A  2852</t>
        </is>
      </c>
      <c r="D405" t="inlineStr">
        <is>
          <t>The march of democracy; a history of the United States.</t>
        </is>
      </c>
      <c r="E405" t="inlineStr">
        <is>
          <t>V.9</t>
        </is>
      </c>
      <c r="F405" t="inlineStr">
        <is>
          <t>Yes</t>
        </is>
      </c>
      <c r="G405" t="inlineStr">
        <is>
          <t>1</t>
        </is>
      </c>
      <c r="H405" t="inlineStr">
        <is>
          <t>No</t>
        </is>
      </c>
      <c r="I405" t="inlineStr">
        <is>
          <t>Yes</t>
        </is>
      </c>
      <c r="J405" t="inlineStr">
        <is>
          <t>0</t>
        </is>
      </c>
      <c r="K405" t="inlineStr">
        <is>
          <t>Adams, James Truslow, 1878-1949.</t>
        </is>
      </c>
      <c r="L405" t="inlineStr">
        <is>
          <t>New York : Scribner, [1965-76]</t>
        </is>
      </c>
      <c r="M405" t="inlineStr">
        <is>
          <t>1965</t>
        </is>
      </c>
      <c r="O405" t="inlineStr">
        <is>
          <t>eng</t>
        </is>
      </c>
      <c r="P405" t="inlineStr">
        <is>
          <t>nyu</t>
        </is>
      </c>
      <c r="R405" t="inlineStr">
        <is>
          <t xml:space="preserve">E  </t>
        </is>
      </c>
      <c r="S405" t="n">
        <v>0</v>
      </c>
      <c r="T405" t="n">
        <v>2</v>
      </c>
      <c r="V405" t="inlineStr">
        <is>
          <t>1993-03-04</t>
        </is>
      </c>
      <c r="W405" t="inlineStr">
        <is>
          <t>1991-01-11</t>
        </is>
      </c>
      <c r="X405" t="inlineStr">
        <is>
          <t>1991-01-11</t>
        </is>
      </c>
      <c r="Y405" t="n">
        <v>486</v>
      </c>
      <c r="Z405" t="n">
        <v>483</v>
      </c>
      <c r="AA405" t="n">
        <v>1423</v>
      </c>
      <c r="AB405" t="n">
        <v>9</v>
      </c>
      <c r="AC405" t="n">
        <v>15</v>
      </c>
      <c r="AD405" t="n">
        <v>11</v>
      </c>
      <c r="AE405" t="n">
        <v>36</v>
      </c>
      <c r="AF405" t="n">
        <v>4</v>
      </c>
      <c r="AG405" t="n">
        <v>14</v>
      </c>
      <c r="AH405" t="n">
        <v>2</v>
      </c>
      <c r="AI405" t="n">
        <v>7</v>
      </c>
      <c r="AJ405" t="n">
        <v>3</v>
      </c>
      <c r="AK405" t="n">
        <v>14</v>
      </c>
      <c r="AL405" t="n">
        <v>5</v>
      </c>
      <c r="AM405" t="n">
        <v>8</v>
      </c>
      <c r="AN405" t="n">
        <v>0</v>
      </c>
      <c r="AO405" t="n">
        <v>1</v>
      </c>
      <c r="AP405" t="inlineStr">
        <is>
          <t>No</t>
        </is>
      </c>
      <c r="AQ405" t="inlineStr">
        <is>
          <t>No</t>
        </is>
      </c>
      <c r="AS405">
        <f>HYPERLINK("https://creighton-primo.hosted.exlibrisgroup.com/primo-explore/search?tab=default_tab&amp;search_scope=EVERYTHING&amp;vid=01CRU&amp;lang=en_US&amp;offset=0&amp;query=any,contains,991004537079702656","Catalog Record")</f>
        <v/>
      </c>
      <c r="AT405">
        <f>HYPERLINK("http://www.worldcat.org/oclc/3873078","WorldCat Record")</f>
        <v/>
      </c>
      <c r="AU405" t="inlineStr">
        <is>
          <t>777495611:eng</t>
        </is>
      </c>
      <c r="AV405" t="inlineStr">
        <is>
          <t>3873078</t>
        </is>
      </c>
      <c r="AW405" t="inlineStr">
        <is>
          <t>991004537079702656</t>
        </is>
      </c>
      <c r="AX405" t="inlineStr">
        <is>
          <t>991004537079702656</t>
        </is>
      </c>
      <c r="AY405" t="inlineStr">
        <is>
          <t>2270588390002656</t>
        </is>
      </c>
      <c r="AZ405" t="inlineStr">
        <is>
          <t>BOOK</t>
        </is>
      </c>
      <c r="BB405" t="inlineStr">
        <is>
          <t>9780684148274</t>
        </is>
      </c>
      <c r="BC405" t="inlineStr">
        <is>
          <t>32285000424985</t>
        </is>
      </c>
      <c r="BD405" t="inlineStr">
        <is>
          <t>893882578</t>
        </is>
      </c>
    </row>
    <row r="406">
      <c r="A406" t="inlineStr">
        <is>
          <t>No</t>
        </is>
      </c>
      <c r="B406" t="inlineStr">
        <is>
          <t>E178 .A2852</t>
        </is>
      </c>
      <c r="C406" t="inlineStr">
        <is>
          <t>0                      E  0178000A  2852</t>
        </is>
      </c>
      <c r="D406" t="inlineStr">
        <is>
          <t>The march of democracy; a history of the United States.</t>
        </is>
      </c>
      <c r="E406" t="inlineStr">
        <is>
          <t>V.8</t>
        </is>
      </c>
      <c r="F406" t="inlineStr">
        <is>
          <t>Yes</t>
        </is>
      </c>
      <c r="G406" t="inlineStr">
        <is>
          <t>1</t>
        </is>
      </c>
      <c r="H406" t="inlineStr">
        <is>
          <t>No</t>
        </is>
      </c>
      <c r="I406" t="inlineStr">
        <is>
          <t>Yes</t>
        </is>
      </c>
      <c r="J406" t="inlineStr">
        <is>
          <t>0</t>
        </is>
      </c>
      <c r="K406" t="inlineStr">
        <is>
          <t>Adams, James Truslow, 1878-1949.</t>
        </is>
      </c>
      <c r="L406" t="inlineStr">
        <is>
          <t>New York : Scribner, [1965-76]</t>
        </is>
      </c>
      <c r="M406" t="inlineStr">
        <is>
          <t>1965</t>
        </is>
      </c>
      <c r="O406" t="inlineStr">
        <is>
          <t>eng</t>
        </is>
      </c>
      <c r="P406" t="inlineStr">
        <is>
          <t>nyu</t>
        </is>
      </c>
      <c r="R406" t="inlineStr">
        <is>
          <t xml:space="preserve">E  </t>
        </is>
      </c>
      <c r="S406" t="n">
        <v>1</v>
      </c>
      <c r="T406" t="n">
        <v>2</v>
      </c>
      <c r="U406" t="inlineStr">
        <is>
          <t>1993-03-04</t>
        </is>
      </c>
      <c r="V406" t="inlineStr">
        <is>
          <t>1993-03-04</t>
        </is>
      </c>
      <c r="W406" t="inlineStr">
        <is>
          <t>1991-01-11</t>
        </is>
      </c>
      <c r="X406" t="inlineStr">
        <is>
          <t>1991-01-11</t>
        </is>
      </c>
      <c r="Y406" t="n">
        <v>486</v>
      </c>
      <c r="Z406" t="n">
        <v>483</v>
      </c>
      <c r="AA406" t="n">
        <v>1423</v>
      </c>
      <c r="AB406" t="n">
        <v>9</v>
      </c>
      <c r="AC406" t="n">
        <v>15</v>
      </c>
      <c r="AD406" t="n">
        <v>11</v>
      </c>
      <c r="AE406" t="n">
        <v>36</v>
      </c>
      <c r="AF406" t="n">
        <v>4</v>
      </c>
      <c r="AG406" t="n">
        <v>14</v>
      </c>
      <c r="AH406" t="n">
        <v>2</v>
      </c>
      <c r="AI406" t="n">
        <v>7</v>
      </c>
      <c r="AJ406" t="n">
        <v>3</v>
      </c>
      <c r="AK406" t="n">
        <v>14</v>
      </c>
      <c r="AL406" t="n">
        <v>5</v>
      </c>
      <c r="AM406" t="n">
        <v>8</v>
      </c>
      <c r="AN406" t="n">
        <v>0</v>
      </c>
      <c r="AO406" t="n">
        <v>1</v>
      </c>
      <c r="AP406" t="inlineStr">
        <is>
          <t>No</t>
        </is>
      </c>
      <c r="AQ406" t="inlineStr">
        <is>
          <t>No</t>
        </is>
      </c>
      <c r="AS406">
        <f>HYPERLINK("https://creighton-primo.hosted.exlibrisgroup.com/primo-explore/search?tab=default_tab&amp;search_scope=EVERYTHING&amp;vid=01CRU&amp;lang=en_US&amp;offset=0&amp;query=any,contains,991004537079702656","Catalog Record")</f>
        <v/>
      </c>
      <c r="AT406">
        <f>HYPERLINK("http://www.worldcat.org/oclc/3873078","WorldCat Record")</f>
        <v/>
      </c>
      <c r="AU406" t="inlineStr">
        <is>
          <t>777495611:eng</t>
        </is>
      </c>
      <c r="AV406" t="inlineStr">
        <is>
          <t>3873078</t>
        </is>
      </c>
      <c r="AW406" t="inlineStr">
        <is>
          <t>991004537079702656</t>
        </is>
      </c>
      <c r="AX406" t="inlineStr">
        <is>
          <t>991004537079702656</t>
        </is>
      </c>
      <c r="AY406" t="inlineStr">
        <is>
          <t>2270588390002656</t>
        </is>
      </c>
      <c r="AZ406" t="inlineStr">
        <is>
          <t>BOOK</t>
        </is>
      </c>
      <c r="BB406" t="inlineStr">
        <is>
          <t>9780684148274</t>
        </is>
      </c>
      <c r="BC406" t="inlineStr">
        <is>
          <t>32285000424977</t>
        </is>
      </c>
      <c r="BD406" t="inlineStr">
        <is>
          <t>893869832</t>
        </is>
      </c>
    </row>
    <row r="407">
      <c r="A407" t="inlineStr">
        <is>
          <t>No</t>
        </is>
      </c>
      <c r="B407" t="inlineStr">
        <is>
          <t>E178 .A2852</t>
        </is>
      </c>
      <c r="C407" t="inlineStr">
        <is>
          <t>0                      E  0178000A  2852</t>
        </is>
      </c>
      <c r="D407" t="inlineStr">
        <is>
          <t>The march of democracy; a history of the United States.</t>
        </is>
      </c>
      <c r="E407" t="inlineStr">
        <is>
          <t>V.6</t>
        </is>
      </c>
      <c r="F407" t="inlineStr">
        <is>
          <t>Yes</t>
        </is>
      </c>
      <c r="G407" t="inlineStr">
        <is>
          <t>1</t>
        </is>
      </c>
      <c r="H407" t="inlineStr">
        <is>
          <t>No</t>
        </is>
      </c>
      <c r="I407" t="inlineStr">
        <is>
          <t>Yes</t>
        </is>
      </c>
      <c r="J407" t="inlineStr">
        <is>
          <t>0</t>
        </is>
      </c>
      <c r="K407" t="inlineStr">
        <is>
          <t>Adams, James Truslow, 1878-1949.</t>
        </is>
      </c>
      <c r="L407" t="inlineStr">
        <is>
          <t>New York : Scribner, [1965-76]</t>
        </is>
      </c>
      <c r="M407" t="inlineStr">
        <is>
          <t>1965</t>
        </is>
      </c>
      <c r="O407" t="inlineStr">
        <is>
          <t>eng</t>
        </is>
      </c>
      <c r="P407" t="inlineStr">
        <is>
          <t>nyu</t>
        </is>
      </c>
      <c r="R407" t="inlineStr">
        <is>
          <t xml:space="preserve">E  </t>
        </is>
      </c>
      <c r="S407" t="n">
        <v>0</v>
      </c>
      <c r="T407" t="n">
        <v>2</v>
      </c>
      <c r="V407" t="inlineStr">
        <is>
          <t>1993-03-04</t>
        </is>
      </c>
      <c r="W407" t="inlineStr">
        <is>
          <t>1991-01-11</t>
        </is>
      </c>
      <c r="X407" t="inlineStr">
        <is>
          <t>1991-01-11</t>
        </is>
      </c>
      <c r="Y407" t="n">
        <v>486</v>
      </c>
      <c r="Z407" t="n">
        <v>483</v>
      </c>
      <c r="AA407" t="n">
        <v>1423</v>
      </c>
      <c r="AB407" t="n">
        <v>9</v>
      </c>
      <c r="AC407" t="n">
        <v>15</v>
      </c>
      <c r="AD407" t="n">
        <v>11</v>
      </c>
      <c r="AE407" t="n">
        <v>36</v>
      </c>
      <c r="AF407" t="n">
        <v>4</v>
      </c>
      <c r="AG407" t="n">
        <v>14</v>
      </c>
      <c r="AH407" t="n">
        <v>2</v>
      </c>
      <c r="AI407" t="n">
        <v>7</v>
      </c>
      <c r="AJ407" t="n">
        <v>3</v>
      </c>
      <c r="AK407" t="n">
        <v>14</v>
      </c>
      <c r="AL407" t="n">
        <v>5</v>
      </c>
      <c r="AM407" t="n">
        <v>8</v>
      </c>
      <c r="AN407" t="n">
        <v>0</v>
      </c>
      <c r="AO407" t="n">
        <v>1</v>
      </c>
      <c r="AP407" t="inlineStr">
        <is>
          <t>No</t>
        </is>
      </c>
      <c r="AQ407" t="inlineStr">
        <is>
          <t>No</t>
        </is>
      </c>
      <c r="AS407">
        <f>HYPERLINK("https://creighton-primo.hosted.exlibrisgroup.com/primo-explore/search?tab=default_tab&amp;search_scope=EVERYTHING&amp;vid=01CRU&amp;lang=en_US&amp;offset=0&amp;query=any,contains,991004537079702656","Catalog Record")</f>
        <v/>
      </c>
      <c r="AT407">
        <f>HYPERLINK("http://www.worldcat.org/oclc/3873078","WorldCat Record")</f>
        <v/>
      </c>
      <c r="AU407" t="inlineStr">
        <is>
          <t>777495611:eng</t>
        </is>
      </c>
      <c r="AV407" t="inlineStr">
        <is>
          <t>3873078</t>
        </is>
      </c>
      <c r="AW407" t="inlineStr">
        <is>
          <t>991004537079702656</t>
        </is>
      </c>
      <c r="AX407" t="inlineStr">
        <is>
          <t>991004537079702656</t>
        </is>
      </c>
      <c r="AY407" t="inlineStr">
        <is>
          <t>2270588390002656</t>
        </is>
      </c>
      <c r="AZ407" t="inlineStr">
        <is>
          <t>BOOK</t>
        </is>
      </c>
      <c r="BB407" t="inlineStr">
        <is>
          <t>9780684148274</t>
        </is>
      </c>
      <c r="BC407" t="inlineStr">
        <is>
          <t>32285000424951</t>
        </is>
      </c>
      <c r="BD407" t="inlineStr">
        <is>
          <t>893895124</t>
        </is>
      </c>
    </row>
    <row r="408">
      <c r="A408" t="inlineStr">
        <is>
          <t>No</t>
        </is>
      </c>
      <c r="B408" t="inlineStr">
        <is>
          <t>E178 .A46</t>
        </is>
      </c>
      <c r="C408" t="inlineStr">
        <is>
          <t>0                      E  0178000A  46</t>
        </is>
      </c>
      <c r="D408" t="inlineStr">
        <is>
          <t>The American dream : shadow &amp; substance : a collector's pictorial history of America's 200 years / compiled by Marvin Miller.</t>
        </is>
      </c>
      <c r="F408" t="inlineStr">
        <is>
          <t>No</t>
        </is>
      </c>
      <c r="G408" t="inlineStr">
        <is>
          <t>1</t>
        </is>
      </c>
      <c r="H408" t="inlineStr">
        <is>
          <t>No</t>
        </is>
      </c>
      <c r="I408" t="inlineStr">
        <is>
          <t>No</t>
        </is>
      </c>
      <c r="J408" t="inlineStr">
        <is>
          <t>0</t>
        </is>
      </c>
      <c r="L408" t="inlineStr">
        <is>
          <t>Covina, Calif. : Classic Publications, c1976.</t>
        </is>
      </c>
      <c r="M408" t="inlineStr">
        <is>
          <t>1976</t>
        </is>
      </c>
      <c r="O408" t="inlineStr">
        <is>
          <t>eng</t>
        </is>
      </c>
      <c r="P408" t="inlineStr">
        <is>
          <t>cau</t>
        </is>
      </c>
      <c r="R408" t="inlineStr">
        <is>
          <t xml:space="preserve">E  </t>
        </is>
      </c>
      <c r="S408" t="n">
        <v>2</v>
      </c>
      <c r="T408" t="n">
        <v>2</v>
      </c>
      <c r="U408" t="inlineStr">
        <is>
          <t>2001-11-26</t>
        </is>
      </c>
      <c r="V408" t="inlineStr">
        <is>
          <t>2001-11-26</t>
        </is>
      </c>
      <c r="W408" t="inlineStr">
        <is>
          <t>1997-04-07</t>
        </is>
      </c>
      <c r="X408" t="inlineStr">
        <is>
          <t>1997-04-07</t>
        </is>
      </c>
      <c r="Y408" t="n">
        <v>812</v>
      </c>
      <c r="Z408" t="n">
        <v>808</v>
      </c>
      <c r="AA408" t="n">
        <v>836</v>
      </c>
      <c r="AB408" t="n">
        <v>12</v>
      </c>
      <c r="AC408" t="n">
        <v>12</v>
      </c>
      <c r="AD408" t="n">
        <v>22</v>
      </c>
      <c r="AE408" t="n">
        <v>22</v>
      </c>
      <c r="AF408" t="n">
        <v>8</v>
      </c>
      <c r="AG408" t="n">
        <v>8</v>
      </c>
      <c r="AH408" t="n">
        <v>4</v>
      </c>
      <c r="AI408" t="n">
        <v>4</v>
      </c>
      <c r="AJ408" t="n">
        <v>9</v>
      </c>
      <c r="AK408" t="n">
        <v>9</v>
      </c>
      <c r="AL408" t="n">
        <v>5</v>
      </c>
      <c r="AM408" t="n">
        <v>5</v>
      </c>
      <c r="AN408" t="n">
        <v>0</v>
      </c>
      <c r="AO408" t="n">
        <v>0</v>
      </c>
      <c r="AP408" t="inlineStr">
        <is>
          <t>No</t>
        </is>
      </c>
      <c r="AQ408" t="inlineStr">
        <is>
          <t>Yes</t>
        </is>
      </c>
      <c r="AR408">
        <f>HYPERLINK("http://catalog.hathitrust.org/Record/008371740","HathiTrust Record")</f>
        <v/>
      </c>
      <c r="AS408">
        <f>HYPERLINK("https://creighton-primo.hosted.exlibrisgroup.com/primo-explore/search?tab=default_tab&amp;search_scope=EVERYTHING&amp;vid=01CRU&amp;lang=en_US&amp;offset=0&amp;query=any,contains,991004276639702656","Catalog Record")</f>
        <v/>
      </c>
      <c r="AT408">
        <f>HYPERLINK("http://www.worldcat.org/oclc/2895424","WorldCat Record")</f>
        <v/>
      </c>
      <c r="AU408" t="inlineStr">
        <is>
          <t>131910428:eng</t>
        </is>
      </c>
      <c r="AV408" t="inlineStr">
        <is>
          <t>2895424</t>
        </is>
      </c>
      <c r="AW408" t="inlineStr">
        <is>
          <t>991004276639702656</t>
        </is>
      </c>
      <c r="AX408" t="inlineStr">
        <is>
          <t>991004276639702656</t>
        </is>
      </c>
      <c r="AY408" t="inlineStr">
        <is>
          <t>2268887500002656</t>
        </is>
      </c>
      <c r="AZ408" t="inlineStr">
        <is>
          <t>BOOK</t>
        </is>
      </c>
      <c r="BC408" t="inlineStr">
        <is>
          <t>32285002503893</t>
        </is>
      </c>
      <c r="BD408" t="inlineStr">
        <is>
          <t>893325163</t>
        </is>
      </c>
    </row>
    <row r="409">
      <c r="A409" t="inlineStr">
        <is>
          <t>No</t>
        </is>
      </c>
      <c r="B409" t="inlineStr">
        <is>
          <t>E178 .B225</t>
        </is>
      </c>
      <c r="C409" t="inlineStr">
        <is>
          <t>0                      E  0178000B  225</t>
        </is>
      </c>
      <c r="D409" t="inlineStr">
        <is>
          <t>History of the United States of America, from the discovery of the continent, by George Bancroft.</t>
        </is>
      </c>
      <c r="E409" t="inlineStr">
        <is>
          <t>V.4</t>
        </is>
      </c>
      <c r="F409" t="inlineStr">
        <is>
          <t>Yes</t>
        </is>
      </c>
      <c r="G409" t="inlineStr">
        <is>
          <t>1</t>
        </is>
      </c>
      <c r="H409" t="inlineStr">
        <is>
          <t>No</t>
        </is>
      </c>
      <c r="I409" t="inlineStr">
        <is>
          <t>No</t>
        </is>
      </c>
      <c r="J409" t="inlineStr">
        <is>
          <t>0</t>
        </is>
      </c>
      <c r="K409" t="inlineStr">
        <is>
          <t>Bancroft, George, 1800-1891.</t>
        </is>
      </c>
      <c r="L409" t="inlineStr">
        <is>
          <t>Boston, Little, Brown &amp; co., 1876.</t>
        </is>
      </c>
      <c r="M409" t="inlineStr">
        <is>
          <t>1876</t>
        </is>
      </c>
      <c r="N409" t="inlineStr">
        <is>
          <t>Thoroughly rev. ed.</t>
        </is>
      </c>
      <c r="O409" t="inlineStr">
        <is>
          <t>eng</t>
        </is>
      </c>
      <c r="P409" t="inlineStr">
        <is>
          <t>mau</t>
        </is>
      </c>
      <c r="R409" t="inlineStr">
        <is>
          <t xml:space="preserve">E  </t>
        </is>
      </c>
      <c r="S409" t="n">
        <v>0</v>
      </c>
      <c r="T409" t="n">
        <v>2</v>
      </c>
      <c r="V409" t="inlineStr">
        <is>
          <t>2005-11-01</t>
        </is>
      </c>
      <c r="W409" t="inlineStr">
        <is>
          <t>1997-04-07</t>
        </is>
      </c>
      <c r="X409" t="inlineStr">
        <is>
          <t>1997-04-07</t>
        </is>
      </c>
      <c r="Y409" t="n">
        <v>63</v>
      </c>
      <c r="Z409" t="n">
        <v>56</v>
      </c>
      <c r="AA409" t="n">
        <v>1169</v>
      </c>
      <c r="AB409" t="n">
        <v>1</v>
      </c>
      <c r="AC409" t="n">
        <v>11</v>
      </c>
      <c r="AD409" t="n">
        <v>2</v>
      </c>
      <c r="AE409" t="n">
        <v>49</v>
      </c>
      <c r="AF409" t="n">
        <v>0</v>
      </c>
      <c r="AG409" t="n">
        <v>17</v>
      </c>
      <c r="AH409" t="n">
        <v>0</v>
      </c>
      <c r="AI409" t="n">
        <v>8</v>
      </c>
      <c r="AJ409" t="n">
        <v>2</v>
      </c>
      <c r="AK409" t="n">
        <v>19</v>
      </c>
      <c r="AL409" t="n">
        <v>0</v>
      </c>
      <c r="AM409" t="n">
        <v>9</v>
      </c>
      <c r="AN409" t="n">
        <v>0</v>
      </c>
      <c r="AO409" t="n">
        <v>5</v>
      </c>
      <c r="AP409" t="inlineStr">
        <is>
          <t>Yes</t>
        </is>
      </c>
      <c r="AQ409" t="inlineStr">
        <is>
          <t>No</t>
        </is>
      </c>
      <c r="AR409">
        <f>HYPERLINK("http://catalog.hathitrust.org/Record/000331659","HathiTrust Record")</f>
        <v/>
      </c>
      <c r="AS409">
        <f>HYPERLINK("https://creighton-primo.hosted.exlibrisgroup.com/primo-explore/search?tab=default_tab&amp;search_scope=EVERYTHING&amp;vid=01CRU&amp;lang=en_US&amp;offset=0&amp;query=any,contains,991002372499702656","Catalog Record")</f>
        <v/>
      </c>
      <c r="AT409">
        <f>HYPERLINK("http://www.worldcat.org/oclc/30851487","WorldCat Record")</f>
        <v/>
      </c>
      <c r="AU409" t="inlineStr">
        <is>
          <t>3025508:eng</t>
        </is>
      </c>
      <c r="AV409" t="inlineStr">
        <is>
          <t>30851487</t>
        </is>
      </c>
      <c r="AW409" t="inlineStr">
        <is>
          <t>991002372499702656</t>
        </is>
      </c>
      <c r="AX409" t="inlineStr">
        <is>
          <t>991002372499702656</t>
        </is>
      </c>
      <c r="AY409" t="inlineStr">
        <is>
          <t>2263160460002656</t>
        </is>
      </c>
      <c r="AZ409" t="inlineStr">
        <is>
          <t>BOOK</t>
        </is>
      </c>
      <c r="BC409" t="inlineStr">
        <is>
          <t>32285002503935</t>
        </is>
      </c>
      <c r="BD409" t="inlineStr">
        <is>
          <t>893238957</t>
        </is>
      </c>
    </row>
    <row r="410">
      <c r="A410" t="inlineStr">
        <is>
          <t>No</t>
        </is>
      </c>
      <c r="B410" t="inlineStr">
        <is>
          <t>E178 .B225</t>
        </is>
      </c>
      <c r="C410" t="inlineStr">
        <is>
          <t>0                      E  0178000B  225</t>
        </is>
      </c>
      <c r="D410" t="inlineStr">
        <is>
          <t>History of the United States of America, from the discovery of the continent, by George Bancroft.</t>
        </is>
      </c>
      <c r="E410" t="inlineStr">
        <is>
          <t>V.1</t>
        </is>
      </c>
      <c r="F410" t="inlineStr">
        <is>
          <t>Yes</t>
        </is>
      </c>
      <c r="G410" t="inlineStr">
        <is>
          <t>1</t>
        </is>
      </c>
      <c r="H410" t="inlineStr">
        <is>
          <t>No</t>
        </is>
      </c>
      <c r="I410" t="inlineStr">
        <is>
          <t>No</t>
        </is>
      </c>
      <c r="J410" t="inlineStr">
        <is>
          <t>0</t>
        </is>
      </c>
      <c r="K410" t="inlineStr">
        <is>
          <t>Bancroft, George, 1800-1891.</t>
        </is>
      </c>
      <c r="L410" t="inlineStr">
        <is>
          <t>Boston, Little, Brown &amp; co., 1876.</t>
        </is>
      </c>
      <c r="M410" t="inlineStr">
        <is>
          <t>1876</t>
        </is>
      </c>
      <c r="N410" t="inlineStr">
        <is>
          <t>Thoroughly rev. ed.</t>
        </is>
      </c>
      <c r="O410" t="inlineStr">
        <is>
          <t>eng</t>
        </is>
      </c>
      <c r="P410" t="inlineStr">
        <is>
          <t>mau</t>
        </is>
      </c>
      <c r="R410" t="inlineStr">
        <is>
          <t xml:space="preserve">E  </t>
        </is>
      </c>
      <c r="S410" t="n">
        <v>0</v>
      </c>
      <c r="T410" t="n">
        <v>2</v>
      </c>
      <c r="V410" t="inlineStr">
        <is>
          <t>2005-11-01</t>
        </is>
      </c>
      <c r="W410" t="inlineStr">
        <is>
          <t>1997-04-07</t>
        </is>
      </c>
      <c r="X410" t="inlineStr">
        <is>
          <t>1997-04-07</t>
        </is>
      </c>
      <c r="Y410" t="n">
        <v>63</v>
      </c>
      <c r="Z410" t="n">
        <v>56</v>
      </c>
      <c r="AA410" t="n">
        <v>1169</v>
      </c>
      <c r="AB410" t="n">
        <v>1</v>
      </c>
      <c r="AC410" t="n">
        <v>11</v>
      </c>
      <c r="AD410" t="n">
        <v>2</v>
      </c>
      <c r="AE410" t="n">
        <v>49</v>
      </c>
      <c r="AF410" t="n">
        <v>0</v>
      </c>
      <c r="AG410" t="n">
        <v>17</v>
      </c>
      <c r="AH410" t="n">
        <v>0</v>
      </c>
      <c r="AI410" t="n">
        <v>8</v>
      </c>
      <c r="AJ410" t="n">
        <v>2</v>
      </c>
      <c r="AK410" t="n">
        <v>19</v>
      </c>
      <c r="AL410" t="n">
        <v>0</v>
      </c>
      <c r="AM410" t="n">
        <v>9</v>
      </c>
      <c r="AN410" t="n">
        <v>0</v>
      </c>
      <c r="AO410" t="n">
        <v>5</v>
      </c>
      <c r="AP410" t="inlineStr">
        <is>
          <t>Yes</t>
        </is>
      </c>
      <c r="AQ410" t="inlineStr">
        <is>
          <t>No</t>
        </is>
      </c>
      <c r="AR410">
        <f>HYPERLINK("http://catalog.hathitrust.org/Record/000331659","HathiTrust Record")</f>
        <v/>
      </c>
      <c r="AS410">
        <f>HYPERLINK("https://creighton-primo.hosted.exlibrisgroup.com/primo-explore/search?tab=default_tab&amp;search_scope=EVERYTHING&amp;vid=01CRU&amp;lang=en_US&amp;offset=0&amp;query=any,contains,991002372499702656","Catalog Record")</f>
        <v/>
      </c>
      <c r="AT410">
        <f>HYPERLINK("http://www.worldcat.org/oclc/30851487","WorldCat Record")</f>
        <v/>
      </c>
      <c r="AU410" t="inlineStr">
        <is>
          <t>3025508:eng</t>
        </is>
      </c>
      <c r="AV410" t="inlineStr">
        <is>
          <t>30851487</t>
        </is>
      </c>
      <c r="AW410" t="inlineStr">
        <is>
          <t>991002372499702656</t>
        </is>
      </c>
      <c r="AX410" t="inlineStr">
        <is>
          <t>991002372499702656</t>
        </is>
      </c>
      <c r="AY410" t="inlineStr">
        <is>
          <t>2263160460002656</t>
        </is>
      </c>
      <c r="AZ410" t="inlineStr">
        <is>
          <t>BOOK</t>
        </is>
      </c>
      <c r="BC410" t="inlineStr">
        <is>
          <t>32285002503901</t>
        </is>
      </c>
      <c r="BD410" t="inlineStr">
        <is>
          <t>893232882</t>
        </is>
      </c>
    </row>
    <row r="411">
      <c r="A411" t="inlineStr">
        <is>
          <t>No</t>
        </is>
      </c>
      <c r="B411" t="inlineStr">
        <is>
          <t>E178 .B225</t>
        </is>
      </c>
      <c r="C411" t="inlineStr">
        <is>
          <t>0                      E  0178000B  225</t>
        </is>
      </c>
      <c r="D411" t="inlineStr">
        <is>
          <t>History of the United States of America, from the discovery of the continent, by George Bancroft.</t>
        </is>
      </c>
      <c r="E411" t="inlineStr">
        <is>
          <t>V.2</t>
        </is>
      </c>
      <c r="F411" t="inlineStr">
        <is>
          <t>Yes</t>
        </is>
      </c>
      <c r="G411" t="inlineStr">
        <is>
          <t>1</t>
        </is>
      </c>
      <c r="H411" t="inlineStr">
        <is>
          <t>No</t>
        </is>
      </c>
      <c r="I411" t="inlineStr">
        <is>
          <t>No</t>
        </is>
      </c>
      <c r="J411" t="inlineStr">
        <is>
          <t>0</t>
        </is>
      </c>
      <c r="K411" t="inlineStr">
        <is>
          <t>Bancroft, George, 1800-1891.</t>
        </is>
      </c>
      <c r="L411" t="inlineStr">
        <is>
          <t>Boston, Little, Brown &amp; co., 1876.</t>
        </is>
      </c>
      <c r="M411" t="inlineStr">
        <is>
          <t>1876</t>
        </is>
      </c>
      <c r="N411" t="inlineStr">
        <is>
          <t>Thoroughly rev. ed.</t>
        </is>
      </c>
      <c r="O411" t="inlineStr">
        <is>
          <t>eng</t>
        </is>
      </c>
      <c r="P411" t="inlineStr">
        <is>
          <t>mau</t>
        </is>
      </c>
      <c r="R411" t="inlineStr">
        <is>
          <t xml:space="preserve">E  </t>
        </is>
      </c>
      <c r="S411" t="n">
        <v>1</v>
      </c>
      <c r="T411" t="n">
        <v>2</v>
      </c>
      <c r="U411" t="inlineStr">
        <is>
          <t>2005-11-01</t>
        </is>
      </c>
      <c r="V411" t="inlineStr">
        <is>
          <t>2005-11-01</t>
        </is>
      </c>
      <c r="W411" t="inlineStr">
        <is>
          <t>1997-04-07</t>
        </is>
      </c>
      <c r="X411" t="inlineStr">
        <is>
          <t>1997-04-07</t>
        </is>
      </c>
      <c r="Y411" t="n">
        <v>63</v>
      </c>
      <c r="Z411" t="n">
        <v>56</v>
      </c>
      <c r="AA411" t="n">
        <v>1169</v>
      </c>
      <c r="AB411" t="n">
        <v>1</v>
      </c>
      <c r="AC411" t="n">
        <v>11</v>
      </c>
      <c r="AD411" t="n">
        <v>2</v>
      </c>
      <c r="AE411" t="n">
        <v>49</v>
      </c>
      <c r="AF411" t="n">
        <v>0</v>
      </c>
      <c r="AG411" t="n">
        <v>17</v>
      </c>
      <c r="AH411" t="n">
        <v>0</v>
      </c>
      <c r="AI411" t="n">
        <v>8</v>
      </c>
      <c r="AJ411" t="n">
        <v>2</v>
      </c>
      <c r="AK411" t="n">
        <v>19</v>
      </c>
      <c r="AL411" t="n">
        <v>0</v>
      </c>
      <c r="AM411" t="n">
        <v>9</v>
      </c>
      <c r="AN411" t="n">
        <v>0</v>
      </c>
      <c r="AO411" t="n">
        <v>5</v>
      </c>
      <c r="AP411" t="inlineStr">
        <is>
          <t>Yes</t>
        </is>
      </c>
      <c r="AQ411" t="inlineStr">
        <is>
          <t>No</t>
        </is>
      </c>
      <c r="AR411">
        <f>HYPERLINK("http://catalog.hathitrust.org/Record/000331659","HathiTrust Record")</f>
        <v/>
      </c>
      <c r="AS411">
        <f>HYPERLINK("https://creighton-primo.hosted.exlibrisgroup.com/primo-explore/search?tab=default_tab&amp;search_scope=EVERYTHING&amp;vid=01CRU&amp;lang=en_US&amp;offset=0&amp;query=any,contains,991002372499702656","Catalog Record")</f>
        <v/>
      </c>
      <c r="AT411">
        <f>HYPERLINK("http://www.worldcat.org/oclc/30851487","WorldCat Record")</f>
        <v/>
      </c>
      <c r="AU411" t="inlineStr">
        <is>
          <t>3025508:eng</t>
        </is>
      </c>
      <c r="AV411" t="inlineStr">
        <is>
          <t>30851487</t>
        </is>
      </c>
      <c r="AW411" t="inlineStr">
        <is>
          <t>991002372499702656</t>
        </is>
      </c>
      <c r="AX411" t="inlineStr">
        <is>
          <t>991002372499702656</t>
        </is>
      </c>
      <c r="AY411" t="inlineStr">
        <is>
          <t>2263160460002656</t>
        </is>
      </c>
      <c r="AZ411" t="inlineStr">
        <is>
          <t>BOOK</t>
        </is>
      </c>
      <c r="BC411" t="inlineStr">
        <is>
          <t>32285002503919</t>
        </is>
      </c>
      <c r="BD411" t="inlineStr">
        <is>
          <t>893257218</t>
        </is>
      </c>
    </row>
    <row r="412">
      <c r="A412" t="inlineStr">
        <is>
          <t>No</t>
        </is>
      </c>
      <c r="B412" t="inlineStr">
        <is>
          <t>E178 .B225</t>
        </is>
      </c>
      <c r="C412" t="inlineStr">
        <is>
          <t>0                      E  0178000B  225</t>
        </is>
      </c>
      <c r="D412" t="inlineStr">
        <is>
          <t>History of the United States of America, from the discovery of the continent, by George Bancroft.</t>
        </is>
      </c>
      <c r="E412" t="inlineStr">
        <is>
          <t>V.6</t>
        </is>
      </c>
      <c r="F412" t="inlineStr">
        <is>
          <t>Yes</t>
        </is>
      </c>
      <c r="G412" t="inlineStr">
        <is>
          <t>1</t>
        </is>
      </c>
      <c r="H412" t="inlineStr">
        <is>
          <t>No</t>
        </is>
      </c>
      <c r="I412" t="inlineStr">
        <is>
          <t>No</t>
        </is>
      </c>
      <c r="J412" t="inlineStr">
        <is>
          <t>0</t>
        </is>
      </c>
      <c r="K412" t="inlineStr">
        <is>
          <t>Bancroft, George, 1800-1891.</t>
        </is>
      </c>
      <c r="L412" t="inlineStr">
        <is>
          <t>Boston, Little, Brown &amp; co., 1876.</t>
        </is>
      </c>
      <c r="M412" t="inlineStr">
        <is>
          <t>1876</t>
        </is>
      </c>
      <c r="N412" t="inlineStr">
        <is>
          <t>Thoroughly rev. ed.</t>
        </is>
      </c>
      <c r="O412" t="inlineStr">
        <is>
          <t>eng</t>
        </is>
      </c>
      <c r="P412" t="inlineStr">
        <is>
          <t>mau</t>
        </is>
      </c>
      <c r="R412" t="inlineStr">
        <is>
          <t xml:space="preserve">E  </t>
        </is>
      </c>
      <c r="S412" t="n">
        <v>0</v>
      </c>
      <c r="T412" t="n">
        <v>2</v>
      </c>
      <c r="V412" t="inlineStr">
        <is>
          <t>2005-11-01</t>
        </is>
      </c>
      <c r="W412" t="inlineStr">
        <is>
          <t>1997-04-07</t>
        </is>
      </c>
      <c r="X412" t="inlineStr">
        <is>
          <t>1997-04-07</t>
        </is>
      </c>
      <c r="Y412" t="n">
        <v>63</v>
      </c>
      <c r="Z412" t="n">
        <v>56</v>
      </c>
      <c r="AA412" t="n">
        <v>1169</v>
      </c>
      <c r="AB412" t="n">
        <v>1</v>
      </c>
      <c r="AC412" t="n">
        <v>11</v>
      </c>
      <c r="AD412" t="n">
        <v>2</v>
      </c>
      <c r="AE412" t="n">
        <v>49</v>
      </c>
      <c r="AF412" t="n">
        <v>0</v>
      </c>
      <c r="AG412" t="n">
        <v>17</v>
      </c>
      <c r="AH412" t="n">
        <v>0</v>
      </c>
      <c r="AI412" t="n">
        <v>8</v>
      </c>
      <c r="AJ412" t="n">
        <v>2</v>
      </c>
      <c r="AK412" t="n">
        <v>19</v>
      </c>
      <c r="AL412" t="n">
        <v>0</v>
      </c>
      <c r="AM412" t="n">
        <v>9</v>
      </c>
      <c r="AN412" t="n">
        <v>0</v>
      </c>
      <c r="AO412" t="n">
        <v>5</v>
      </c>
      <c r="AP412" t="inlineStr">
        <is>
          <t>Yes</t>
        </is>
      </c>
      <c r="AQ412" t="inlineStr">
        <is>
          <t>No</t>
        </is>
      </c>
      <c r="AR412">
        <f>HYPERLINK("http://catalog.hathitrust.org/Record/000331659","HathiTrust Record")</f>
        <v/>
      </c>
      <c r="AS412">
        <f>HYPERLINK("https://creighton-primo.hosted.exlibrisgroup.com/primo-explore/search?tab=default_tab&amp;search_scope=EVERYTHING&amp;vid=01CRU&amp;lang=en_US&amp;offset=0&amp;query=any,contains,991002372499702656","Catalog Record")</f>
        <v/>
      </c>
      <c r="AT412">
        <f>HYPERLINK("http://www.worldcat.org/oclc/30851487","WorldCat Record")</f>
        <v/>
      </c>
      <c r="AU412" t="inlineStr">
        <is>
          <t>3025508:eng</t>
        </is>
      </c>
      <c r="AV412" t="inlineStr">
        <is>
          <t>30851487</t>
        </is>
      </c>
      <c r="AW412" t="inlineStr">
        <is>
          <t>991002372499702656</t>
        </is>
      </c>
      <c r="AX412" t="inlineStr">
        <is>
          <t>991002372499702656</t>
        </is>
      </c>
      <c r="AY412" t="inlineStr">
        <is>
          <t>2263160460002656</t>
        </is>
      </c>
      <c r="AZ412" t="inlineStr">
        <is>
          <t>BOOK</t>
        </is>
      </c>
      <c r="BC412" t="inlineStr">
        <is>
          <t>32285002503950</t>
        </is>
      </c>
      <c r="BD412" t="inlineStr">
        <is>
          <t>893251135</t>
        </is>
      </c>
    </row>
    <row r="413">
      <c r="A413" t="inlineStr">
        <is>
          <t>No</t>
        </is>
      </c>
      <c r="B413" t="inlineStr">
        <is>
          <t>E178 .B225</t>
        </is>
      </c>
      <c r="C413" t="inlineStr">
        <is>
          <t>0                      E  0178000B  225</t>
        </is>
      </c>
      <c r="D413" t="inlineStr">
        <is>
          <t>History of the United States of America, from the discovery of the continent, by George Bancroft.</t>
        </is>
      </c>
      <c r="E413" t="inlineStr">
        <is>
          <t>V.5</t>
        </is>
      </c>
      <c r="F413" t="inlineStr">
        <is>
          <t>Yes</t>
        </is>
      </c>
      <c r="G413" t="inlineStr">
        <is>
          <t>1</t>
        </is>
      </c>
      <c r="H413" t="inlineStr">
        <is>
          <t>No</t>
        </is>
      </c>
      <c r="I413" t="inlineStr">
        <is>
          <t>No</t>
        </is>
      </c>
      <c r="J413" t="inlineStr">
        <is>
          <t>0</t>
        </is>
      </c>
      <c r="K413" t="inlineStr">
        <is>
          <t>Bancroft, George, 1800-1891.</t>
        </is>
      </c>
      <c r="L413" t="inlineStr">
        <is>
          <t>Boston, Little, Brown &amp; co., 1876.</t>
        </is>
      </c>
      <c r="M413" t="inlineStr">
        <is>
          <t>1876</t>
        </is>
      </c>
      <c r="N413" t="inlineStr">
        <is>
          <t>Thoroughly rev. ed.</t>
        </is>
      </c>
      <c r="O413" t="inlineStr">
        <is>
          <t>eng</t>
        </is>
      </c>
      <c r="P413" t="inlineStr">
        <is>
          <t>mau</t>
        </is>
      </c>
      <c r="R413" t="inlineStr">
        <is>
          <t xml:space="preserve">E  </t>
        </is>
      </c>
      <c r="S413" t="n">
        <v>1</v>
      </c>
      <c r="T413" t="n">
        <v>2</v>
      </c>
      <c r="U413" t="inlineStr">
        <is>
          <t>2005-11-01</t>
        </is>
      </c>
      <c r="V413" t="inlineStr">
        <is>
          <t>2005-11-01</t>
        </is>
      </c>
      <c r="W413" t="inlineStr">
        <is>
          <t>1997-04-07</t>
        </is>
      </c>
      <c r="X413" t="inlineStr">
        <is>
          <t>1997-04-07</t>
        </is>
      </c>
      <c r="Y413" t="n">
        <v>63</v>
      </c>
      <c r="Z413" t="n">
        <v>56</v>
      </c>
      <c r="AA413" t="n">
        <v>1169</v>
      </c>
      <c r="AB413" t="n">
        <v>1</v>
      </c>
      <c r="AC413" t="n">
        <v>11</v>
      </c>
      <c r="AD413" t="n">
        <v>2</v>
      </c>
      <c r="AE413" t="n">
        <v>49</v>
      </c>
      <c r="AF413" t="n">
        <v>0</v>
      </c>
      <c r="AG413" t="n">
        <v>17</v>
      </c>
      <c r="AH413" t="n">
        <v>0</v>
      </c>
      <c r="AI413" t="n">
        <v>8</v>
      </c>
      <c r="AJ413" t="n">
        <v>2</v>
      </c>
      <c r="AK413" t="n">
        <v>19</v>
      </c>
      <c r="AL413" t="n">
        <v>0</v>
      </c>
      <c r="AM413" t="n">
        <v>9</v>
      </c>
      <c r="AN413" t="n">
        <v>0</v>
      </c>
      <c r="AO413" t="n">
        <v>5</v>
      </c>
      <c r="AP413" t="inlineStr">
        <is>
          <t>Yes</t>
        </is>
      </c>
      <c r="AQ413" t="inlineStr">
        <is>
          <t>No</t>
        </is>
      </c>
      <c r="AR413">
        <f>HYPERLINK("http://catalog.hathitrust.org/Record/000331659","HathiTrust Record")</f>
        <v/>
      </c>
      <c r="AS413">
        <f>HYPERLINK("https://creighton-primo.hosted.exlibrisgroup.com/primo-explore/search?tab=default_tab&amp;search_scope=EVERYTHING&amp;vid=01CRU&amp;lang=en_US&amp;offset=0&amp;query=any,contains,991002372499702656","Catalog Record")</f>
        <v/>
      </c>
      <c r="AT413">
        <f>HYPERLINK("http://www.worldcat.org/oclc/30851487","WorldCat Record")</f>
        <v/>
      </c>
      <c r="AU413" t="inlineStr">
        <is>
          <t>3025508:eng</t>
        </is>
      </c>
      <c r="AV413" t="inlineStr">
        <is>
          <t>30851487</t>
        </is>
      </c>
      <c r="AW413" t="inlineStr">
        <is>
          <t>991002372499702656</t>
        </is>
      </c>
      <c r="AX413" t="inlineStr">
        <is>
          <t>991002372499702656</t>
        </is>
      </c>
      <c r="AY413" t="inlineStr">
        <is>
          <t>2263160460002656</t>
        </is>
      </c>
      <c r="AZ413" t="inlineStr">
        <is>
          <t>BOOK</t>
        </is>
      </c>
      <c r="BC413" t="inlineStr">
        <is>
          <t>32285002503943</t>
        </is>
      </c>
      <c r="BD413" t="inlineStr">
        <is>
          <t>893251136</t>
        </is>
      </c>
    </row>
    <row r="414">
      <c r="A414" t="inlineStr">
        <is>
          <t>No</t>
        </is>
      </c>
      <c r="B414" t="inlineStr">
        <is>
          <t>E178 .B225</t>
        </is>
      </c>
      <c r="C414" t="inlineStr">
        <is>
          <t>0                      E  0178000B  225</t>
        </is>
      </c>
      <c r="D414" t="inlineStr">
        <is>
          <t>History of the United States of America, from the discovery of the continent, by George Bancroft.</t>
        </is>
      </c>
      <c r="E414" t="inlineStr">
        <is>
          <t>V.3</t>
        </is>
      </c>
      <c r="F414" t="inlineStr">
        <is>
          <t>Yes</t>
        </is>
      </c>
      <c r="G414" t="inlineStr">
        <is>
          <t>1</t>
        </is>
      </c>
      <c r="H414" t="inlineStr">
        <is>
          <t>No</t>
        </is>
      </c>
      <c r="I414" t="inlineStr">
        <is>
          <t>No</t>
        </is>
      </c>
      <c r="J414" t="inlineStr">
        <is>
          <t>0</t>
        </is>
      </c>
      <c r="K414" t="inlineStr">
        <is>
          <t>Bancroft, George, 1800-1891.</t>
        </is>
      </c>
      <c r="L414" t="inlineStr">
        <is>
          <t>Boston, Little, Brown &amp; co., 1876.</t>
        </is>
      </c>
      <c r="M414" t="inlineStr">
        <is>
          <t>1876</t>
        </is>
      </c>
      <c r="N414" t="inlineStr">
        <is>
          <t>Thoroughly rev. ed.</t>
        </is>
      </c>
      <c r="O414" t="inlineStr">
        <is>
          <t>eng</t>
        </is>
      </c>
      <c r="P414" t="inlineStr">
        <is>
          <t>mau</t>
        </is>
      </c>
      <c r="R414" t="inlineStr">
        <is>
          <t xml:space="preserve">E  </t>
        </is>
      </c>
      <c r="S414" t="n">
        <v>0</v>
      </c>
      <c r="T414" t="n">
        <v>2</v>
      </c>
      <c r="V414" t="inlineStr">
        <is>
          <t>2005-11-01</t>
        </is>
      </c>
      <c r="W414" t="inlineStr">
        <is>
          <t>1997-04-07</t>
        </is>
      </c>
      <c r="X414" t="inlineStr">
        <is>
          <t>1997-04-07</t>
        </is>
      </c>
      <c r="Y414" t="n">
        <v>63</v>
      </c>
      <c r="Z414" t="n">
        <v>56</v>
      </c>
      <c r="AA414" t="n">
        <v>1169</v>
      </c>
      <c r="AB414" t="n">
        <v>1</v>
      </c>
      <c r="AC414" t="n">
        <v>11</v>
      </c>
      <c r="AD414" t="n">
        <v>2</v>
      </c>
      <c r="AE414" t="n">
        <v>49</v>
      </c>
      <c r="AF414" t="n">
        <v>0</v>
      </c>
      <c r="AG414" t="n">
        <v>17</v>
      </c>
      <c r="AH414" t="n">
        <v>0</v>
      </c>
      <c r="AI414" t="n">
        <v>8</v>
      </c>
      <c r="AJ414" t="n">
        <v>2</v>
      </c>
      <c r="AK414" t="n">
        <v>19</v>
      </c>
      <c r="AL414" t="n">
        <v>0</v>
      </c>
      <c r="AM414" t="n">
        <v>9</v>
      </c>
      <c r="AN414" t="n">
        <v>0</v>
      </c>
      <c r="AO414" t="n">
        <v>5</v>
      </c>
      <c r="AP414" t="inlineStr">
        <is>
          <t>Yes</t>
        </is>
      </c>
      <c r="AQ414" t="inlineStr">
        <is>
          <t>No</t>
        </is>
      </c>
      <c r="AR414">
        <f>HYPERLINK("http://catalog.hathitrust.org/Record/000331659","HathiTrust Record")</f>
        <v/>
      </c>
      <c r="AS414">
        <f>HYPERLINK("https://creighton-primo.hosted.exlibrisgroup.com/primo-explore/search?tab=default_tab&amp;search_scope=EVERYTHING&amp;vid=01CRU&amp;lang=en_US&amp;offset=0&amp;query=any,contains,991002372499702656","Catalog Record")</f>
        <v/>
      </c>
      <c r="AT414">
        <f>HYPERLINK("http://www.worldcat.org/oclc/30851487","WorldCat Record")</f>
        <v/>
      </c>
      <c r="AU414" t="inlineStr">
        <is>
          <t>3025508:eng</t>
        </is>
      </c>
      <c r="AV414" t="inlineStr">
        <is>
          <t>30851487</t>
        </is>
      </c>
      <c r="AW414" t="inlineStr">
        <is>
          <t>991002372499702656</t>
        </is>
      </c>
      <c r="AX414" t="inlineStr">
        <is>
          <t>991002372499702656</t>
        </is>
      </c>
      <c r="AY414" t="inlineStr">
        <is>
          <t>2263160460002656</t>
        </is>
      </c>
      <c r="AZ414" t="inlineStr">
        <is>
          <t>BOOK</t>
        </is>
      </c>
      <c r="BC414" t="inlineStr">
        <is>
          <t>32285002503927</t>
        </is>
      </c>
      <c r="BD414" t="inlineStr">
        <is>
          <t>893226758</t>
        </is>
      </c>
    </row>
    <row r="415">
      <c r="A415" t="inlineStr">
        <is>
          <t>No</t>
        </is>
      </c>
      <c r="B415" t="inlineStr">
        <is>
          <t>E178 .B39 1968</t>
        </is>
      </c>
      <c r="C415" t="inlineStr">
        <is>
          <t>0                      E  0178000B  39          1968</t>
        </is>
      </c>
      <c r="D415" t="inlineStr">
        <is>
          <t>New basic history of the United States / Charles A. Beard and Mary R. Beard ; revised and brought up to date by their son William Beard.</t>
        </is>
      </c>
      <c r="F415" t="inlineStr">
        <is>
          <t>No</t>
        </is>
      </c>
      <c r="G415" t="inlineStr">
        <is>
          <t>1</t>
        </is>
      </c>
      <c r="H415" t="inlineStr">
        <is>
          <t>No</t>
        </is>
      </c>
      <c r="I415" t="inlineStr">
        <is>
          <t>No</t>
        </is>
      </c>
      <c r="J415" t="inlineStr">
        <is>
          <t>0</t>
        </is>
      </c>
      <c r="K415" t="inlineStr">
        <is>
          <t>Beard, Charles A. (Charles Austin), 1874-1948.</t>
        </is>
      </c>
      <c r="L415" t="inlineStr">
        <is>
          <t>Garden City, N.Y. : Doubleday, 1968.</t>
        </is>
      </c>
      <c r="M415" t="inlineStr">
        <is>
          <t>1968</t>
        </is>
      </c>
      <c r="O415" t="inlineStr">
        <is>
          <t>eng</t>
        </is>
      </c>
      <c r="P415" t="inlineStr">
        <is>
          <t>nyu</t>
        </is>
      </c>
      <c r="R415" t="inlineStr">
        <is>
          <t xml:space="preserve">E  </t>
        </is>
      </c>
      <c r="S415" t="n">
        <v>4</v>
      </c>
      <c r="T415" t="n">
        <v>4</v>
      </c>
      <c r="U415" t="inlineStr">
        <is>
          <t>2004-09-27</t>
        </is>
      </c>
      <c r="V415" t="inlineStr">
        <is>
          <t>2004-09-27</t>
        </is>
      </c>
      <c r="W415" t="inlineStr">
        <is>
          <t>1991-01-11</t>
        </is>
      </c>
      <c r="X415" t="inlineStr">
        <is>
          <t>1991-01-11</t>
        </is>
      </c>
      <c r="Y415" t="n">
        <v>713</v>
      </c>
      <c r="Z415" t="n">
        <v>656</v>
      </c>
      <c r="AA415" t="n">
        <v>1328</v>
      </c>
      <c r="AB415" t="n">
        <v>7</v>
      </c>
      <c r="AC415" t="n">
        <v>15</v>
      </c>
      <c r="AD415" t="n">
        <v>10</v>
      </c>
      <c r="AE415" t="n">
        <v>31</v>
      </c>
      <c r="AF415" t="n">
        <v>2</v>
      </c>
      <c r="AG415" t="n">
        <v>11</v>
      </c>
      <c r="AH415" t="n">
        <v>3</v>
      </c>
      <c r="AI415" t="n">
        <v>5</v>
      </c>
      <c r="AJ415" t="n">
        <v>4</v>
      </c>
      <c r="AK415" t="n">
        <v>12</v>
      </c>
      <c r="AL415" t="n">
        <v>3</v>
      </c>
      <c r="AM415" t="n">
        <v>7</v>
      </c>
      <c r="AN415" t="n">
        <v>0</v>
      </c>
      <c r="AO415" t="n">
        <v>2</v>
      </c>
      <c r="AP415" t="inlineStr">
        <is>
          <t>No</t>
        </is>
      </c>
      <c r="AQ415" t="inlineStr">
        <is>
          <t>No</t>
        </is>
      </c>
      <c r="AS415">
        <f>HYPERLINK("https://creighton-primo.hosted.exlibrisgroup.com/primo-explore/search?tab=default_tab&amp;search_scope=EVERYTHING&amp;vid=01CRU&amp;lang=en_US&amp;offset=0&amp;query=any,contains,991002774839702656","Catalog Record")</f>
        <v/>
      </c>
      <c r="AT415">
        <f>HYPERLINK("http://www.worldcat.org/oclc/438249","WorldCat Record")</f>
        <v/>
      </c>
      <c r="AU415" t="inlineStr">
        <is>
          <t>2452690560:eng</t>
        </is>
      </c>
      <c r="AV415" t="inlineStr">
        <is>
          <t>438249</t>
        </is>
      </c>
      <c r="AW415" t="inlineStr">
        <is>
          <t>991002774839702656</t>
        </is>
      </c>
      <c r="AX415" t="inlineStr">
        <is>
          <t>991002774839702656</t>
        </is>
      </c>
      <c r="AY415" t="inlineStr">
        <is>
          <t>2265229810002656</t>
        </is>
      </c>
      <c r="AZ415" t="inlineStr">
        <is>
          <t>BOOK</t>
        </is>
      </c>
      <c r="BC415" t="inlineStr">
        <is>
          <t>32285000424993</t>
        </is>
      </c>
      <c r="BD415" t="inlineStr">
        <is>
          <t>893597862</t>
        </is>
      </c>
    </row>
    <row r="416">
      <c r="A416" t="inlineStr">
        <is>
          <t>No</t>
        </is>
      </c>
      <c r="B416" t="inlineStr">
        <is>
          <t>E178 .B48 1972</t>
        </is>
      </c>
      <c r="C416" t="inlineStr">
        <is>
          <t>0                      E  0178000B  48          1972</t>
        </is>
      </c>
      <c r="D416" t="inlineStr">
        <is>
          <t>The historian's history of the United States / edited by Andrew S. Berky and James P. Shenton. --</t>
        </is>
      </c>
      <c r="E416" t="inlineStr">
        <is>
          <t>V.2</t>
        </is>
      </c>
      <c r="F416" t="inlineStr">
        <is>
          <t>Yes</t>
        </is>
      </c>
      <c r="G416" t="inlineStr">
        <is>
          <t>1</t>
        </is>
      </c>
      <c r="H416" t="inlineStr">
        <is>
          <t>No</t>
        </is>
      </c>
      <c r="I416" t="inlineStr">
        <is>
          <t>No</t>
        </is>
      </c>
      <c r="J416" t="inlineStr">
        <is>
          <t>0</t>
        </is>
      </c>
      <c r="K416" t="inlineStr">
        <is>
          <t>Berky, Andrew S., 1922-, editor.</t>
        </is>
      </c>
      <c r="L416" t="inlineStr">
        <is>
          <t>New York : Capricorn Books, 1972, c1966.</t>
        </is>
      </c>
      <c r="M416" t="inlineStr">
        <is>
          <t>1972</t>
        </is>
      </c>
      <c r="O416" t="inlineStr">
        <is>
          <t>eng</t>
        </is>
      </c>
      <c r="P416" t="inlineStr">
        <is>
          <t>nyu</t>
        </is>
      </c>
      <c r="R416" t="inlineStr">
        <is>
          <t xml:space="preserve">E  </t>
        </is>
      </c>
      <c r="S416" t="n">
        <v>2</v>
      </c>
      <c r="T416" t="n">
        <v>5</v>
      </c>
      <c r="U416" t="inlineStr">
        <is>
          <t>1993-11-29</t>
        </is>
      </c>
      <c r="V416" t="inlineStr">
        <is>
          <t>1997-10-28</t>
        </is>
      </c>
      <c r="W416" t="inlineStr">
        <is>
          <t>1991-01-17</t>
        </is>
      </c>
      <c r="X416" t="inlineStr">
        <is>
          <t>1991-01-17</t>
        </is>
      </c>
      <c r="Y416" t="n">
        <v>870</v>
      </c>
      <c r="Z416" t="n">
        <v>827</v>
      </c>
      <c r="AA416" t="n">
        <v>841</v>
      </c>
      <c r="AB416" t="n">
        <v>6</v>
      </c>
      <c r="AC416" t="n">
        <v>6</v>
      </c>
      <c r="AD416" t="n">
        <v>27</v>
      </c>
      <c r="AE416" t="n">
        <v>28</v>
      </c>
      <c r="AF416" t="n">
        <v>9</v>
      </c>
      <c r="AG416" t="n">
        <v>10</v>
      </c>
      <c r="AH416" t="n">
        <v>9</v>
      </c>
      <c r="AI416" t="n">
        <v>9</v>
      </c>
      <c r="AJ416" t="n">
        <v>12</v>
      </c>
      <c r="AK416" t="n">
        <v>13</v>
      </c>
      <c r="AL416" t="n">
        <v>5</v>
      </c>
      <c r="AM416" t="n">
        <v>5</v>
      </c>
      <c r="AN416" t="n">
        <v>1</v>
      </c>
      <c r="AO416" t="n">
        <v>1</v>
      </c>
      <c r="AP416" t="inlineStr">
        <is>
          <t>No</t>
        </is>
      </c>
      <c r="AQ416" t="inlineStr">
        <is>
          <t>Yes</t>
        </is>
      </c>
      <c r="AR416">
        <f>HYPERLINK("http://catalog.hathitrust.org/Record/000331775","HathiTrust Record")</f>
        <v/>
      </c>
      <c r="AS416">
        <f>HYPERLINK("https://creighton-primo.hosted.exlibrisgroup.com/primo-explore/search?tab=default_tab&amp;search_scope=EVERYTHING&amp;vid=01CRU&amp;lang=en_US&amp;offset=0&amp;query=any,contains,991003359839702656","Catalog Record")</f>
        <v/>
      </c>
      <c r="AT416">
        <f>HYPERLINK("http://www.worldcat.org/oclc/896042","WorldCat Record")</f>
        <v/>
      </c>
      <c r="AU416" t="inlineStr">
        <is>
          <t>1881661:eng</t>
        </is>
      </c>
      <c r="AV416" t="inlineStr">
        <is>
          <t>896042</t>
        </is>
      </c>
      <c r="AW416" t="inlineStr">
        <is>
          <t>991003359839702656</t>
        </is>
      </c>
      <c r="AX416" t="inlineStr">
        <is>
          <t>991003359839702656</t>
        </is>
      </c>
      <c r="AY416" t="inlineStr">
        <is>
          <t>2261395680002656</t>
        </is>
      </c>
      <c r="AZ416" t="inlineStr">
        <is>
          <t>BOOK</t>
        </is>
      </c>
      <c r="BC416" t="inlineStr">
        <is>
          <t>32285000480029</t>
        </is>
      </c>
      <c r="BD416" t="inlineStr">
        <is>
          <t>893623422</t>
        </is>
      </c>
    </row>
    <row r="417">
      <c r="A417" t="inlineStr">
        <is>
          <t>No</t>
        </is>
      </c>
      <c r="B417" t="inlineStr">
        <is>
          <t>E178 .B48 1972</t>
        </is>
      </c>
      <c r="C417" t="inlineStr">
        <is>
          <t>0                      E  0178000B  48          1972</t>
        </is>
      </c>
      <c r="D417" t="inlineStr">
        <is>
          <t>The historian's history of the United States / edited by Andrew S. Berky and James P. Shenton. --</t>
        </is>
      </c>
      <c r="E417" t="inlineStr">
        <is>
          <t>V.1</t>
        </is>
      </c>
      <c r="F417" t="inlineStr">
        <is>
          <t>Yes</t>
        </is>
      </c>
      <c r="G417" t="inlineStr">
        <is>
          <t>1</t>
        </is>
      </c>
      <c r="H417" t="inlineStr">
        <is>
          <t>No</t>
        </is>
      </c>
      <c r="I417" t="inlineStr">
        <is>
          <t>No</t>
        </is>
      </c>
      <c r="J417" t="inlineStr">
        <is>
          <t>0</t>
        </is>
      </c>
      <c r="K417" t="inlineStr">
        <is>
          <t>Berky, Andrew S., 1922-, editor.</t>
        </is>
      </c>
      <c r="L417" t="inlineStr">
        <is>
          <t>New York : Capricorn Books, 1972, c1966.</t>
        </is>
      </c>
      <c r="M417" t="inlineStr">
        <is>
          <t>1972</t>
        </is>
      </c>
      <c r="O417" t="inlineStr">
        <is>
          <t>eng</t>
        </is>
      </c>
      <c r="P417" t="inlineStr">
        <is>
          <t>nyu</t>
        </is>
      </c>
      <c r="R417" t="inlineStr">
        <is>
          <t xml:space="preserve">E  </t>
        </is>
      </c>
      <c r="S417" t="n">
        <v>3</v>
      </c>
      <c r="T417" t="n">
        <v>5</v>
      </c>
      <c r="U417" t="inlineStr">
        <is>
          <t>1997-10-28</t>
        </is>
      </c>
      <c r="V417" t="inlineStr">
        <is>
          <t>1997-10-28</t>
        </is>
      </c>
      <c r="W417" t="inlineStr">
        <is>
          <t>1991-01-17</t>
        </is>
      </c>
      <c r="X417" t="inlineStr">
        <is>
          <t>1991-01-17</t>
        </is>
      </c>
      <c r="Y417" t="n">
        <v>870</v>
      </c>
      <c r="Z417" t="n">
        <v>827</v>
      </c>
      <c r="AA417" t="n">
        <v>841</v>
      </c>
      <c r="AB417" t="n">
        <v>6</v>
      </c>
      <c r="AC417" t="n">
        <v>6</v>
      </c>
      <c r="AD417" t="n">
        <v>27</v>
      </c>
      <c r="AE417" t="n">
        <v>28</v>
      </c>
      <c r="AF417" t="n">
        <v>9</v>
      </c>
      <c r="AG417" t="n">
        <v>10</v>
      </c>
      <c r="AH417" t="n">
        <v>9</v>
      </c>
      <c r="AI417" t="n">
        <v>9</v>
      </c>
      <c r="AJ417" t="n">
        <v>12</v>
      </c>
      <c r="AK417" t="n">
        <v>13</v>
      </c>
      <c r="AL417" t="n">
        <v>5</v>
      </c>
      <c r="AM417" t="n">
        <v>5</v>
      </c>
      <c r="AN417" t="n">
        <v>1</v>
      </c>
      <c r="AO417" t="n">
        <v>1</v>
      </c>
      <c r="AP417" t="inlineStr">
        <is>
          <t>No</t>
        </is>
      </c>
      <c r="AQ417" t="inlineStr">
        <is>
          <t>Yes</t>
        </is>
      </c>
      <c r="AR417">
        <f>HYPERLINK("http://catalog.hathitrust.org/Record/000331775","HathiTrust Record")</f>
        <v/>
      </c>
      <c r="AS417">
        <f>HYPERLINK("https://creighton-primo.hosted.exlibrisgroup.com/primo-explore/search?tab=default_tab&amp;search_scope=EVERYTHING&amp;vid=01CRU&amp;lang=en_US&amp;offset=0&amp;query=any,contains,991003359839702656","Catalog Record")</f>
        <v/>
      </c>
      <c r="AT417">
        <f>HYPERLINK("http://www.worldcat.org/oclc/896042","WorldCat Record")</f>
        <v/>
      </c>
      <c r="AU417" t="inlineStr">
        <is>
          <t>1881661:eng</t>
        </is>
      </c>
      <c r="AV417" t="inlineStr">
        <is>
          <t>896042</t>
        </is>
      </c>
      <c r="AW417" t="inlineStr">
        <is>
          <t>991003359839702656</t>
        </is>
      </c>
      <c r="AX417" t="inlineStr">
        <is>
          <t>991003359839702656</t>
        </is>
      </c>
      <c r="AY417" t="inlineStr">
        <is>
          <t>2261395680002656</t>
        </is>
      </c>
      <c r="AZ417" t="inlineStr">
        <is>
          <t>BOOK</t>
        </is>
      </c>
      <c r="BC417" t="inlineStr">
        <is>
          <t>32285000480011</t>
        </is>
      </c>
      <c r="BD417" t="inlineStr">
        <is>
          <t>893592459</t>
        </is>
      </c>
    </row>
    <row r="418">
      <c r="A418" t="inlineStr">
        <is>
          <t>No</t>
        </is>
      </c>
      <c r="B418" t="inlineStr">
        <is>
          <t>E178 .D37 1984</t>
        </is>
      </c>
      <c r="C418" t="inlineStr">
        <is>
          <t>0                      E  0178000D  37          1984</t>
        </is>
      </c>
      <c r="D418" t="inlineStr">
        <is>
          <t>Out of our past : the forces that shaped modern America / Carl N. Degler.</t>
        </is>
      </c>
      <c r="F418" t="inlineStr">
        <is>
          <t>No</t>
        </is>
      </c>
      <c r="G418" t="inlineStr">
        <is>
          <t>1</t>
        </is>
      </c>
      <c r="H418" t="inlineStr">
        <is>
          <t>No</t>
        </is>
      </c>
      <c r="I418" t="inlineStr">
        <is>
          <t>No</t>
        </is>
      </c>
      <c r="J418" t="inlineStr">
        <is>
          <t>0</t>
        </is>
      </c>
      <c r="K418" t="inlineStr">
        <is>
          <t>Degler, Carl N.</t>
        </is>
      </c>
      <c r="L418" t="inlineStr">
        <is>
          <t>New York : Harper &amp; Row, 1984.</t>
        </is>
      </c>
      <c r="M418" t="inlineStr">
        <is>
          <t>1984</t>
        </is>
      </c>
      <c r="N418" t="inlineStr">
        <is>
          <t>3rd. ed.</t>
        </is>
      </c>
      <c r="O418" t="inlineStr">
        <is>
          <t>eng</t>
        </is>
      </c>
      <c r="P418" t="inlineStr">
        <is>
          <t>nyu</t>
        </is>
      </c>
      <c r="R418" t="inlineStr">
        <is>
          <t xml:space="preserve">E  </t>
        </is>
      </c>
      <c r="S418" t="n">
        <v>10</v>
      </c>
      <c r="T418" t="n">
        <v>10</v>
      </c>
      <c r="U418" t="inlineStr">
        <is>
          <t>1997-02-26</t>
        </is>
      </c>
      <c r="V418" t="inlineStr">
        <is>
          <t>1997-02-26</t>
        </is>
      </c>
      <c r="W418" t="inlineStr">
        <is>
          <t>1995-06-30</t>
        </is>
      </c>
      <c r="X418" t="inlineStr">
        <is>
          <t>1995-06-30</t>
        </is>
      </c>
      <c r="Y418" t="n">
        <v>507</v>
      </c>
      <c r="Z418" t="n">
        <v>380</v>
      </c>
      <c r="AA418" t="n">
        <v>1633</v>
      </c>
      <c r="AB418" t="n">
        <v>3</v>
      </c>
      <c r="AC418" t="n">
        <v>11</v>
      </c>
      <c r="AD418" t="n">
        <v>14</v>
      </c>
      <c r="AE418" t="n">
        <v>55</v>
      </c>
      <c r="AF418" t="n">
        <v>8</v>
      </c>
      <c r="AG418" t="n">
        <v>23</v>
      </c>
      <c r="AH418" t="n">
        <v>2</v>
      </c>
      <c r="AI418" t="n">
        <v>11</v>
      </c>
      <c r="AJ418" t="n">
        <v>6</v>
      </c>
      <c r="AK418" t="n">
        <v>20</v>
      </c>
      <c r="AL418" t="n">
        <v>2</v>
      </c>
      <c r="AM418" t="n">
        <v>9</v>
      </c>
      <c r="AN418" t="n">
        <v>0</v>
      </c>
      <c r="AO418" t="n">
        <v>3</v>
      </c>
      <c r="AP418" t="inlineStr">
        <is>
          <t>No</t>
        </is>
      </c>
      <c r="AQ418" t="inlineStr">
        <is>
          <t>No</t>
        </is>
      </c>
      <c r="AS418">
        <f>HYPERLINK("https://creighton-primo.hosted.exlibrisgroup.com/primo-explore/search?tab=default_tab&amp;search_scope=EVERYTHING&amp;vid=01CRU&amp;lang=en_US&amp;offset=0&amp;query=any,contains,991000381829702656","Catalog Record")</f>
        <v/>
      </c>
      <c r="AT418">
        <f>HYPERLINK("http://www.worldcat.org/oclc/12449753","WorldCat Record")</f>
        <v/>
      </c>
      <c r="AU418" t="inlineStr">
        <is>
          <t>980084:eng</t>
        </is>
      </c>
      <c r="AV418" t="inlineStr">
        <is>
          <t>12449753</t>
        </is>
      </c>
      <c r="AW418" t="inlineStr">
        <is>
          <t>991000381829702656</t>
        </is>
      </c>
      <c r="AX418" t="inlineStr">
        <is>
          <t>991000381829702656</t>
        </is>
      </c>
      <c r="AY418" t="inlineStr">
        <is>
          <t>2259688810002656</t>
        </is>
      </c>
      <c r="AZ418" t="inlineStr">
        <is>
          <t>BOOK</t>
        </is>
      </c>
      <c r="BC418" t="inlineStr">
        <is>
          <t>32285002021532</t>
        </is>
      </c>
      <c r="BD418" t="inlineStr">
        <is>
          <t>893243194</t>
        </is>
      </c>
    </row>
    <row r="419">
      <c r="A419" t="inlineStr">
        <is>
          <t>No</t>
        </is>
      </c>
      <c r="B419" t="inlineStr">
        <is>
          <t>E178 .H27</t>
        </is>
      </c>
      <c r="C419" t="inlineStr">
        <is>
          <t>0                      E  0178000H  27</t>
        </is>
      </c>
      <c r="D419" t="inlineStr">
        <is>
          <t>Harvard guide to American history [by] Oscar Handlin [and others]</t>
        </is>
      </c>
      <c r="F419" t="inlineStr">
        <is>
          <t>No</t>
        </is>
      </c>
      <c r="G419" t="inlineStr">
        <is>
          <t>1</t>
        </is>
      </c>
      <c r="H419" t="inlineStr">
        <is>
          <t>No</t>
        </is>
      </c>
      <c r="I419" t="inlineStr">
        <is>
          <t>No</t>
        </is>
      </c>
      <c r="J419" t="inlineStr">
        <is>
          <t>0</t>
        </is>
      </c>
      <c r="K419" t="inlineStr">
        <is>
          <t>Handlin, Oscar, 1915-2011.</t>
        </is>
      </c>
      <c r="L419" t="inlineStr">
        <is>
          <t>Cambridge, Mass., Belknap Press, 1954.</t>
        </is>
      </c>
      <c r="M419" t="inlineStr">
        <is>
          <t>1954</t>
        </is>
      </c>
      <c r="O419" t="inlineStr">
        <is>
          <t>eng</t>
        </is>
      </c>
      <c r="P419" t="inlineStr">
        <is>
          <t>mau</t>
        </is>
      </c>
      <c r="R419" t="inlineStr">
        <is>
          <t xml:space="preserve">E  </t>
        </is>
      </c>
      <c r="S419" t="n">
        <v>2</v>
      </c>
      <c r="T419" t="n">
        <v>2</v>
      </c>
      <c r="U419" t="inlineStr">
        <is>
          <t>1998-06-04</t>
        </is>
      </c>
      <c r="V419" t="inlineStr">
        <is>
          <t>1998-06-04</t>
        </is>
      </c>
      <c r="W419" t="inlineStr">
        <is>
          <t>1997-04-07</t>
        </is>
      </c>
      <c r="X419" t="inlineStr">
        <is>
          <t>1997-04-07</t>
        </is>
      </c>
      <c r="Y419" t="n">
        <v>1063</v>
      </c>
      <c r="Z419" t="n">
        <v>936</v>
      </c>
      <c r="AA419" t="n">
        <v>1868</v>
      </c>
      <c r="AB419" t="n">
        <v>8</v>
      </c>
      <c r="AC419" t="n">
        <v>12</v>
      </c>
      <c r="AD419" t="n">
        <v>23</v>
      </c>
      <c r="AE419" t="n">
        <v>49</v>
      </c>
      <c r="AF419" t="n">
        <v>7</v>
      </c>
      <c r="AG419" t="n">
        <v>19</v>
      </c>
      <c r="AH419" t="n">
        <v>7</v>
      </c>
      <c r="AI419" t="n">
        <v>10</v>
      </c>
      <c r="AJ419" t="n">
        <v>11</v>
      </c>
      <c r="AK419" t="n">
        <v>20</v>
      </c>
      <c r="AL419" t="n">
        <v>3</v>
      </c>
      <c r="AM419" t="n">
        <v>6</v>
      </c>
      <c r="AN419" t="n">
        <v>1</v>
      </c>
      <c r="AO419" t="n">
        <v>5</v>
      </c>
      <c r="AP419" t="inlineStr">
        <is>
          <t>No</t>
        </is>
      </c>
      <c r="AQ419" t="inlineStr">
        <is>
          <t>Yes</t>
        </is>
      </c>
      <c r="AR419">
        <f>HYPERLINK("http://catalog.hathitrust.org/Record/001168243","HathiTrust Record")</f>
        <v/>
      </c>
      <c r="AS419">
        <f>HYPERLINK("https://creighton-primo.hosted.exlibrisgroup.com/primo-explore/search?tab=default_tab&amp;search_scope=EVERYTHING&amp;vid=01CRU&amp;lang=en_US&amp;offset=0&amp;query=any,contains,991002982549702656","Catalog Record")</f>
        <v/>
      </c>
      <c r="AT419">
        <f>HYPERLINK("http://www.worldcat.org/oclc/555622","WorldCat Record")</f>
        <v/>
      </c>
      <c r="AU419" t="inlineStr">
        <is>
          <t>2564823140:eng</t>
        </is>
      </c>
      <c r="AV419" t="inlineStr">
        <is>
          <t>555622</t>
        </is>
      </c>
      <c r="AW419" t="inlineStr">
        <is>
          <t>991002982549702656</t>
        </is>
      </c>
      <c r="AX419" t="inlineStr">
        <is>
          <t>991002982549702656</t>
        </is>
      </c>
      <c r="AY419" t="inlineStr">
        <is>
          <t>2260538690002656</t>
        </is>
      </c>
      <c r="AZ419" t="inlineStr">
        <is>
          <t>BOOK</t>
        </is>
      </c>
      <c r="BC419" t="inlineStr">
        <is>
          <t>32285002504230</t>
        </is>
      </c>
      <c r="BD419" t="inlineStr">
        <is>
          <t>893774258</t>
        </is>
      </c>
    </row>
    <row r="420">
      <c r="A420" t="inlineStr">
        <is>
          <t>No</t>
        </is>
      </c>
      <c r="B420" t="inlineStr">
        <is>
          <t>E178 .H28</t>
        </is>
      </c>
      <c r="C420" t="inlineStr">
        <is>
          <t>0                      E  0178000H  28</t>
        </is>
      </c>
      <c r="D420" t="inlineStr">
        <is>
          <t>The growth of the United States, by Ralph Volney Harlow ...</t>
        </is>
      </c>
      <c r="F420" t="inlineStr">
        <is>
          <t>No</t>
        </is>
      </c>
      <c r="G420" t="inlineStr">
        <is>
          <t>1</t>
        </is>
      </c>
      <c r="H420" t="inlineStr">
        <is>
          <t>No</t>
        </is>
      </c>
      <c r="I420" t="inlineStr">
        <is>
          <t>No</t>
        </is>
      </c>
      <c r="J420" t="inlineStr">
        <is>
          <t>0</t>
        </is>
      </c>
      <c r="K420" t="inlineStr">
        <is>
          <t>Harlow, Ralph Volney, 1884-1956.</t>
        </is>
      </c>
      <c r="L420" t="inlineStr">
        <is>
          <t>New York, H. Holt and Company [c1925]</t>
        </is>
      </c>
      <c r="M420" t="inlineStr">
        <is>
          <t>1925</t>
        </is>
      </c>
      <c r="O420" t="inlineStr">
        <is>
          <t>eng</t>
        </is>
      </c>
      <c r="P420" t="inlineStr">
        <is>
          <t>nyu</t>
        </is>
      </c>
      <c r="R420" t="inlineStr">
        <is>
          <t xml:space="preserve">E  </t>
        </is>
      </c>
      <c r="S420" t="n">
        <v>1</v>
      </c>
      <c r="T420" t="n">
        <v>1</v>
      </c>
      <c r="U420" t="inlineStr">
        <is>
          <t>2001-11-14</t>
        </is>
      </c>
      <c r="V420" t="inlineStr">
        <is>
          <t>2001-11-14</t>
        </is>
      </c>
      <c r="W420" t="inlineStr">
        <is>
          <t>1997-04-07</t>
        </is>
      </c>
      <c r="X420" t="inlineStr">
        <is>
          <t>1997-04-07</t>
        </is>
      </c>
      <c r="Y420" t="n">
        <v>165</v>
      </c>
      <c r="Z420" t="n">
        <v>151</v>
      </c>
      <c r="AA420" t="n">
        <v>234</v>
      </c>
      <c r="AB420" t="n">
        <v>4</v>
      </c>
      <c r="AC420" t="n">
        <v>4</v>
      </c>
      <c r="AD420" t="n">
        <v>9</v>
      </c>
      <c r="AE420" t="n">
        <v>14</v>
      </c>
      <c r="AF420" t="n">
        <v>1</v>
      </c>
      <c r="AG420" t="n">
        <v>3</v>
      </c>
      <c r="AH420" t="n">
        <v>1</v>
      </c>
      <c r="AI420" t="n">
        <v>2</v>
      </c>
      <c r="AJ420" t="n">
        <v>4</v>
      </c>
      <c r="AK420" t="n">
        <v>7</v>
      </c>
      <c r="AL420" t="n">
        <v>3</v>
      </c>
      <c r="AM420" t="n">
        <v>3</v>
      </c>
      <c r="AN420" t="n">
        <v>1</v>
      </c>
      <c r="AO420" t="n">
        <v>1</v>
      </c>
      <c r="AP420" t="inlineStr">
        <is>
          <t>No</t>
        </is>
      </c>
      <c r="AQ420" t="inlineStr">
        <is>
          <t>Yes</t>
        </is>
      </c>
      <c r="AR420">
        <f>HYPERLINK("http://catalog.hathitrust.org/Record/000331924","HathiTrust Record")</f>
        <v/>
      </c>
      <c r="AS420">
        <f>HYPERLINK("https://creighton-primo.hosted.exlibrisgroup.com/primo-explore/search?tab=default_tab&amp;search_scope=EVERYTHING&amp;vid=01CRU&amp;lang=en_US&amp;offset=0&amp;query=any,contains,991004309679702656","Catalog Record")</f>
        <v/>
      </c>
      <c r="AT420">
        <f>HYPERLINK("http://www.worldcat.org/oclc/2987238","WorldCat Record")</f>
        <v/>
      </c>
      <c r="AU420" t="inlineStr">
        <is>
          <t>1513277:eng</t>
        </is>
      </c>
      <c r="AV420" t="inlineStr">
        <is>
          <t>2987238</t>
        </is>
      </c>
      <c r="AW420" t="inlineStr">
        <is>
          <t>991004309679702656</t>
        </is>
      </c>
      <c r="AX420" t="inlineStr">
        <is>
          <t>991004309679702656</t>
        </is>
      </c>
      <c r="AY420" t="inlineStr">
        <is>
          <t>2263414580002656</t>
        </is>
      </c>
      <c r="AZ420" t="inlineStr">
        <is>
          <t>BOOK</t>
        </is>
      </c>
      <c r="BC420" t="inlineStr">
        <is>
          <t>32285002504248</t>
        </is>
      </c>
      <c r="BD420" t="inlineStr">
        <is>
          <t>893888545</t>
        </is>
      </c>
    </row>
    <row r="421">
      <c r="A421" t="inlineStr">
        <is>
          <t>No</t>
        </is>
      </c>
      <c r="B421" t="inlineStr">
        <is>
          <t>E178 .J65 1943</t>
        </is>
      </c>
      <c r="C421" t="inlineStr">
        <is>
          <t>0                      E  0178000J  65          1943</t>
        </is>
      </c>
      <c r="D421" t="inlineStr">
        <is>
          <t>American heroes and hero-worship / [by] Gerald W. Johnson.</t>
        </is>
      </c>
      <c r="F421" t="inlineStr">
        <is>
          <t>No</t>
        </is>
      </c>
      <c r="G421" t="inlineStr">
        <is>
          <t>1</t>
        </is>
      </c>
      <c r="H421" t="inlineStr">
        <is>
          <t>No</t>
        </is>
      </c>
      <c r="I421" t="inlineStr">
        <is>
          <t>No</t>
        </is>
      </c>
      <c r="J421" t="inlineStr">
        <is>
          <t>0</t>
        </is>
      </c>
      <c r="K421" t="inlineStr">
        <is>
          <t>Johnson, Gerald W. (Gerald White), 1890-1980.</t>
        </is>
      </c>
      <c r="L421" t="inlineStr">
        <is>
          <t>New York : London, Harper &amp; Brothers, [1943]</t>
        </is>
      </c>
      <c r="M421" t="inlineStr">
        <is>
          <t>1943</t>
        </is>
      </c>
      <c r="O421" t="inlineStr">
        <is>
          <t>eng</t>
        </is>
      </c>
      <c r="P421" t="inlineStr">
        <is>
          <t>nyu</t>
        </is>
      </c>
      <c r="R421" t="inlineStr">
        <is>
          <t xml:space="preserve">E  </t>
        </is>
      </c>
      <c r="S421" t="n">
        <v>2</v>
      </c>
      <c r="T421" t="n">
        <v>2</v>
      </c>
      <c r="U421" t="inlineStr">
        <is>
          <t>1997-05-03</t>
        </is>
      </c>
      <c r="V421" t="inlineStr">
        <is>
          <t>1997-05-03</t>
        </is>
      </c>
      <c r="W421" t="inlineStr">
        <is>
          <t>1991-01-17</t>
        </is>
      </c>
      <c r="X421" t="inlineStr">
        <is>
          <t>1991-01-17</t>
        </is>
      </c>
      <c r="Y421" t="n">
        <v>590</v>
      </c>
      <c r="Z421" t="n">
        <v>556</v>
      </c>
      <c r="AA421" t="n">
        <v>845</v>
      </c>
      <c r="AB421" t="n">
        <v>5</v>
      </c>
      <c r="AC421" t="n">
        <v>7</v>
      </c>
      <c r="AD421" t="n">
        <v>18</v>
      </c>
      <c r="AE421" t="n">
        <v>30</v>
      </c>
      <c r="AF421" t="n">
        <v>4</v>
      </c>
      <c r="AG421" t="n">
        <v>9</v>
      </c>
      <c r="AH421" t="n">
        <v>4</v>
      </c>
      <c r="AI421" t="n">
        <v>7</v>
      </c>
      <c r="AJ421" t="n">
        <v>9</v>
      </c>
      <c r="AK421" t="n">
        <v>14</v>
      </c>
      <c r="AL421" t="n">
        <v>3</v>
      </c>
      <c r="AM421" t="n">
        <v>5</v>
      </c>
      <c r="AN421" t="n">
        <v>0</v>
      </c>
      <c r="AO421" t="n">
        <v>0</v>
      </c>
      <c r="AP421" t="inlineStr">
        <is>
          <t>No</t>
        </is>
      </c>
      <c r="AQ421" t="inlineStr">
        <is>
          <t>Yes</t>
        </is>
      </c>
      <c r="AR421">
        <f>HYPERLINK("http://catalog.hathitrust.org/Record/000332291","HathiTrust Record")</f>
        <v/>
      </c>
      <c r="AS421">
        <f>HYPERLINK("https://creighton-primo.hosted.exlibrisgroup.com/primo-explore/search?tab=default_tab&amp;search_scope=EVERYTHING&amp;vid=01CRU&amp;lang=en_US&amp;offset=0&amp;query=any,contains,991003774399702656","Catalog Record")</f>
        <v/>
      </c>
      <c r="AT421">
        <f>HYPERLINK("http://www.worldcat.org/oclc/1478032","WorldCat Record")</f>
        <v/>
      </c>
      <c r="AU421" t="inlineStr">
        <is>
          <t>458201:eng</t>
        </is>
      </c>
      <c r="AV421" t="inlineStr">
        <is>
          <t>1478032</t>
        </is>
      </c>
      <c r="AW421" t="inlineStr">
        <is>
          <t>991003774399702656</t>
        </is>
      </c>
      <c r="AX421" t="inlineStr">
        <is>
          <t>991003774399702656</t>
        </is>
      </c>
      <c r="AY421" t="inlineStr">
        <is>
          <t>2258712170002656</t>
        </is>
      </c>
      <c r="AZ421" t="inlineStr">
        <is>
          <t>BOOK</t>
        </is>
      </c>
      <c r="BC421" t="inlineStr">
        <is>
          <t>32285000480227</t>
        </is>
      </c>
      <c r="BD421" t="inlineStr">
        <is>
          <t>893252767</t>
        </is>
      </c>
    </row>
    <row r="422">
      <c r="A422" t="inlineStr">
        <is>
          <t>No</t>
        </is>
      </c>
      <c r="B422" t="inlineStr">
        <is>
          <t>E178 .J675 1997</t>
        </is>
      </c>
      <c r="C422" t="inlineStr">
        <is>
          <t>0                      E  0178000J  675         1997</t>
        </is>
      </c>
      <c r="D422" t="inlineStr">
        <is>
          <t>A history of the American people / Paul Johnson.</t>
        </is>
      </c>
      <c r="F422" t="inlineStr">
        <is>
          <t>No</t>
        </is>
      </c>
      <c r="G422" t="inlineStr">
        <is>
          <t>1</t>
        </is>
      </c>
      <c r="H422" t="inlineStr">
        <is>
          <t>No</t>
        </is>
      </c>
      <c r="I422" t="inlineStr">
        <is>
          <t>No</t>
        </is>
      </c>
      <c r="J422" t="inlineStr">
        <is>
          <t>0</t>
        </is>
      </c>
      <c r="K422" t="inlineStr">
        <is>
          <t>Johnson, Paul, 1928-</t>
        </is>
      </c>
      <c r="L422" t="inlineStr">
        <is>
          <t>New York : HarperCollins Publishers, c1997.</t>
        </is>
      </c>
      <c r="M422" t="inlineStr">
        <is>
          <t>1997</t>
        </is>
      </c>
      <c r="N422" t="inlineStr">
        <is>
          <t>1st U.S. ed.</t>
        </is>
      </c>
      <c r="O422" t="inlineStr">
        <is>
          <t>eng</t>
        </is>
      </c>
      <c r="P422" t="inlineStr">
        <is>
          <t>nyu</t>
        </is>
      </c>
      <c r="R422" t="inlineStr">
        <is>
          <t xml:space="preserve">E  </t>
        </is>
      </c>
      <c r="S422" t="n">
        <v>2</v>
      </c>
      <c r="T422" t="n">
        <v>2</v>
      </c>
      <c r="U422" t="inlineStr">
        <is>
          <t>2000-07-02</t>
        </is>
      </c>
      <c r="V422" t="inlineStr">
        <is>
          <t>2000-07-02</t>
        </is>
      </c>
      <c r="W422" t="inlineStr">
        <is>
          <t>1999-01-06</t>
        </is>
      </c>
      <c r="X422" t="inlineStr">
        <is>
          <t>1999-01-06</t>
        </is>
      </c>
      <c r="Y422" t="n">
        <v>1871</v>
      </c>
      <c r="Z422" t="n">
        <v>1817</v>
      </c>
      <c r="AA422" t="n">
        <v>2280</v>
      </c>
      <c r="AB422" t="n">
        <v>15</v>
      </c>
      <c r="AC422" t="n">
        <v>19</v>
      </c>
      <c r="AD422" t="n">
        <v>36</v>
      </c>
      <c r="AE422" t="n">
        <v>49</v>
      </c>
      <c r="AF422" t="n">
        <v>17</v>
      </c>
      <c r="AG422" t="n">
        <v>19</v>
      </c>
      <c r="AH422" t="n">
        <v>6</v>
      </c>
      <c r="AI422" t="n">
        <v>9</v>
      </c>
      <c r="AJ422" t="n">
        <v>13</v>
      </c>
      <c r="AK422" t="n">
        <v>20</v>
      </c>
      <c r="AL422" t="n">
        <v>4</v>
      </c>
      <c r="AM422" t="n">
        <v>8</v>
      </c>
      <c r="AN422" t="n">
        <v>2</v>
      </c>
      <c r="AO422" t="n">
        <v>2</v>
      </c>
      <c r="AP422" t="inlineStr">
        <is>
          <t>No</t>
        </is>
      </c>
      <c r="AQ422" t="inlineStr">
        <is>
          <t>No</t>
        </is>
      </c>
      <c r="AS422">
        <f>HYPERLINK("https://creighton-primo.hosted.exlibrisgroup.com/primo-explore/search?tab=default_tab&amp;search_scope=EVERYTHING&amp;vid=01CRU&amp;lang=en_US&amp;offset=0&amp;query=any,contains,991002880339702656","Catalog Record")</f>
        <v/>
      </c>
      <c r="AT422">
        <f>HYPERLINK("http://www.worldcat.org/oclc/37966264","WorldCat Record")</f>
        <v/>
      </c>
      <c r="AU422" t="inlineStr">
        <is>
          <t>11025860:eng</t>
        </is>
      </c>
      <c r="AV422" t="inlineStr">
        <is>
          <t>37966264</t>
        </is>
      </c>
      <c r="AW422" t="inlineStr">
        <is>
          <t>991002880339702656</t>
        </is>
      </c>
      <c r="AX422" t="inlineStr">
        <is>
          <t>991002880339702656</t>
        </is>
      </c>
      <c r="AY422" t="inlineStr">
        <is>
          <t>2255688400002656</t>
        </is>
      </c>
      <c r="AZ422" t="inlineStr">
        <is>
          <t>BOOK</t>
        </is>
      </c>
      <c r="BB422" t="inlineStr">
        <is>
          <t>9780060168360</t>
        </is>
      </c>
      <c r="BC422" t="inlineStr">
        <is>
          <t>32285003510053</t>
        </is>
      </c>
      <c r="BD422" t="inlineStr">
        <is>
          <t>893251736</t>
        </is>
      </c>
    </row>
    <row r="423">
      <c r="A423" t="inlineStr">
        <is>
          <t>No</t>
        </is>
      </c>
      <c r="B423" t="inlineStr">
        <is>
          <t>E178 .L74</t>
        </is>
      </c>
      <c r="C423" t="inlineStr">
        <is>
          <t>0                      E  0178000L  74</t>
        </is>
      </c>
      <c r="D423" t="inlineStr">
        <is>
          <t>The Life history of the United States / consulting editor: Henry F. Graff.</t>
        </is>
      </c>
      <c r="E423" t="inlineStr">
        <is>
          <t>V.4</t>
        </is>
      </c>
      <c r="F423" t="inlineStr">
        <is>
          <t>Yes</t>
        </is>
      </c>
      <c r="G423" t="inlineStr">
        <is>
          <t>1</t>
        </is>
      </c>
      <c r="H423" t="inlineStr">
        <is>
          <t>No</t>
        </is>
      </c>
      <c r="I423" t="inlineStr">
        <is>
          <t>No</t>
        </is>
      </c>
      <c r="J423" t="inlineStr">
        <is>
          <t>0</t>
        </is>
      </c>
      <c r="L423" t="inlineStr">
        <is>
          <t>New York, Time, inc. [1963-64]</t>
        </is>
      </c>
      <c r="M423" t="inlineStr">
        <is>
          <t>1963</t>
        </is>
      </c>
      <c r="O423" t="inlineStr">
        <is>
          <t>eng</t>
        </is>
      </c>
      <c r="P423" t="inlineStr">
        <is>
          <t>nyu</t>
        </is>
      </c>
      <c r="R423" t="inlineStr">
        <is>
          <t xml:space="preserve">E  </t>
        </is>
      </c>
      <c r="S423" t="n">
        <v>0</v>
      </c>
      <c r="T423" t="n">
        <v>2</v>
      </c>
      <c r="V423" t="inlineStr">
        <is>
          <t>1996-10-22</t>
        </is>
      </c>
      <c r="W423" t="inlineStr">
        <is>
          <t>1996-08-27</t>
        </is>
      </c>
      <c r="X423" t="inlineStr">
        <is>
          <t>1996-08-27</t>
        </is>
      </c>
      <c r="Y423" t="n">
        <v>1498</v>
      </c>
      <c r="Z423" t="n">
        <v>1457</v>
      </c>
      <c r="AA423" t="n">
        <v>1858</v>
      </c>
      <c r="AB423" t="n">
        <v>13</v>
      </c>
      <c r="AC423" t="n">
        <v>13</v>
      </c>
      <c r="AD423" t="n">
        <v>25</v>
      </c>
      <c r="AE423" t="n">
        <v>28</v>
      </c>
      <c r="AF423" t="n">
        <v>11</v>
      </c>
      <c r="AG423" t="n">
        <v>12</v>
      </c>
      <c r="AH423" t="n">
        <v>3</v>
      </c>
      <c r="AI423" t="n">
        <v>4</v>
      </c>
      <c r="AJ423" t="n">
        <v>10</v>
      </c>
      <c r="AK423" t="n">
        <v>13</v>
      </c>
      <c r="AL423" t="n">
        <v>4</v>
      </c>
      <c r="AM423" t="n">
        <v>4</v>
      </c>
      <c r="AN423" t="n">
        <v>0</v>
      </c>
      <c r="AO423" t="n">
        <v>0</v>
      </c>
      <c r="AP423" t="inlineStr">
        <is>
          <t>No</t>
        </is>
      </c>
      <c r="AQ423" t="inlineStr">
        <is>
          <t>No</t>
        </is>
      </c>
      <c r="AS423">
        <f>HYPERLINK("https://creighton-primo.hosted.exlibrisgroup.com/primo-explore/search?tab=default_tab&amp;search_scope=EVERYTHING&amp;vid=01CRU&amp;lang=en_US&amp;offset=0&amp;query=any,contains,991000470579702656","Catalog Record")</f>
        <v/>
      </c>
      <c r="AT423">
        <f>HYPERLINK("http://www.worldcat.org/oclc/10996806","WorldCat Record")</f>
        <v/>
      </c>
      <c r="AU423" t="inlineStr">
        <is>
          <t>5090492815:eng</t>
        </is>
      </c>
      <c r="AV423" t="inlineStr">
        <is>
          <t>10996806</t>
        </is>
      </c>
      <c r="AW423" t="inlineStr">
        <is>
          <t>991000470579702656</t>
        </is>
      </c>
      <c r="AX423" t="inlineStr">
        <is>
          <t>991000470579702656</t>
        </is>
      </c>
      <c r="AY423" t="inlineStr">
        <is>
          <t>2261999160002656</t>
        </is>
      </c>
      <c r="AZ423" t="inlineStr">
        <is>
          <t>BOOK</t>
        </is>
      </c>
      <c r="BC423" t="inlineStr">
        <is>
          <t>32285002296308</t>
        </is>
      </c>
      <c r="BD423" t="inlineStr">
        <is>
          <t>893708395</t>
        </is>
      </c>
    </row>
    <row r="424">
      <c r="A424" t="inlineStr">
        <is>
          <t>No</t>
        </is>
      </c>
      <c r="B424" t="inlineStr">
        <is>
          <t>E178 .L74</t>
        </is>
      </c>
      <c r="C424" t="inlineStr">
        <is>
          <t>0                      E  0178000L  74</t>
        </is>
      </c>
      <c r="D424" t="inlineStr">
        <is>
          <t>The Life history of the United States / consulting editor: Henry F. Graff.</t>
        </is>
      </c>
      <c r="E424" t="inlineStr">
        <is>
          <t>V.2</t>
        </is>
      </c>
      <c r="F424" t="inlineStr">
        <is>
          <t>Yes</t>
        </is>
      </c>
      <c r="G424" t="inlineStr">
        <is>
          <t>1</t>
        </is>
      </c>
      <c r="H424" t="inlineStr">
        <is>
          <t>No</t>
        </is>
      </c>
      <c r="I424" t="inlineStr">
        <is>
          <t>No</t>
        </is>
      </c>
      <c r="J424" t="inlineStr">
        <is>
          <t>0</t>
        </is>
      </c>
      <c r="L424" t="inlineStr">
        <is>
          <t>New York, Time, inc. [1963-64]</t>
        </is>
      </c>
      <c r="M424" t="inlineStr">
        <is>
          <t>1963</t>
        </is>
      </c>
      <c r="O424" t="inlineStr">
        <is>
          <t>eng</t>
        </is>
      </c>
      <c r="P424" t="inlineStr">
        <is>
          <t>nyu</t>
        </is>
      </c>
      <c r="R424" t="inlineStr">
        <is>
          <t xml:space="preserve">E  </t>
        </is>
      </c>
      <c r="S424" t="n">
        <v>0</v>
      </c>
      <c r="T424" t="n">
        <v>2</v>
      </c>
      <c r="V424" t="inlineStr">
        <is>
          <t>1996-10-22</t>
        </is>
      </c>
      <c r="W424" t="inlineStr">
        <is>
          <t>1996-08-27</t>
        </is>
      </c>
      <c r="X424" t="inlineStr">
        <is>
          <t>1996-08-27</t>
        </is>
      </c>
      <c r="Y424" t="n">
        <v>1498</v>
      </c>
      <c r="Z424" t="n">
        <v>1457</v>
      </c>
      <c r="AA424" t="n">
        <v>1858</v>
      </c>
      <c r="AB424" t="n">
        <v>13</v>
      </c>
      <c r="AC424" t="n">
        <v>13</v>
      </c>
      <c r="AD424" t="n">
        <v>25</v>
      </c>
      <c r="AE424" t="n">
        <v>28</v>
      </c>
      <c r="AF424" t="n">
        <v>11</v>
      </c>
      <c r="AG424" t="n">
        <v>12</v>
      </c>
      <c r="AH424" t="n">
        <v>3</v>
      </c>
      <c r="AI424" t="n">
        <v>4</v>
      </c>
      <c r="AJ424" t="n">
        <v>10</v>
      </c>
      <c r="AK424" t="n">
        <v>13</v>
      </c>
      <c r="AL424" t="n">
        <v>4</v>
      </c>
      <c r="AM424" t="n">
        <v>4</v>
      </c>
      <c r="AN424" t="n">
        <v>0</v>
      </c>
      <c r="AO424" t="n">
        <v>0</v>
      </c>
      <c r="AP424" t="inlineStr">
        <is>
          <t>No</t>
        </is>
      </c>
      <c r="AQ424" t="inlineStr">
        <is>
          <t>No</t>
        </is>
      </c>
      <c r="AS424">
        <f>HYPERLINK("https://creighton-primo.hosted.exlibrisgroup.com/primo-explore/search?tab=default_tab&amp;search_scope=EVERYTHING&amp;vid=01CRU&amp;lang=en_US&amp;offset=0&amp;query=any,contains,991000470579702656","Catalog Record")</f>
        <v/>
      </c>
      <c r="AT424">
        <f>HYPERLINK("http://www.worldcat.org/oclc/10996806","WorldCat Record")</f>
        <v/>
      </c>
      <c r="AU424" t="inlineStr">
        <is>
          <t>5090492815:eng</t>
        </is>
      </c>
      <c r="AV424" t="inlineStr">
        <is>
          <t>10996806</t>
        </is>
      </c>
      <c r="AW424" t="inlineStr">
        <is>
          <t>991000470579702656</t>
        </is>
      </c>
      <c r="AX424" t="inlineStr">
        <is>
          <t>991000470579702656</t>
        </is>
      </c>
      <c r="AY424" t="inlineStr">
        <is>
          <t>2261999160002656</t>
        </is>
      </c>
      <c r="AZ424" t="inlineStr">
        <is>
          <t>BOOK</t>
        </is>
      </c>
      <c r="BC424" t="inlineStr">
        <is>
          <t>32285002296282</t>
        </is>
      </c>
      <c r="BD424" t="inlineStr">
        <is>
          <t>893702130</t>
        </is>
      </c>
    </row>
    <row r="425">
      <c r="A425" t="inlineStr">
        <is>
          <t>No</t>
        </is>
      </c>
      <c r="B425" t="inlineStr">
        <is>
          <t>E178 .L74</t>
        </is>
      </c>
      <c r="C425" t="inlineStr">
        <is>
          <t>0                      E  0178000L  74</t>
        </is>
      </c>
      <c r="D425" t="inlineStr">
        <is>
          <t>The Life history of the United States / consulting editor: Henry F. Graff.</t>
        </is>
      </c>
      <c r="E425" t="inlineStr">
        <is>
          <t>V.1</t>
        </is>
      </c>
      <c r="F425" t="inlineStr">
        <is>
          <t>Yes</t>
        </is>
      </c>
      <c r="G425" t="inlineStr">
        <is>
          <t>1</t>
        </is>
      </c>
      <c r="H425" t="inlineStr">
        <is>
          <t>No</t>
        </is>
      </c>
      <c r="I425" t="inlineStr">
        <is>
          <t>No</t>
        </is>
      </c>
      <c r="J425" t="inlineStr">
        <is>
          <t>0</t>
        </is>
      </c>
      <c r="L425" t="inlineStr">
        <is>
          <t>New York, Time, inc. [1963-64]</t>
        </is>
      </c>
      <c r="M425" t="inlineStr">
        <is>
          <t>1963</t>
        </is>
      </c>
      <c r="O425" t="inlineStr">
        <is>
          <t>eng</t>
        </is>
      </c>
      <c r="P425" t="inlineStr">
        <is>
          <t>nyu</t>
        </is>
      </c>
      <c r="R425" t="inlineStr">
        <is>
          <t xml:space="preserve">E  </t>
        </is>
      </c>
      <c r="S425" t="n">
        <v>0</v>
      </c>
      <c r="T425" t="n">
        <v>2</v>
      </c>
      <c r="V425" t="inlineStr">
        <is>
          <t>1996-10-22</t>
        </is>
      </c>
      <c r="W425" t="inlineStr">
        <is>
          <t>1996-08-27</t>
        </is>
      </c>
      <c r="X425" t="inlineStr">
        <is>
          <t>1996-08-27</t>
        </is>
      </c>
      <c r="Y425" t="n">
        <v>1498</v>
      </c>
      <c r="Z425" t="n">
        <v>1457</v>
      </c>
      <c r="AA425" t="n">
        <v>1858</v>
      </c>
      <c r="AB425" t="n">
        <v>13</v>
      </c>
      <c r="AC425" t="n">
        <v>13</v>
      </c>
      <c r="AD425" t="n">
        <v>25</v>
      </c>
      <c r="AE425" t="n">
        <v>28</v>
      </c>
      <c r="AF425" t="n">
        <v>11</v>
      </c>
      <c r="AG425" t="n">
        <v>12</v>
      </c>
      <c r="AH425" t="n">
        <v>3</v>
      </c>
      <c r="AI425" t="n">
        <v>4</v>
      </c>
      <c r="AJ425" t="n">
        <v>10</v>
      </c>
      <c r="AK425" t="n">
        <v>13</v>
      </c>
      <c r="AL425" t="n">
        <v>4</v>
      </c>
      <c r="AM425" t="n">
        <v>4</v>
      </c>
      <c r="AN425" t="n">
        <v>0</v>
      </c>
      <c r="AO425" t="n">
        <v>0</v>
      </c>
      <c r="AP425" t="inlineStr">
        <is>
          <t>No</t>
        </is>
      </c>
      <c r="AQ425" t="inlineStr">
        <is>
          <t>No</t>
        </is>
      </c>
      <c r="AS425">
        <f>HYPERLINK("https://creighton-primo.hosted.exlibrisgroup.com/primo-explore/search?tab=default_tab&amp;search_scope=EVERYTHING&amp;vid=01CRU&amp;lang=en_US&amp;offset=0&amp;query=any,contains,991000470579702656","Catalog Record")</f>
        <v/>
      </c>
      <c r="AT425">
        <f>HYPERLINK("http://www.worldcat.org/oclc/10996806","WorldCat Record")</f>
        <v/>
      </c>
      <c r="AU425" t="inlineStr">
        <is>
          <t>5090492815:eng</t>
        </is>
      </c>
      <c r="AV425" t="inlineStr">
        <is>
          <t>10996806</t>
        </is>
      </c>
      <c r="AW425" t="inlineStr">
        <is>
          <t>991000470579702656</t>
        </is>
      </c>
      <c r="AX425" t="inlineStr">
        <is>
          <t>991000470579702656</t>
        </is>
      </c>
      <c r="AY425" t="inlineStr">
        <is>
          <t>2261999160002656</t>
        </is>
      </c>
      <c r="AZ425" t="inlineStr">
        <is>
          <t>BOOK</t>
        </is>
      </c>
      <c r="BC425" t="inlineStr">
        <is>
          <t>32285002296274</t>
        </is>
      </c>
      <c r="BD425" t="inlineStr">
        <is>
          <t>893702128</t>
        </is>
      </c>
    </row>
    <row r="426">
      <c r="A426" t="inlineStr">
        <is>
          <t>No</t>
        </is>
      </c>
      <c r="B426" t="inlineStr">
        <is>
          <t>E178 .L74</t>
        </is>
      </c>
      <c r="C426" t="inlineStr">
        <is>
          <t>0                      E  0178000L  74</t>
        </is>
      </c>
      <c r="D426" t="inlineStr">
        <is>
          <t>The Life history of the United States / consulting editor: Henry F. Graff.</t>
        </is>
      </c>
      <c r="E426" t="inlineStr">
        <is>
          <t>V.8</t>
        </is>
      </c>
      <c r="F426" t="inlineStr">
        <is>
          <t>Yes</t>
        </is>
      </c>
      <c r="G426" t="inlineStr">
        <is>
          <t>1</t>
        </is>
      </c>
      <c r="H426" t="inlineStr">
        <is>
          <t>No</t>
        </is>
      </c>
      <c r="I426" t="inlineStr">
        <is>
          <t>No</t>
        </is>
      </c>
      <c r="J426" t="inlineStr">
        <is>
          <t>0</t>
        </is>
      </c>
      <c r="L426" t="inlineStr">
        <is>
          <t>New York, Time, inc. [1963-64]</t>
        </is>
      </c>
      <c r="M426" t="inlineStr">
        <is>
          <t>1963</t>
        </is>
      </c>
      <c r="O426" t="inlineStr">
        <is>
          <t>eng</t>
        </is>
      </c>
      <c r="P426" t="inlineStr">
        <is>
          <t>nyu</t>
        </is>
      </c>
      <c r="R426" t="inlineStr">
        <is>
          <t xml:space="preserve">E  </t>
        </is>
      </c>
      <c r="S426" t="n">
        <v>0</v>
      </c>
      <c r="T426" t="n">
        <v>2</v>
      </c>
      <c r="V426" t="inlineStr">
        <is>
          <t>1996-10-22</t>
        </is>
      </c>
      <c r="W426" t="inlineStr">
        <is>
          <t>1996-08-27</t>
        </is>
      </c>
      <c r="X426" t="inlineStr">
        <is>
          <t>1996-08-27</t>
        </is>
      </c>
      <c r="Y426" t="n">
        <v>1498</v>
      </c>
      <c r="Z426" t="n">
        <v>1457</v>
      </c>
      <c r="AA426" t="n">
        <v>1858</v>
      </c>
      <c r="AB426" t="n">
        <v>13</v>
      </c>
      <c r="AC426" t="n">
        <v>13</v>
      </c>
      <c r="AD426" t="n">
        <v>25</v>
      </c>
      <c r="AE426" t="n">
        <v>28</v>
      </c>
      <c r="AF426" t="n">
        <v>11</v>
      </c>
      <c r="AG426" t="n">
        <v>12</v>
      </c>
      <c r="AH426" t="n">
        <v>3</v>
      </c>
      <c r="AI426" t="n">
        <v>4</v>
      </c>
      <c r="AJ426" t="n">
        <v>10</v>
      </c>
      <c r="AK426" t="n">
        <v>13</v>
      </c>
      <c r="AL426" t="n">
        <v>4</v>
      </c>
      <c r="AM426" t="n">
        <v>4</v>
      </c>
      <c r="AN426" t="n">
        <v>0</v>
      </c>
      <c r="AO426" t="n">
        <v>0</v>
      </c>
      <c r="AP426" t="inlineStr">
        <is>
          <t>No</t>
        </is>
      </c>
      <c r="AQ426" t="inlineStr">
        <is>
          <t>No</t>
        </is>
      </c>
      <c r="AS426">
        <f>HYPERLINK("https://creighton-primo.hosted.exlibrisgroup.com/primo-explore/search?tab=default_tab&amp;search_scope=EVERYTHING&amp;vid=01CRU&amp;lang=en_US&amp;offset=0&amp;query=any,contains,991000470579702656","Catalog Record")</f>
        <v/>
      </c>
      <c r="AT426">
        <f>HYPERLINK("http://www.worldcat.org/oclc/10996806","WorldCat Record")</f>
        <v/>
      </c>
      <c r="AU426" t="inlineStr">
        <is>
          <t>5090492815:eng</t>
        </is>
      </c>
      <c r="AV426" t="inlineStr">
        <is>
          <t>10996806</t>
        </is>
      </c>
      <c r="AW426" t="inlineStr">
        <is>
          <t>991000470579702656</t>
        </is>
      </c>
      <c r="AX426" t="inlineStr">
        <is>
          <t>991000470579702656</t>
        </is>
      </c>
      <c r="AY426" t="inlineStr">
        <is>
          <t>2261999160002656</t>
        </is>
      </c>
      <c r="AZ426" t="inlineStr">
        <is>
          <t>BOOK</t>
        </is>
      </c>
      <c r="BC426" t="inlineStr">
        <is>
          <t>32285002296340</t>
        </is>
      </c>
      <c r="BD426" t="inlineStr">
        <is>
          <t>893689721</t>
        </is>
      </c>
    </row>
    <row r="427">
      <c r="A427" t="inlineStr">
        <is>
          <t>No</t>
        </is>
      </c>
      <c r="B427" t="inlineStr">
        <is>
          <t>E178 .L74</t>
        </is>
      </c>
      <c r="C427" t="inlineStr">
        <is>
          <t>0                      E  0178000L  74</t>
        </is>
      </c>
      <c r="D427" t="inlineStr">
        <is>
          <t>The Life history of the United States / consulting editor: Henry F. Graff.</t>
        </is>
      </c>
      <c r="E427" t="inlineStr">
        <is>
          <t>V.3</t>
        </is>
      </c>
      <c r="F427" t="inlineStr">
        <is>
          <t>Yes</t>
        </is>
      </c>
      <c r="G427" t="inlineStr">
        <is>
          <t>1</t>
        </is>
      </c>
      <c r="H427" t="inlineStr">
        <is>
          <t>No</t>
        </is>
      </c>
      <c r="I427" t="inlineStr">
        <is>
          <t>No</t>
        </is>
      </c>
      <c r="J427" t="inlineStr">
        <is>
          <t>0</t>
        </is>
      </c>
      <c r="L427" t="inlineStr">
        <is>
          <t>New York, Time, inc. [1963-64]</t>
        </is>
      </c>
      <c r="M427" t="inlineStr">
        <is>
          <t>1963</t>
        </is>
      </c>
      <c r="O427" t="inlineStr">
        <is>
          <t>eng</t>
        </is>
      </c>
      <c r="P427" t="inlineStr">
        <is>
          <t>nyu</t>
        </is>
      </c>
      <c r="R427" t="inlineStr">
        <is>
          <t xml:space="preserve">E  </t>
        </is>
      </c>
      <c r="S427" t="n">
        <v>0</v>
      </c>
      <c r="T427" t="n">
        <v>2</v>
      </c>
      <c r="V427" t="inlineStr">
        <is>
          <t>1996-10-22</t>
        </is>
      </c>
      <c r="W427" t="inlineStr">
        <is>
          <t>1996-08-27</t>
        </is>
      </c>
      <c r="X427" t="inlineStr">
        <is>
          <t>1996-08-27</t>
        </is>
      </c>
      <c r="Y427" t="n">
        <v>1498</v>
      </c>
      <c r="Z427" t="n">
        <v>1457</v>
      </c>
      <c r="AA427" t="n">
        <v>1858</v>
      </c>
      <c r="AB427" t="n">
        <v>13</v>
      </c>
      <c r="AC427" t="n">
        <v>13</v>
      </c>
      <c r="AD427" t="n">
        <v>25</v>
      </c>
      <c r="AE427" t="n">
        <v>28</v>
      </c>
      <c r="AF427" t="n">
        <v>11</v>
      </c>
      <c r="AG427" t="n">
        <v>12</v>
      </c>
      <c r="AH427" t="n">
        <v>3</v>
      </c>
      <c r="AI427" t="n">
        <v>4</v>
      </c>
      <c r="AJ427" t="n">
        <v>10</v>
      </c>
      <c r="AK427" t="n">
        <v>13</v>
      </c>
      <c r="AL427" t="n">
        <v>4</v>
      </c>
      <c r="AM427" t="n">
        <v>4</v>
      </c>
      <c r="AN427" t="n">
        <v>0</v>
      </c>
      <c r="AO427" t="n">
        <v>0</v>
      </c>
      <c r="AP427" t="inlineStr">
        <is>
          <t>No</t>
        </is>
      </c>
      <c r="AQ427" t="inlineStr">
        <is>
          <t>No</t>
        </is>
      </c>
      <c r="AS427">
        <f>HYPERLINK("https://creighton-primo.hosted.exlibrisgroup.com/primo-explore/search?tab=default_tab&amp;search_scope=EVERYTHING&amp;vid=01CRU&amp;lang=en_US&amp;offset=0&amp;query=any,contains,991000470579702656","Catalog Record")</f>
        <v/>
      </c>
      <c r="AT427">
        <f>HYPERLINK("http://www.worldcat.org/oclc/10996806","WorldCat Record")</f>
        <v/>
      </c>
      <c r="AU427" t="inlineStr">
        <is>
          <t>5090492815:eng</t>
        </is>
      </c>
      <c r="AV427" t="inlineStr">
        <is>
          <t>10996806</t>
        </is>
      </c>
      <c r="AW427" t="inlineStr">
        <is>
          <t>991000470579702656</t>
        </is>
      </c>
      <c r="AX427" t="inlineStr">
        <is>
          <t>991000470579702656</t>
        </is>
      </c>
      <c r="AY427" t="inlineStr">
        <is>
          <t>2261999160002656</t>
        </is>
      </c>
      <c r="AZ427" t="inlineStr">
        <is>
          <t>BOOK</t>
        </is>
      </c>
      <c r="BC427" t="inlineStr">
        <is>
          <t>32285002296290</t>
        </is>
      </c>
      <c r="BD427" t="inlineStr">
        <is>
          <t>893702127</t>
        </is>
      </c>
    </row>
    <row r="428">
      <c r="A428" t="inlineStr">
        <is>
          <t>No</t>
        </is>
      </c>
      <c r="B428" t="inlineStr">
        <is>
          <t>E178 .L74</t>
        </is>
      </c>
      <c r="C428" t="inlineStr">
        <is>
          <t>0                      E  0178000L  74</t>
        </is>
      </c>
      <c r="D428" t="inlineStr">
        <is>
          <t>The Life history of the United States / consulting editor: Henry F. Graff.</t>
        </is>
      </c>
      <c r="E428" t="inlineStr">
        <is>
          <t>V.5</t>
        </is>
      </c>
      <c r="F428" t="inlineStr">
        <is>
          <t>Yes</t>
        </is>
      </c>
      <c r="G428" t="inlineStr">
        <is>
          <t>1</t>
        </is>
      </c>
      <c r="H428" t="inlineStr">
        <is>
          <t>No</t>
        </is>
      </c>
      <c r="I428" t="inlineStr">
        <is>
          <t>No</t>
        </is>
      </c>
      <c r="J428" t="inlineStr">
        <is>
          <t>0</t>
        </is>
      </c>
      <c r="L428" t="inlineStr">
        <is>
          <t>New York, Time, inc. [1963-64]</t>
        </is>
      </c>
      <c r="M428" t="inlineStr">
        <is>
          <t>1963</t>
        </is>
      </c>
      <c r="O428" t="inlineStr">
        <is>
          <t>eng</t>
        </is>
      </c>
      <c r="P428" t="inlineStr">
        <is>
          <t>nyu</t>
        </is>
      </c>
      <c r="R428" t="inlineStr">
        <is>
          <t xml:space="preserve">E  </t>
        </is>
      </c>
      <c r="S428" t="n">
        <v>0</v>
      </c>
      <c r="T428" t="n">
        <v>2</v>
      </c>
      <c r="V428" t="inlineStr">
        <is>
          <t>1996-10-22</t>
        </is>
      </c>
      <c r="W428" t="inlineStr">
        <is>
          <t>1996-08-27</t>
        </is>
      </c>
      <c r="X428" t="inlineStr">
        <is>
          <t>1996-08-27</t>
        </is>
      </c>
      <c r="Y428" t="n">
        <v>1498</v>
      </c>
      <c r="Z428" t="n">
        <v>1457</v>
      </c>
      <c r="AA428" t="n">
        <v>1858</v>
      </c>
      <c r="AB428" t="n">
        <v>13</v>
      </c>
      <c r="AC428" t="n">
        <v>13</v>
      </c>
      <c r="AD428" t="n">
        <v>25</v>
      </c>
      <c r="AE428" t="n">
        <v>28</v>
      </c>
      <c r="AF428" t="n">
        <v>11</v>
      </c>
      <c r="AG428" t="n">
        <v>12</v>
      </c>
      <c r="AH428" t="n">
        <v>3</v>
      </c>
      <c r="AI428" t="n">
        <v>4</v>
      </c>
      <c r="AJ428" t="n">
        <v>10</v>
      </c>
      <c r="AK428" t="n">
        <v>13</v>
      </c>
      <c r="AL428" t="n">
        <v>4</v>
      </c>
      <c r="AM428" t="n">
        <v>4</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HYPERLINK("https://creighton-primo.hosted.exlibrisgroup.com/primo-explore/search?tab=default_tab&amp;search_scope=EVERYTHING&amp;vid=01CRU&amp;lang=en_US&amp;offset=0&amp;query=any,contains,991000470579702656","Catalog Record")</f>
        <v/>
      </c>
      <c r="AT428">
        <f>HYPERLINK("http://www.worldcat.org/oclc/10996806","WorldCat Record")</f>
        <v/>
      </c>
      <c r="AU428" t="inlineStr">
        <is>
          <t>5090492815:eng</t>
        </is>
      </c>
      <c r="AV428" t="inlineStr">
        <is>
          <t>10996806</t>
        </is>
      </c>
      <c r="AW428" t="inlineStr">
        <is>
          <t>991000470579702656</t>
        </is>
      </c>
      <c r="AX428" t="inlineStr">
        <is>
          <t>991000470579702656</t>
        </is>
      </c>
      <c r="AY428" t="inlineStr">
        <is>
          <t>2261999160002656</t>
        </is>
      </c>
      <c r="AZ428" t="inlineStr">
        <is>
          <t>BOOK</t>
        </is>
      </c>
      <c r="BC428" t="inlineStr">
        <is>
          <t>32285002296316</t>
        </is>
      </c>
      <c r="BD428" t="inlineStr">
        <is>
          <t>893702126</t>
        </is>
      </c>
    </row>
    <row r="429">
      <c r="A429" t="inlineStr">
        <is>
          <t>No</t>
        </is>
      </c>
      <c r="B429" t="inlineStr">
        <is>
          <t>E178 .L74</t>
        </is>
      </c>
      <c r="C429" t="inlineStr">
        <is>
          <t>0                      E  0178000L  74</t>
        </is>
      </c>
      <c r="D429" t="inlineStr">
        <is>
          <t>The Life history of the United States / consulting editor: Henry F. Graff.</t>
        </is>
      </c>
      <c r="E429" t="inlineStr">
        <is>
          <t>V.12</t>
        </is>
      </c>
      <c r="F429" t="inlineStr">
        <is>
          <t>Yes</t>
        </is>
      </c>
      <c r="G429" t="inlineStr">
        <is>
          <t>1</t>
        </is>
      </c>
      <c r="H429" t="inlineStr">
        <is>
          <t>No</t>
        </is>
      </c>
      <c r="I429" t="inlineStr">
        <is>
          <t>No</t>
        </is>
      </c>
      <c r="J429" t="inlineStr">
        <is>
          <t>0</t>
        </is>
      </c>
      <c r="L429" t="inlineStr">
        <is>
          <t>New York, Time, inc. [1963-64]</t>
        </is>
      </c>
      <c r="M429" t="inlineStr">
        <is>
          <t>1963</t>
        </is>
      </c>
      <c r="O429" t="inlineStr">
        <is>
          <t>eng</t>
        </is>
      </c>
      <c r="P429" t="inlineStr">
        <is>
          <t>nyu</t>
        </is>
      </c>
      <c r="R429" t="inlineStr">
        <is>
          <t xml:space="preserve">E  </t>
        </is>
      </c>
      <c r="S429" t="n">
        <v>0</v>
      </c>
      <c r="T429" t="n">
        <v>2</v>
      </c>
      <c r="V429" t="inlineStr">
        <is>
          <t>1996-10-22</t>
        </is>
      </c>
      <c r="W429" t="inlineStr">
        <is>
          <t>1996-08-27</t>
        </is>
      </c>
      <c r="X429" t="inlineStr">
        <is>
          <t>1996-08-27</t>
        </is>
      </c>
      <c r="Y429" t="n">
        <v>1498</v>
      </c>
      <c r="Z429" t="n">
        <v>1457</v>
      </c>
      <c r="AA429" t="n">
        <v>1858</v>
      </c>
      <c r="AB429" t="n">
        <v>13</v>
      </c>
      <c r="AC429" t="n">
        <v>13</v>
      </c>
      <c r="AD429" t="n">
        <v>25</v>
      </c>
      <c r="AE429" t="n">
        <v>28</v>
      </c>
      <c r="AF429" t="n">
        <v>11</v>
      </c>
      <c r="AG429" t="n">
        <v>12</v>
      </c>
      <c r="AH429" t="n">
        <v>3</v>
      </c>
      <c r="AI429" t="n">
        <v>4</v>
      </c>
      <c r="AJ429" t="n">
        <v>10</v>
      </c>
      <c r="AK429" t="n">
        <v>13</v>
      </c>
      <c r="AL429" t="n">
        <v>4</v>
      </c>
      <c r="AM429" t="n">
        <v>4</v>
      </c>
      <c r="AN429" t="n">
        <v>0</v>
      </c>
      <c r="AO429" t="n">
        <v>0</v>
      </c>
      <c r="AP429" t="inlineStr">
        <is>
          <t>No</t>
        </is>
      </c>
      <c r="AQ429" t="inlineStr">
        <is>
          <t>No</t>
        </is>
      </c>
      <c r="AS429">
        <f>HYPERLINK("https://creighton-primo.hosted.exlibrisgroup.com/primo-explore/search?tab=default_tab&amp;search_scope=EVERYTHING&amp;vid=01CRU&amp;lang=en_US&amp;offset=0&amp;query=any,contains,991000470579702656","Catalog Record")</f>
        <v/>
      </c>
      <c r="AT429">
        <f>HYPERLINK("http://www.worldcat.org/oclc/10996806","WorldCat Record")</f>
        <v/>
      </c>
      <c r="AU429" t="inlineStr">
        <is>
          <t>5090492815:eng</t>
        </is>
      </c>
      <c r="AV429" t="inlineStr">
        <is>
          <t>10996806</t>
        </is>
      </c>
      <c r="AW429" t="inlineStr">
        <is>
          <t>991000470579702656</t>
        </is>
      </c>
      <c r="AX429" t="inlineStr">
        <is>
          <t>991000470579702656</t>
        </is>
      </c>
      <c r="AY429" t="inlineStr">
        <is>
          <t>2261999160002656</t>
        </is>
      </c>
      <c r="AZ429" t="inlineStr">
        <is>
          <t>BOOK</t>
        </is>
      </c>
      <c r="BC429" t="inlineStr">
        <is>
          <t>32285002296381</t>
        </is>
      </c>
      <c r="BD429" t="inlineStr">
        <is>
          <t>893689719</t>
        </is>
      </c>
    </row>
    <row r="430">
      <c r="A430" t="inlineStr">
        <is>
          <t>No</t>
        </is>
      </c>
      <c r="B430" t="inlineStr">
        <is>
          <t>E178 .L74</t>
        </is>
      </c>
      <c r="C430" t="inlineStr">
        <is>
          <t>0                      E  0178000L  74</t>
        </is>
      </c>
      <c r="D430" t="inlineStr">
        <is>
          <t>The Life history of the United States / consulting editor: Henry F. Graff.</t>
        </is>
      </c>
      <c r="E430" t="inlineStr">
        <is>
          <t>V.9</t>
        </is>
      </c>
      <c r="F430" t="inlineStr">
        <is>
          <t>Yes</t>
        </is>
      </c>
      <c r="G430" t="inlineStr">
        <is>
          <t>1</t>
        </is>
      </c>
      <c r="H430" t="inlineStr">
        <is>
          <t>No</t>
        </is>
      </c>
      <c r="I430" t="inlineStr">
        <is>
          <t>No</t>
        </is>
      </c>
      <c r="J430" t="inlineStr">
        <is>
          <t>0</t>
        </is>
      </c>
      <c r="L430" t="inlineStr">
        <is>
          <t>New York, Time, inc. [1963-64]</t>
        </is>
      </c>
      <c r="M430" t="inlineStr">
        <is>
          <t>1963</t>
        </is>
      </c>
      <c r="O430" t="inlineStr">
        <is>
          <t>eng</t>
        </is>
      </c>
      <c r="P430" t="inlineStr">
        <is>
          <t>nyu</t>
        </is>
      </c>
      <c r="R430" t="inlineStr">
        <is>
          <t xml:space="preserve">E  </t>
        </is>
      </c>
      <c r="S430" t="n">
        <v>0</v>
      </c>
      <c r="T430" t="n">
        <v>2</v>
      </c>
      <c r="V430" t="inlineStr">
        <is>
          <t>1996-10-22</t>
        </is>
      </c>
      <c r="W430" t="inlineStr">
        <is>
          <t>1996-08-27</t>
        </is>
      </c>
      <c r="X430" t="inlineStr">
        <is>
          <t>1996-08-27</t>
        </is>
      </c>
      <c r="Y430" t="n">
        <v>1498</v>
      </c>
      <c r="Z430" t="n">
        <v>1457</v>
      </c>
      <c r="AA430" t="n">
        <v>1858</v>
      </c>
      <c r="AB430" t="n">
        <v>13</v>
      </c>
      <c r="AC430" t="n">
        <v>13</v>
      </c>
      <c r="AD430" t="n">
        <v>25</v>
      </c>
      <c r="AE430" t="n">
        <v>28</v>
      </c>
      <c r="AF430" t="n">
        <v>11</v>
      </c>
      <c r="AG430" t="n">
        <v>12</v>
      </c>
      <c r="AH430" t="n">
        <v>3</v>
      </c>
      <c r="AI430" t="n">
        <v>4</v>
      </c>
      <c r="AJ430" t="n">
        <v>10</v>
      </c>
      <c r="AK430" t="n">
        <v>13</v>
      </c>
      <c r="AL430" t="n">
        <v>4</v>
      </c>
      <c r="AM430" t="n">
        <v>4</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HYPERLINK("https://creighton-primo.hosted.exlibrisgroup.com/primo-explore/search?tab=default_tab&amp;search_scope=EVERYTHING&amp;vid=01CRU&amp;lang=en_US&amp;offset=0&amp;query=any,contains,991000470579702656","Catalog Record")</f>
        <v/>
      </c>
      <c r="AT430">
        <f>HYPERLINK("http://www.worldcat.org/oclc/10996806","WorldCat Record")</f>
        <v/>
      </c>
      <c r="AU430" t="inlineStr">
        <is>
          <t>5090492815:eng</t>
        </is>
      </c>
      <c r="AV430" t="inlineStr">
        <is>
          <t>10996806</t>
        </is>
      </c>
      <c r="AW430" t="inlineStr">
        <is>
          <t>991000470579702656</t>
        </is>
      </c>
      <c r="AX430" t="inlineStr">
        <is>
          <t>991000470579702656</t>
        </is>
      </c>
      <c r="AY430" t="inlineStr">
        <is>
          <t>2261999160002656</t>
        </is>
      </c>
      <c r="AZ430" t="inlineStr">
        <is>
          <t>BOOK</t>
        </is>
      </c>
      <c r="BC430" t="inlineStr">
        <is>
          <t>32285002296357</t>
        </is>
      </c>
      <c r="BD430" t="inlineStr">
        <is>
          <t>893695857</t>
        </is>
      </c>
    </row>
    <row r="431">
      <c r="A431" t="inlineStr">
        <is>
          <t>No</t>
        </is>
      </c>
      <c r="B431" t="inlineStr">
        <is>
          <t>E178 .L74</t>
        </is>
      </c>
      <c r="C431" t="inlineStr">
        <is>
          <t>0                      E  0178000L  74</t>
        </is>
      </c>
      <c r="D431" t="inlineStr">
        <is>
          <t>The Life history of the United States / consulting editor: Henry F. Graff.</t>
        </is>
      </c>
      <c r="E431" t="inlineStr">
        <is>
          <t>V.6</t>
        </is>
      </c>
      <c r="F431" t="inlineStr">
        <is>
          <t>Yes</t>
        </is>
      </c>
      <c r="G431" t="inlineStr">
        <is>
          <t>1</t>
        </is>
      </c>
      <c r="H431" t="inlineStr">
        <is>
          <t>No</t>
        </is>
      </c>
      <c r="I431" t="inlineStr">
        <is>
          <t>No</t>
        </is>
      </c>
      <c r="J431" t="inlineStr">
        <is>
          <t>0</t>
        </is>
      </c>
      <c r="L431" t="inlineStr">
        <is>
          <t>New York, Time, inc. [1963-64]</t>
        </is>
      </c>
      <c r="M431" t="inlineStr">
        <is>
          <t>1963</t>
        </is>
      </c>
      <c r="O431" t="inlineStr">
        <is>
          <t>eng</t>
        </is>
      </c>
      <c r="P431" t="inlineStr">
        <is>
          <t>nyu</t>
        </is>
      </c>
      <c r="R431" t="inlineStr">
        <is>
          <t xml:space="preserve">E  </t>
        </is>
      </c>
      <c r="S431" t="n">
        <v>0</v>
      </c>
      <c r="T431" t="n">
        <v>2</v>
      </c>
      <c r="V431" t="inlineStr">
        <is>
          <t>1996-10-22</t>
        </is>
      </c>
      <c r="W431" t="inlineStr">
        <is>
          <t>1996-08-27</t>
        </is>
      </c>
      <c r="X431" t="inlineStr">
        <is>
          <t>1996-08-27</t>
        </is>
      </c>
      <c r="Y431" t="n">
        <v>1498</v>
      </c>
      <c r="Z431" t="n">
        <v>1457</v>
      </c>
      <c r="AA431" t="n">
        <v>1858</v>
      </c>
      <c r="AB431" t="n">
        <v>13</v>
      </c>
      <c r="AC431" t="n">
        <v>13</v>
      </c>
      <c r="AD431" t="n">
        <v>25</v>
      </c>
      <c r="AE431" t="n">
        <v>28</v>
      </c>
      <c r="AF431" t="n">
        <v>11</v>
      </c>
      <c r="AG431" t="n">
        <v>12</v>
      </c>
      <c r="AH431" t="n">
        <v>3</v>
      </c>
      <c r="AI431" t="n">
        <v>4</v>
      </c>
      <c r="AJ431" t="n">
        <v>10</v>
      </c>
      <c r="AK431" t="n">
        <v>13</v>
      </c>
      <c r="AL431" t="n">
        <v>4</v>
      </c>
      <c r="AM431" t="n">
        <v>4</v>
      </c>
      <c r="AN431" t="n">
        <v>0</v>
      </c>
      <c r="AO431" t="n">
        <v>0</v>
      </c>
      <c r="AP431" t="inlineStr">
        <is>
          <t>No</t>
        </is>
      </c>
      <c r="AQ431" t="inlineStr">
        <is>
          <t>No</t>
        </is>
      </c>
      <c r="AS431">
        <f>HYPERLINK("https://creighton-primo.hosted.exlibrisgroup.com/primo-explore/search?tab=default_tab&amp;search_scope=EVERYTHING&amp;vid=01CRU&amp;lang=en_US&amp;offset=0&amp;query=any,contains,991000470579702656","Catalog Record")</f>
        <v/>
      </c>
      <c r="AT431">
        <f>HYPERLINK("http://www.worldcat.org/oclc/10996806","WorldCat Record")</f>
        <v/>
      </c>
      <c r="AU431" t="inlineStr">
        <is>
          <t>5090492815:eng</t>
        </is>
      </c>
      <c r="AV431" t="inlineStr">
        <is>
          <t>10996806</t>
        </is>
      </c>
      <c r="AW431" t="inlineStr">
        <is>
          <t>991000470579702656</t>
        </is>
      </c>
      <c r="AX431" t="inlineStr">
        <is>
          <t>991000470579702656</t>
        </is>
      </c>
      <c r="AY431" t="inlineStr">
        <is>
          <t>2261999160002656</t>
        </is>
      </c>
      <c r="AZ431" t="inlineStr">
        <is>
          <t>BOOK</t>
        </is>
      </c>
      <c r="BC431" t="inlineStr">
        <is>
          <t>32285002296324</t>
        </is>
      </c>
      <c r="BD431" t="inlineStr">
        <is>
          <t>893708394</t>
        </is>
      </c>
    </row>
    <row r="432">
      <c r="A432" t="inlineStr">
        <is>
          <t>No</t>
        </is>
      </c>
      <c r="B432" t="inlineStr">
        <is>
          <t>E178 .L74</t>
        </is>
      </c>
      <c r="C432" t="inlineStr">
        <is>
          <t>0                      E  0178000L  74</t>
        </is>
      </c>
      <c r="D432" t="inlineStr">
        <is>
          <t>The Life history of the United States / consulting editor: Henry F. Graff.</t>
        </is>
      </c>
      <c r="E432" t="inlineStr">
        <is>
          <t>V.7</t>
        </is>
      </c>
      <c r="F432" t="inlineStr">
        <is>
          <t>Yes</t>
        </is>
      </c>
      <c r="G432" t="inlineStr">
        <is>
          <t>1</t>
        </is>
      </c>
      <c r="H432" t="inlineStr">
        <is>
          <t>No</t>
        </is>
      </c>
      <c r="I432" t="inlineStr">
        <is>
          <t>No</t>
        </is>
      </c>
      <c r="J432" t="inlineStr">
        <is>
          <t>0</t>
        </is>
      </c>
      <c r="L432" t="inlineStr">
        <is>
          <t>New York, Time, inc. [1963-64]</t>
        </is>
      </c>
      <c r="M432" t="inlineStr">
        <is>
          <t>1963</t>
        </is>
      </c>
      <c r="O432" t="inlineStr">
        <is>
          <t>eng</t>
        </is>
      </c>
      <c r="P432" t="inlineStr">
        <is>
          <t>nyu</t>
        </is>
      </c>
      <c r="R432" t="inlineStr">
        <is>
          <t xml:space="preserve">E  </t>
        </is>
      </c>
      <c r="S432" t="n">
        <v>0</v>
      </c>
      <c r="T432" t="n">
        <v>2</v>
      </c>
      <c r="V432" t="inlineStr">
        <is>
          <t>1996-10-22</t>
        </is>
      </c>
      <c r="W432" t="inlineStr">
        <is>
          <t>1996-08-27</t>
        </is>
      </c>
      <c r="X432" t="inlineStr">
        <is>
          <t>1996-08-27</t>
        </is>
      </c>
      <c r="Y432" t="n">
        <v>1498</v>
      </c>
      <c r="Z432" t="n">
        <v>1457</v>
      </c>
      <c r="AA432" t="n">
        <v>1858</v>
      </c>
      <c r="AB432" t="n">
        <v>13</v>
      </c>
      <c r="AC432" t="n">
        <v>13</v>
      </c>
      <c r="AD432" t="n">
        <v>25</v>
      </c>
      <c r="AE432" t="n">
        <v>28</v>
      </c>
      <c r="AF432" t="n">
        <v>11</v>
      </c>
      <c r="AG432" t="n">
        <v>12</v>
      </c>
      <c r="AH432" t="n">
        <v>3</v>
      </c>
      <c r="AI432" t="n">
        <v>4</v>
      </c>
      <c r="AJ432" t="n">
        <v>10</v>
      </c>
      <c r="AK432" t="n">
        <v>13</v>
      </c>
      <c r="AL432" t="n">
        <v>4</v>
      </c>
      <c r="AM432" t="n">
        <v>4</v>
      </c>
      <c r="AN432" t="n">
        <v>0</v>
      </c>
      <c r="AO432" t="n">
        <v>0</v>
      </c>
      <c r="AP432" t="inlineStr">
        <is>
          <t>No</t>
        </is>
      </c>
      <c r="AQ432" t="inlineStr">
        <is>
          <t>No</t>
        </is>
      </c>
      <c r="AS432">
        <f>HYPERLINK("https://creighton-primo.hosted.exlibrisgroup.com/primo-explore/search?tab=default_tab&amp;search_scope=EVERYTHING&amp;vid=01CRU&amp;lang=en_US&amp;offset=0&amp;query=any,contains,991000470579702656","Catalog Record")</f>
        <v/>
      </c>
      <c r="AT432">
        <f>HYPERLINK("http://www.worldcat.org/oclc/10996806","WorldCat Record")</f>
        <v/>
      </c>
      <c r="AU432" t="inlineStr">
        <is>
          <t>5090492815:eng</t>
        </is>
      </c>
      <c r="AV432" t="inlineStr">
        <is>
          <t>10996806</t>
        </is>
      </c>
      <c r="AW432" t="inlineStr">
        <is>
          <t>991000470579702656</t>
        </is>
      </c>
      <c r="AX432" t="inlineStr">
        <is>
          <t>991000470579702656</t>
        </is>
      </c>
      <c r="AY432" t="inlineStr">
        <is>
          <t>2261999160002656</t>
        </is>
      </c>
      <c r="AZ432" t="inlineStr">
        <is>
          <t>BOOK</t>
        </is>
      </c>
      <c r="BC432" t="inlineStr">
        <is>
          <t>32285002296332</t>
        </is>
      </c>
      <c r="BD432" t="inlineStr">
        <is>
          <t>893695856</t>
        </is>
      </c>
    </row>
    <row r="433">
      <c r="A433" t="inlineStr">
        <is>
          <t>No</t>
        </is>
      </c>
      <c r="B433" t="inlineStr">
        <is>
          <t>E178 .L74</t>
        </is>
      </c>
      <c r="C433" t="inlineStr">
        <is>
          <t>0                      E  0178000L  74</t>
        </is>
      </c>
      <c r="D433" t="inlineStr">
        <is>
          <t>The Life history of the United States / consulting editor: Henry F. Graff.</t>
        </is>
      </c>
      <c r="E433" t="inlineStr">
        <is>
          <t>V.10</t>
        </is>
      </c>
      <c r="F433" t="inlineStr">
        <is>
          <t>Yes</t>
        </is>
      </c>
      <c r="G433" t="inlineStr">
        <is>
          <t>1</t>
        </is>
      </c>
      <c r="H433" t="inlineStr">
        <is>
          <t>No</t>
        </is>
      </c>
      <c r="I433" t="inlineStr">
        <is>
          <t>No</t>
        </is>
      </c>
      <c r="J433" t="inlineStr">
        <is>
          <t>0</t>
        </is>
      </c>
      <c r="L433" t="inlineStr">
        <is>
          <t>New York, Time, inc. [1963-64]</t>
        </is>
      </c>
      <c r="M433" t="inlineStr">
        <is>
          <t>1963</t>
        </is>
      </c>
      <c r="O433" t="inlineStr">
        <is>
          <t>eng</t>
        </is>
      </c>
      <c r="P433" t="inlineStr">
        <is>
          <t>nyu</t>
        </is>
      </c>
      <c r="R433" t="inlineStr">
        <is>
          <t xml:space="preserve">E  </t>
        </is>
      </c>
      <c r="S433" t="n">
        <v>0</v>
      </c>
      <c r="T433" t="n">
        <v>2</v>
      </c>
      <c r="V433" t="inlineStr">
        <is>
          <t>1996-10-22</t>
        </is>
      </c>
      <c r="W433" t="inlineStr">
        <is>
          <t>1996-08-27</t>
        </is>
      </c>
      <c r="X433" t="inlineStr">
        <is>
          <t>1996-08-27</t>
        </is>
      </c>
      <c r="Y433" t="n">
        <v>1498</v>
      </c>
      <c r="Z433" t="n">
        <v>1457</v>
      </c>
      <c r="AA433" t="n">
        <v>1858</v>
      </c>
      <c r="AB433" t="n">
        <v>13</v>
      </c>
      <c r="AC433" t="n">
        <v>13</v>
      </c>
      <c r="AD433" t="n">
        <v>25</v>
      </c>
      <c r="AE433" t="n">
        <v>28</v>
      </c>
      <c r="AF433" t="n">
        <v>11</v>
      </c>
      <c r="AG433" t="n">
        <v>12</v>
      </c>
      <c r="AH433" t="n">
        <v>3</v>
      </c>
      <c r="AI433" t="n">
        <v>4</v>
      </c>
      <c r="AJ433" t="n">
        <v>10</v>
      </c>
      <c r="AK433" t="n">
        <v>13</v>
      </c>
      <c r="AL433" t="n">
        <v>4</v>
      </c>
      <c r="AM433" t="n">
        <v>4</v>
      </c>
      <c r="AN433" t="n">
        <v>0</v>
      </c>
      <c r="AO433" t="n">
        <v>0</v>
      </c>
      <c r="AP433" t="inlineStr">
        <is>
          <t>No</t>
        </is>
      </c>
      <c r="AQ433" t="inlineStr">
        <is>
          <t>No</t>
        </is>
      </c>
      <c r="AS433">
        <f>HYPERLINK("https://creighton-primo.hosted.exlibrisgroup.com/primo-explore/search?tab=default_tab&amp;search_scope=EVERYTHING&amp;vid=01CRU&amp;lang=en_US&amp;offset=0&amp;query=any,contains,991000470579702656","Catalog Record")</f>
        <v/>
      </c>
      <c r="AT433">
        <f>HYPERLINK("http://www.worldcat.org/oclc/10996806","WorldCat Record")</f>
        <v/>
      </c>
      <c r="AU433" t="inlineStr">
        <is>
          <t>5090492815:eng</t>
        </is>
      </c>
      <c r="AV433" t="inlineStr">
        <is>
          <t>10996806</t>
        </is>
      </c>
      <c r="AW433" t="inlineStr">
        <is>
          <t>991000470579702656</t>
        </is>
      </c>
      <c r="AX433" t="inlineStr">
        <is>
          <t>991000470579702656</t>
        </is>
      </c>
      <c r="AY433" t="inlineStr">
        <is>
          <t>2261999160002656</t>
        </is>
      </c>
      <c r="AZ433" t="inlineStr">
        <is>
          <t>BOOK</t>
        </is>
      </c>
      <c r="BC433" t="inlineStr">
        <is>
          <t>32285002296365</t>
        </is>
      </c>
      <c r="BD433" t="inlineStr">
        <is>
          <t>893702129</t>
        </is>
      </c>
    </row>
    <row r="434">
      <c r="A434" t="inlineStr">
        <is>
          <t>No</t>
        </is>
      </c>
      <c r="B434" t="inlineStr">
        <is>
          <t>E178 .L74</t>
        </is>
      </c>
      <c r="C434" t="inlineStr">
        <is>
          <t>0                      E  0178000L  74</t>
        </is>
      </c>
      <c r="D434" t="inlineStr">
        <is>
          <t>The Life history of the United States / consulting editor: Henry F. Graff.</t>
        </is>
      </c>
      <c r="E434" t="inlineStr">
        <is>
          <t>V.11</t>
        </is>
      </c>
      <c r="F434" t="inlineStr">
        <is>
          <t>Yes</t>
        </is>
      </c>
      <c r="G434" t="inlineStr">
        <is>
          <t>1</t>
        </is>
      </c>
      <c r="H434" t="inlineStr">
        <is>
          <t>No</t>
        </is>
      </c>
      <c r="I434" t="inlineStr">
        <is>
          <t>No</t>
        </is>
      </c>
      <c r="J434" t="inlineStr">
        <is>
          <t>0</t>
        </is>
      </c>
      <c r="L434" t="inlineStr">
        <is>
          <t>New York, Time, inc. [1963-64]</t>
        </is>
      </c>
      <c r="M434" t="inlineStr">
        <is>
          <t>1963</t>
        </is>
      </c>
      <c r="O434" t="inlineStr">
        <is>
          <t>eng</t>
        </is>
      </c>
      <c r="P434" t="inlineStr">
        <is>
          <t>nyu</t>
        </is>
      </c>
      <c r="R434" t="inlineStr">
        <is>
          <t xml:space="preserve">E  </t>
        </is>
      </c>
      <c r="S434" t="n">
        <v>2</v>
      </c>
      <c r="T434" t="n">
        <v>2</v>
      </c>
      <c r="U434" t="inlineStr">
        <is>
          <t>1996-10-22</t>
        </is>
      </c>
      <c r="V434" t="inlineStr">
        <is>
          <t>1996-10-22</t>
        </is>
      </c>
      <c r="W434" t="inlineStr">
        <is>
          <t>1996-08-27</t>
        </is>
      </c>
      <c r="X434" t="inlineStr">
        <is>
          <t>1996-08-27</t>
        </is>
      </c>
      <c r="Y434" t="n">
        <v>1498</v>
      </c>
      <c r="Z434" t="n">
        <v>1457</v>
      </c>
      <c r="AA434" t="n">
        <v>1858</v>
      </c>
      <c r="AB434" t="n">
        <v>13</v>
      </c>
      <c r="AC434" t="n">
        <v>13</v>
      </c>
      <c r="AD434" t="n">
        <v>25</v>
      </c>
      <c r="AE434" t="n">
        <v>28</v>
      </c>
      <c r="AF434" t="n">
        <v>11</v>
      </c>
      <c r="AG434" t="n">
        <v>12</v>
      </c>
      <c r="AH434" t="n">
        <v>3</v>
      </c>
      <c r="AI434" t="n">
        <v>4</v>
      </c>
      <c r="AJ434" t="n">
        <v>10</v>
      </c>
      <c r="AK434" t="n">
        <v>13</v>
      </c>
      <c r="AL434" t="n">
        <v>4</v>
      </c>
      <c r="AM434" t="n">
        <v>4</v>
      </c>
      <c r="AN434" t="n">
        <v>0</v>
      </c>
      <c r="AO434" t="n">
        <v>0</v>
      </c>
      <c r="AP434" t="inlineStr">
        <is>
          <t>No</t>
        </is>
      </c>
      <c r="AQ434" t="inlineStr">
        <is>
          <t>No</t>
        </is>
      </c>
      <c r="AS434">
        <f>HYPERLINK("https://creighton-primo.hosted.exlibrisgroup.com/primo-explore/search?tab=default_tab&amp;search_scope=EVERYTHING&amp;vid=01CRU&amp;lang=en_US&amp;offset=0&amp;query=any,contains,991000470579702656","Catalog Record")</f>
        <v/>
      </c>
      <c r="AT434">
        <f>HYPERLINK("http://www.worldcat.org/oclc/10996806","WorldCat Record")</f>
        <v/>
      </c>
      <c r="AU434" t="inlineStr">
        <is>
          <t>5090492815:eng</t>
        </is>
      </c>
      <c r="AV434" t="inlineStr">
        <is>
          <t>10996806</t>
        </is>
      </c>
      <c r="AW434" t="inlineStr">
        <is>
          <t>991000470579702656</t>
        </is>
      </c>
      <c r="AX434" t="inlineStr">
        <is>
          <t>991000470579702656</t>
        </is>
      </c>
      <c r="AY434" t="inlineStr">
        <is>
          <t>2261999160002656</t>
        </is>
      </c>
      <c r="AZ434" t="inlineStr">
        <is>
          <t>BOOK</t>
        </is>
      </c>
      <c r="BC434" t="inlineStr">
        <is>
          <t>32285002296373</t>
        </is>
      </c>
      <c r="BD434" t="inlineStr">
        <is>
          <t>893689720</t>
        </is>
      </c>
    </row>
    <row r="435">
      <c r="A435" t="inlineStr">
        <is>
          <t>No</t>
        </is>
      </c>
      <c r="B435" t="inlineStr">
        <is>
          <t>E178 .M47 2004</t>
        </is>
      </c>
      <c r="C435" t="inlineStr">
        <is>
          <t>0                      E  0178000M  47          2004</t>
        </is>
      </c>
      <c r="D435" t="inlineStr">
        <is>
          <t>Freedom just around the corner : a new American history, 1585-1828 / Walter A. McDougall.</t>
        </is>
      </c>
      <c r="F435" t="inlineStr">
        <is>
          <t>No</t>
        </is>
      </c>
      <c r="G435" t="inlineStr">
        <is>
          <t>1</t>
        </is>
      </c>
      <c r="H435" t="inlineStr">
        <is>
          <t>No</t>
        </is>
      </c>
      <c r="I435" t="inlineStr">
        <is>
          <t>No</t>
        </is>
      </c>
      <c r="J435" t="inlineStr">
        <is>
          <t>0</t>
        </is>
      </c>
      <c r="K435" t="inlineStr">
        <is>
          <t>McDougall, Walter A., 1946-</t>
        </is>
      </c>
      <c r="L435" t="inlineStr">
        <is>
          <t>New York : HarperCollins Publishers, c2004.</t>
        </is>
      </c>
      <c r="M435" t="inlineStr">
        <is>
          <t>2004</t>
        </is>
      </c>
      <c r="N435" t="inlineStr">
        <is>
          <t>1st ed.</t>
        </is>
      </c>
      <c r="O435" t="inlineStr">
        <is>
          <t>eng</t>
        </is>
      </c>
      <c r="P435" t="inlineStr">
        <is>
          <t>nyu</t>
        </is>
      </c>
      <c r="R435" t="inlineStr">
        <is>
          <t xml:space="preserve">E  </t>
        </is>
      </c>
      <c r="S435" t="n">
        <v>3</v>
      </c>
      <c r="T435" t="n">
        <v>3</v>
      </c>
      <c r="U435" t="inlineStr">
        <is>
          <t>2008-09-05</t>
        </is>
      </c>
      <c r="V435" t="inlineStr">
        <is>
          <t>2008-09-05</t>
        </is>
      </c>
      <c r="W435" t="inlineStr">
        <is>
          <t>2004-11-01</t>
        </is>
      </c>
      <c r="X435" t="inlineStr">
        <is>
          <t>2004-11-01</t>
        </is>
      </c>
      <c r="Y435" t="n">
        <v>1205</v>
      </c>
      <c r="Z435" t="n">
        <v>1141</v>
      </c>
      <c r="AA435" t="n">
        <v>1286</v>
      </c>
      <c r="AB435" t="n">
        <v>7</v>
      </c>
      <c r="AC435" t="n">
        <v>9</v>
      </c>
      <c r="AD435" t="n">
        <v>32</v>
      </c>
      <c r="AE435" t="n">
        <v>35</v>
      </c>
      <c r="AF435" t="n">
        <v>15</v>
      </c>
      <c r="AG435" t="n">
        <v>17</v>
      </c>
      <c r="AH435" t="n">
        <v>5</v>
      </c>
      <c r="AI435" t="n">
        <v>5</v>
      </c>
      <c r="AJ435" t="n">
        <v>15</v>
      </c>
      <c r="AK435" t="n">
        <v>15</v>
      </c>
      <c r="AL435" t="n">
        <v>4</v>
      </c>
      <c r="AM435" t="n">
        <v>5</v>
      </c>
      <c r="AN435" t="n">
        <v>1</v>
      </c>
      <c r="AO435" t="n">
        <v>1</v>
      </c>
      <c r="AP435" t="inlineStr">
        <is>
          <t>No</t>
        </is>
      </c>
      <c r="AQ435" t="inlineStr">
        <is>
          <t>No</t>
        </is>
      </c>
      <c r="AS435">
        <f>HYPERLINK("https://creighton-primo.hosted.exlibrisgroup.com/primo-explore/search?tab=default_tab&amp;search_scope=EVERYTHING&amp;vid=01CRU&amp;lang=en_US&amp;offset=0&amp;query=any,contains,991004284279702656","Catalog Record")</f>
        <v/>
      </c>
      <c r="AT435">
        <f>HYPERLINK("http://www.worldcat.org/oclc/52821381","WorldCat Record")</f>
        <v/>
      </c>
      <c r="AU435" t="inlineStr">
        <is>
          <t>5417:eng</t>
        </is>
      </c>
      <c r="AV435" t="inlineStr">
        <is>
          <t>52821381</t>
        </is>
      </c>
      <c r="AW435" t="inlineStr">
        <is>
          <t>991004284279702656</t>
        </is>
      </c>
      <c r="AX435" t="inlineStr">
        <is>
          <t>991004284279702656</t>
        </is>
      </c>
      <c r="AY435" t="inlineStr">
        <is>
          <t>2271845190002656</t>
        </is>
      </c>
      <c r="AZ435" t="inlineStr">
        <is>
          <t>BOOK</t>
        </is>
      </c>
      <c r="BB435" t="inlineStr">
        <is>
          <t>9780060197896</t>
        </is>
      </c>
      <c r="BC435" t="inlineStr">
        <is>
          <t>32285005007553</t>
        </is>
      </c>
      <c r="BD435" t="inlineStr">
        <is>
          <t>893532219</t>
        </is>
      </c>
    </row>
    <row r="436">
      <c r="A436" t="inlineStr">
        <is>
          <t>No</t>
        </is>
      </c>
      <c r="B436" t="inlineStr">
        <is>
          <t>E178 .R8 v.2</t>
        </is>
      </c>
      <c r="C436" t="inlineStr">
        <is>
          <t>0                      E  0178000R  8                                                       v.2</t>
        </is>
      </c>
      <c r="D436" t="inlineStr">
        <is>
          <t>"Salutary neglect" : the American colonies in the first half of the 18th century / Murray N. Rothbard.</t>
        </is>
      </c>
      <c r="E436" t="inlineStr">
        <is>
          <t>V.2</t>
        </is>
      </c>
      <c r="F436" t="inlineStr">
        <is>
          <t>No</t>
        </is>
      </c>
      <c r="G436" t="inlineStr">
        <is>
          <t>1</t>
        </is>
      </c>
      <c r="H436" t="inlineStr">
        <is>
          <t>No</t>
        </is>
      </c>
      <c r="I436" t="inlineStr">
        <is>
          <t>No</t>
        </is>
      </c>
      <c r="J436" t="inlineStr">
        <is>
          <t>0</t>
        </is>
      </c>
      <c r="K436" t="inlineStr">
        <is>
          <t>Rothbard, Murray N. (Murray Newton), 1926-1995.</t>
        </is>
      </c>
      <c r="L436" t="inlineStr">
        <is>
          <t>New Rochelle, N.Y. : Arlington House, [1975]</t>
        </is>
      </c>
      <c r="M436" t="inlineStr">
        <is>
          <t>1975</t>
        </is>
      </c>
      <c r="O436" t="inlineStr">
        <is>
          <t>eng</t>
        </is>
      </c>
      <c r="P436" t="inlineStr">
        <is>
          <t>nyu</t>
        </is>
      </c>
      <c r="Q436" t="inlineStr">
        <is>
          <t>His Conceived in liberty ; v. 2</t>
        </is>
      </c>
      <c r="R436" t="inlineStr">
        <is>
          <t xml:space="preserve">E  </t>
        </is>
      </c>
      <c r="S436" t="n">
        <v>2</v>
      </c>
      <c r="T436" t="n">
        <v>2</v>
      </c>
      <c r="U436" t="inlineStr">
        <is>
          <t>1998-11-17</t>
        </is>
      </c>
      <c r="V436" t="inlineStr">
        <is>
          <t>1998-11-17</t>
        </is>
      </c>
      <c r="W436" t="inlineStr">
        <is>
          <t>1997-04-07</t>
        </is>
      </c>
      <c r="X436" t="inlineStr">
        <is>
          <t>1997-04-07</t>
        </is>
      </c>
      <c r="Y436" t="n">
        <v>183</v>
      </c>
      <c r="Z436" t="n">
        <v>169</v>
      </c>
      <c r="AA436" t="n">
        <v>169</v>
      </c>
      <c r="AB436" t="n">
        <v>4</v>
      </c>
      <c r="AC436" t="n">
        <v>4</v>
      </c>
      <c r="AD436" t="n">
        <v>10</v>
      </c>
      <c r="AE436" t="n">
        <v>10</v>
      </c>
      <c r="AF436" t="n">
        <v>3</v>
      </c>
      <c r="AG436" t="n">
        <v>3</v>
      </c>
      <c r="AH436" t="n">
        <v>4</v>
      </c>
      <c r="AI436" t="n">
        <v>4</v>
      </c>
      <c r="AJ436" t="n">
        <v>4</v>
      </c>
      <c r="AK436" t="n">
        <v>4</v>
      </c>
      <c r="AL436" t="n">
        <v>2</v>
      </c>
      <c r="AM436" t="n">
        <v>2</v>
      </c>
      <c r="AN436" t="n">
        <v>0</v>
      </c>
      <c r="AO436" t="n">
        <v>0</v>
      </c>
      <c r="AP436" t="inlineStr">
        <is>
          <t>No</t>
        </is>
      </c>
      <c r="AQ436" t="inlineStr">
        <is>
          <t>No</t>
        </is>
      </c>
      <c r="AS436">
        <f>HYPERLINK("https://creighton-primo.hosted.exlibrisgroup.com/primo-explore/search?tab=default_tab&amp;search_scope=EVERYTHING&amp;vid=01CRU&amp;lang=en_US&amp;offset=0&amp;query=any,contains,991003818019702656","Catalog Record")</f>
        <v/>
      </c>
      <c r="AT436">
        <f>HYPERLINK("http://www.worldcat.org/oclc/1551382","WorldCat Record")</f>
        <v/>
      </c>
      <c r="AU436" t="inlineStr">
        <is>
          <t>138404301:eng</t>
        </is>
      </c>
      <c r="AV436" t="inlineStr">
        <is>
          <t>1551382</t>
        </is>
      </c>
      <c r="AW436" t="inlineStr">
        <is>
          <t>991003818019702656</t>
        </is>
      </c>
      <c r="AX436" t="inlineStr">
        <is>
          <t>991003818019702656</t>
        </is>
      </c>
      <c r="AY436" t="inlineStr">
        <is>
          <t>2265726200002656</t>
        </is>
      </c>
      <c r="AZ436" t="inlineStr">
        <is>
          <t>BOOK</t>
        </is>
      </c>
      <c r="BB436" t="inlineStr">
        <is>
          <t>9780870003165</t>
        </is>
      </c>
      <c r="BC436" t="inlineStr">
        <is>
          <t>32285002504552</t>
        </is>
      </c>
      <c r="BD436" t="inlineStr">
        <is>
          <t>893416832</t>
        </is>
      </c>
    </row>
    <row r="437">
      <c r="A437" t="inlineStr">
        <is>
          <t>No</t>
        </is>
      </c>
      <c r="B437" t="inlineStr">
        <is>
          <t>E178 .S33</t>
        </is>
      </c>
      <c r="C437" t="inlineStr">
        <is>
          <t>0                      E  0178000S  33</t>
        </is>
      </c>
      <c r="D437" t="inlineStr">
        <is>
          <t>Paths to the present.</t>
        </is>
      </c>
      <c r="F437" t="inlineStr">
        <is>
          <t>No</t>
        </is>
      </c>
      <c r="G437" t="inlineStr">
        <is>
          <t>1</t>
        </is>
      </c>
      <c r="H437" t="inlineStr">
        <is>
          <t>No</t>
        </is>
      </c>
      <c r="I437" t="inlineStr">
        <is>
          <t>No</t>
        </is>
      </c>
      <c r="J437" t="inlineStr">
        <is>
          <t>0</t>
        </is>
      </c>
      <c r="K437" t="inlineStr">
        <is>
          <t>Schlesinger, Arthur M. (Arthur Meier), 1888-1965.</t>
        </is>
      </c>
      <c r="L437" t="inlineStr">
        <is>
          <t>New York, Macmillan Co., 1949.</t>
        </is>
      </c>
      <c r="M437" t="inlineStr">
        <is>
          <t>1949</t>
        </is>
      </c>
      <c r="O437" t="inlineStr">
        <is>
          <t>eng</t>
        </is>
      </c>
      <c r="P437" t="inlineStr">
        <is>
          <t>nyu</t>
        </is>
      </c>
      <c r="R437" t="inlineStr">
        <is>
          <t xml:space="preserve">E  </t>
        </is>
      </c>
      <c r="S437" t="n">
        <v>4</v>
      </c>
      <c r="T437" t="n">
        <v>4</v>
      </c>
      <c r="U437" t="inlineStr">
        <is>
          <t>1999-10-29</t>
        </is>
      </c>
      <c r="V437" t="inlineStr">
        <is>
          <t>1999-10-29</t>
        </is>
      </c>
      <c r="W437" t="inlineStr">
        <is>
          <t>1997-04-07</t>
        </is>
      </c>
      <c r="X437" t="inlineStr">
        <is>
          <t>1997-04-07</t>
        </is>
      </c>
      <c r="Y437" t="n">
        <v>940</v>
      </c>
      <c r="Z437" t="n">
        <v>878</v>
      </c>
      <c r="AA437" t="n">
        <v>1132</v>
      </c>
      <c r="AB437" t="n">
        <v>9</v>
      </c>
      <c r="AC437" t="n">
        <v>9</v>
      </c>
      <c r="AD437" t="n">
        <v>35</v>
      </c>
      <c r="AE437" t="n">
        <v>42</v>
      </c>
      <c r="AF437" t="n">
        <v>9</v>
      </c>
      <c r="AG437" t="n">
        <v>13</v>
      </c>
      <c r="AH437" t="n">
        <v>6</v>
      </c>
      <c r="AI437" t="n">
        <v>9</v>
      </c>
      <c r="AJ437" t="n">
        <v>17</v>
      </c>
      <c r="AK437" t="n">
        <v>20</v>
      </c>
      <c r="AL437" t="n">
        <v>8</v>
      </c>
      <c r="AM437" t="n">
        <v>8</v>
      </c>
      <c r="AN437" t="n">
        <v>1</v>
      </c>
      <c r="AO437" t="n">
        <v>1</v>
      </c>
      <c r="AP437" t="inlineStr">
        <is>
          <t>No</t>
        </is>
      </c>
      <c r="AQ437" t="inlineStr">
        <is>
          <t>Yes</t>
        </is>
      </c>
      <c r="AR437">
        <f>HYPERLINK("http://catalog.hathitrust.org/Record/000332153","HathiTrust Record")</f>
        <v/>
      </c>
      <c r="AS437">
        <f>HYPERLINK("https://creighton-primo.hosted.exlibrisgroup.com/primo-explore/search?tab=default_tab&amp;search_scope=EVERYTHING&amp;vid=01CRU&amp;lang=en_US&amp;offset=0&amp;query=any,contains,991003790359702656","Catalog Record")</f>
        <v/>
      </c>
      <c r="AT437">
        <f>HYPERLINK("http://www.worldcat.org/oclc/1508988","WorldCat Record")</f>
        <v/>
      </c>
      <c r="AU437" t="inlineStr">
        <is>
          <t>2999761777:eng</t>
        </is>
      </c>
      <c r="AV437" t="inlineStr">
        <is>
          <t>1508988</t>
        </is>
      </c>
      <c r="AW437" t="inlineStr">
        <is>
          <t>991003790359702656</t>
        </is>
      </c>
      <c r="AX437" t="inlineStr">
        <is>
          <t>991003790359702656</t>
        </is>
      </c>
      <c r="AY437" t="inlineStr">
        <is>
          <t>2257040760002656</t>
        </is>
      </c>
      <c r="AZ437" t="inlineStr">
        <is>
          <t>BOOK</t>
        </is>
      </c>
      <c r="BC437" t="inlineStr">
        <is>
          <t>32285002504594</t>
        </is>
      </c>
      <c r="BD437" t="inlineStr">
        <is>
          <t>893246738</t>
        </is>
      </c>
    </row>
    <row r="438">
      <c r="A438" t="inlineStr">
        <is>
          <t>No</t>
        </is>
      </c>
      <c r="B438" t="inlineStr">
        <is>
          <t>E178 .T96</t>
        </is>
      </c>
      <c r="C438" t="inlineStr">
        <is>
          <t>0                      E  0178000T  96</t>
        </is>
      </c>
      <c r="D438" t="inlineStr">
        <is>
          <t>The significance of sections in American history / by Frederick Jackson Turner ; with an introduction by Max Farrand.</t>
        </is>
      </c>
      <c r="F438" t="inlineStr">
        <is>
          <t>No</t>
        </is>
      </c>
      <c r="G438" t="inlineStr">
        <is>
          <t>1</t>
        </is>
      </c>
      <c r="H438" t="inlineStr">
        <is>
          <t>No</t>
        </is>
      </c>
      <c r="I438" t="inlineStr">
        <is>
          <t>No</t>
        </is>
      </c>
      <c r="J438" t="inlineStr">
        <is>
          <t>0</t>
        </is>
      </c>
      <c r="K438" t="inlineStr">
        <is>
          <t>Turner, Frederick Jackson, 1861-1932.</t>
        </is>
      </c>
      <c r="L438" t="inlineStr">
        <is>
          <t>New York : H. Holt and Company, [c1932]</t>
        </is>
      </c>
      <c r="M438" t="inlineStr">
        <is>
          <t>1932</t>
        </is>
      </c>
      <c r="O438" t="inlineStr">
        <is>
          <t>eng</t>
        </is>
      </c>
      <c r="P438" t="inlineStr">
        <is>
          <t>nyu</t>
        </is>
      </c>
      <c r="R438" t="inlineStr">
        <is>
          <t xml:space="preserve">E  </t>
        </is>
      </c>
      <c r="S438" t="n">
        <v>11</v>
      </c>
      <c r="T438" t="n">
        <v>11</v>
      </c>
      <c r="U438" t="inlineStr">
        <is>
          <t>2005-10-31</t>
        </is>
      </c>
      <c r="V438" t="inlineStr">
        <is>
          <t>2005-10-31</t>
        </is>
      </c>
      <c r="W438" t="inlineStr">
        <is>
          <t>1992-04-11</t>
        </is>
      </c>
      <c r="X438" t="inlineStr">
        <is>
          <t>1992-04-11</t>
        </is>
      </c>
      <c r="Y438" t="n">
        <v>575</v>
      </c>
      <c r="Z438" t="n">
        <v>539</v>
      </c>
      <c r="AA438" t="n">
        <v>1059</v>
      </c>
      <c r="AB438" t="n">
        <v>4</v>
      </c>
      <c r="AC438" t="n">
        <v>4</v>
      </c>
      <c r="AD438" t="n">
        <v>21</v>
      </c>
      <c r="AE438" t="n">
        <v>42</v>
      </c>
      <c r="AF438" t="n">
        <v>6</v>
      </c>
      <c r="AG438" t="n">
        <v>19</v>
      </c>
      <c r="AH438" t="n">
        <v>4</v>
      </c>
      <c r="AI438" t="n">
        <v>8</v>
      </c>
      <c r="AJ438" t="n">
        <v>11</v>
      </c>
      <c r="AK438" t="n">
        <v>19</v>
      </c>
      <c r="AL438" t="n">
        <v>3</v>
      </c>
      <c r="AM438" t="n">
        <v>3</v>
      </c>
      <c r="AN438" t="n">
        <v>1</v>
      </c>
      <c r="AO438" t="n">
        <v>1</v>
      </c>
      <c r="AP438" t="inlineStr">
        <is>
          <t>No</t>
        </is>
      </c>
      <c r="AQ438" t="inlineStr">
        <is>
          <t>Yes</t>
        </is>
      </c>
      <c r="AR438">
        <f>HYPERLINK("http://catalog.hathitrust.org/Record/000332173","HathiTrust Record")</f>
        <v/>
      </c>
      <c r="AS438">
        <f>HYPERLINK("https://creighton-primo.hosted.exlibrisgroup.com/primo-explore/search?tab=default_tab&amp;search_scope=EVERYTHING&amp;vid=01CRU&amp;lang=en_US&amp;offset=0&amp;query=any,contains,991003726769702656","Catalog Record")</f>
        <v/>
      </c>
      <c r="AT438">
        <f>HYPERLINK("http://www.worldcat.org/oclc/1374766","WorldCat Record")</f>
        <v/>
      </c>
      <c r="AU438" t="inlineStr">
        <is>
          <t>1513863:eng</t>
        </is>
      </c>
      <c r="AV438" t="inlineStr">
        <is>
          <t>1374766</t>
        </is>
      </c>
      <c r="AW438" t="inlineStr">
        <is>
          <t>991003726769702656</t>
        </is>
      </c>
      <c r="AX438" t="inlineStr">
        <is>
          <t>991003726769702656</t>
        </is>
      </c>
      <c r="AY438" t="inlineStr">
        <is>
          <t>2258961780002656</t>
        </is>
      </c>
      <c r="AZ438" t="inlineStr">
        <is>
          <t>BOOK</t>
        </is>
      </c>
      <c r="BC438" t="inlineStr">
        <is>
          <t>32285001057800</t>
        </is>
      </c>
      <c r="BD438" t="inlineStr">
        <is>
          <t>893336856</t>
        </is>
      </c>
    </row>
    <row r="439">
      <c r="A439" t="inlineStr">
        <is>
          <t>No</t>
        </is>
      </c>
      <c r="B439" t="inlineStr">
        <is>
          <t>E178.1 .J775 1983</t>
        </is>
      </c>
      <c r="C439" t="inlineStr">
        <is>
          <t>0                      E  0178100J  775         1983</t>
        </is>
      </c>
      <c r="D439" t="inlineStr">
        <is>
          <t>The limits of liberty : American history, 1607-1980 / Maldwyn A. Jones.</t>
        </is>
      </c>
      <c r="F439" t="inlineStr">
        <is>
          <t>No</t>
        </is>
      </c>
      <c r="G439" t="inlineStr">
        <is>
          <t>1</t>
        </is>
      </c>
      <c r="H439" t="inlineStr">
        <is>
          <t>No</t>
        </is>
      </c>
      <c r="I439" t="inlineStr">
        <is>
          <t>No</t>
        </is>
      </c>
      <c r="J439" t="inlineStr">
        <is>
          <t>0</t>
        </is>
      </c>
      <c r="K439" t="inlineStr">
        <is>
          <t>Jones, Maldwyn A. (Maldwyn Allen), 1922-2007.</t>
        </is>
      </c>
      <c r="L439" t="inlineStr">
        <is>
          <t>Oxford [Oxfordshire] ; New York : Oxford University Press, 1983.</t>
        </is>
      </c>
      <c r="M439" t="inlineStr">
        <is>
          <t>1983</t>
        </is>
      </c>
      <c r="O439" t="inlineStr">
        <is>
          <t>eng</t>
        </is>
      </c>
      <c r="P439" t="inlineStr">
        <is>
          <t>enk</t>
        </is>
      </c>
      <c r="Q439" t="inlineStr">
        <is>
          <t>The Short Oxford history of the modern world</t>
        </is>
      </c>
      <c r="R439" t="inlineStr">
        <is>
          <t xml:space="preserve">E  </t>
        </is>
      </c>
      <c r="S439" t="n">
        <v>8</v>
      </c>
      <c r="T439" t="n">
        <v>8</v>
      </c>
      <c r="U439" t="inlineStr">
        <is>
          <t>2002-02-24</t>
        </is>
      </c>
      <c r="V439" t="inlineStr">
        <is>
          <t>2002-02-24</t>
        </is>
      </c>
      <c r="W439" t="inlineStr">
        <is>
          <t>1991-01-17</t>
        </is>
      </c>
      <c r="X439" t="inlineStr">
        <is>
          <t>1991-01-17</t>
        </is>
      </c>
      <c r="Y439" t="n">
        <v>524</v>
      </c>
      <c r="Z439" t="n">
        <v>332</v>
      </c>
      <c r="AA439" t="n">
        <v>421</v>
      </c>
      <c r="AB439" t="n">
        <v>2</v>
      </c>
      <c r="AC439" t="n">
        <v>3</v>
      </c>
      <c r="AD439" t="n">
        <v>11</v>
      </c>
      <c r="AE439" t="n">
        <v>16</v>
      </c>
      <c r="AF439" t="n">
        <v>2</v>
      </c>
      <c r="AG439" t="n">
        <v>4</v>
      </c>
      <c r="AH439" t="n">
        <v>4</v>
      </c>
      <c r="AI439" t="n">
        <v>4</v>
      </c>
      <c r="AJ439" t="n">
        <v>7</v>
      </c>
      <c r="AK439" t="n">
        <v>10</v>
      </c>
      <c r="AL439" t="n">
        <v>1</v>
      </c>
      <c r="AM439" t="n">
        <v>2</v>
      </c>
      <c r="AN439" t="n">
        <v>0</v>
      </c>
      <c r="AO439" t="n">
        <v>0</v>
      </c>
      <c r="AP439" t="inlineStr">
        <is>
          <t>No</t>
        </is>
      </c>
      <c r="AQ439" t="inlineStr">
        <is>
          <t>Yes</t>
        </is>
      </c>
      <c r="AR439">
        <f>HYPERLINK("http://catalog.hathitrust.org/Record/000280885","HathiTrust Record")</f>
        <v/>
      </c>
      <c r="AS439">
        <f>HYPERLINK("https://creighton-primo.hosted.exlibrisgroup.com/primo-explore/search?tab=default_tab&amp;search_scope=EVERYTHING&amp;vid=01CRU&amp;lang=en_US&amp;offset=0&amp;query=any,contains,991000185459702656","Catalog Record")</f>
        <v/>
      </c>
      <c r="AT439">
        <f>HYPERLINK("http://www.worldcat.org/oclc/9393439","WorldCat Record")</f>
        <v/>
      </c>
      <c r="AU439" t="inlineStr">
        <is>
          <t>2564903664:eng</t>
        </is>
      </c>
      <c r="AV439" t="inlineStr">
        <is>
          <t>9393439</t>
        </is>
      </c>
      <c r="AW439" t="inlineStr">
        <is>
          <t>991000185459702656</t>
        </is>
      </c>
      <c r="AX439" t="inlineStr">
        <is>
          <t>991000185459702656</t>
        </is>
      </c>
      <c r="AY439" t="inlineStr">
        <is>
          <t>2265971780002656</t>
        </is>
      </c>
      <c r="AZ439" t="inlineStr">
        <is>
          <t>BOOK</t>
        </is>
      </c>
      <c r="BB439" t="inlineStr">
        <is>
          <t>9780199131303</t>
        </is>
      </c>
      <c r="BC439" t="inlineStr">
        <is>
          <t>32285000480250</t>
        </is>
      </c>
      <c r="BD439" t="inlineStr">
        <is>
          <t>893255252</t>
        </is>
      </c>
    </row>
    <row r="440">
      <c r="A440" t="inlineStr">
        <is>
          <t>No</t>
        </is>
      </c>
      <c r="B440" t="inlineStr">
        <is>
          <t>E178.1 .T55 1996</t>
        </is>
      </c>
      <c r="C440" t="inlineStr">
        <is>
          <t>0                      E  0178100T  55          1996</t>
        </is>
      </c>
      <c r="D440" t="inlineStr">
        <is>
          <t>America : a narrative history / George Brown Tindall, David E. Shi.</t>
        </is>
      </c>
      <c r="F440" t="inlineStr">
        <is>
          <t>No</t>
        </is>
      </c>
      <c r="G440" t="inlineStr">
        <is>
          <t>1</t>
        </is>
      </c>
      <c r="H440" t="inlineStr">
        <is>
          <t>No</t>
        </is>
      </c>
      <c r="I440" t="inlineStr">
        <is>
          <t>No</t>
        </is>
      </c>
      <c r="J440" t="inlineStr">
        <is>
          <t>0</t>
        </is>
      </c>
      <c r="K440" t="inlineStr">
        <is>
          <t>Tindall, George Brown.</t>
        </is>
      </c>
      <c r="L440" t="inlineStr">
        <is>
          <t>New York : Norton, c1996.</t>
        </is>
      </c>
      <c r="M440" t="inlineStr">
        <is>
          <t>1996</t>
        </is>
      </c>
      <c r="N440" t="inlineStr">
        <is>
          <t>4th ed.</t>
        </is>
      </c>
      <c r="O440" t="inlineStr">
        <is>
          <t>eng</t>
        </is>
      </c>
      <c r="P440" t="inlineStr">
        <is>
          <t>nyu</t>
        </is>
      </c>
      <c r="R440" t="inlineStr">
        <is>
          <t xml:space="preserve">E  </t>
        </is>
      </c>
      <c r="S440" t="n">
        <v>1</v>
      </c>
      <c r="T440" t="n">
        <v>1</v>
      </c>
      <c r="U440" t="inlineStr">
        <is>
          <t>2002-09-19</t>
        </is>
      </c>
      <c r="V440" t="inlineStr">
        <is>
          <t>2002-09-19</t>
        </is>
      </c>
      <c r="W440" t="inlineStr">
        <is>
          <t>1998-12-08</t>
        </is>
      </c>
      <c r="X440" t="inlineStr">
        <is>
          <t>1998-12-08</t>
        </is>
      </c>
      <c r="Y440" t="n">
        <v>249</v>
      </c>
      <c r="Z440" t="n">
        <v>185</v>
      </c>
      <c r="AA440" t="n">
        <v>1601</v>
      </c>
      <c r="AB440" t="n">
        <v>3</v>
      </c>
      <c r="AC440" t="n">
        <v>19</v>
      </c>
      <c r="AD440" t="n">
        <v>3</v>
      </c>
      <c r="AE440" t="n">
        <v>39</v>
      </c>
      <c r="AF440" t="n">
        <v>2</v>
      </c>
      <c r="AG440" t="n">
        <v>15</v>
      </c>
      <c r="AH440" t="n">
        <v>0</v>
      </c>
      <c r="AI440" t="n">
        <v>6</v>
      </c>
      <c r="AJ440" t="n">
        <v>2</v>
      </c>
      <c r="AK440" t="n">
        <v>13</v>
      </c>
      <c r="AL440" t="n">
        <v>0</v>
      </c>
      <c r="AM440" t="n">
        <v>12</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HYPERLINK("https://creighton-primo.hosted.exlibrisgroup.com/primo-explore/search?tab=default_tab&amp;search_scope=EVERYTHING&amp;vid=01CRU&amp;lang=en_US&amp;offset=0&amp;query=any,contains,991002569319702656","Catalog Record")</f>
        <v/>
      </c>
      <c r="AT440">
        <f>HYPERLINK("http://www.worldcat.org/oclc/33403187","WorldCat Record")</f>
        <v/>
      </c>
      <c r="AU440" t="inlineStr">
        <is>
          <t>28761959:eng</t>
        </is>
      </c>
      <c r="AV440" t="inlineStr">
        <is>
          <t>33403187</t>
        </is>
      </c>
      <c r="AW440" t="inlineStr">
        <is>
          <t>991002569319702656</t>
        </is>
      </c>
      <c r="AX440" t="inlineStr">
        <is>
          <t>991002569319702656</t>
        </is>
      </c>
      <c r="AY440" t="inlineStr">
        <is>
          <t>2270033620002656</t>
        </is>
      </c>
      <c r="AZ440" t="inlineStr">
        <is>
          <t>BOOK</t>
        </is>
      </c>
      <c r="BB440" t="inlineStr">
        <is>
          <t>9780393968736</t>
        </is>
      </c>
      <c r="BC440" t="inlineStr">
        <is>
          <t>32285003494738</t>
        </is>
      </c>
      <c r="BD440" t="inlineStr">
        <is>
          <t>893697961</t>
        </is>
      </c>
    </row>
    <row r="441">
      <c r="A441" t="inlineStr">
        <is>
          <t>No</t>
        </is>
      </c>
      <c r="B441" t="inlineStr">
        <is>
          <t>E178.2 .M37 2000</t>
        </is>
      </c>
      <c r="C441" t="inlineStr">
        <is>
          <t>0                      E  0178200M  37          2000</t>
        </is>
      </c>
      <c r="D441" t="inlineStr">
        <is>
          <t>A student's guide to U.S. history / Wilfred M. McClay.</t>
        </is>
      </c>
      <c r="F441" t="inlineStr">
        <is>
          <t>No</t>
        </is>
      </c>
      <c r="G441" t="inlineStr">
        <is>
          <t>1</t>
        </is>
      </c>
      <c r="H441" t="inlineStr">
        <is>
          <t>No</t>
        </is>
      </c>
      <c r="I441" t="inlineStr">
        <is>
          <t>No</t>
        </is>
      </c>
      <c r="J441" t="inlineStr">
        <is>
          <t>0</t>
        </is>
      </c>
      <c r="K441" t="inlineStr">
        <is>
          <t>McClay, Wilfred M.</t>
        </is>
      </c>
      <c r="L441" t="inlineStr">
        <is>
          <t>Wilmington, Del. : ISI Books, c2000.</t>
        </is>
      </c>
      <c r="M441" t="inlineStr">
        <is>
          <t>2000</t>
        </is>
      </c>
      <c r="O441" t="inlineStr">
        <is>
          <t>eng</t>
        </is>
      </c>
      <c r="P441" t="inlineStr">
        <is>
          <t>deu</t>
        </is>
      </c>
      <c r="Q441" t="inlineStr">
        <is>
          <t>ISI guides to the major disciplines</t>
        </is>
      </c>
      <c r="R441" t="inlineStr">
        <is>
          <t xml:space="preserve">E  </t>
        </is>
      </c>
      <c r="S441" t="n">
        <v>1</v>
      </c>
      <c r="T441" t="n">
        <v>1</v>
      </c>
      <c r="U441" t="inlineStr">
        <is>
          <t>2001-03-14</t>
        </is>
      </c>
      <c r="V441" t="inlineStr">
        <is>
          <t>2001-03-14</t>
        </is>
      </c>
      <c r="W441" t="inlineStr">
        <is>
          <t>2001-03-14</t>
        </is>
      </c>
      <c r="X441" t="inlineStr">
        <is>
          <t>2001-03-14</t>
        </is>
      </c>
      <c r="Y441" t="n">
        <v>269</v>
      </c>
      <c r="Z441" t="n">
        <v>254</v>
      </c>
      <c r="AA441" t="n">
        <v>392</v>
      </c>
      <c r="AB441" t="n">
        <v>3</v>
      </c>
      <c r="AC441" t="n">
        <v>4</v>
      </c>
      <c r="AD441" t="n">
        <v>14</v>
      </c>
      <c r="AE441" t="n">
        <v>16</v>
      </c>
      <c r="AF441" t="n">
        <v>3</v>
      </c>
      <c r="AG441" t="n">
        <v>4</v>
      </c>
      <c r="AH441" t="n">
        <v>2</v>
      </c>
      <c r="AI441" t="n">
        <v>3</v>
      </c>
      <c r="AJ441" t="n">
        <v>7</v>
      </c>
      <c r="AK441" t="n">
        <v>7</v>
      </c>
      <c r="AL441" t="n">
        <v>2</v>
      </c>
      <c r="AM441" t="n">
        <v>3</v>
      </c>
      <c r="AN441" t="n">
        <v>1</v>
      </c>
      <c r="AO441" t="n">
        <v>1</v>
      </c>
      <c r="AP441" t="inlineStr">
        <is>
          <t>No</t>
        </is>
      </c>
      <c r="AQ441" t="inlineStr">
        <is>
          <t>No</t>
        </is>
      </c>
      <c r="AS441">
        <f>HYPERLINK("https://creighton-primo.hosted.exlibrisgroup.com/primo-explore/search?tab=default_tab&amp;search_scope=EVERYTHING&amp;vid=01CRU&amp;lang=en_US&amp;offset=0&amp;query=any,contains,991003467919702656","Catalog Record")</f>
        <v/>
      </c>
      <c r="AT441">
        <f>HYPERLINK("http://www.worldcat.org/oclc/45168785","WorldCat Record")</f>
        <v/>
      </c>
      <c r="AU441" t="inlineStr">
        <is>
          <t>2069279:eng</t>
        </is>
      </c>
      <c r="AV441" t="inlineStr">
        <is>
          <t>45168785</t>
        </is>
      </c>
      <c r="AW441" t="inlineStr">
        <is>
          <t>991003467919702656</t>
        </is>
      </c>
      <c r="AX441" t="inlineStr">
        <is>
          <t>991003467919702656</t>
        </is>
      </c>
      <c r="AY441" t="inlineStr">
        <is>
          <t>2264695230002656</t>
        </is>
      </c>
      <c r="AZ441" t="inlineStr">
        <is>
          <t>BOOK</t>
        </is>
      </c>
      <c r="BB441" t="inlineStr">
        <is>
          <t>9781882926459</t>
        </is>
      </c>
      <c r="BC441" t="inlineStr">
        <is>
          <t>32285004305651</t>
        </is>
      </c>
      <c r="BD441" t="inlineStr">
        <is>
          <t>893592540</t>
        </is>
      </c>
    </row>
    <row r="442">
      <c r="A442" t="inlineStr">
        <is>
          <t>No</t>
        </is>
      </c>
      <c r="B442" t="inlineStr">
        <is>
          <t>E178.4 .A7 1961</t>
        </is>
      </c>
      <c r="C442" t="inlineStr">
        <is>
          <t>0                      E  0178400A  7           1961</t>
        </is>
      </c>
      <c r="D442" t="inlineStr">
        <is>
          <t>It all started with Columbus : being an unexpurgated, unabridged, and unlikely history of the United States from Christopher Columbus to John F. Kennedy for those who, having perused a volume of history in school, swore they would never read another / Lavishly illustrated by Campbell Grant.</t>
        </is>
      </c>
      <c r="F442" t="inlineStr">
        <is>
          <t>No</t>
        </is>
      </c>
      <c r="G442" t="inlineStr">
        <is>
          <t>1</t>
        </is>
      </c>
      <c r="H442" t="inlineStr">
        <is>
          <t>No</t>
        </is>
      </c>
      <c r="I442" t="inlineStr">
        <is>
          <t>No</t>
        </is>
      </c>
      <c r="J442" t="inlineStr">
        <is>
          <t>0</t>
        </is>
      </c>
      <c r="K442" t="inlineStr">
        <is>
          <t>Armour, Richard, 1906-1989.</t>
        </is>
      </c>
      <c r="L442" t="inlineStr">
        <is>
          <t>New York : McGraw-Hill, [1961]</t>
        </is>
      </c>
      <c r="M442" t="inlineStr">
        <is>
          <t>1961</t>
        </is>
      </c>
      <c r="N442" t="inlineStr">
        <is>
          <t>[Rev. ed.]</t>
        </is>
      </c>
      <c r="O442" t="inlineStr">
        <is>
          <t>eng</t>
        </is>
      </c>
      <c r="P442" t="inlineStr">
        <is>
          <t>nyu</t>
        </is>
      </c>
      <c r="R442" t="inlineStr">
        <is>
          <t xml:space="preserve">E  </t>
        </is>
      </c>
      <c r="S442" t="n">
        <v>1</v>
      </c>
      <c r="T442" t="n">
        <v>1</v>
      </c>
      <c r="U442" t="inlineStr">
        <is>
          <t>2001-10-01</t>
        </is>
      </c>
      <c r="V442" t="inlineStr">
        <is>
          <t>2001-10-01</t>
        </is>
      </c>
      <c r="W442" t="inlineStr">
        <is>
          <t>1994-12-08</t>
        </is>
      </c>
      <c r="X442" t="inlineStr">
        <is>
          <t>1994-12-08</t>
        </is>
      </c>
      <c r="Y442" t="n">
        <v>405</v>
      </c>
      <c r="Z442" t="n">
        <v>393</v>
      </c>
      <c r="AA442" t="n">
        <v>871</v>
      </c>
      <c r="AB442" t="n">
        <v>4</v>
      </c>
      <c r="AC442" t="n">
        <v>9</v>
      </c>
      <c r="AD442" t="n">
        <v>7</v>
      </c>
      <c r="AE442" t="n">
        <v>25</v>
      </c>
      <c r="AF442" t="n">
        <v>3</v>
      </c>
      <c r="AG442" t="n">
        <v>9</v>
      </c>
      <c r="AH442" t="n">
        <v>0</v>
      </c>
      <c r="AI442" t="n">
        <v>3</v>
      </c>
      <c r="AJ442" t="n">
        <v>3</v>
      </c>
      <c r="AK442" t="n">
        <v>13</v>
      </c>
      <c r="AL442" t="n">
        <v>1</v>
      </c>
      <c r="AM442" t="n">
        <v>5</v>
      </c>
      <c r="AN442" t="n">
        <v>0</v>
      </c>
      <c r="AO442" t="n">
        <v>0</v>
      </c>
      <c r="AP442" t="inlineStr">
        <is>
          <t>Yes</t>
        </is>
      </c>
      <c r="AQ442" t="inlineStr">
        <is>
          <t>No</t>
        </is>
      </c>
      <c r="AR442">
        <f>HYPERLINK("http://catalog.hathitrust.org/Record/008371745","HathiTrust Record")</f>
        <v/>
      </c>
      <c r="AS442">
        <f>HYPERLINK("https://creighton-primo.hosted.exlibrisgroup.com/primo-explore/search?tab=default_tab&amp;search_scope=EVERYTHING&amp;vid=01CRU&amp;lang=en_US&amp;offset=0&amp;query=any,contains,991002741739702656","Catalog Record")</f>
        <v/>
      </c>
      <c r="AT442">
        <f>HYPERLINK("http://www.worldcat.org/oclc/421359","WorldCat Record")</f>
        <v/>
      </c>
      <c r="AU442" t="inlineStr">
        <is>
          <t>2287025552:eng</t>
        </is>
      </c>
      <c r="AV442" t="inlineStr">
        <is>
          <t>421359</t>
        </is>
      </c>
      <c r="AW442" t="inlineStr">
        <is>
          <t>991002741739702656</t>
        </is>
      </c>
      <c r="AX442" t="inlineStr">
        <is>
          <t>991002741739702656</t>
        </is>
      </c>
      <c r="AY442" t="inlineStr">
        <is>
          <t>2270093290002656</t>
        </is>
      </c>
      <c r="AZ442" t="inlineStr">
        <is>
          <t>BOOK</t>
        </is>
      </c>
      <c r="BC442" t="inlineStr">
        <is>
          <t>32285001981058</t>
        </is>
      </c>
      <c r="BD442" t="inlineStr">
        <is>
          <t>893262449</t>
        </is>
      </c>
    </row>
    <row r="443">
      <c r="A443" t="inlineStr">
        <is>
          <t>No</t>
        </is>
      </c>
      <c r="B443" t="inlineStr">
        <is>
          <t>E178.4 .S54</t>
        </is>
      </c>
      <c r="C443" t="inlineStr">
        <is>
          <t>0                      E  0178400S  54</t>
        </is>
      </c>
      <c r="D443" t="inlineStr">
        <is>
          <t>One-night stands with American history : odd, amusing, and little-known incidents / by Richard Shenkman and Kurt Reiger.</t>
        </is>
      </c>
      <c r="F443" t="inlineStr">
        <is>
          <t>No</t>
        </is>
      </c>
      <c r="G443" t="inlineStr">
        <is>
          <t>1</t>
        </is>
      </c>
      <c r="H443" t="inlineStr">
        <is>
          <t>No</t>
        </is>
      </c>
      <c r="I443" t="inlineStr">
        <is>
          <t>No</t>
        </is>
      </c>
      <c r="J443" t="inlineStr">
        <is>
          <t>0</t>
        </is>
      </c>
      <c r="K443" t="inlineStr">
        <is>
          <t>Shenkman, Richard.</t>
        </is>
      </c>
      <c r="L443" t="inlineStr">
        <is>
          <t>New York : W. Morrow, 1980.</t>
        </is>
      </c>
      <c r="M443" t="inlineStr">
        <is>
          <t>1980</t>
        </is>
      </c>
      <c r="N443" t="inlineStr">
        <is>
          <t>1st ed.</t>
        </is>
      </c>
      <c r="O443" t="inlineStr">
        <is>
          <t>eng</t>
        </is>
      </c>
      <c r="P443" t="inlineStr">
        <is>
          <t>nyu</t>
        </is>
      </c>
      <c r="R443" t="inlineStr">
        <is>
          <t xml:space="preserve">E  </t>
        </is>
      </c>
      <c r="S443" t="n">
        <v>1</v>
      </c>
      <c r="T443" t="n">
        <v>1</v>
      </c>
      <c r="U443" t="inlineStr">
        <is>
          <t>1994-11-01</t>
        </is>
      </c>
      <c r="V443" t="inlineStr">
        <is>
          <t>1994-11-01</t>
        </is>
      </c>
      <c r="W443" t="inlineStr">
        <is>
          <t>1990-02-24</t>
        </is>
      </c>
      <c r="X443" t="inlineStr">
        <is>
          <t>1990-02-24</t>
        </is>
      </c>
      <c r="Y443" t="n">
        <v>560</v>
      </c>
      <c r="Z443" t="n">
        <v>549</v>
      </c>
      <c r="AA443" t="n">
        <v>849</v>
      </c>
      <c r="AB443" t="n">
        <v>5</v>
      </c>
      <c r="AC443" t="n">
        <v>10</v>
      </c>
      <c r="AD443" t="n">
        <v>11</v>
      </c>
      <c r="AE443" t="n">
        <v>18</v>
      </c>
      <c r="AF443" t="n">
        <v>2</v>
      </c>
      <c r="AG443" t="n">
        <v>6</v>
      </c>
      <c r="AH443" t="n">
        <v>3</v>
      </c>
      <c r="AI443" t="n">
        <v>3</v>
      </c>
      <c r="AJ443" t="n">
        <v>6</v>
      </c>
      <c r="AK443" t="n">
        <v>9</v>
      </c>
      <c r="AL443" t="n">
        <v>2</v>
      </c>
      <c r="AM443" t="n">
        <v>4</v>
      </c>
      <c r="AN443" t="n">
        <v>0</v>
      </c>
      <c r="AO443" t="n">
        <v>0</v>
      </c>
      <c r="AP443" t="inlineStr">
        <is>
          <t>No</t>
        </is>
      </c>
      <c r="AQ443" t="inlineStr">
        <is>
          <t>Yes</t>
        </is>
      </c>
      <c r="AR443">
        <f>HYPERLINK("http://catalog.hathitrust.org/Record/000683683","HathiTrust Record")</f>
        <v/>
      </c>
      <c r="AS443">
        <f>HYPERLINK("https://creighton-primo.hosted.exlibrisgroup.com/primo-explore/search?tab=default_tab&amp;search_scope=EVERYTHING&amp;vid=01CRU&amp;lang=en_US&amp;offset=0&amp;query=any,contains,991004892509702656","Catalog Record")</f>
        <v/>
      </c>
      <c r="AT443">
        <f>HYPERLINK("http://www.worldcat.org/oclc/6142566","WorldCat Record")</f>
        <v/>
      </c>
      <c r="AU443" t="inlineStr">
        <is>
          <t>435638:eng</t>
        </is>
      </c>
      <c r="AV443" t="inlineStr">
        <is>
          <t>6142566</t>
        </is>
      </c>
      <c r="AW443" t="inlineStr">
        <is>
          <t>991004892509702656</t>
        </is>
      </c>
      <c r="AX443" t="inlineStr">
        <is>
          <t>991004892509702656</t>
        </is>
      </c>
      <c r="AY443" t="inlineStr">
        <is>
          <t>2268033700002656</t>
        </is>
      </c>
      <c r="AZ443" t="inlineStr">
        <is>
          <t>BOOK</t>
        </is>
      </c>
      <c r="BB443" t="inlineStr">
        <is>
          <t>9780688035730</t>
        </is>
      </c>
      <c r="BC443" t="inlineStr">
        <is>
          <t>32285000039254</t>
        </is>
      </c>
      <c r="BD443" t="inlineStr">
        <is>
          <t>893248085</t>
        </is>
      </c>
    </row>
    <row r="444">
      <c r="A444" t="inlineStr">
        <is>
          <t>No</t>
        </is>
      </c>
      <c r="B444" t="inlineStr">
        <is>
          <t>E178.5 .P21</t>
        </is>
      </c>
      <c r="C444" t="inlineStr">
        <is>
          <t>0                      E  0178500P  21</t>
        </is>
      </c>
      <c r="D444" t="inlineStr">
        <is>
          <t>The Pageant of America : a pictorial history of the United States / Ralph Henry Gabriel, editor.</t>
        </is>
      </c>
      <c r="E444" t="inlineStr">
        <is>
          <t>V.9</t>
        </is>
      </c>
      <c r="F444" t="inlineStr">
        <is>
          <t>Yes</t>
        </is>
      </c>
      <c r="G444" t="inlineStr">
        <is>
          <t>1</t>
        </is>
      </c>
      <c r="H444" t="inlineStr">
        <is>
          <t>No</t>
        </is>
      </c>
      <c r="I444" t="inlineStr">
        <is>
          <t>No</t>
        </is>
      </c>
      <c r="J444" t="inlineStr">
        <is>
          <t>0</t>
        </is>
      </c>
      <c r="L444" t="inlineStr">
        <is>
          <t>[New Haven, Yale Univ. Press, 1926-29]</t>
        </is>
      </c>
      <c r="M444" t="inlineStr">
        <is>
          <t>1926</t>
        </is>
      </c>
      <c r="N444" t="inlineStr">
        <is>
          <t>Independence ed.</t>
        </is>
      </c>
      <c r="O444" t="inlineStr">
        <is>
          <t>eng</t>
        </is>
      </c>
      <c r="P444" t="inlineStr">
        <is>
          <t>ctu</t>
        </is>
      </c>
      <c r="R444" t="inlineStr">
        <is>
          <t xml:space="preserve">E  </t>
        </is>
      </c>
      <c r="S444" t="n">
        <v>0</v>
      </c>
      <c r="T444" t="n">
        <v>1</v>
      </c>
      <c r="V444" t="inlineStr">
        <is>
          <t>2005-05-13</t>
        </is>
      </c>
      <c r="W444" t="inlineStr">
        <is>
          <t>1996-08-27</t>
        </is>
      </c>
      <c r="X444" t="inlineStr">
        <is>
          <t>1996-08-27</t>
        </is>
      </c>
      <c r="Y444" t="n">
        <v>656</v>
      </c>
      <c r="Z444" t="n">
        <v>630</v>
      </c>
      <c r="AA444" t="n">
        <v>783</v>
      </c>
      <c r="AB444" t="n">
        <v>5</v>
      </c>
      <c r="AC444" t="n">
        <v>6</v>
      </c>
      <c r="AD444" t="n">
        <v>14</v>
      </c>
      <c r="AE444" t="n">
        <v>15</v>
      </c>
      <c r="AF444" t="n">
        <v>5</v>
      </c>
      <c r="AG444" t="n">
        <v>5</v>
      </c>
      <c r="AH444" t="n">
        <v>2</v>
      </c>
      <c r="AI444" t="n">
        <v>3</v>
      </c>
      <c r="AJ444" t="n">
        <v>4</v>
      </c>
      <c r="AK444" t="n">
        <v>4</v>
      </c>
      <c r="AL444" t="n">
        <v>4</v>
      </c>
      <c r="AM444" t="n">
        <v>4</v>
      </c>
      <c r="AN444" t="n">
        <v>0</v>
      </c>
      <c r="AO444" t="n">
        <v>0</v>
      </c>
      <c r="AP444" t="inlineStr">
        <is>
          <t>No</t>
        </is>
      </c>
      <c r="AQ444" t="inlineStr">
        <is>
          <t>Yes</t>
        </is>
      </c>
      <c r="AR444">
        <f>HYPERLINK("http://catalog.hathitrust.org/Record/000335176","HathiTrust Record")</f>
        <v/>
      </c>
      <c r="AS444">
        <f>HYPERLINK("https://creighton-primo.hosted.exlibrisgroup.com/primo-explore/search?tab=default_tab&amp;search_scope=EVERYTHING&amp;vid=01CRU&amp;lang=en_US&amp;offset=0&amp;query=any,contains,991003217469702656","Catalog Record")</f>
        <v/>
      </c>
      <c r="AT444">
        <f>HYPERLINK("http://www.worldcat.org/oclc/743596","WorldCat Record")</f>
        <v/>
      </c>
      <c r="AU444" t="inlineStr">
        <is>
          <t>4159833490:eng</t>
        </is>
      </c>
      <c r="AV444" t="inlineStr">
        <is>
          <t>743596</t>
        </is>
      </c>
      <c r="AW444" t="inlineStr">
        <is>
          <t>991003217469702656</t>
        </is>
      </c>
      <c r="AX444" t="inlineStr">
        <is>
          <t>991003217469702656</t>
        </is>
      </c>
      <c r="AY444" t="inlineStr">
        <is>
          <t>2267377150002656</t>
        </is>
      </c>
      <c r="AZ444" t="inlineStr">
        <is>
          <t>BOOK</t>
        </is>
      </c>
      <c r="BC444" t="inlineStr">
        <is>
          <t>32285002296472</t>
        </is>
      </c>
      <c r="BD444" t="inlineStr">
        <is>
          <t>893434759</t>
        </is>
      </c>
    </row>
    <row r="445">
      <c r="A445" t="inlineStr">
        <is>
          <t>No</t>
        </is>
      </c>
      <c r="B445" t="inlineStr">
        <is>
          <t>E178.5 .P21</t>
        </is>
      </c>
      <c r="C445" t="inlineStr">
        <is>
          <t>0                      E  0178500P  21</t>
        </is>
      </c>
      <c r="D445" t="inlineStr">
        <is>
          <t>The Pageant of America : a pictorial history of the United States / Ralph Henry Gabriel, editor.</t>
        </is>
      </c>
      <c r="E445" t="inlineStr">
        <is>
          <t>V.15</t>
        </is>
      </c>
      <c r="F445" t="inlineStr">
        <is>
          <t>Yes</t>
        </is>
      </c>
      <c r="G445" t="inlineStr">
        <is>
          <t>1</t>
        </is>
      </c>
      <c r="H445" t="inlineStr">
        <is>
          <t>No</t>
        </is>
      </c>
      <c r="I445" t="inlineStr">
        <is>
          <t>No</t>
        </is>
      </c>
      <c r="J445" t="inlineStr">
        <is>
          <t>0</t>
        </is>
      </c>
      <c r="L445" t="inlineStr">
        <is>
          <t>[New Haven, Yale Univ. Press, 1926-29]</t>
        </is>
      </c>
      <c r="M445" t="inlineStr">
        <is>
          <t>1926</t>
        </is>
      </c>
      <c r="N445" t="inlineStr">
        <is>
          <t>Independence ed.</t>
        </is>
      </c>
      <c r="O445" t="inlineStr">
        <is>
          <t>eng</t>
        </is>
      </c>
      <c r="P445" t="inlineStr">
        <is>
          <t>ctu</t>
        </is>
      </c>
      <c r="R445" t="inlineStr">
        <is>
          <t xml:space="preserve">E  </t>
        </is>
      </c>
      <c r="S445" t="n">
        <v>0</v>
      </c>
      <c r="T445" t="n">
        <v>1</v>
      </c>
      <c r="V445" t="inlineStr">
        <is>
          <t>2005-05-13</t>
        </is>
      </c>
      <c r="W445" t="inlineStr">
        <is>
          <t>1996-08-27</t>
        </is>
      </c>
      <c r="X445" t="inlineStr">
        <is>
          <t>1996-08-27</t>
        </is>
      </c>
      <c r="Y445" t="n">
        <v>656</v>
      </c>
      <c r="Z445" t="n">
        <v>630</v>
      </c>
      <c r="AA445" t="n">
        <v>783</v>
      </c>
      <c r="AB445" t="n">
        <v>5</v>
      </c>
      <c r="AC445" t="n">
        <v>6</v>
      </c>
      <c r="AD445" t="n">
        <v>14</v>
      </c>
      <c r="AE445" t="n">
        <v>15</v>
      </c>
      <c r="AF445" t="n">
        <v>5</v>
      </c>
      <c r="AG445" t="n">
        <v>5</v>
      </c>
      <c r="AH445" t="n">
        <v>2</v>
      </c>
      <c r="AI445" t="n">
        <v>3</v>
      </c>
      <c r="AJ445" t="n">
        <v>4</v>
      </c>
      <c r="AK445" t="n">
        <v>4</v>
      </c>
      <c r="AL445" t="n">
        <v>4</v>
      </c>
      <c r="AM445" t="n">
        <v>4</v>
      </c>
      <c r="AN445" t="n">
        <v>0</v>
      </c>
      <c r="AO445" t="n">
        <v>0</v>
      </c>
      <c r="AP445" t="inlineStr">
        <is>
          <t>No</t>
        </is>
      </c>
      <c r="AQ445" t="inlineStr">
        <is>
          <t>Yes</t>
        </is>
      </c>
      <c r="AR445">
        <f>HYPERLINK("http://catalog.hathitrust.org/Record/000335176","HathiTrust Record")</f>
        <v/>
      </c>
      <c r="AS445">
        <f>HYPERLINK("https://creighton-primo.hosted.exlibrisgroup.com/primo-explore/search?tab=default_tab&amp;search_scope=EVERYTHING&amp;vid=01CRU&amp;lang=en_US&amp;offset=0&amp;query=any,contains,991003217469702656","Catalog Record")</f>
        <v/>
      </c>
      <c r="AT445">
        <f>HYPERLINK("http://www.worldcat.org/oclc/743596","WorldCat Record")</f>
        <v/>
      </c>
      <c r="AU445" t="inlineStr">
        <is>
          <t>4159833490:eng</t>
        </is>
      </c>
      <c r="AV445" t="inlineStr">
        <is>
          <t>743596</t>
        </is>
      </c>
      <c r="AW445" t="inlineStr">
        <is>
          <t>991003217469702656</t>
        </is>
      </c>
      <c r="AX445" t="inlineStr">
        <is>
          <t>991003217469702656</t>
        </is>
      </c>
      <c r="AY445" t="inlineStr">
        <is>
          <t>2267377150002656</t>
        </is>
      </c>
      <c r="AZ445" t="inlineStr">
        <is>
          <t>BOOK</t>
        </is>
      </c>
      <c r="BC445" t="inlineStr">
        <is>
          <t>32285002296530</t>
        </is>
      </c>
      <c r="BD445" t="inlineStr">
        <is>
          <t>893434760</t>
        </is>
      </c>
    </row>
    <row r="446">
      <c r="A446" t="inlineStr">
        <is>
          <t>No</t>
        </is>
      </c>
      <c r="B446" t="inlineStr">
        <is>
          <t>E178.5 .P21</t>
        </is>
      </c>
      <c r="C446" t="inlineStr">
        <is>
          <t>0                      E  0178500P  21</t>
        </is>
      </c>
      <c r="D446" t="inlineStr">
        <is>
          <t>The Pageant of America : a pictorial history of the United States / Ralph Henry Gabriel, editor.</t>
        </is>
      </c>
      <c r="E446" t="inlineStr">
        <is>
          <t>V.10</t>
        </is>
      </c>
      <c r="F446" t="inlineStr">
        <is>
          <t>Yes</t>
        </is>
      </c>
      <c r="G446" t="inlineStr">
        <is>
          <t>1</t>
        </is>
      </c>
      <c r="H446" t="inlineStr">
        <is>
          <t>No</t>
        </is>
      </c>
      <c r="I446" t="inlineStr">
        <is>
          <t>No</t>
        </is>
      </c>
      <c r="J446" t="inlineStr">
        <is>
          <t>0</t>
        </is>
      </c>
      <c r="L446" t="inlineStr">
        <is>
          <t>[New Haven, Yale Univ. Press, 1926-29]</t>
        </is>
      </c>
      <c r="M446" t="inlineStr">
        <is>
          <t>1926</t>
        </is>
      </c>
      <c r="N446" t="inlineStr">
        <is>
          <t>Independence ed.</t>
        </is>
      </c>
      <c r="O446" t="inlineStr">
        <is>
          <t>eng</t>
        </is>
      </c>
      <c r="P446" t="inlineStr">
        <is>
          <t>ctu</t>
        </is>
      </c>
      <c r="R446" t="inlineStr">
        <is>
          <t xml:space="preserve">E  </t>
        </is>
      </c>
      <c r="S446" t="n">
        <v>0</v>
      </c>
      <c r="T446" t="n">
        <v>1</v>
      </c>
      <c r="V446" t="inlineStr">
        <is>
          <t>2005-05-13</t>
        </is>
      </c>
      <c r="W446" t="inlineStr">
        <is>
          <t>1996-08-27</t>
        </is>
      </c>
      <c r="X446" t="inlineStr">
        <is>
          <t>1996-08-27</t>
        </is>
      </c>
      <c r="Y446" t="n">
        <v>656</v>
      </c>
      <c r="Z446" t="n">
        <v>630</v>
      </c>
      <c r="AA446" t="n">
        <v>783</v>
      </c>
      <c r="AB446" t="n">
        <v>5</v>
      </c>
      <c r="AC446" t="n">
        <v>6</v>
      </c>
      <c r="AD446" t="n">
        <v>14</v>
      </c>
      <c r="AE446" t="n">
        <v>15</v>
      </c>
      <c r="AF446" t="n">
        <v>5</v>
      </c>
      <c r="AG446" t="n">
        <v>5</v>
      </c>
      <c r="AH446" t="n">
        <v>2</v>
      </c>
      <c r="AI446" t="n">
        <v>3</v>
      </c>
      <c r="AJ446" t="n">
        <v>4</v>
      </c>
      <c r="AK446" t="n">
        <v>4</v>
      </c>
      <c r="AL446" t="n">
        <v>4</v>
      </c>
      <c r="AM446" t="n">
        <v>4</v>
      </c>
      <c r="AN446" t="n">
        <v>0</v>
      </c>
      <c r="AO446" t="n">
        <v>0</v>
      </c>
      <c r="AP446" t="inlineStr">
        <is>
          <t>No</t>
        </is>
      </c>
      <c r="AQ446" t="inlineStr">
        <is>
          <t>Yes</t>
        </is>
      </c>
      <c r="AR446">
        <f>HYPERLINK("http://catalog.hathitrust.org/Record/000335176","HathiTrust Record")</f>
        <v/>
      </c>
      <c r="AS446">
        <f>HYPERLINK("https://creighton-primo.hosted.exlibrisgroup.com/primo-explore/search?tab=default_tab&amp;search_scope=EVERYTHING&amp;vid=01CRU&amp;lang=en_US&amp;offset=0&amp;query=any,contains,991003217469702656","Catalog Record")</f>
        <v/>
      </c>
      <c r="AT446">
        <f>HYPERLINK("http://www.worldcat.org/oclc/743596","WorldCat Record")</f>
        <v/>
      </c>
      <c r="AU446" t="inlineStr">
        <is>
          <t>4159833490:eng</t>
        </is>
      </c>
      <c r="AV446" t="inlineStr">
        <is>
          <t>743596</t>
        </is>
      </c>
      <c r="AW446" t="inlineStr">
        <is>
          <t>991003217469702656</t>
        </is>
      </c>
      <c r="AX446" t="inlineStr">
        <is>
          <t>991003217469702656</t>
        </is>
      </c>
      <c r="AY446" t="inlineStr">
        <is>
          <t>2267377150002656</t>
        </is>
      </c>
      <c r="AZ446" t="inlineStr">
        <is>
          <t>BOOK</t>
        </is>
      </c>
      <c r="BC446" t="inlineStr">
        <is>
          <t>32285002296480</t>
        </is>
      </c>
      <c r="BD446" t="inlineStr">
        <is>
          <t>893410031</t>
        </is>
      </c>
    </row>
    <row r="447">
      <c r="A447" t="inlineStr">
        <is>
          <t>No</t>
        </is>
      </c>
      <c r="B447" t="inlineStr">
        <is>
          <t>E178.5 .P21</t>
        </is>
      </c>
      <c r="C447" t="inlineStr">
        <is>
          <t>0                      E  0178500P  21</t>
        </is>
      </c>
      <c r="D447" t="inlineStr">
        <is>
          <t>The Pageant of America : a pictorial history of the United States / Ralph Henry Gabriel, editor.</t>
        </is>
      </c>
      <c r="E447" t="inlineStr">
        <is>
          <t>V.11</t>
        </is>
      </c>
      <c r="F447" t="inlineStr">
        <is>
          <t>Yes</t>
        </is>
      </c>
      <c r="G447" t="inlineStr">
        <is>
          <t>1</t>
        </is>
      </c>
      <c r="H447" t="inlineStr">
        <is>
          <t>No</t>
        </is>
      </c>
      <c r="I447" t="inlineStr">
        <is>
          <t>No</t>
        </is>
      </c>
      <c r="J447" t="inlineStr">
        <is>
          <t>0</t>
        </is>
      </c>
      <c r="L447" t="inlineStr">
        <is>
          <t>[New Haven, Yale Univ. Press, 1926-29]</t>
        </is>
      </c>
      <c r="M447" t="inlineStr">
        <is>
          <t>1926</t>
        </is>
      </c>
      <c r="N447" t="inlineStr">
        <is>
          <t>Independence ed.</t>
        </is>
      </c>
      <c r="O447" t="inlineStr">
        <is>
          <t>eng</t>
        </is>
      </c>
      <c r="P447" t="inlineStr">
        <is>
          <t>ctu</t>
        </is>
      </c>
      <c r="R447" t="inlineStr">
        <is>
          <t xml:space="preserve">E  </t>
        </is>
      </c>
      <c r="S447" t="n">
        <v>0</v>
      </c>
      <c r="T447" t="n">
        <v>1</v>
      </c>
      <c r="V447" t="inlineStr">
        <is>
          <t>2005-05-13</t>
        </is>
      </c>
      <c r="W447" t="inlineStr">
        <is>
          <t>1996-08-27</t>
        </is>
      </c>
      <c r="X447" t="inlineStr">
        <is>
          <t>1996-08-27</t>
        </is>
      </c>
      <c r="Y447" t="n">
        <v>656</v>
      </c>
      <c r="Z447" t="n">
        <v>630</v>
      </c>
      <c r="AA447" t="n">
        <v>783</v>
      </c>
      <c r="AB447" t="n">
        <v>5</v>
      </c>
      <c r="AC447" t="n">
        <v>6</v>
      </c>
      <c r="AD447" t="n">
        <v>14</v>
      </c>
      <c r="AE447" t="n">
        <v>15</v>
      </c>
      <c r="AF447" t="n">
        <v>5</v>
      </c>
      <c r="AG447" t="n">
        <v>5</v>
      </c>
      <c r="AH447" t="n">
        <v>2</v>
      </c>
      <c r="AI447" t="n">
        <v>3</v>
      </c>
      <c r="AJ447" t="n">
        <v>4</v>
      </c>
      <c r="AK447" t="n">
        <v>4</v>
      </c>
      <c r="AL447" t="n">
        <v>4</v>
      </c>
      <c r="AM447" t="n">
        <v>4</v>
      </c>
      <c r="AN447" t="n">
        <v>0</v>
      </c>
      <c r="AO447" t="n">
        <v>0</v>
      </c>
      <c r="AP447" t="inlineStr">
        <is>
          <t>No</t>
        </is>
      </c>
      <c r="AQ447" t="inlineStr">
        <is>
          <t>Yes</t>
        </is>
      </c>
      <c r="AR447">
        <f>HYPERLINK("http://catalog.hathitrust.org/Record/000335176","HathiTrust Record")</f>
        <v/>
      </c>
      <c r="AS447">
        <f>HYPERLINK("https://creighton-primo.hosted.exlibrisgroup.com/primo-explore/search?tab=default_tab&amp;search_scope=EVERYTHING&amp;vid=01CRU&amp;lang=en_US&amp;offset=0&amp;query=any,contains,991003217469702656","Catalog Record")</f>
        <v/>
      </c>
      <c r="AT447">
        <f>HYPERLINK("http://www.worldcat.org/oclc/743596","WorldCat Record")</f>
        <v/>
      </c>
      <c r="AU447" t="inlineStr">
        <is>
          <t>4159833490:eng</t>
        </is>
      </c>
      <c r="AV447" t="inlineStr">
        <is>
          <t>743596</t>
        </is>
      </c>
      <c r="AW447" t="inlineStr">
        <is>
          <t>991003217469702656</t>
        </is>
      </c>
      <c r="AX447" t="inlineStr">
        <is>
          <t>991003217469702656</t>
        </is>
      </c>
      <c r="AY447" t="inlineStr">
        <is>
          <t>2267377150002656</t>
        </is>
      </c>
      <c r="AZ447" t="inlineStr">
        <is>
          <t>BOOK</t>
        </is>
      </c>
      <c r="BC447" t="inlineStr">
        <is>
          <t>32285002296498</t>
        </is>
      </c>
      <c r="BD447" t="inlineStr">
        <is>
          <t>893434761</t>
        </is>
      </c>
    </row>
    <row r="448">
      <c r="A448" t="inlineStr">
        <is>
          <t>No</t>
        </is>
      </c>
      <c r="B448" t="inlineStr">
        <is>
          <t>E178.5 .P21</t>
        </is>
      </c>
      <c r="C448" t="inlineStr">
        <is>
          <t>0                      E  0178500P  21</t>
        </is>
      </c>
      <c r="D448" t="inlineStr">
        <is>
          <t>The Pageant of America : a pictorial history of the United States / Ralph Henry Gabriel, editor.</t>
        </is>
      </c>
      <c r="E448" t="inlineStr">
        <is>
          <t>V.2</t>
        </is>
      </c>
      <c r="F448" t="inlineStr">
        <is>
          <t>Yes</t>
        </is>
      </c>
      <c r="G448" t="inlineStr">
        <is>
          <t>1</t>
        </is>
      </c>
      <c r="H448" t="inlineStr">
        <is>
          <t>No</t>
        </is>
      </c>
      <c r="I448" t="inlineStr">
        <is>
          <t>No</t>
        </is>
      </c>
      <c r="J448" t="inlineStr">
        <is>
          <t>0</t>
        </is>
      </c>
      <c r="L448" t="inlineStr">
        <is>
          <t>[New Haven, Yale Univ. Press, 1926-29]</t>
        </is>
      </c>
      <c r="M448" t="inlineStr">
        <is>
          <t>1926</t>
        </is>
      </c>
      <c r="N448" t="inlineStr">
        <is>
          <t>Independence ed.</t>
        </is>
      </c>
      <c r="O448" t="inlineStr">
        <is>
          <t>eng</t>
        </is>
      </c>
      <c r="P448" t="inlineStr">
        <is>
          <t>ctu</t>
        </is>
      </c>
      <c r="R448" t="inlineStr">
        <is>
          <t xml:space="preserve">E  </t>
        </is>
      </c>
      <c r="S448" t="n">
        <v>0</v>
      </c>
      <c r="T448" t="n">
        <v>1</v>
      </c>
      <c r="V448" t="inlineStr">
        <is>
          <t>2005-05-13</t>
        </is>
      </c>
      <c r="W448" t="inlineStr">
        <is>
          <t>1996-08-27</t>
        </is>
      </c>
      <c r="X448" t="inlineStr">
        <is>
          <t>1996-08-27</t>
        </is>
      </c>
      <c r="Y448" t="n">
        <v>656</v>
      </c>
      <c r="Z448" t="n">
        <v>630</v>
      </c>
      <c r="AA448" t="n">
        <v>783</v>
      </c>
      <c r="AB448" t="n">
        <v>5</v>
      </c>
      <c r="AC448" t="n">
        <v>6</v>
      </c>
      <c r="AD448" t="n">
        <v>14</v>
      </c>
      <c r="AE448" t="n">
        <v>15</v>
      </c>
      <c r="AF448" t="n">
        <v>5</v>
      </c>
      <c r="AG448" t="n">
        <v>5</v>
      </c>
      <c r="AH448" t="n">
        <v>2</v>
      </c>
      <c r="AI448" t="n">
        <v>3</v>
      </c>
      <c r="AJ448" t="n">
        <v>4</v>
      </c>
      <c r="AK448" t="n">
        <v>4</v>
      </c>
      <c r="AL448" t="n">
        <v>4</v>
      </c>
      <c r="AM448" t="n">
        <v>4</v>
      </c>
      <c r="AN448" t="n">
        <v>0</v>
      </c>
      <c r="AO448" t="n">
        <v>0</v>
      </c>
      <c r="AP448" t="inlineStr">
        <is>
          <t>No</t>
        </is>
      </c>
      <c r="AQ448" t="inlineStr">
        <is>
          <t>Yes</t>
        </is>
      </c>
      <c r="AR448">
        <f>HYPERLINK("http://catalog.hathitrust.org/Record/000335176","HathiTrust Record")</f>
        <v/>
      </c>
      <c r="AS448">
        <f>HYPERLINK("https://creighton-primo.hosted.exlibrisgroup.com/primo-explore/search?tab=default_tab&amp;search_scope=EVERYTHING&amp;vid=01CRU&amp;lang=en_US&amp;offset=0&amp;query=any,contains,991003217469702656","Catalog Record")</f>
        <v/>
      </c>
      <c r="AT448">
        <f>HYPERLINK("http://www.worldcat.org/oclc/743596","WorldCat Record")</f>
        <v/>
      </c>
      <c r="AU448" t="inlineStr">
        <is>
          <t>4159833490:eng</t>
        </is>
      </c>
      <c r="AV448" t="inlineStr">
        <is>
          <t>743596</t>
        </is>
      </c>
      <c r="AW448" t="inlineStr">
        <is>
          <t>991003217469702656</t>
        </is>
      </c>
      <c r="AX448" t="inlineStr">
        <is>
          <t>991003217469702656</t>
        </is>
      </c>
      <c r="AY448" t="inlineStr">
        <is>
          <t>2267377150002656</t>
        </is>
      </c>
      <c r="AZ448" t="inlineStr">
        <is>
          <t>BOOK</t>
        </is>
      </c>
      <c r="BC448" t="inlineStr">
        <is>
          <t>32285002296407</t>
        </is>
      </c>
      <c r="BD448" t="inlineStr">
        <is>
          <t>893410030</t>
        </is>
      </c>
    </row>
    <row r="449">
      <c r="A449" t="inlineStr">
        <is>
          <t>No</t>
        </is>
      </c>
      <c r="B449" t="inlineStr">
        <is>
          <t>E178.5 .P21</t>
        </is>
      </c>
      <c r="C449" t="inlineStr">
        <is>
          <t>0                      E  0178500P  21</t>
        </is>
      </c>
      <c r="D449" t="inlineStr">
        <is>
          <t>The Pageant of America : a pictorial history of the United States / Ralph Henry Gabriel, editor.</t>
        </is>
      </c>
      <c r="E449" t="inlineStr">
        <is>
          <t>V.8</t>
        </is>
      </c>
      <c r="F449" t="inlineStr">
        <is>
          <t>Yes</t>
        </is>
      </c>
      <c r="G449" t="inlineStr">
        <is>
          <t>1</t>
        </is>
      </c>
      <c r="H449" t="inlineStr">
        <is>
          <t>No</t>
        </is>
      </c>
      <c r="I449" t="inlineStr">
        <is>
          <t>No</t>
        </is>
      </c>
      <c r="J449" t="inlineStr">
        <is>
          <t>0</t>
        </is>
      </c>
      <c r="L449" t="inlineStr">
        <is>
          <t>[New Haven, Yale Univ. Press, 1926-29]</t>
        </is>
      </c>
      <c r="M449" t="inlineStr">
        <is>
          <t>1926</t>
        </is>
      </c>
      <c r="N449" t="inlineStr">
        <is>
          <t>Independence ed.</t>
        </is>
      </c>
      <c r="O449" t="inlineStr">
        <is>
          <t>eng</t>
        </is>
      </c>
      <c r="P449" t="inlineStr">
        <is>
          <t>ctu</t>
        </is>
      </c>
      <c r="R449" t="inlineStr">
        <is>
          <t xml:space="preserve">E  </t>
        </is>
      </c>
      <c r="S449" t="n">
        <v>0</v>
      </c>
      <c r="T449" t="n">
        <v>1</v>
      </c>
      <c r="V449" t="inlineStr">
        <is>
          <t>2005-05-13</t>
        </is>
      </c>
      <c r="W449" t="inlineStr">
        <is>
          <t>1996-08-27</t>
        </is>
      </c>
      <c r="X449" t="inlineStr">
        <is>
          <t>1996-08-27</t>
        </is>
      </c>
      <c r="Y449" t="n">
        <v>656</v>
      </c>
      <c r="Z449" t="n">
        <v>630</v>
      </c>
      <c r="AA449" t="n">
        <v>783</v>
      </c>
      <c r="AB449" t="n">
        <v>5</v>
      </c>
      <c r="AC449" t="n">
        <v>6</v>
      </c>
      <c r="AD449" t="n">
        <v>14</v>
      </c>
      <c r="AE449" t="n">
        <v>15</v>
      </c>
      <c r="AF449" t="n">
        <v>5</v>
      </c>
      <c r="AG449" t="n">
        <v>5</v>
      </c>
      <c r="AH449" t="n">
        <v>2</v>
      </c>
      <c r="AI449" t="n">
        <v>3</v>
      </c>
      <c r="AJ449" t="n">
        <v>4</v>
      </c>
      <c r="AK449" t="n">
        <v>4</v>
      </c>
      <c r="AL449" t="n">
        <v>4</v>
      </c>
      <c r="AM449" t="n">
        <v>4</v>
      </c>
      <c r="AN449" t="n">
        <v>0</v>
      </c>
      <c r="AO449" t="n">
        <v>0</v>
      </c>
      <c r="AP449" t="inlineStr">
        <is>
          <t>No</t>
        </is>
      </c>
      <c r="AQ449" t="inlineStr">
        <is>
          <t>Yes</t>
        </is>
      </c>
      <c r="AR449">
        <f>HYPERLINK("http://catalog.hathitrust.org/Record/000335176","HathiTrust Record")</f>
        <v/>
      </c>
      <c r="AS449">
        <f>HYPERLINK("https://creighton-primo.hosted.exlibrisgroup.com/primo-explore/search?tab=default_tab&amp;search_scope=EVERYTHING&amp;vid=01CRU&amp;lang=en_US&amp;offset=0&amp;query=any,contains,991003217469702656","Catalog Record")</f>
        <v/>
      </c>
      <c r="AT449">
        <f>HYPERLINK("http://www.worldcat.org/oclc/743596","WorldCat Record")</f>
        <v/>
      </c>
      <c r="AU449" t="inlineStr">
        <is>
          <t>4159833490:eng</t>
        </is>
      </c>
      <c r="AV449" t="inlineStr">
        <is>
          <t>743596</t>
        </is>
      </c>
      <c r="AW449" t="inlineStr">
        <is>
          <t>991003217469702656</t>
        </is>
      </c>
      <c r="AX449" t="inlineStr">
        <is>
          <t>991003217469702656</t>
        </is>
      </c>
      <c r="AY449" t="inlineStr">
        <is>
          <t>2267377150002656</t>
        </is>
      </c>
      <c r="AZ449" t="inlineStr">
        <is>
          <t>BOOK</t>
        </is>
      </c>
      <c r="BC449" t="inlineStr">
        <is>
          <t>32285002296464</t>
        </is>
      </c>
      <c r="BD449" t="inlineStr">
        <is>
          <t>893410028</t>
        </is>
      </c>
    </row>
    <row r="450">
      <c r="A450" t="inlineStr">
        <is>
          <t>No</t>
        </is>
      </c>
      <c r="B450" t="inlineStr">
        <is>
          <t>E178.5 .P21</t>
        </is>
      </c>
      <c r="C450" t="inlineStr">
        <is>
          <t>0                      E  0178500P  21</t>
        </is>
      </c>
      <c r="D450" t="inlineStr">
        <is>
          <t>The Pageant of America : a pictorial history of the United States / Ralph Henry Gabriel, editor.</t>
        </is>
      </c>
      <c r="E450" t="inlineStr">
        <is>
          <t>V.5</t>
        </is>
      </c>
      <c r="F450" t="inlineStr">
        <is>
          <t>Yes</t>
        </is>
      </c>
      <c r="G450" t="inlineStr">
        <is>
          <t>1</t>
        </is>
      </c>
      <c r="H450" t="inlineStr">
        <is>
          <t>No</t>
        </is>
      </c>
      <c r="I450" t="inlineStr">
        <is>
          <t>No</t>
        </is>
      </c>
      <c r="J450" t="inlineStr">
        <is>
          <t>0</t>
        </is>
      </c>
      <c r="L450" t="inlineStr">
        <is>
          <t>[New Haven, Yale Univ. Press, 1926-29]</t>
        </is>
      </c>
      <c r="M450" t="inlineStr">
        <is>
          <t>1926</t>
        </is>
      </c>
      <c r="N450" t="inlineStr">
        <is>
          <t>Independence ed.</t>
        </is>
      </c>
      <c r="O450" t="inlineStr">
        <is>
          <t>eng</t>
        </is>
      </c>
      <c r="P450" t="inlineStr">
        <is>
          <t>ctu</t>
        </is>
      </c>
      <c r="R450" t="inlineStr">
        <is>
          <t xml:space="preserve">E  </t>
        </is>
      </c>
      <c r="S450" t="n">
        <v>0</v>
      </c>
      <c r="T450" t="n">
        <v>1</v>
      </c>
      <c r="V450" t="inlineStr">
        <is>
          <t>2005-05-13</t>
        </is>
      </c>
      <c r="W450" t="inlineStr">
        <is>
          <t>1996-08-27</t>
        </is>
      </c>
      <c r="X450" t="inlineStr">
        <is>
          <t>1996-08-27</t>
        </is>
      </c>
      <c r="Y450" t="n">
        <v>656</v>
      </c>
      <c r="Z450" t="n">
        <v>630</v>
      </c>
      <c r="AA450" t="n">
        <v>783</v>
      </c>
      <c r="AB450" t="n">
        <v>5</v>
      </c>
      <c r="AC450" t="n">
        <v>6</v>
      </c>
      <c r="AD450" t="n">
        <v>14</v>
      </c>
      <c r="AE450" t="n">
        <v>15</v>
      </c>
      <c r="AF450" t="n">
        <v>5</v>
      </c>
      <c r="AG450" t="n">
        <v>5</v>
      </c>
      <c r="AH450" t="n">
        <v>2</v>
      </c>
      <c r="AI450" t="n">
        <v>3</v>
      </c>
      <c r="AJ450" t="n">
        <v>4</v>
      </c>
      <c r="AK450" t="n">
        <v>4</v>
      </c>
      <c r="AL450" t="n">
        <v>4</v>
      </c>
      <c r="AM450" t="n">
        <v>4</v>
      </c>
      <c r="AN450" t="n">
        <v>0</v>
      </c>
      <c r="AO450" t="n">
        <v>0</v>
      </c>
      <c r="AP450" t="inlineStr">
        <is>
          <t>No</t>
        </is>
      </c>
      <c r="AQ450" t="inlineStr">
        <is>
          <t>Yes</t>
        </is>
      </c>
      <c r="AR450">
        <f>HYPERLINK("http://catalog.hathitrust.org/Record/000335176","HathiTrust Record")</f>
        <v/>
      </c>
      <c r="AS450">
        <f>HYPERLINK("https://creighton-primo.hosted.exlibrisgroup.com/primo-explore/search?tab=default_tab&amp;search_scope=EVERYTHING&amp;vid=01CRU&amp;lang=en_US&amp;offset=0&amp;query=any,contains,991003217469702656","Catalog Record")</f>
        <v/>
      </c>
      <c r="AT450">
        <f>HYPERLINK("http://www.worldcat.org/oclc/743596","WorldCat Record")</f>
        <v/>
      </c>
      <c r="AU450" t="inlineStr">
        <is>
          <t>4159833490:eng</t>
        </is>
      </c>
      <c r="AV450" t="inlineStr">
        <is>
          <t>743596</t>
        </is>
      </c>
      <c r="AW450" t="inlineStr">
        <is>
          <t>991003217469702656</t>
        </is>
      </c>
      <c r="AX450" t="inlineStr">
        <is>
          <t>991003217469702656</t>
        </is>
      </c>
      <c r="AY450" t="inlineStr">
        <is>
          <t>2267377150002656</t>
        </is>
      </c>
      <c r="AZ450" t="inlineStr">
        <is>
          <t>BOOK</t>
        </is>
      </c>
      <c r="BC450" t="inlineStr">
        <is>
          <t>32285002296431</t>
        </is>
      </c>
      <c r="BD450" t="inlineStr">
        <is>
          <t>893422303</t>
        </is>
      </c>
    </row>
    <row r="451">
      <c r="A451" t="inlineStr">
        <is>
          <t>No</t>
        </is>
      </c>
      <c r="B451" t="inlineStr">
        <is>
          <t>E178.5 .P21</t>
        </is>
      </c>
      <c r="C451" t="inlineStr">
        <is>
          <t>0                      E  0178500P  21</t>
        </is>
      </c>
      <c r="D451" t="inlineStr">
        <is>
          <t>The Pageant of America : a pictorial history of the United States / Ralph Henry Gabriel, editor.</t>
        </is>
      </c>
      <c r="E451" t="inlineStr">
        <is>
          <t>V.6</t>
        </is>
      </c>
      <c r="F451" t="inlineStr">
        <is>
          <t>Yes</t>
        </is>
      </c>
      <c r="G451" t="inlineStr">
        <is>
          <t>1</t>
        </is>
      </c>
      <c r="H451" t="inlineStr">
        <is>
          <t>No</t>
        </is>
      </c>
      <c r="I451" t="inlineStr">
        <is>
          <t>No</t>
        </is>
      </c>
      <c r="J451" t="inlineStr">
        <is>
          <t>0</t>
        </is>
      </c>
      <c r="L451" t="inlineStr">
        <is>
          <t>[New Haven, Yale Univ. Press, 1926-29]</t>
        </is>
      </c>
      <c r="M451" t="inlineStr">
        <is>
          <t>1926</t>
        </is>
      </c>
      <c r="N451" t="inlineStr">
        <is>
          <t>Independence ed.</t>
        </is>
      </c>
      <c r="O451" t="inlineStr">
        <is>
          <t>eng</t>
        </is>
      </c>
      <c r="P451" t="inlineStr">
        <is>
          <t>ctu</t>
        </is>
      </c>
      <c r="R451" t="inlineStr">
        <is>
          <t xml:space="preserve">E  </t>
        </is>
      </c>
      <c r="S451" t="n">
        <v>0</v>
      </c>
      <c r="T451" t="n">
        <v>1</v>
      </c>
      <c r="V451" t="inlineStr">
        <is>
          <t>2005-05-13</t>
        </is>
      </c>
      <c r="W451" t="inlineStr">
        <is>
          <t>1996-08-27</t>
        </is>
      </c>
      <c r="X451" t="inlineStr">
        <is>
          <t>1996-08-27</t>
        </is>
      </c>
      <c r="Y451" t="n">
        <v>656</v>
      </c>
      <c r="Z451" t="n">
        <v>630</v>
      </c>
      <c r="AA451" t="n">
        <v>783</v>
      </c>
      <c r="AB451" t="n">
        <v>5</v>
      </c>
      <c r="AC451" t="n">
        <v>6</v>
      </c>
      <c r="AD451" t="n">
        <v>14</v>
      </c>
      <c r="AE451" t="n">
        <v>15</v>
      </c>
      <c r="AF451" t="n">
        <v>5</v>
      </c>
      <c r="AG451" t="n">
        <v>5</v>
      </c>
      <c r="AH451" t="n">
        <v>2</v>
      </c>
      <c r="AI451" t="n">
        <v>3</v>
      </c>
      <c r="AJ451" t="n">
        <v>4</v>
      </c>
      <c r="AK451" t="n">
        <v>4</v>
      </c>
      <c r="AL451" t="n">
        <v>4</v>
      </c>
      <c r="AM451" t="n">
        <v>4</v>
      </c>
      <c r="AN451" t="n">
        <v>0</v>
      </c>
      <c r="AO451" t="n">
        <v>0</v>
      </c>
      <c r="AP451" t="inlineStr">
        <is>
          <t>No</t>
        </is>
      </c>
      <c r="AQ451" t="inlineStr">
        <is>
          <t>Yes</t>
        </is>
      </c>
      <c r="AR451">
        <f>HYPERLINK("http://catalog.hathitrust.org/Record/000335176","HathiTrust Record")</f>
        <v/>
      </c>
      <c r="AS451">
        <f>HYPERLINK("https://creighton-primo.hosted.exlibrisgroup.com/primo-explore/search?tab=default_tab&amp;search_scope=EVERYTHING&amp;vid=01CRU&amp;lang=en_US&amp;offset=0&amp;query=any,contains,991003217469702656","Catalog Record")</f>
        <v/>
      </c>
      <c r="AT451">
        <f>HYPERLINK("http://www.worldcat.org/oclc/743596","WorldCat Record")</f>
        <v/>
      </c>
      <c r="AU451" t="inlineStr">
        <is>
          <t>4159833490:eng</t>
        </is>
      </c>
      <c r="AV451" t="inlineStr">
        <is>
          <t>743596</t>
        </is>
      </c>
      <c r="AW451" t="inlineStr">
        <is>
          <t>991003217469702656</t>
        </is>
      </c>
      <c r="AX451" t="inlineStr">
        <is>
          <t>991003217469702656</t>
        </is>
      </c>
      <c r="AY451" t="inlineStr">
        <is>
          <t>2267377150002656</t>
        </is>
      </c>
      <c r="AZ451" t="inlineStr">
        <is>
          <t>BOOK</t>
        </is>
      </c>
      <c r="BC451" t="inlineStr">
        <is>
          <t>32285002296449</t>
        </is>
      </c>
      <c r="BD451" t="inlineStr">
        <is>
          <t>893434763</t>
        </is>
      </c>
    </row>
    <row r="452">
      <c r="A452" t="inlineStr">
        <is>
          <t>No</t>
        </is>
      </c>
      <c r="B452" t="inlineStr">
        <is>
          <t>E178.5 .P21</t>
        </is>
      </c>
      <c r="C452" t="inlineStr">
        <is>
          <t>0                      E  0178500P  21</t>
        </is>
      </c>
      <c r="D452" t="inlineStr">
        <is>
          <t>The Pageant of America : a pictorial history of the United States / Ralph Henry Gabriel, editor.</t>
        </is>
      </c>
      <c r="E452" t="inlineStr">
        <is>
          <t>V.14</t>
        </is>
      </c>
      <c r="F452" t="inlineStr">
        <is>
          <t>Yes</t>
        </is>
      </c>
      <c r="G452" t="inlineStr">
        <is>
          <t>1</t>
        </is>
      </c>
      <c r="H452" t="inlineStr">
        <is>
          <t>No</t>
        </is>
      </c>
      <c r="I452" t="inlineStr">
        <is>
          <t>No</t>
        </is>
      </c>
      <c r="J452" t="inlineStr">
        <is>
          <t>0</t>
        </is>
      </c>
      <c r="L452" t="inlineStr">
        <is>
          <t>[New Haven, Yale Univ. Press, 1926-29]</t>
        </is>
      </c>
      <c r="M452" t="inlineStr">
        <is>
          <t>1926</t>
        </is>
      </c>
      <c r="N452" t="inlineStr">
        <is>
          <t>Independence ed.</t>
        </is>
      </c>
      <c r="O452" t="inlineStr">
        <is>
          <t>eng</t>
        </is>
      </c>
      <c r="P452" t="inlineStr">
        <is>
          <t>ctu</t>
        </is>
      </c>
      <c r="R452" t="inlineStr">
        <is>
          <t xml:space="preserve">E  </t>
        </is>
      </c>
      <c r="S452" t="n">
        <v>0</v>
      </c>
      <c r="T452" t="n">
        <v>1</v>
      </c>
      <c r="V452" t="inlineStr">
        <is>
          <t>2005-05-13</t>
        </is>
      </c>
      <c r="W452" t="inlineStr">
        <is>
          <t>1996-08-27</t>
        </is>
      </c>
      <c r="X452" t="inlineStr">
        <is>
          <t>1996-08-27</t>
        </is>
      </c>
      <c r="Y452" t="n">
        <v>656</v>
      </c>
      <c r="Z452" t="n">
        <v>630</v>
      </c>
      <c r="AA452" t="n">
        <v>783</v>
      </c>
      <c r="AB452" t="n">
        <v>5</v>
      </c>
      <c r="AC452" t="n">
        <v>6</v>
      </c>
      <c r="AD452" t="n">
        <v>14</v>
      </c>
      <c r="AE452" t="n">
        <v>15</v>
      </c>
      <c r="AF452" t="n">
        <v>5</v>
      </c>
      <c r="AG452" t="n">
        <v>5</v>
      </c>
      <c r="AH452" t="n">
        <v>2</v>
      </c>
      <c r="AI452" t="n">
        <v>3</v>
      </c>
      <c r="AJ452" t="n">
        <v>4</v>
      </c>
      <c r="AK452" t="n">
        <v>4</v>
      </c>
      <c r="AL452" t="n">
        <v>4</v>
      </c>
      <c r="AM452" t="n">
        <v>4</v>
      </c>
      <c r="AN452" t="n">
        <v>0</v>
      </c>
      <c r="AO452" t="n">
        <v>0</v>
      </c>
      <c r="AP452" t="inlineStr">
        <is>
          <t>No</t>
        </is>
      </c>
      <c r="AQ452" t="inlineStr">
        <is>
          <t>Yes</t>
        </is>
      </c>
      <c r="AR452">
        <f>HYPERLINK("http://catalog.hathitrust.org/Record/000335176","HathiTrust Record")</f>
        <v/>
      </c>
      <c r="AS452">
        <f>HYPERLINK("https://creighton-primo.hosted.exlibrisgroup.com/primo-explore/search?tab=default_tab&amp;search_scope=EVERYTHING&amp;vid=01CRU&amp;lang=en_US&amp;offset=0&amp;query=any,contains,991003217469702656","Catalog Record")</f>
        <v/>
      </c>
      <c r="AT452">
        <f>HYPERLINK("http://www.worldcat.org/oclc/743596","WorldCat Record")</f>
        <v/>
      </c>
      <c r="AU452" t="inlineStr">
        <is>
          <t>4159833490:eng</t>
        </is>
      </c>
      <c r="AV452" t="inlineStr">
        <is>
          <t>743596</t>
        </is>
      </c>
      <c r="AW452" t="inlineStr">
        <is>
          <t>991003217469702656</t>
        </is>
      </c>
      <c r="AX452" t="inlineStr">
        <is>
          <t>991003217469702656</t>
        </is>
      </c>
      <c r="AY452" t="inlineStr">
        <is>
          <t>2267377150002656</t>
        </is>
      </c>
      <c r="AZ452" t="inlineStr">
        <is>
          <t>BOOK</t>
        </is>
      </c>
      <c r="BC452" t="inlineStr">
        <is>
          <t>32285002296522</t>
        </is>
      </c>
      <c r="BD452" t="inlineStr">
        <is>
          <t>893422305</t>
        </is>
      </c>
    </row>
    <row r="453">
      <c r="A453" t="inlineStr">
        <is>
          <t>No</t>
        </is>
      </c>
      <c r="B453" t="inlineStr">
        <is>
          <t>E178.5 .P21</t>
        </is>
      </c>
      <c r="C453" t="inlineStr">
        <is>
          <t>0                      E  0178500P  21</t>
        </is>
      </c>
      <c r="D453" t="inlineStr">
        <is>
          <t>The Pageant of America : a pictorial history of the United States / Ralph Henry Gabriel, editor.</t>
        </is>
      </c>
      <c r="E453" t="inlineStr">
        <is>
          <t>V.12</t>
        </is>
      </c>
      <c r="F453" t="inlineStr">
        <is>
          <t>Yes</t>
        </is>
      </c>
      <c r="G453" t="inlineStr">
        <is>
          <t>1</t>
        </is>
      </c>
      <c r="H453" t="inlineStr">
        <is>
          <t>No</t>
        </is>
      </c>
      <c r="I453" t="inlineStr">
        <is>
          <t>No</t>
        </is>
      </c>
      <c r="J453" t="inlineStr">
        <is>
          <t>0</t>
        </is>
      </c>
      <c r="L453" t="inlineStr">
        <is>
          <t>[New Haven, Yale Univ. Press, 1926-29]</t>
        </is>
      </c>
      <c r="M453" t="inlineStr">
        <is>
          <t>1926</t>
        </is>
      </c>
      <c r="N453" t="inlineStr">
        <is>
          <t>Independence ed.</t>
        </is>
      </c>
      <c r="O453" t="inlineStr">
        <is>
          <t>eng</t>
        </is>
      </c>
      <c r="P453" t="inlineStr">
        <is>
          <t>ctu</t>
        </is>
      </c>
      <c r="R453" t="inlineStr">
        <is>
          <t xml:space="preserve">E  </t>
        </is>
      </c>
      <c r="S453" t="n">
        <v>0</v>
      </c>
      <c r="T453" t="n">
        <v>1</v>
      </c>
      <c r="V453" t="inlineStr">
        <is>
          <t>2005-05-13</t>
        </is>
      </c>
      <c r="W453" t="inlineStr">
        <is>
          <t>1996-08-27</t>
        </is>
      </c>
      <c r="X453" t="inlineStr">
        <is>
          <t>1996-08-27</t>
        </is>
      </c>
      <c r="Y453" t="n">
        <v>656</v>
      </c>
      <c r="Z453" t="n">
        <v>630</v>
      </c>
      <c r="AA453" t="n">
        <v>783</v>
      </c>
      <c r="AB453" t="n">
        <v>5</v>
      </c>
      <c r="AC453" t="n">
        <v>6</v>
      </c>
      <c r="AD453" t="n">
        <v>14</v>
      </c>
      <c r="AE453" t="n">
        <v>15</v>
      </c>
      <c r="AF453" t="n">
        <v>5</v>
      </c>
      <c r="AG453" t="n">
        <v>5</v>
      </c>
      <c r="AH453" t="n">
        <v>2</v>
      </c>
      <c r="AI453" t="n">
        <v>3</v>
      </c>
      <c r="AJ453" t="n">
        <v>4</v>
      </c>
      <c r="AK453" t="n">
        <v>4</v>
      </c>
      <c r="AL453" t="n">
        <v>4</v>
      </c>
      <c r="AM453" t="n">
        <v>4</v>
      </c>
      <c r="AN453" t="n">
        <v>0</v>
      </c>
      <c r="AO453" t="n">
        <v>0</v>
      </c>
      <c r="AP453" t="inlineStr">
        <is>
          <t>No</t>
        </is>
      </c>
      <c r="AQ453" t="inlineStr">
        <is>
          <t>Yes</t>
        </is>
      </c>
      <c r="AR453">
        <f>HYPERLINK("http://catalog.hathitrust.org/Record/000335176","HathiTrust Record")</f>
        <v/>
      </c>
      <c r="AS453">
        <f>HYPERLINK("https://creighton-primo.hosted.exlibrisgroup.com/primo-explore/search?tab=default_tab&amp;search_scope=EVERYTHING&amp;vid=01CRU&amp;lang=en_US&amp;offset=0&amp;query=any,contains,991003217469702656","Catalog Record")</f>
        <v/>
      </c>
      <c r="AT453">
        <f>HYPERLINK("http://www.worldcat.org/oclc/743596","WorldCat Record")</f>
        <v/>
      </c>
      <c r="AU453" t="inlineStr">
        <is>
          <t>4159833490:eng</t>
        </is>
      </c>
      <c r="AV453" t="inlineStr">
        <is>
          <t>743596</t>
        </is>
      </c>
      <c r="AW453" t="inlineStr">
        <is>
          <t>991003217469702656</t>
        </is>
      </c>
      <c r="AX453" t="inlineStr">
        <is>
          <t>991003217469702656</t>
        </is>
      </c>
      <c r="AY453" t="inlineStr">
        <is>
          <t>2267377150002656</t>
        </is>
      </c>
      <c r="AZ453" t="inlineStr">
        <is>
          <t>BOOK</t>
        </is>
      </c>
      <c r="BC453" t="inlineStr">
        <is>
          <t>32285002296506</t>
        </is>
      </c>
      <c r="BD453" t="inlineStr">
        <is>
          <t>893422304</t>
        </is>
      </c>
    </row>
    <row r="454">
      <c r="A454" t="inlineStr">
        <is>
          <t>No</t>
        </is>
      </c>
      <c r="B454" t="inlineStr">
        <is>
          <t>E178.5 .P21</t>
        </is>
      </c>
      <c r="C454" t="inlineStr">
        <is>
          <t>0                      E  0178500P  21</t>
        </is>
      </c>
      <c r="D454" t="inlineStr">
        <is>
          <t>The Pageant of America : a pictorial history of the United States / Ralph Henry Gabriel, editor.</t>
        </is>
      </c>
      <c r="E454" t="inlineStr">
        <is>
          <t>V.13</t>
        </is>
      </c>
      <c r="F454" t="inlineStr">
        <is>
          <t>Yes</t>
        </is>
      </c>
      <c r="G454" t="inlineStr">
        <is>
          <t>1</t>
        </is>
      </c>
      <c r="H454" t="inlineStr">
        <is>
          <t>No</t>
        </is>
      </c>
      <c r="I454" t="inlineStr">
        <is>
          <t>No</t>
        </is>
      </c>
      <c r="J454" t="inlineStr">
        <is>
          <t>0</t>
        </is>
      </c>
      <c r="L454" t="inlineStr">
        <is>
          <t>[New Haven, Yale Univ. Press, 1926-29]</t>
        </is>
      </c>
      <c r="M454" t="inlineStr">
        <is>
          <t>1926</t>
        </is>
      </c>
      <c r="N454" t="inlineStr">
        <is>
          <t>Independence ed.</t>
        </is>
      </c>
      <c r="O454" t="inlineStr">
        <is>
          <t>eng</t>
        </is>
      </c>
      <c r="P454" t="inlineStr">
        <is>
          <t>ctu</t>
        </is>
      </c>
      <c r="R454" t="inlineStr">
        <is>
          <t xml:space="preserve">E  </t>
        </is>
      </c>
      <c r="S454" t="n">
        <v>0</v>
      </c>
      <c r="T454" t="n">
        <v>1</v>
      </c>
      <c r="V454" t="inlineStr">
        <is>
          <t>2005-05-13</t>
        </is>
      </c>
      <c r="W454" t="inlineStr">
        <is>
          <t>1996-08-27</t>
        </is>
      </c>
      <c r="X454" t="inlineStr">
        <is>
          <t>1996-08-27</t>
        </is>
      </c>
      <c r="Y454" t="n">
        <v>656</v>
      </c>
      <c r="Z454" t="n">
        <v>630</v>
      </c>
      <c r="AA454" t="n">
        <v>783</v>
      </c>
      <c r="AB454" t="n">
        <v>5</v>
      </c>
      <c r="AC454" t="n">
        <v>6</v>
      </c>
      <c r="AD454" t="n">
        <v>14</v>
      </c>
      <c r="AE454" t="n">
        <v>15</v>
      </c>
      <c r="AF454" t="n">
        <v>5</v>
      </c>
      <c r="AG454" t="n">
        <v>5</v>
      </c>
      <c r="AH454" t="n">
        <v>2</v>
      </c>
      <c r="AI454" t="n">
        <v>3</v>
      </c>
      <c r="AJ454" t="n">
        <v>4</v>
      </c>
      <c r="AK454" t="n">
        <v>4</v>
      </c>
      <c r="AL454" t="n">
        <v>4</v>
      </c>
      <c r="AM454" t="n">
        <v>4</v>
      </c>
      <c r="AN454" t="n">
        <v>0</v>
      </c>
      <c r="AO454" t="n">
        <v>0</v>
      </c>
      <c r="AP454" t="inlineStr">
        <is>
          <t>No</t>
        </is>
      </c>
      <c r="AQ454" t="inlineStr">
        <is>
          <t>Yes</t>
        </is>
      </c>
      <c r="AR454">
        <f>HYPERLINK("http://catalog.hathitrust.org/Record/000335176","HathiTrust Record")</f>
        <v/>
      </c>
      <c r="AS454">
        <f>HYPERLINK("https://creighton-primo.hosted.exlibrisgroup.com/primo-explore/search?tab=default_tab&amp;search_scope=EVERYTHING&amp;vid=01CRU&amp;lang=en_US&amp;offset=0&amp;query=any,contains,991003217469702656","Catalog Record")</f>
        <v/>
      </c>
      <c r="AT454">
        <f>HYPERLINK("http://www.worldcat.org/oclc/743596","WorldCat Record")</f>
        <v/>
      </c>
      <c r="AU454" t="inlineStr">
        <is>
          <t>4159833490:eng</t>
        </is>
      </c>
      <c r="AV454" t="inlineStr">
        <is>
          <t>743596</t>
        </is>
      </c>
      <c r="AW454" t="inlineStr">
        <is>
          <t>991003217469702656</t>
        </is>
      </c>
      <c r="AX454" t="inlineStr">
        <is>
          <t>991003217469702656</t>
        </is>
      </c>
      <c r="AY454" t="inlineStr">
        <is>
          <t>2267377150002656</t>
        </is>
      </c>
      <c r="AZ454" t="inlineStr">
        <is>
          <t>BOOK</t>
        </is>
      </c>
      <c r="BC454" t="inlineStr">
        <is>
          <t>32285002296514</t>
        </is>
      </c>
      <c r="BD454" t="inlineStr">
        <is>
          <t>893434765</t>
        </is>
      </c>
    </row>
    <row r="455">
      <c r="A455" t="inlineStr">
        <is>
          <t>No</t>
        </is>
      </c>
      <c r="B455" t="inlineStr">
        <is>
          <t>E178.5 .P21</t>
        </is>
      </c>
      <c r="C455" t="inlineStr">
        <is>
          <t>0                      E  0178500P  21</t>
        </is>
      </c>
      <c r="D455" t="inlineStr">
        <is>
          <t>The Pageant of America : a pictorial history of the United States / Ralph Henry Gabriel, editor.</t>
        </is>
      </c>
      <c r="E455" t="inlineStr">
        <is>
          <t>V.3</t>
        </is>
      </c>
      <c r="F455" t="inlineStr">
        <is>
          <t>Yes</t>
        </is>
      </c>
      <c r="G455" t="inlineStr">
        <is>
          <t>1</t>
        </is>
      </c>
      <c r="H455" t="inlineStr">
        <is>
          <t>No</t>
        </is>
      </c>
      <c r="I455" t="inlineStr">
        <is>
          <t>No</t>
        </is>
      </c>
      <c r="J455" t="inlineStr">
        <is>
          <t>0</t>
        </is>
      </c>
      <c r="L455" t="inlineStr">
        <is>
          <t>[New Haven, Yale Univ. Press, 1926-29]</t>
        </is>
      </c>
      <c r="M455" t="inlineStr">
        <is>
          <t>1926</t>
        </is>
      </c>
      <c r="N455" t="inlineStr">
        <is>
          <t>Independence ed.</t>
        </is>
      </c>
      <c r="O455" t="inlineStr">
        <is>
          <t>eng</t>
        </is>
      </c>
      <c r="P455" t="inlineStr">
        <is>
          <t>ctu</t>
        </is>
      </c>
      <c r="R455" t="inlineStr">
        <is>
          <t xml:space="preserve">E  </t>
        </is>
      </c>
      <c r="S455" t="n">
        <v>0</v>
      </c>
      <c r="T455" t="n">
        <v>1</v>
      </c>
      <c r="V455" t="inlineStr">
        <is>
          <t>2005-05-13</t>
        </is>
      </c>
      <c r="W455" t="inlineStr">
        <is>
          <t>1996-08-27</t>
        </is>
      </c>
      <c r="X455" t="inlineStr">
        <is>
          <t>1996-08-27</t>
        </is>
      </c>
      <c r="Y455" t="n">
        <v>656</v>
      </c>
      <c r="Z455" t="n">
        <v>630</v>
      </c>
      <c r="AA455" t="n">
        <v>783</v>
      </c>
      <c r="AB455" t="n">
        <v>5</v>
      </c>
      <c r="AC455" t="n">
        <v>6</v>
      </c>
      <c r="AD455" t="n">
        <v>14</v>
      </c>
      <c r="AE455" t="n">
        <v>15</v>
      </c>
      <c r="AF455" t="n">
        <v>5</v>
      </c>
      <c r="AG455" t="n">
        <v>5</v>
      </c>
      <c r="AH455" t="n">
        <v>2</v>
      </c>
      <c r="AI455" t="n">
        <v>3</v>
      </c>
      <c r="AJ455" t="n">
        <v>4</v>
      </c>
      <c r="AK455" t="n">
        <v>4</v>
      </c>
      <c r="AL455" t="n">
        <v>4</v>
      </c>
      <c r="AM455" t="n">
        <v>4</v>
      </c>
      <c r="AN455" t="n">
        <v>0</v>
      </c>
      <c r="AO455" t="n">
        <v>0</v>
      </c>
      <c r="AP455" t="inlineStr">
        <is>
          <t>No</t>
        </is>
      </c>
      <c r="AQ455" t="inlineStr">
        <is>
          <t>Yes</t>
        </is>
      </c>
      <c r="AR455">
        <f>HYPERLINK("http://catalog.hathitrust.org/Record/000335176","HathiTrust Record")</f>
        <v/>
      </c>
      <c r="AS455">
        <f>HYPERLINK("https://creighton-primo.hosted.exlibrisgroup.com/primo-explore/search?tab=default_tab&amp;search_scope=EVERYTHING&amp;vid=01CRU&amp;lang=en_US&amp;offset=0&amp;query=any,contains,991003217469702656","Catalog Record")</f>
        <v/>
      </c>
      <c r="AT455">
        <f>HYPERLINK("http://www.worldcat.org/oclc/743596","WorldCat Record")</f>
        <v/>
      </c>
      <c r="AU455" t="inlineStr">
        <is>
          <t>4159833490:eng</t>
        </is>
      </c>
      <c r="AV455" t="inlineStr">
        <is>
          <t>743596</t>
        </is>
      </c>
      <c r="AW455" t="inlineStr">
        <is>
          <t>991003217469702656</t>
        </is>
      </c>
      <c r="AX455" t="inlineStr">
        <is>
          <t>991003217469702656</t>
        </is>
      </c>
      <c r="AY455" t="inlineStr">
        <is>
          <t>2267377150002656</t>
        </is>
      </c>
      <c r="AZ455" t="inlineStr">
        <is>
          <t>BOOK</t>
        </is>
      </c>
      <c r="BC455" t="inlineStr">
        <is>
          <t>32285002296415</t>
        </is>
      </c>
      <c r="BD455" t="inlineStr">
        <is>
          <t>893434764</t>
        </is>
      </c>
    </row>
    <row r="456">
      <c r="A456" t="inlineStr">
        <is>
          <t>No</t>
        </is>
      </c>
      <c r="B456" t="inlineStr">
        <is>
          <t>E178.5 .P21</t>
        </is>
      </c>
      <c r="C456" t="inlineStr">
        <is>
          <t>0                      E  0178500P  21</t>
        </is>
      </c>
      <c r="D456" t="inlineStr">
        <is>
          <t>The Pageant of America : a pictorial history of the United States / Ralph Henry Gabriel, editor.</t>
        </is>
      </c>
      <c r="E456" t="inlineStr">
        <is>
          <t>V.4</t>
        </is>
      </c>
      <c r="F456" t="inlineStr">
        <is>
          <t>Yes</t>
        </is>
      </c>
      <c r="G456" t="inlineStr">
        <is>
          <t>1</t>
        </is>
      </c>
      <c r="H456" t="inlineStr">
        <is>
          <t>No</t>
        </is>
      </c>
      <c r="I456" t="inlineStr">
        <is>
          <t>No</t>
        </is>
      </c>
      <c r="J456" t="inlineStr">
        <is>
          <t>0</t>
        </is>
      </c>
      <c r="L456" t="inlineStr">
        <is>
          <t>[New Haven, Yale Univ. Press, 1926-29]</t>
        </is>
      </c>
      <c r="M456" t="inlineStr">
        <is>
          <t>1926</t>
        </is>
      </c>
      <c r="N456" t="inlineStr">
        <is>
          <t>Independence ed.</t>
        </is>
      </c>
      <c r="O456" t="inlineStr">
        <is>
          <t>eng</t>
        </is>
      </c>
      <c r="P456" t="inlineStr">
        <is>
          <t>ctu</t>
        </is>
      </c>
      <c r="R456" t="inlineStr">
        <is>
          <t xml:space="preserve">E  </t>
        </is>
      </c>
      <c r="S456" t="n">
        <v>0</v>
      </c>
      <c r="T456" t="n">
        <v>1</v>
      </c>
      <c r="V456" t="inlineStr">
        <is>
          <t>2005-05-13</t>
        </is>
      </c>
      <c r="W456" t="inlineStr">
        <is>
          <t>1996-08-27</t>
        </is>
      </c>
      <c r="X456" t="inlineStr">
        <is>
          <t>1996-08-27</t>
        </is>
      </c>
      <c r="Y456" t="n">
        <v>656</v>
      </c>
      <c r="Z456" t="n">
        <v>630</v>
      </c>
      <c r="AA456" t="n">
        <v>783</v>
      </c>
      <c r="AB456" t="n">
        <v>5</v>
      </c>
      <c r="AC456" t="n">
        <v>6</v>
      </c>
      <c r="AD456" t="n">
        <v>14</v>
      </c>
      <c r="AE456" t="n">
        <v>15</v>
      </c>
      <c r="AF456" t="n">
        <v>5</v>
      </c>
      <c r="AG456" t="n">
        <v>5</v>
      </c>
      <c r="AH456" t="n">
        <v>2</v>
      </c>
      <c r="AI456" t="n">
        <v>3</v>
      </c>
      <c r="AJ456" t="n">
        <v>4</v>
      </c>
      <c r="AK456" t="n">
        <v>4</v>
      </c>
      <c r="AL456" t="n">
        <v>4</v>
      </c>
      <c r="AM456" t="n">
        <v>4</v>
      </c>
      <c r="AN456" t="n">
        <v>0</v>
      </c>
      <c r="AO456" t="n">
        <v>0</v>
      </c>
      <c r="AP456" t="inlineStr">
        <is>
          <t>No</t>
        </is>
      </c>
      <c r="AQ456" t="inlineStr">
        <is>
          <t>Yes</t>
        </is>
      </c>
      <c r="AR456">
        <f>HYPERLINK("http://catalog.hathitrust.org/Record/000335176","HathiTrust Record")</f>
        <v/>
      </c>
      <c r="AS456">
        <f>HYPERLINK("https://creighton-primo.hosted.exlibrisgroup.com/primo-explore/search?tab=default_tab&amp;search_scope=EVERYTHING&amp;vid=01CRU&amp;lang=en_US&amp;offset=0&amp;query=any,contains,991003217469702656","Catalog Record")</f>
        <v/>
      </c>
      <c r="AT456">
        <f>HYPERLINK("http://www.worldcat.org/oclc/743596","WorldCat Record")</f>
        <v/>
      </c>
      <c r="AU456" t="inlineStr">
        <is>
          <t>4159833490:eng</t>
        </is>
      </c>
      <c r="AV456" t="inlineStr">
        <is>
          <t>743596</t>
        </is>
      </c>
      <c r="AW456" t="inlineStr">
        <is>
          <t>991003217469702656</t>
        </is>
      </c>
      <c r="AX456" t="inlineStr">
        <is>
          <t>991003217469702656</t>
        </is>
      </c>
      <c r="AY456" t="inlineStr">
        <is>
          <t>2267377150002656</t>
        </is>
      </c>
      <c r="AZ456" t="inlineStr">
        <is>
          <t>BOOK</t>
        </is>
      </c>
      <c r="BC456" t="inlineStr">
        <is>
          <t>32285002296423</t>
        </is>
      </c>
      <c r="BD456" t="inlineStr">
        <is>
          <t>893410029</t>
        </is>
      </c>
    </row>
    <row r="457">
      <c r="A457" t="inlineStr">
        <is>
          <t>No</t>
        </is>
      </c>
      <c r="B457" t="inlineStr">
        <is>
          <t>E178.5 .P21</t>
        </is>
      </c>
      <c r="C457" t="inlineStr">
        <is>
          <t>0                      E  0178500P  21</t>
        </is>
      </c>
      <c r="D457" t="inlineStr">
        <is>
          <t>The Pageant of America : a pictorial history of the United States / Ralph Henry Gabriel, editor.</t>
        </is>
      </c>
      <c r="E457" t="inlineStr">
        <is>
          <t>V.7</t>
        </is>
      </c>
      <c r="F457" t="inlineStr">
        <is>
          <t>Yes</t>
        </is>
      </c>
      <c r="G457" t="inlineStr">
        <is>
          <t>1</t>
        </is>
      </c>
      <c r="H457" t="inlineStr">
        <is>
          <t>No</t>
        </is>
      </c>
      <c r="I457" t="inlineStr">
        <is>
          <t>No</t>
        </is>
      </c>
      <c r="J457" t="inlineStr">
        <is>
          <t>0</t>
        </is>
      </c>
      <c r="L457" t="inlineStr">
        <is>
          <t>[New Haven, Yale Univ. Press, 1926-29]</t>
        </is>
      </c>
      <c r="M457" t="inlineStr">
        <is>
          <t>1926</t>
        </is>
      </c>
      <c r="N457" t="inlineStr">
        <is>
          <t>Independence ed.</t>
        </is>
      </c>
      <c r="O457" t="inlineStr">
        <is>
          <t>eng</t>
        </is>
      </c>
      <c r="P457" t="inlineStr">
        <is>
          <t>ctu</t>
        </is>
      </c>
      <c r="R457" t="inlineStr">
        <is>
          <t xml:space="preserve">E  </t>
        </is>
      </c>
      <c r="S457" t="n">
        <v>0</v>
      </c>
      <c r="T457" t="n">
        <v>1</v>
      </c>
      <c r="V457" t="inlineStr">
        <is>
          <t>2005-05-13</t>
        </is>
      </c>
      <c r="W457" t="inlineStr">
        <is>
          <t>1996-08-27</t>
        </is>
      </c>
      <c r="X457" t="inlineStr">
        <is>
          <t>1996-08-27</t>
        </is>
      </c>
      <c r="Y457" t="n">
        <v>656</v>
      </c>
      <c r="Z457" t="n">
        <v>630</v>
      </c>
      <c r="AA457" t="n">
        <v>783</v>
      </c>
      <c r="AB457" t="n">
        <v>5</v>
      </c>
      <c r="AC457" t="n">
        <v>6</v>
      </c>
      <c r="AD457" t="n">
        <v>14</v>
      </c>
      <c r="AE457" t="n">
        <v>15</v>
      </c>
      <c r="AF457" t="n">
        <v>5</v>
      </c>
      <c r="AG457" t="n">
        <v>5</v>
      </c>
      <c r="AH457" t="n">
        <v>2</v>
      </c>
      <c r="AI457" t="n">
        <v>3</v>
      </c>
      <c r="AJ457" t="n">
        <v>4</v>
      </c>
      <c r="AK457" t="n">
        <v>4</v>
      </c>
      <c r="AL457" t="n">
        <v>4</v>
      </c>
      <c r="AM457" t="n">
        <v>4</v>
      </c>
      <c r="AN457" t="n">
        <v>0</v>
      </c>
      <c r="AO457" t="n">
        <v>0</v>
      </c>
      <c r="AP457" t="inlineStr">
        <is>
          <t>No</t>
        </is>
      </c>
      <c r="AQ457" t="inlineStr">
        <is>
          <t>Yes</t>
        </is>
      </c>
      <c r="AR457">
        <f>HYPERLINK("http://catalog.hathitrust.org/Record/000335176","HathiTrust Record")</f>
        <v/>
      </c>
      <c r="AS457">
        <f>HYPERLINK("https://creighton-primo.hosted.exlibrisgroup.com/primo-explore/search?tab=default_tab&amp;search_scope=EVERYTHING&amp;vid=01CRU&amp;lang=en_US&amp;offset=0&amp;query=any,contains,991003217469702656","Catalog Record")</f>
        <v/>
      </c>
      <c r="AT457">
        <f>HYPERLINK("http://www.worldcat.org/oclc/743596","WorldCat Record")</f>
        <v/>
      </c>
      <c r="AU457" t="inlineStr">
        <is>
          <t>4159833490:eng</t>
        </is>
      </c>
      <c r="AV457" t="inlineStr">
        <is>
          <t>743596</t>
        </is>
      </c>
      <c r="AW457" t="inlineStr">
        <is>
          <t>991003217469702656</t>
        </is>
      </c>
      <c r="AX457" t="inlineStr">
        <is>
          <t>991003217469702656</t>
        </is>
      </c>
      <c r="AY457" t="inlineStr">
        <is>
          <t>2267377150002656</t>
        </is>
      </c>
      <c r="AZ457" t="inlineStr">
        <is>
          <t>BOOK</t>
        </is>
      </c>
      <c r="BC457" t="inlineStr">
        <is>
          <t>32285002296456</t>
        </is>
      </c>
      <c r="BD457" t="inlineStr">
        <is>
          <t>893422302</t>
        </is>
      </c>
    </row>
    <row r="458">
      <c r="A458" t="inlineStr">
        <is>
          <t>No</t>
        </is>
      </c>
      <c r="B458" t="inlineStr">
        <is>
          <t>E178.5 .P21</t>
        </is>
      </c>
      <c r="C458" t="inlineStr">
        <is>
          <t>0                      E  0178500P  21</t>
        </is>
      </c>
      <c r="D458" t="inlineStr">
        <is>
          <t>The Pageant of America : a pictorial history of the United States / Ralph Henry Gabriel, editor.</t>
        </is>
      </c>
      <c r="E458" t="inlineStr">
        <is>
          <t>V.1</t>
        </is>
      </c>
      <c r="F458" t="inlineStr">
        <is>
          <t>Yes</t>
        </is>
      </c>
      <c r="G458" t="inlineStr">
        <is>
          <t>1</t>
        </is>
      </c>
      <c r="H458" t="inlineStr">
        <is>
          <t>No</t>
        </is>
      </c>
      <c r="I458" t="inlineStr">
        <is>
          <t>No</t>
        </is>
      </c>
      <c r="J458" t="inlineStr">
        <is>
          <t>0</t>
        </is>
      </c>
      <c r="L458" t="inlineStr">
        <is>
          <t>[New Haven, Yale Univ. Press, 1926-29]</t>
        </is>
      </c>
      <c r="M458" t="inlineStr">
        <is>
          <t>1926</t>
        </is>
      </c>
      <c r="N458" t="inlineStr">
        <is>
          <t>Independence ed.</t>
        </is>
      </c>
      <c r="O458" t="inlineStr">
        <is>
          <t>eng</t>
        </is>
      </c>
      <c r="P458" t="inlineStr">
        <is>
          <t>ctu</t>
        </is>
      </c>
      <c r="R458" t="inlineStr">
        <is>
          <t xml:space="preserve">E  </t>
        </is>
      </c>
      <c r="S458" t="n">
        <v>1</v>
      </c>
      <c r="T458" t="n">
        <v>1</v>
      </c>
      <c r="U458" t="inlineStr">
        <is>
          <t>2005-05-13</t>
        </is>
      </c>
      <c r="V458" t="inlineStr">
        <is>
          <t>2005-05-13</t>
        </is>
      </c>
      <c r="W458" t="inlineStr">
        <is>
          <t>1996-08-27</t>
        </is>
      </c>
      <c r="X458" t="inlineStr">
        <is>
          <t>1996-08-27</t>
        </is>
      </c>
      <c r="Y458" t="n">
        <v>656</v>
      </c>
      <c r="Z458" t="n">
        <v>630</v>
      </c>
      <c r="AA458" t="n">
        <v>783</v>
      </c>
      <c r="AB458" t="n">
        <v>5</v>
      </c>
      <c r="AC458" t="n">
        <v>6</v>
      </c>
      <c r="AD458" t="n">
        <v>14</v>
      </c>
      <c r="AE458" t="n">
        <v>15</v>
      </c>
      <c r="AF458" t="n">
        <v>5</v>
      </c>
      <c r="AG458" t="n">
        <v>5</v>
      </c>
      <c r="AH458" t="n">
        <v>2</v>
      </c>
      <c r="AI458" t="n">
        <v>3</v>
      </c>
      <c r="AJ458" t="n">
        <v>4</v>
      </c>
      <c r="AK458" t="n">
        <v>4</v>
      </c>
      <c r="AL458" t="n">
        <v>4</v>
      </c>
      <c r="AM458" t="n">
        <v>4</v>
      </c>
      <c r="AN458" t="n">
        <v>0</v>
      </c>
      <c r="AO458" t="n">
        <v>0</v>
      </c>
      <c r="AP458" t="inlineStr">
        <is>
          <t>No</t>
        </is>
      </c>
      <c r="AQ458" t="inlineStr">
        <is>
          <t>Yes</t>
        </is>
      </c>
      <c r="AR458">
        <f>HYPERLINK("http://catalog.hathitrust.org/Record/000335176","HathiTrust Record")</f>
        <v/>
      </c>
      <c r="AS458">
        <f>HYPERLINK("https://creighton-primo.hosted.exlibrisgroup.com/primo-explore/search?tab=default_tab&amp;search_scope=EVERYTHING&amp;vid=01CRU&amp;lang=en_US&amp;offset=0&amp;query=any,contains,991003217469702656","Catalog Record")</f>
        <v/>
      </c>
      <c r="AT458">
        <f>HYPERLINK("http://www.worldcat.org/oclc/743596","WorldCat Record")</f>
        <v/>
      </c>
      <c r="AU458" t="inlineStr">
        <is>
          <t>4159833490:eng</t>
        </is>
      </c>
      <c r="AV458" t="inlineStr">
        <is>
          <t>743596</t>
        </is>
      </c>
      <c r="AW458" t="inlineStr">
        <is>
          <t>991003217469702656</t>
        </is>
      </c>
      <c r="AX458" t="inlineStr">
        <is>
          <t>991003217469702656</t>
        </is>
      </c>
      <c r="AY458" t="inlineStr">
        <is>
          <t>2267377150002656</t>
        </is>
      </c>
      <c r="AZ458" t="inlineStr">
        <is>
          <t>BOOK</t>
        </is>
      </c>
      <c r="BC458" t="inlineStr">
        <is>
          <t>32285002296399</t>
        </is>
      </c>
      <c r="BD458" t="inlineStr">
        <is>
          <t>893434762</t>
        </is>
      </c>
    </row>
    <row r="459">
      <c r="A459" t="inlineStr">
        <is>
          <t>No</t>
        </is>
      </c>
      <c r="B459" t="inlineStr">
        <is>
          <t>E178.5 .V57 1997</t>
        </is>
      </c>
      <c r="C459" t="inlineStr">
        <is>
          <t>0                      E  0178500V  57          1997</t>
        </is>
      </c>
      <c r="D459" t="inlineStr">
        <is>
          <t>Eyes of the nation : a visual history of the United States / by Vincent Virga and curators of the Library of Congress ; historical commentary by Alan Brinkley.</t>
        </is>
      </c>
      <c r="F459" t="inlineStr">
        <is>
          <t>No</t>
        </is>
      </c>
      <c r="G459" t="inlineStr">
        <is>
          <t>1</t>
        </is>
      </c>
      <c r="H459" t="inlineStr">
        <is>
          <t>No</t>
        </is>
      </c>
      <c r="I459" t="inlineStr">
        <is>
          <t>No</t>
        </is>
      </c>
      <c r="J459" t="inlineStr">
        <is>
          <t>0</t>
        </is>
      </c>
      <c r="K459" t="inlineStr">
        <is>
          <t>Virga, Vincent.</t>
        </is>
      </c>
      <c r="L459" t="inlineStr">
        <is>
          <t>New York : Knopf : Distributed by Random House, 1997.</t>
        </is>
      </c>
      <c r="M459" t="inlineStr">
        <is>
          <t>1997</t>
        </is>
      </c>
      <c r="N459" t="inlineStr">
        <is>
          <t>1st ed.</t>
        </is>
      </c>
      <c r="O459" t="inlineStr">
        <is>
          <t>eng</t>
        </is>
      </c>
      <c r="P459" t="inlineStr">
        <is>
          <t>nyu</t>
        </is>
      </c>
      <c r="R459" t="inlineStr">
        <is>
          <t xml:space="preserve">E  </t>
        </is>
      </c>
      <c r="S459" t="n">
        <v>2</v>
      </c>
      <c r="T459" t="n">
        <v>2</v>
      </c>
      <c r="U459" t="inlineStr">
        <is>
          <t>1998-02-06</t>
        </is>
      </c>
      <c r="V459" t="inlineStr">
        <is>
          <t>1998-02-06</t>
        </is>
      </c>
      <c r="W459" t="inlineStr">
        <is>
          <t>1997-12-29</t>
        </is>
      </c>
      <c r="X459" t="inlineStr">
        <is>
          <t>1997-12-29</t>
        </is>
      </c>
      <c r="Y459" t="n">
        <v>982</v>
      </c>
      <c r="Z459" t="n">
        <v>937</v>
      </c>
      <c r="AA459" t="n">
        <v>1004</v>
      </c>
      <c r="AB459" t="n">
        <v>9</v>
      </c>
      <c r="AC459" t="n">
        <v>9</v>
      </c>
      <c r="AD459" t="n">
        <v>17</v>
      </c>
      <c r="AE459" t="n">
        <v>19</v>
      </c>
      <c r="AF459" t="n">
        <v>5</v>
      </c>
      <c r="AG459" t="n">
        <v>6</v>
      </c>
      <c r="AH459" t="n">
        <v>1</v>
      </c>
      <c r="AI459" t="n">
        <v>1</v>
      </c>
      <c r="AJ459" t="n">
        <v>8</v>
      </c>
      <c r="AK459" t="n">
        <v>9</v>
      </c>
      <c r="AL459" t="n">
        <v>4</v>
      </c>
      <c r="AM459" t="n">
        <v>4</v>
      </c>
      <c r="AN459" t="n">
        <v>1</v>
      </c>
      <c r="AO459" t="n">
        <v>1</v>
      </c>
      <c r="AP459" t="inlineStr">
        <is>
          <t>No</t>
        </is>
      </c>
      <c r="AQ459" t="inlineStr">
        <is>
          <t>Yes</t>
        </is>
      </c>
      <c r="AR459">
        <f>HYPERLINK("http://catalog.hathitrust.org/Record/003954308","HathiTrust Record")</f>
        <v/>
      </c>
      <c r="AS459">
        <f>HYPERLINK("https://creighton-primo.hosted.exlibrisgroup.com/primo-explore/search?tab=default_tab&amp;search_scope=EVERYTHING&amp;vid=01CRU&amp;lang=en_US&amp;offset=0&amp;query=any,contains,991002843599702656","Catalog Record")</f>
        <v/>
      </c>
      <c r="AT459">
        <f>HYPERLINK("http://www.worldcat.org/oclc/37457948","WorldCat Record")</f>
        <v/>
      </c>
      <c r="AU459" t="inlineStr">
        <is>
          <t>570146:eng</t>
        </is>
      </c>
      <c r="AV459" t="inlineStr">
        <is>
          <t>37457948</t>
        </is>
      </c>
      <c r="AW459" t="inlineStr">
        <is>
          <t>991002843599702656</t>
        </is>
      </c>
      <c r="AX459" t="inlineStr">
        <is>
          <t>991002843599702656</t>
        </is>
      </c>
      <c r="AY459" t="inlineStr">
        <is>
          <t>2263819580002656</t>
        </is>
      </c>
      <c r="AZ459" t="inlineStr">
        <is>
          <t>BOOK</t>
        </is>
      </c>
      <c r="BB459" t="inlineStr">
        <is>
          <t>9780679443308</t>
        </is>
      </c>
      <c r="BC459" t="inlineStr">
        <is>
          <t>32285003284899</t>
        </is>
      </c>
      <c r="BD459" t="inlineStr">
        <is>
          <t>893685850</t>
        </is>
      </c>
    </row>
    <row r="460">
      <c r="A460" t="inlineStr">
        <is>
          <t>No</t>
        </is>
      </c>
      <c r="B460" t="inlineStr">
        <is>
          <t>E178.6 .A38 2002</t>
        </is>
      </c>
      <c r="C460" t="inlineStr">
        <is>
          <t>0                      E  0178600A  38          2002</t>
        </is>
      </c>
      <c r="D460" t="inlineStr">
        <is>
          <t>To America : personal reflections of an historian / Stephen E. Ambrose.</t>
        </is>
      </c>
      <c r="F460" t="inlineStr">
        <is>
          <t>No</t>
        </is>
      </c>
      <c r="G460" t="inlineStr">
        <is>
          <t>1</t>
        </is>
      </c>
      <c r="H460" t="inlineStr">
        <is>
          <t>No</t>
        </is>
      </c>
      <c r="I460" t="inlineStr">
        <is>
          <t>No</t>
        </is>
      </c>
      <c r="J460" t="inlineStr">
        <is>
          <t>0</t>
        </is>
      </c>
      <c r="K460" t="inlineStr">
        <is>
          <t>Ambrose, Stephen E.</t>
        </is>
      </c>
      <c r="L460" t="inlineStr">
        <is>
          <t>New York : Simon &amp; Schuster, c2002.</t>
        </is>
      </c>
      <c r="M460" t="inlineStr">
        <is>
          <t>2002</t>
        </is>
      </c>
      <c r="O460" t="inlineStr">
        <is>
          <t>eng</t>
        </is>
      </c>
      <c r="P460" t="inlineStr">
        <is>
          <t>nyu</t>
        </is>
      </c>
      <c r="R460" t="inlineStr">
        <is>
          <t xml:space="preserve">E  </t>
        </is>
      </c>
      <c r="S460" t="n">
        <v>4</v>
      </c>
      <c r="T460" t="n">
        <v>4</v>
      </c>
      <c r="U460" t="inlineStr">
        <is>
          <t>2005-05-06</t>
        </is>
      </c>
      <c r="V460" t="inlineStr">
        <is>
          <t>2005-05-06</t>
        </is>
      </c>
      <c r="W460" t="inlineStr">
        <is>
          <t>2003-01-21</t>
        </is>
      </c>
      <c r="X460" t="inlineStr">
        <is>
          <t>2003-01-21</t>
        </is>
      </c>
      <c r="Y460" t="n">
        <v>2329</v>
      </c>
      <c r="Z460" t="n">
        <v>2264</v>
      </c>
      <c r="AA460" t="n">
        <v>2431</v>
      </c>
      <c r="AB460" t="n">
        <v>29</v>
      </c>
      <c r="AC460" t="n">
        <v>30</v>
      </c>
      <c r="AD460" t="n">
        <v>34</v>
      </c>
      <c r="AE460" t="n">
        <v>34</v>
      </c>
      <c r="AF460" t="n">
        <v>17</v>
      </c>
      <c r="AG460" t="n">
        <v>17</v>
      </c>
      <c r="AH460" t="n">
        <v>6</v>
      </c>
      <c r="AI460" t="n">
        <v>6</v>
      </c>
      <c r="AJ460" t="n">
        <v>15</v>
      </c>
      <c r="AK460" t="n">
        <v>15</v>
      </c>
      <c r="AL460" t="n">
        <v>3</v>
      </c>
      <c r="AM460" t="n">
        <v>3</v>
      </c>
      <c r="AN460" t="n">
        <v>1</v>
      </c>
      <c r="AO460" t="n">
        <v>1</v>
      </c>
      <c r="AP460" t="inlineStr">
        <is>
          <t>No</t>
        </is>
      </c>
      <c r="AQ460" t="inlineStr">
        <is>
          <t>No</t>
        </is>
      </c>
      <c r="AS460">
        <f>HYPERLINK("https://creighton-primo.hosted.exlibrisgroup.com/primo-explore/search?tab=default_tab&amp;search_scope=EVERYTHING&amp;vid=01CRU&amp;lang=en_US&amp;offset=0&amp;query=any,contains,991003962669702656","Catalog Record")</f>
        <v/>
      </c>
      <c r="AT460">
        <f>HYPERLINK("http://www.worldcat.org/oclc/50754782","WorldCat Record")</f>
        <v/>
      </c>
      <c r="AU460" t="inlineStr">
        <is>
          <t>392101276:eng</t>
        </is>
      </c>
      <c r="AV460" t="inlineStr">
        <is>
          <t>50754782</t>
        </is>
      </c>
      <c r="AW460" t="inlineStr">
        <is>
          <t>991003962669702656</t>
        </is>
      </c>
      <c r="AX460" t="inlineStr">
        <is>
          <t>991003962669702656</t>
        </is>
      </c>
      <c r="AY460" t="inlineStr">
        <is>
          <t>2264635390002656</t>
        </is>
      </c>
      <c r="AZ460" t="inlineStr">
        <is>
          <t>BOOK</t>
        </is>
      </c>
      <c r="BB460" t="inlineStr">
        <is>
          <t>9780743202756</t>
        </is>
      </c>
      <c r="BC460" t="inlineStr">
        <is>
          <t>32285004694864</t>
        </is>
      </c>
      <c r="BD460" t="inlineStr">
        <is>
          <t>893417052</t>
        </is>
      </c>
    </row>
    <row r="461">
      <c r="A461" t="inlineStr">
        <is>
          <t>No</t>
        </is>
      </c>
      <c r="B461" t="inlineStr">
        <is>
          <t>E178.6 .B64 1995</t>
        </is>
      </c>
      <c r="C461" t="inlineStr">
        <is>
          <t>0                      E  0178600B  64          1995</t>
        </is>
      </c>
      <c r="D461" t="inlineStr">
        <is>
          <t>Not so! : popular myths about America from Columbus to Clinton / Paul F. Boller, Jr.</t>
        </is>
      </c>
      <c r="F461" t="inlineStr">
        <is>
          <t>No</t>
        </is>
      </c>
      <c r="G461" t="inlineStr">
        <is>
          <t>1</t>
        </is>
      </c>
      <c r="H461" t="inlineStr">
        <is>
          <t>No</t>
        </is>
      </c>
      <c r="I461" t="inlineStr">
        <is>
          <t>No</t>
        </is>
      </c>
      <c r="J461" t="inlineStr">
        <is>
          <t>0</t>
        </is>
      </c>
      <c r="K461" t="inlineStr">
        <is>
          <t>Boller, Paul F.</t>
        </is>
      </c>
      <c r="L461" t="inlineStr">
        <is>
          <t>New York : Oxford University Press, 1995.</t>
        </is>
      </c>
      <c r="M461" t="inlineStr">
        <is>
          <t>1995</t>
        </is>
      </c>
      <c r="O461" t="inlineStr">
        <is>
          <t>eng</t>
        </is>
      </c>
      <c r="P461" t="inlineStr">
        <is>
          <t>nyu</t>
        </is>
      </c>
      <c r="R461" t="inlineStr">
        <is>
          <t xml:space="preserve">E  </t>
        </is>
      </c>
      <c r="S461" t="n">
        <v>14</v>
      </c>
      <c r="T461" t="n">
        <v>14</v>
      </c>
      <c r="U461" t="inlineStr">
        <is>
          <t>1999-06-20</t>
        </is>
      </c>
      <c r="V461" t="inlineStr">
        <is>
          <t>1999-06-20</t>
        </is>
      </c>
      <c r="W461" t="inlineStr">
        <is>
          <t>1996-01-08</t>
        </is>
      </c>
      <c r="X461" t="inlineStr">
        <is>
          <t>1996-01-08</t>
        </is>
      </c>
      <c r="Y461" t="n">
        <v>1046</v>
      </c>
      <c r="Z461" t="n">
        <v>1004</v>
      </c>
      <c r="AA461" t="n">
        <v>1083</v>
      </c>
      <c r="AB461" t="n">
        <v>12</v>
      </c>
      <c r="AC461" t="n">
        <v>12</v>
      </c>
      <c r="AD461" t="n">
        <v>20</v>
      </c>
      <c r="AE461" t="n">
        <v>22</v>
      </c>
      <c r="AF461" t="n">
        <v>4</v>
      </c>
      <c r="AG461" t="n">
        <v>5</v>
      </c>
      <c r="AH461" t="n">
        <v>4</v>
      </c>
      <c r="AI461" t="n">
        <v>6</v>
      </c>
      <c r="AJ461" t="n">
        <v>10</v>
      </c>
      <c r="AK461" t="n">
        <v>10</v>
      </c>
      <c r="AL461" t="n">
        <v>6</v>
      </c>
      <c r="AM461" t="n">
        <v>6</v>
      </c>
      <c r="AN461" t="n">
        <v>0</v>
      </c>
      <c r="AO461" t="n">
        <v>0</v>
      </c>
      <c r="AP461" t="inlineStr">
        <is>
          <t>No</t>
        </is>
      </c>
      <c r="AQ461" t="inlineStr">
        <is>
          <t>No</t>
        </is>
      </c>
      <c r="AS461">
        <f>HYPERLINK("https://creighton-primo.hosted.exlibrisgroup.com/primo-explore/search?tab=default_tab&amp;search_scope=EVERYTHING&amp;vid=01CRU&amp;lang=en_US&amp;offset=0&amp;query=any,contains,991002410329702656","Catalog Record")</f>
        <v/>
      </c>
      <c r="AT461">
        <f>HYPERLINK("http://www.worldcat.org/oclc/31375259","WorldCat Record")</f>
        <v/>
      </c>
      <c r="AU461" t="inlineStr">
        <is>
          <t>793857192:eng</t>
        </is>
      </c>
      <c r="AV461" t="inlineStr">
        <is>
          <t>31375259</t>
        </is>
      </c>
      <c r="AW461" t="inlineStr">
        <is>
          <t>991002410329702656</t>
        </is>
      </c>
      <c r="AX461" t="inlineStr">
        <is>
          <t>991002410329702656</t>
        </is>
      </c>
      <c r="AY461" t="inlineStr">
        <is>
          <t>2256582170002656</t>
        </is>
      </c>
      <c r="AZ461" t="inlineStr">
        <is>
          <t>BOOK</t>
        </is>
      </c>
      <c r="BB461" t="inlineStr">
        <is>
          <t>9780195091861</t>
        </is>
      </c>
      <c r="BC461" t="inlineStr">
        <is>
          <t>32285002115649</t>
        </is>
      </c>
      <c r="BD461" t="inlineStr">
        <is>
          <t>893445147</t>
        </is>
      </c>
    </row>
    <row r="462">
      <c r="A462" t="inlineStr">
        <is>
          <t>No</t>
        </is>
      </c>
      <c r="B462" t="inlineStr">
        <is>
          <t>E178.6 .C65 2004</t>
        </is>
      </c>
      <c r="C462" t="inlineStr">
        <is>
          <t>0                      E  0178600C  65          2004</t>
        </is>
      </c>
      <c r="D462" t="inlineStr">
        <is>
          <t>A companion to 20th-century America / edited by Stephen J. Whitfield.</t>
        </is>
      </c>
      <c r="F462" t="inlineStr">
        <is>
          <t>No</t>
        </is>
      </c>
      <c r="G462" t="inlineStr">
        <is>
          <t>1</t>
        </is>
      </c>
      <c r="H462" t="inlineStr">
        <is>
          <t>No</t>
        </is>
      </c>
      <c r="I462" t="inlineStr">
        <is>
          <t>No</t>
        </is>
      </c>
      <c r="J462" t="inlineStr">
        <is>
          <t>0</t>
        </is>
      </c>
      <c r="L462" t="inlineStr">
        <is>
          <t>Malden, MA : Blackwell Pub., 2004.</t>
        </is>
      </c>
      <c r="M462" t="inlineStr">
        <is>
          <t>2004</t>
        </is>
      </c>
      <c r="O462" t="inlineStr">
        <is>
          <t>eng</t>
        </is>
      </c>
      <c r="P462" t="inlineStr">
        <is>
          <t>mau</t>
        </is>
      </c>
      <c r="Q462" t="inlineStr">
        <is>
          <t>Blackwell companions to American history</t>
        </is>
      </c>
      <c r="R462" t="inlineStr">
        <is>
          <t xml:space="preserve">E  </t>
        </is>
      </c>
      <c r="S462" t="n">
        <v>1</v>
      </c>
      <c r="T462" t="n">
        <v>1</v>
      </c>
      <c r="U462" t="inlineStr">
        <is>
          <t>2005-05-25</t>
        </is>
      </c>
      <c r="V462" t="inlineStr">
        <is>
          <t>2005-05-25</t>
        </is>
      </c>
      <c r="W462" t="inlineStr">
        <is>
          <t>2005-05-25</t>
        </is>
      </c>
      <c r="X462" t="inlineStr">
        <is>
          <t>2005-05-25</t>
        </is>
      </c>
      <c r="Y462" t="n">
        <v>507</v>
      </c>
      <c r="Z462" t="n">
        <v>425</v>
      </c>
      <c r="AA462" t="n">
        <v>1078</v>
      </c>
      <c r="AB462" t="n">
        <v>1</v>
      </c>
      <c r="AC462" t="n">
        <v>32</v>
      </c>
      <c r="AD462" t="n">
        <v>21</v>
      </c>
      <c r="AE462" t="n">
        <v>49</v>
      </c>
      <c r="AF462" t="n">
        <v>11</v>
      </c>
      <c r="AG462" t="n">
        <v>20</v>
      </c>
      <c r="AH462" t="n">
        <v>7</v>
      </c>
      <c r="AI462" t="n">
        <v>9</v>
      </c>
      <c r="AJ462" t="n">
        <v>10</v>
      </c>
      <c r="AK462" t="n">
        <v>15</v>
      </c>
      <c r="AL462" t="n">
        <v>0</v>
      </c>
      <c r="AM462" t="n">
        <v>13</v>
      </c>
      <c r="AN462" t="n">
        <v>0</v>
      </c>
      <c r="AO462" t="n">
        <v>1</v>
      </c>
      <c r="AP462" t="inlineStr">
        <is>
          <t>No</t>
        </is>
      </c>
      <c r="AQ462" t="inlineStr">
        <is>
          <t>No</t>
        </is>
      </c>
      <c r="AS462">
        <f>HYPERLINK("https://creighton-primo.hosted.exlibrisgroup.com/primo-explore/search?tab=default_tab&amp;search_scope=EVERYTHING&amp;vid=01CRU&amp;lang=en_US&amp;offset=0&amp;query=any,contains,991004544299702656","Catalog Record")</f>
        <v/>
      </c>
      <c r="AT462">
        <f>HYPERLINK("http://www.worldcat.org/oclc/52203042","WorldCat Record")</f>
        <v/>
      </c>
      <c r="AU462" t="inlineStr">
        <is>
          <t>864096822:eng</t>
        </is>
      </c>
      <c r="AV462" t="inlineStr">
        <is>
          <t>52203042</t>
        </is>
      </c>
      <c r="AW462" t="inlineStr">
        <is>
          <t>991004544299702656</t>
        </is>
      </c>
      <c r="AX462" t="inlineStr">
        <is>
          <t>991004544299702656</t>
        </is>
      </c>
      <c r="AY462" t="inlineStr">
        <is>
          <t>2259143490002656</t>
        </is>
      </c>
      <c r="AZ462" t="inlineStr">
        <is>
          <t>BOOK</t>
        </is>
      </c>
      <c r="BB462" t="inlineStr">
        <is>
          <t>9780631211006</t>
        </is>
      </c>
      <c r="BC462" t="inlineStr">
        <is>
          <t>32285005090674</t>
        </is>
      </c>
      <c r="BD462" t="inlineStr">
        <is>
          <t>893506977</t>
        </is>
      </c>
    </row>
    <row r="463">
      <c r="A463" t="inlineStr">
        <is>
          <t>No</t>
        </is>
      </c>
      <c r="B463" t="inlineStr">
        <is>
          <t>E178.6 .G25 1989</t>
        </is>
      </c>
      <c r="C463" t="inlineStr">
        <is>
          <t>0                      E  0178600G  25          1989</t>
        </is>
      </c>
      <c r="D463" t="inlineStr">
        <is>
          <t>1,001 things everyone should know about American history / John A. Garraty.</t>
        </is>
      </c>
      <c r="F463" t="inlineStr">
        <is>
          <t>No</t>
        </is>
      </c>
      <c r="G463" t="inlineStr">
        <is>
          <t>1</t>
        </is>
      </c>
      <c r="H463" t="inlineStr">
        <is>
          <t>No</t>
        </is>
      </c>
      <c r="I463" t="inlineStr">
        <is>
          <t>No</t>
        </is>
      </c>
      <c r="J463" t="inlineStr">
        <is>
          <t>0</t>
        </is>
      </c>
      <c r="K463" t="inlineStr">
        <is>
          <t>Garraty, John A. (John Arthur), 1920-2007.</t>
        </is>
      </c>
      <c r="L463" t="inlineStr">
        <is>
          <t>New York : Doubleday, c1989.</t>
        </is>
      </c>
      <c r="M463" t="inlineStr">
        <is>
          <t>1989</t>
        </is>
      </c>
      <c r="N463" t="inlineStr">
        <is>
          <t>1st ed.</t>
        </is>
      </c>
      <c r="O463" t="inlineStr">
        <is>
          <t>eng</t>
        </is>
      </c>
      <c r="P463" t="inlineStr">
        <is>
          <t>nyu</t>
        </is>
      </c>
      <c r="R463" t="inlineStr">
        <is>
          <t xml:space="preserve">E  </t>
        </is>
      </c>
      <c r="S463" t="n">
        <v>4</v>
      </c>
      <c r="T463" t="n">
        <v>4</v>
      </c>
      <c r="U463" t="inlineStr">
        <is>
          <t>1994-04-04</t>
        </is>
      </c>
      <c r="V463" t="inlineStr">
        <is>
          <t>1994-04-04</t>
        </is>
      </c>
      <c r="W463" t="inlineStr">
        <is>
          <t>1990-02-20</t>
        </is>
      </c>
      <c r="X463" t="inlineStr">
        <is>
          <t>1990-02-20</t>
        </is>
      </c>
      <c r="Y463" t="n">
        <v>1432</v>
      </c>
      <c r="Z463" t="n">
        <v>1404</v>
      </c>
      <c r="AA463" t="n">
        <v>1446</v>
      </c>
      <c r="AB463" t="n">
        <v>12</v>
      </c>
      <c r="AC463" t="n">
        <v>13</v>
      </c>
      <c r="AD463" t="n">
        <v>14</v>
      </c>
      <c r="AE463" t="n">
        <v>15</v>
      </c>
      <c r="AF463" t="n">
        <v>5</v>
      </c>
      <c r="AG463" t="n">
        <v>5</v>
      </c>
      <c r="AH463" t="n">
        <v>0</v>
      </c>
      <c r="AI463" t="n">
        <v>0</v>
      </c>
      <c r="AJ463" t="n">
        <v>7</v>
      </c>
      <c r="AK463" t="n">
        <v>7</v>
      </c>
      <c r="AL463" t="n">
        <v>3</v>
      </c>
      <c r="AM463" t="n">
        <v>4</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HYPERLINK("https://creighton-primo.hosted.exlibrisgroup.com/primo-explore/search?tab=default_tab&amp;search_scope=EVERYTHING&amp;vid=01CRU&amp;lang=en_US&amp;offset=0&amp;query=any,contains,991001270919702656","Catalog Record")</f>
        <v/>
      </c>
      <c r="AT463">
        <f>HYPERLINK("http://www.worldcat.org/oclc/17841309","WorldCat Record")</f>
        <v/>
      </c>
      <c r="AU463" t="inlineStr">
        <is>
          <t>117755965:eng</t>
        </is>
      </c>
      <c r="AV463" t="inlineStr">
        <is>
          <t>17841309</t>
        </is>
      </c>
      <c r="AW463" t="inlineStr">
        <is>
          <t>991001270919702656</t>
        </is>
      </c>
      <c r="AX463" t="inlineStr">
        <is>
          <t>991001270919702656</t>
        </is>
      </c>
      <c r="AY463" t="inlineStr">
        <is>
          <t>2268888620002656</t>
        </is>
      </c>
      <c r="AZ463" t="inlineStr">
        <is>
          <t>BOOK</t>
        </is>
      </c>
      <c r="BB463" t="inlineStr">
        <is>
          <t>9780385244329</t>
        </is>
      </c>
      <c r="BC463" t="inlineStr">
        <is>
          <t>32285000057496</t>
        </is>
      </c>
      <c r="BD463" t="inlineStr">
        <is>
          <t>893772465</t>
        </is>
      </c>
    </row>
    <row r="464">
      <c r="A464" t="inlineStr">
        <is>
          <t>No</t>
        </is>
      </c>
      <c r="B464" t="inlineStr">
        <is>
          <t>E178.H6 A5</t>
        </is>
      </c>
      <c r="C464" t="inlineStr">
        <is>
          <t>0                      E  0178000H  6                  A  5</t>
        </is>
      </c>
      <c r="D464" t="inlineStr">
        <is>
          <t>The American political tradition and the men who made it.</t>
        </is>
      </c>
      <c r="F464" t="inlineStr">
        <is>
          <t>No</t>
        </is>
      </c>
      <c r="G464" t="inlineStr">
        <is>
          <t>1</t>
        </is>
      </c>
      <c r="H464" t="inlineStr">
        <is>
          <t>No</t>
        </is>
      </c>
      <c r="I464" t="inlineStr">
        <is>
          <t>No</t>
        </is>
      </c>
      <c r="J464" t="inlineStr">
        <is>
          <t>0</t>
        </is>
      </c>
      <c r="K464" t="inlineStr">
        <is>
          <t>Hofstadter, Richard, 1916-1970.</t>
        </is>
      </c>
      <c r="L464" t="inlineStr">
        <is>
          <t>New York : Vintage Books, 1954 [c1948]</t>
        </is>
      </c>
      <c r="M464" t="inlineStr">
        <is>
          <t>1954</t>
        </is>
      </c>
      <c r="O464" t="inlineStr">
        <is>
          <t>eng</t>
        </is>
      </c>
      <c r="P464" t="inlineStr">
        <is>
          <t>nyu</t>
        </is>
      </c>
      <c r="Q464" t="inlineStr">
        <is>
          <t>A Vintage book, K9</t>
        </is>
      </c>
      <c r="R464" t="inlineStr">
        <is>
          <t xml:space="preserve">E  </t>
        </is>
      </c>
      <c r="S464" t="n">
        <v>11</v>
      </c>
      <c r="T464" t="n">
        <v>11</v>
      </c>
      <c r="U464" t="inlineStr">
        <is>
          <t>2002-10-24</t>
        </is>
      </c>
      <c r="V464" t="inlineStr">
        <is>
          <t>2002-10-24</t>
        </is>
      </c>
      <c r="W464" t="inlineStr">
        <is>
          <t>1992-02-04</t>
        </is>
      </c>
      <c r="X464" t="inlineStr">
        <is>
          <t>1992-02-04</t>
        </is>
      </c>
      <c r="Y464" t="n">
        <v>255</v>
      </c>
      <c r="Z464" t="n">
        <v>218</v>
      </c>
      <c r="AA464" t="n">
        <v>2496</v>
      </c>
      <c r="AB464" t="n">
        <v>1</v>
      </c>
      <c r="AC464" t="n">
        <v>16</v>
      </c>
      <c r="AD464" t="n">
        <v>6</v>
      </c>
      <c r="AE464" t="n">
        <v>65</v>
      </c>
      <c r="AF464" t="n">
        <v>1</v>
      </c>
      <c r="AG464" t="n">
        <v>25</v>
      </c>
      <c r="AH464" t="n">
        <v>2</v>
      </c>
      <c r="AI464" t="n">
        <v>11</v>
      </c>
      <c r="AJ464" t="n">
        <v>3</v>
      </c>
      <c r="AK464" t="n">
        <v>25</v>
      </c>
      <c r="AL464" t="n">
        <v>0</v>
      </c>
      <c r="AM464" t="n">
        <v>11</v>
      </c>
      <c r="AN464" t="n">
        <v>0</v>
      </c>
      <c r="AO464" t="n">
        <v>6</v>
      </c>
      <c r="AP464" t="inlineStr">
        <is>
          <t>No</t>
        </is>
      </c>
      <c r="AQ464" t="inlineStr">
        <is>
          <t>No</t>
        </is>
      </c>
      <c r="AS464">
        <f>HYPERLINK("https://creighton-primo.hosted.exlibrisgroup.com/primo-explore/search?tab=default_tab&amp;search_scope=EVERYTHING&amp;vid=01CRU&amp;lang=en_US&amp;offset=0&amp;query=any,contains,991003148519702656","Catalog Record")</f>
        <v/>
      </c>
      <c r="AT464">
        <f>HYPERLINK("http://www.worldcat.org/oclc/688500","WorldCat Record")</f>
        <v/>
      </c>
      <c r="AU464" t="inlineStr">
        <is>
          <t>462409:eng</t>
        </is>
      </c>
      <c r="AV464" t="inlineStr">
        <is>
          <t>688500</t>
        </is>
      </c>
      <c r="AW464" t="inlineStr">
        <is>
          <t>991003148519702656</t>
        </is>
      </c>
      <c r="AX464" t="inlineStr">
        <is>
          <t>991003148519702656</t>
        </is>
      </c>
      <c r="AY464" t="inlineStr">
        <is>
          <t>2272191630002656</t>
        </is>
      </c>
      <c r="AZ464" t="inlineStr">
        <is>
          <t>BOOK</t>
        </is>
      </c>
      <c r="BC464" t="inlineStr">
        <is>
          <t>32285000934546</t>
        </is>
      </c>
      <c r="BD464" t="inlineStr">
        <is>
          <t>893434693</t>
        </is>
      </c>
    </row>
    <row r="465">
      <c r="A465" t="inlineStr">
        <is>
          <t>No</t>
        </is>
      </c>
      <c r="B465" t="inlineStr">
        <is>
          <t>E179 .A494 2001</t>
        </is>
      </c>
      <c r="C465" t="inlineStr">
        <is>
          <t>0                      E  0179000A  494         2001</t>
        </is>
      </c>
      <c r="D465" t="inlineStr">
        <is>
          <t>American disasters / edited by Steven Biel.</t>
        </is>
      </c>
      <c r="F465" t="inlineStr">
        <is>
          <t>No</t>
        </is>
      </c>
      <c r="G465" t="inlineStr">
        <is>
          <t>1</t>
        </is>
      </c>
      <c r="H465" t="inlineStr">
        <is>
          <t>No</t>
        </is>
      </c>
      <c r="I465" t="inlineStr">
        <is>
          <t>No</t>
        </is>
      </c>
      <c r="J465" t="inlineStr">
        <is>
          <t>0</t>
        </is>
      </c>
      <c r="L465" t="inlineStr">
        <is>
          <t>New York : New York University Press, c2001.</t>
        </is>
      </c>
      <c r="M465" t="inlineStr">
        <is>
          <t>2001</t>
        </is>
      </c>
      <c r="O465" t="inlineStr">
        <is>
          <t>eng</t>
        </is>
      </c>
      <c r="P465" t="inlineStr">
        <is>
          <t>nyu</t>
        </is>
      </c>
      <c r="R465" t="inlineStr">
        <is>
          <t xml:space="preserve">E  </t>
        </is>
      </c>
      <c r="S465" t="n">
        <v>1</v>
      </c>
      <c r="T465" t="n">
        <v>1</v>
      </c>
      <c r="U465" t="inlineStr">
        <is>
          <t>2002-10-17</t>
        </is>
      </c>
      <c r="V465" t="inlineStr">
        <is>
          <t>2002-10-17</t>
        </is>
      </c>
      <c r="W465" t="inlineStr">
        <is>
          <t>2002-10-17</t>
        </is>
      </c>
      <c r="X465" t="inlineStr">
        <is>
          <t>2002-10-17</t>
        </is>
      </c>
      <c r="Y465" t="n">
        <v>650</v>
      </c>
      <c r="Z465" t="n">
        <v>616</v>
      </c>
      <c r="AA465" t="n">
        <v>622</v>
      </c>
      <c r="AB465" t="n">
        <v>2</v>
      </c>
      <c r="AC465" t="n">
        <v>2</v>
      </c>
      <c r="AD465" t="n">
        <v>15</v>
      </c>
      <c r="AE465" t="n">
        <v>15</v>
      </c>
      <c r="AF465" t="n">
        <v>5</v>
      </c>
      <c r="AG465" t="n">
        <v>5</v>
      </c>
      <c r="AH465" t="n">
        <v>4</v>
      </c>
      <c r="AI465" t="n">
        <v>4</v>
      </c>
      <c r="AJ465" t="n">
        <v>7</v>
      </c>
      <c r="AK465" t="n">
        <v>7</v>
      </c>
      <c r="AL465" t="n">
        <v>1</v>
      </c>
      <c r="AM465" t="n">
        <v>1</v>
      </c>
      <c r="AN465" t="n">
        <v>0</v>
      </c>
      <c r="AO465" t="n">
        <v>0</v>
      </c>
      <c r="AP465" t="inlineStr">
        <is>
          <t>No</t>
        </is>
      </c>
      <c r="AQ465" t="inlineStr">
        <is>
          <t>No</t>
        </is>
      </c>
      <c r="AS465">
        <f>HYPERLINK("https://creighton-primo.hosted.exlibrisgroup.com/primo-explore/search?tab=default_tab&amp;search_scope=EVERYTHING&amp;vid=01CRU&amp;lang=en_US&amp;offset=0&amp;query=any,contains,991003870929702656","Catalog Record")</f>
        <v/>
      </c>
      <c r="AT465">
        <f>HYPERLINK("http://www.worldcat.org/oclc/47289248","WorldCat Record")</f>
        <v/>
      </c>
      <c r="AU465" t="inlineStr">
        <is>
          <t>36713970:eng</t>
        </is>
      </c>
      <c r="AV465" t="inlineStr">
        <is>
          <t>47289248</t>
        </is>
      </c>
      <c r="AW465" t="inlineStr">
        <is>
          <t>991003870929702656</t>
        </is>
      </c>
      <c r="AX465" t="inlineStr">
        <is>
          <t>991003870929702656</t>
        </is>
      </c>
      <c r="AY465" t="inlineStr">
        <is>
          <t>2262065960002656</t>
        </is>
      </c>
      <c r="AZ465" t="inlineStr">
        <is>
          <t>BOOK</t>
        </is>
      </c>
      <c r="BB465" t="inlineStr">
        <is>
          <t>9780814713457</t>
        </is>
      </c>
      <c r="BC465" t="inlineStr">
        <is>
          <t>32285004656061</t>
        </is>
      </c>
      <c r="BD465" t="inlineStr">
        <is>
          <t>893599083</t>
        </is>
      </c>
    </row>
    <row r="466">
      <c r="A466" t="inlineStr">
        <is>
          <t>No</t>
        </is>
      </c>
      <c r="B466" t="inlineStr">
        <is>
          <t>E179 .D25 1995</t>
        </is>
      </c>
      <c r="C466" t="inlineStr">
        <is>
          <t>0                      E  0179000D  25          1995</t>
        </is>
      </c>
      <c r="D466" t="inlineStr">
        <is>
          <t>Born in the country : a history of rural America / David B. Danbom.</t>
        </is>
      </c>
      <c r="F466" t="inlineStr">
        <is>
          <t>No</t>
        </is>
      </c>
      <c r="G466" t="inlineStr">
        <is>
          <t>1</t>
        </is>
      </c>
      <c r="H466" t="inlineStr">
        <is>
          <t>No</t>
        </is>
      </c>
      <c r="I466" t="inlineStr">
        <is>
          <t>No</t>
        </is>
      </c>
      <c r="J466" t="inlineStr">
        <is>
          <t>0</t>
        </is>
      </c>
      <c r="K466" t="inlineStr">
        <is>
          <t>Danbom, David B., 1947-</t>
        </is>
      </c>
      <c r="L466" t="inlineStr">
        <is>
          <t>Baltimore : Johns Hopkins University Press, 1995.</t>
        </is>
      </c>
      <c r="M466" t="inlineStr">
        <is>
          <t>1995</t>
        </is>
      </c>
      <c r="O466" t="inlineStr">
        <is>
          <t>eng</t>
        </is>
      </c>
      <c r="P466" t="inlineStr">
        <is>
          <t>mdu</t>
        </is>
      </c>
      <c r="Q466" t="inlineStr">
        <is>
          <t>Revisiting rural America</t>
        </is>
      </c>
      <c r="R466" t="inlineStr">
        <is>
          <t xml:space="preserve">E  </t>
        </is>
      </c>
      <c r="S466" t="n">
        <v>6</v>
      </c>
      <c r="T466" t="n">
        <v>6</v>
      </c>
      <c r="U466" t="inlineStr">
        <is>
          <t>1999-02-16</t>
        </is>
      </c>
      <c r="V466" t="inlineStr">
        <is>
          <t>1999-02-16</t>
        </is>
      </c>
      <c r="W466" t="inlineStr">
        <is>
          <t>1996-03-12</t>
        </is>
      </c>
      <c r="X466" t="inlineStr">
        <is>
          <t>1996-03-12</t>
        </is>
      </c>
      <c r="Y466" t="n">
        <v>721</v>
      </c>
      <c r="Z466" t="n">
        <v>651</v>
      </c>
      <c r="AA466" t="n">
        <v>865</v>
      </c>
      <c r="AB466" t="n">
        <v>5</v>
      </c>
      <c r="AC466" t="n">
        <v>6</v>
      </c>
      <c r="AD466" t="n">
        <v>27</v>
      </c>
      <c r="AE466" t="n">
        <v>35</v>
      </c>
      <c r="AF466" t="n">
        <v>10</v>
      </c>
      <c r="AG466" t="n">
        <v>17</v>
      </c>
      <c r="AH466" t="n">
        <v>6</v>
      </c>
      <c r="AI466" t="n">
        <v>7</v>
      </c>
      <c r="AJ466" t="n">
        <v>13</v>
      </c>
      <c r="AK466" t="n">
        <v>15</v>
      </c>
      <c r="AL466" t="n">
        <v>4</v>
      </c>
      <c r="AM466" t="n">
        <v>4</v>
      </c>
      <c r="AN466" t="n">
        <v>1</v>
      </c>
      <c r="AO466" t="n">
        <v>1</v>
      </c>
      <c r="AP466" t="inlineStr">
        <is>
          <t>No</t>
        </is>
      </c>
      <c r="AQ466" t="inlineStr">
        <is>
          <t>Yes</t>
        </is>
      </c>
      <c r="AR466">
        <f>HYPERLINK("http://catalog.hathitrust.org/Record/002989169","HathiTrust Record")</f>
        <v/>
      </c>
      <c r="AS466">
        <f>HYPERLINK("https://creighton-primo.hosted.exlibrisgroup.com/primo-explore/search?tab=default_tab&amp;search_scope=EVERYTHING&amp;vid=01CRU&amp;lang=en_US&amp;offset=0&amp;query=any,contains,991002424509702656","Catalog Record")</f>
        <v/>
      </c>
      <c r="AT466">
        <f>HYPERLINK("http://www.worldcat.org/oclc/31606587","WorldCat Record")</f>
        <v/>
      </c>
      <c r="AU466" t="inlineStr">
        <is>
          <t>33323043:eng</t>
        </is>
      </c>
      <c r="AV466" t="inlineStr">
        <is>
          <t>31606587</t>
        </is>
      </c>
      <c r="AW466" t="inlineStr">
        <is>
          <t>991002424509702656</t>
        </is>
      </c>
      <c r="AX466" t="inlineStr">
        <is>
          <t>991002424509702656</t>
        </is>
      </c>
      <c r="AY466" t="inlineStr">
        <is>
          <t>2262725050002656</t>
        </is>
      </c>
      <c r="AZ466" t="inlineStr">
        <is>
          <t>BOOK</t>
        </is>
      </c>
      <c r="BB466" t="inlineStr">
        <is>
          <t>9780801850394</t>
        </is>
      </c>
      <c r="BC466" t="inlineStr">
        <is>
          <t>32285002141611</t>
        </is>
      </c>
      <c r="BD466" t="inlineStr">
        <is>
          <t>893445155</t>
        </is>
      </c>
    </row>
    <row r="467">
      <c r="A467" t="inlineStr">
        <is>
          <t>No</t>
        </is>
      </c>
      <c r="B467" t="inlineStr">
        <is>
          <t>E179 .F69 1998</t>
        </is>
      </c>
      <c r="C467" t="inlineStr">
        <is>
          <t>0                      E  0179000F  69          1998</t>
        </is>
      </c>
      <c r="D467" t="inlineStr">
        <is>
          <t>The story of American freedom / Eric Foner.</t>
        </is>
      </c>
      <c r="F467" t="inlineStr">
        <is>
          <t>No</t>
        </is>
      </c>
      <c r="G467" t="inlineStr">
        <is>
          <t>1</t>
        </is>
      </c>
      <c r="H467" t="inlineStr">
        <is>
          <t>No</t>
        </is>
      </c>
      <c r="I467" t="inlineStr">
        <is>
          <t>No</t>
        </is>
      </c>
      <c r="J467" t="inlineStr">
        <is>
          <t>0</t>
        </is>
      </c>
      <c r="K467" t="inlineStr">
        <is>
          <t>Foner, Eric, 1943-</t>
        </is>
      </c>
      <c r="L467" t="inlineStr">
        <is>
          <t>New York : W.W. Norton, c1998.</t>
        </is>
      </c>
      <c r="M467" t="inlineStr">
        <is>
          <t>1998</t>
        </is>
      </c>
      <c r="N467" t="inlineStr">
        <is>
          <t>1st ed.</t>
        </is>
      </c>
      <c r="O467" t="inlineStr">
        <is>
          <t>eng</t>
        </is>
      </c>
      <c r="P467" t="inlineStr">
        <is>
          <t>nyu</t>
        </is>
      </c>
      <c r="R467" t="inlineStr">
        <is>
          <t xml:space="preserve">E  </t>
        </is>
      </c>
      <c r="S467" t="n">
        <v>0</v>
      </c>
      <c r="T467" t="n">
        <v>0</v>
      </c>
      <c r="U467" t="inlineStr">
        <is>
          <t>2000-12-27</t>
        </is>
      </c>
      <c r="V467" t="inlineStr">
        <is>
          <t>2000-12-27</t>
        </is>
      </c>
      <c r="W467" t="inlineStr">
        <is>
          <t>1999-02-10</t>
        </is>
      </c>
      <c r="X467" t="inlineStr">
        <is>
          <t>1999-02-10</t>
        </is>
      </c>
      <c r="Y467" t="n">
        <v>1667</v>
      </c>
      <c r="Z467" t="n">
        <v>1570</v>
      </c>
      <c r="AA467" t="n">
        <v>1738</v>
      </c>
      <c r="AB467" t="n">
        <v>17</v>
      </c>
      <c r="AC467" t="n">
        <v>17</v>
      </c>
      <c r="AD467" t="n">
        <v>55</v>
      </c>
      <c r="AE467" t="n">
        <v>59</v>
      </c>
      <c r="AF467" t="n">
        <v>21</v>
      </c>
      <c r="AG467" t="n">
        <v>23</v>
      </c>
      <c r="AH467" t="n">
        <v>10</v>
      </c>
      <c r="AI467" t="n">
        <v>10</v>
      </c>
      <c r="AJ467" t="n">
        <v>21</v>
      </c>
      <c r="AK467" t="n">
        <v>23</v>
      </c>
      <c r="AL467" t="n">
        <v>11</v>
      </c>
      <c r="AM467" t="n">
        <v>11</v>
      </c>
      <c r="AN467" t="n">
        <v>5</v>
      </c>
      <c r="AO467" t="n">
        <v>5</v>
      </c>
      <c r="AP467" t="inlineStr">
        <is>
          <t>No</t>
        </is>
      </c>
      <c r="AQ467" t="inlineStr">
        <is>
          <t>No</t>
        </is>
      </c>
      <c r="AS467">
        <f>HYPERLINK("https://creighton-primo.hosted.exlibrisgroup.com/primo-explore/search?tab=default_tab&amp;search_scope=EVERYTHING&amp;vid=01CRU&amp;lang=en_US&amp;offset=0&amp;query=any,contains,991002911759702656","Catalog Record")</f>
        <v/>
      </c>
      <c r="AT467">
        <f>HYPERLINK("http://www.worldcat.org/oclc/38504272","WorldCat Record")</f>
        <v/>
      </c>
      <c r="AU467" t="inlineStr">
        <is>
          <t>9920994:eng</t>
        </is>
      </c>
      <c r="AV467" t="inlineStr">
        <is>
          <t>38504272</t>
        </is>
      </c>
      <c r="AW467" t="inlineStr">
        <is>
          <t>991002911759702656</t>
        </is>
      </c>
      <c r="AX467" t="inlineStr">
        <is>
          <t>991002911759702656</t>
        </is>
      </c>
      <c r="AY467" t="inlineStr">
        <is>
          <t>2266934640002656</t>
        </is>
      </c>
      <c r="AZ467" t="inlineStr">
        <is>
          <t>BOOK</t>
        </is>
      </c>
      <c r="BB467" t="inlineStr">
        <is>
          <t>9780393046656</t>
        </is>
      </c>
      <c r="BC467" t="inlineStr">
        <is>
          <t>32285003518874</t>
        </is>
      </c>
      <c r="BD467" t="inlineStr">
        <is>
          <t>893616753</t>
        </is>
      </c>
    </row>
    <row r="468">
      <c r="A468" t="inlineStr">
        <is>
          <t>No</t>
        </is>
      </c>
      <c r="B468" t="inlineStr">
        <is>
          <t>E179 .H8 1970</t>
        </is>
      </c>
      <c r="C468" t="inlineStr">
        <is>
          <t>0                      E  0179000H  8           1970</t>
        </is>
      </c>
      <c r="D468" t="inlineStr">
        <is>
          <t>American violence; a documentary history, edited by Richard Hofstadter and Michael Wallace.</t>
        </is>
      </c>
      <c r="F468" t="inlineStr">
        <is>
          <t>No</t>
        </is>
      </c>
      <c r="G468" t="inlineStr">
        <is>
          <t>1</t>
        </is>
      </c>
      <c r="H468" t="inlineStr">
        <is>
          <t>No</t>
        </is>
      </c>
      <c r="I468" t="inlineStr">
        <is>
          <t>No</t>
        </is>
      </c>
      <c r="J468" t="inlineStr">
        <is>
          <t>0</t>
        </is>
      </c>
      <c r="K468" t="inlineStr">
        <is>
          <t>Hofstadter, Richard, 1916-1970, compiler.</t>
        </is>
      </c>
      <c r="L468" t="inlineStr">
        <is>
          <t>New York, Knopf, 1970.</t>
        </is>
      </c>
      <c r="M468" t="inlineStr">
        <is>
          <t>1970</t>
        </is>
      </c>
      <c r="N468" t="inlineStr">
        <is>
          <t>[1st ed.]</t>
        </is>
      </c>
      <c r="O468" t="inlineStr">
        <is>
          <t>eng</t>
        </is>
      </c>
      <c r="P468" t="inlineStr">
        <is>
          <t>nyu</t>
        </is>
      </c>
      <c r="R468" t="inlineStr">
        <is>
          <t xml:space="preserve">E  </t>
        </is>
      </c>
      <c r="S468" t="n">
        <v>2</v>
      </c>
      <c r="T468" t="n">
        <v>2</v>
      </c>
      <c r="U468" t="inlineStr">
        <is>
          <t>1998-04-29</t>
        </is>
      </c>
      <c r="V468" t="inlineStr">
        <is>
          <t>1998-04-29</t>
        </is>
      </c>
      <c r="W468" t="inlineStr">
        <is>
          <t>1997-04-07</t>
        </is>
      </c>
      <c r="X468" t="inlineStr">
        <is>
          <t>1997-04-07</t>
        </is>
      </c>
      <c r="Y468" t="n">
        <v>1592</v>
      </c>
      <c r="Z468" t="n">
        <v>1470</v>
      </c>
      <c r="AA468" t="n">
        <v>1650</v>
      </c>
      <c r="AB468" t="n">
        <v>11</v>
      </c>
      <c r="AC468" t="n">
        <v>13</v>
      </c>
      <c r="AD468" t="n">
        <v>50</v>
      </c>
      <c r="AE468" t="n">
        <v>53</v>
      </c>
      <c r="AF468" t="n">
        <v>22</v>
      </c>
      <c r="AG468" t="n">
        <v>23</v>
      </c>
      <c r="AH468" t="n">
        <v>9</v>
      </c>
      <c r="AI468" t="n">
        <v>9</v>
      </c>
      <c r="AJ468" t="n">
        <v>22</v>
      </c>
      <c r="AK468" t="n">
        <v>23</v>
      </c>
      <c r="AL468" t="n">
        <v>6</v>
      </c>
      <c r="AM468" t="n">
        <v>7</v>
      </c>
      <c r="AN468" t="n">
        <v>3</v>
      </c>
      <c r="AO468" t="n">
        <v>3</v>
      </c>
      <c r="AP468" t="inlineStr">
        <is>
          <t>No</t>
        </is>
      </c>
      <c r="AQ468" t="inlineStr">
        <is>
          <t>No</t>
        </is>
      </c>
      <c r="AS468">
        <f>HYPERLINK("https://creighton-primo.hosted.exlibrisgroup.com/primo-explore/search?tab=default_tab&amp;search_scope=EVERYTHING&amp;vid=01CRU&amp;lang=en_US&amp;offset=0&amp;query=any,contains,991000605199702656","Catalog Record")</f>
        <v/>
      </c>
      <c r="AT468">
        <f>HYPERLINK("http://www.worldcat.org/oclc/98820","WorldCat Record")</f>
        <v/>
      </c>
      <c r="AU468" t="inlineStr">
        <is>
          <t>815113788:eng</t>
        </is>
      </c>
      <c r="AV468" t="inlineStr">
        <is>
          <t>98820</t>
        </is>
      </c>
      <c r="AW468" t="inlineStr">
        <is>
          <t>991000605199702656</t>
        </is>
      </c>
      <c r="AX468" t="inlineStr">
        <is>
          <t>991000605199702656</t>
        </is>
      </c>
      <c r="AY468" t="inlineStr">
        <is>
          <t>2272145590002656</t>
        </is>
      </c>
      <c r="AZ468" t="inlineStr">
        <is>
          <t>BOOK</t>
        </is>
      </c>
      <c r="BB468" t="inlineStr">
        <is>
          <t>9780394414867</t>
        </is>
      </c>
      <c r="BC468" t="inlineStr">
        <is>
          <t>32285002505146</t>
        </is>
      </c>
      <c r="BD468" t="inlineStr">
        <is>
          <t>893496388</t>
        </is>
      </c>
    </row>
    <row r="469">
      <c r="A469" t="inlineStr">
        <is>
          <t>No</t>
        </is>
      </c>
      <c r="B469" t="inlineStr">
        <is>
          <t>E179 .H82</t>
        </is>
      </c>
      <c r="C469" t="inlineStr">
        <is>
          <t>0                      E  0179000H  82</t>
        </is>
      </c>
      <c r="D469" t="inlineStr">
        <is>
          <t>Frontier violence : another look / [by] W. Eugene Hollon.</t>
        </is>
      </c>
      <c r="F469" t="inlineStr">
        <is>
          <t>No</t>
        </is>
      </c>
      <c r="G469" t="inlineStr">
        <is>
          <t>1</t>
        </is>
      </c>
      <c r="H469" t="inlineStr">
        <is>
          <t>No</t>
        </is>
      </c>
      <c r="I469" t="inlineStr">
        <is>
          <t>No</t>
        </is>
      </c>
      <c r="J469" t="inlineStr">
        <is>
          <t>0</t>
        </is>
      </c>
      <c r="K469" t="inlineStr">
        <is>
          <t>Hollon, W. Eugene (William Eugene), 1913-2002.</t>
        </is>
      </c>
      <c r="L469" t="inlineStr">
        <is>
          <t>New York : Oxford University Press, 1974.</t>
        </is>
      </c>
      <c r="M469" t="inlineStr">
        <is>
          <t>1974</t>
        </is>
      </c>
      <c r="O469" t="inlineStr">
        <is>
          <t>eng</t>
        </is>
      </c>
      <c r="P469" t="inlineStr">
        <is>
          <t>nyu</t>
        </is>
      </c>
      <c r="R469" t="inlineStr">
        <is>
          <t xml:space="preserve">E  </t>
        </is>
      </c>
      <c r="S469" t="n">
        <v>8</v>
      </c>
      <c r="T469" t="n">
        <v>8</v>
      </c>
      <c r="U469" t="inlineStr">
        <is>
          <t>2000-08-25</t>
        </is>
      </c>
      <c r="V469" t="inlineStr">
        <is>
          <t>2000-08-25</t>
        </is>
      </c>
      <c r="W469" t="inlineStr">
        <is>
          <t>1994-10-12</t>
        </is>
      </c>
      <c r="X469" t="inlineStr">
        <is>
          <t>1994-10-12</t>
        </is>
      </c>
      <c r="Y469" t="n">
        <v>994</v>
      </c>
      <c r="Z469" t="n">
        <v>889</v>
      </c>
      <c r="AA469" t="n">
        <v>913</v>
      </c>
      <c r="AB469" t="n">
        <v>8</v>
      </c>
      <c r="AC469" t="n">
        <v>8</v>
      </c>
      <c r="AD469" t="n">
        <v>34</v>
      </c>
      <c r="AE469" t="n">
        <v>36</v>
      </c>
      <c r="AF469" t="n">
        <v>13</v>
      </c>
      <c r="AG469" t="n">
        <v>14</v>
      </c>
      <c r="AH469" t="n">
        <v>7</v>
      </c>
      <c r="AI469" t="n">
        <v>7</v>
      </c>
      <c r="AJ469" t="n">
        <v>16</v>
      </c>
      <c r="AK469" t="n">
        <v>17</v>
      </c>
      <c r="AL469" t="n">
        <v>5</v>
      </c>
      <c r="AM469" t="n">
        <v>5</v>
      </c>
      <c r="AN469" t="n">
        <v>2</v>
      </c>
      <c r="AO469" t="n">
        <v>2</v>
      </c>
      <c r="AP469" t="inlineStr">
        <is>
          <t>No</t>
        </is>
      </c>
      <c r="AQ469" t="inlineStr">
        <is>
          <t>Yes</t>
        </is>
      </c>
      <c r="AR469">
        <f>HYPERLINK("http://catalog.hathitrust.org/Record/000014299","HathiTrust Record")</f>
        <v/>
      </c>
      <c r="AS469">
        <f>HYPERLINK("https://creighton-primo.hosted.exlibrisgroup.com/primo-explore/search?tab=default_tab&amp;search_scope=EVERYTHING&amp;vid=01CRU&amp;lang=en_US&amp;offset=0&amp;query=any,contains,991005357149702656","Catalog Record")</f>
        <v/>
      </c>
      <c r="AT469">
        <f>HYPERLINK("http://www.worldcat.org/oclc/902514","WorldCat Record")</f>
        <v/>
      </c>
      <c r="AU469" t="inlineStr">
        <is>
          <t>1837024:eng</t>
        </is>
      </c>
      <c r="AV469" t="inlineStr">
        <is>
          <t>902514</t>
        </is>
      </c>
      <c r="AW469" t="inlineStr">
        <is>
          <t>991005357149702656</t>
        </is>
      </c>
      <c r="AX469" t="inlineStr">
        <is>
          <t>991005357149702656</t>
        </is>
      </c>
      <c r="AY469" t="inlineStr">
        <is>
          <t>2262620770002656</t>
        </is>
      </c>
      <c r="AZ469" t="inlineStr">
        <is>
          <t>BOOK</t>
        </is>
      </c>
      <c r="BB469" t="inlineStr">
        <is>
          <t>9780195017502</t>
        </is>
      </c>
      <c r="BC469" t="inlineStr">
        <is>
          <t>32285001960565</t>
        </is>
      </c>
      <c r="BD469" t="inlineStr">
        <is>
          <t>893443853</t>
        </is>
      </c>
    </row>
    <row r="470">
      <c r="A470" t="inlineStr">
        <is>
          <t>No</t>
        </is>
      </c>
      <c r="B470" t="inlineStr">
        <is>
          <t>E179 .L44 1999</t>
        </is>
      </c>
      <c r="C470" t="inlineStr">
        <is>
          <t>0                      E  0179000L  44          1999</t>
        </is>
      </c>
      <c r="D470" t="inlineStr">
        <is>
          <t>Lethal imagination : violence and brutality in American history / edited by Michael A. Bellesiles.</t>
        </is>
      </c>
      <c r="F470" t="inlineStr">
        <is>
          <t>No</t>
        </is>
      </c>
      <c r="G470" t="inlineStr">
        <is>
          <t>1</t>
        </is>
      </c>
      <c r="H470" t="inlineStr">
        <is>
          <t>No</t>
        </is>
      </c>
      <c r="I470" t="inlineStr">
        <is>
          <t>No</t>
        </is>
      </c>
      <c r="J470" t="inlineStr">
        <is>
          <t>0</t>
        </is>
      </c>
      <c r="L470" t="inlineStr">
        <is>
          <t>New York : New York University Press, c1999.</t>
        </is>
      </c>
      <c r="M470" t="inlineStr">
        <is>
          <t>1999</t>
        </is>
      </c>
      <c r="O470" t="inlineStr">
        <is>
          <t>eng</t>
        </is>
      </c>
      <c r="P470" t="inlineStr">
        <is>
          <t>nyu</t>
        </is>
      </c>
      <c r="R470" t="inlineStr">
        <is>
          <t xml:space="preserve">E  </t>
        </is>
      </c>
      <c r="S470" t="n">
        <v>7</v>
      </c>
      <c r="T470" t="n">
        <v>7</v>
      </c>
      <c r="U470" t="inlineStr">
        <is>
          <t>2004-05-06</t>
        </is>
      </c>
      <c r="V470" t="inlineStr">
        <is>
          <t>2004-05-06</t>
        </is>
      </c>
      <c r="W470" t="inlineStr">
        <is>
          <t>2001-03-06</t>
        </is>
      </c>
      <c r="X470" t="inlineStr">
        <is>
          <t>2001-03-06</t>
        </is>
      </c>
      <c r="Y470" t="n">
        <v>470</v>
      </c>
      <c r="Z470" t="n">
        <v>403</v>
      </c>
      <c r="AA470" t="n">
        <v>408</v>
      </c>
      <c r="AB470" t="n">
        <v>3</v>
      </c>
      <c r="AC470" t="n">
        <v>3</v>
      </c>
      <c r="AD470" t="n">
        <v>21</v>
      </c>
      <c r="AE470" t="n">
        <v>21</v>
      </c>
      <c r="AF470" t="n">
        <v>5</v>
      </c>
      <c r="AG470" t="n">
        <v>5</v>
      </c>
      <c r="AH470" t="n">
        <v>5</v>
      </c>
      <c r="AI470" t="n">
        <v>5</v>
      </c>
      <c r="AJ470" t="n">
        <v>13</v>
      </c>
      <c r="AK470" t="n">
        <v>13</v>
      </c>
      <c r="AL470" t="n">
        <v>2</v>
      </c>
      <c r="AM470" t="n">
        <v>2</v>
      </c>
      <c r="AN470" t="n">
        <v>1</v>
      </c>
      <c r="AO470" t="n">
        <v>1</v>
      </c>
      <c r="AP470" t="inlineStr">
        <is>
          <t>No</t>
        </is>
      </c>
      <c r="AQ470" t="inlineStr">
        <is>
          <t>No</t>
        </is>
      </c>
      <c r="AS470">
        <f>HYPERLINK("https://creighton-primo.hosted.exlibrisgroup.com/primo-explore/search?tab=default_tab&amp;search_scope=EVERYTHING&amp;vid=01CRU&amp;lang=en_US&amp;offset=0&amp;query=any,contains,991003479679702656","Catalog Record")</f>
        <v/>
      </c>
      <c r="AT470">
        <f>HYPERLINK("http://www.worldcat.org/oclc/39922721","WorldCat Record")</f>
        <v/>
      </c>
      <c r="AU470" t="inlineStr">
        <is>
          <t>836997352:eng</t>
        </is>
      </c>
      <c r="AV470" t="inlineStr">
        <is>
          <t>39922721</t>
        </is>
      </c>
      <c r="AW470" t="inlineStr">
        <is>
          <t>991003479679702656</t>
        </is>
      </c>
      <c r="AX470" t="inlineStr">
        <is>
          <t>991003479679702656</t>
        </is>
      </c>
      <c r="AY470" t="inlineStr">
        <is>
          <t>2263118230002656</t>
        </is>
      </c>
      <c r="AZ470" t="inlineStr">
        <is>
          <t>BOOK</t>
        </is>
      </c>
      <c r="BB470" t="inlineStr">
        <is>
          <t>9780814712955</t>
        </is>
      </c>
      <c r="BC470" t="inlineStr">
        <is>
          <t>32285004299334</t>
        </is>
      </c>
      <c r="BD470" t="inlineStr">
        <is>
          <t>893416417</t>
        </is>
      </c>
    </row>
    <row r="471">
      <c r="A471" t="inlineStr">
        <is>
          <t>No</t>
        </is>
      </c>
      <c r="B471" t="inlineStr">
        <is>
          <t>E179 .P34</t>
        </is>
      </c>
      <c r="C471" t="inlineStr">
        <is>
          <t>0                      E  0179000P  34</t>
        </is>
      </c>
      <c r="D471" t="inlineStr">
        <is>
          <t>History of the American frontier, 1763-1893 / by Frederic L. Paxson.</t>
        </is>
      </c>
      <c r="F471" t="inlineStr">
        <is>
          <t>No</t>
        </is>
      </c>
      <c r="G471" t="inlineStr">
        <is>
          <t>1</t>
        </is>
      </c>
      <c r="H471" t="inlineStr">
        <is>
          <t>No</t>
        </is>
      </c>
      <c r="I471" t="inlineStr">
        <is>
          <t>No</t>
        </is>
      </c>
      <c r="J471" t="inlineStr">
        <is>
          <t>0</t>
        </is>
      </c>
      <c r="K471" t="inlineStr">
        <is>
          <t>Paxson, Frederic L. (Frederic Logan), 1877-1948.</t>
        </is>
      </c>
      <c r="L471" t="inlineStr">
        <is>
          <t>Boston, New York, Houghton Mifflin Company, 1924.</t>
        </is>
      </c>
      <c r="M471" t="inlineStr">
        <is>
          <t>1924</t>
        </is>
      </c>
      <c r="O471" t="inlineStr">
        <is>
          <t>eng</t>
        </is>
      </c>
      <c r="P471" t="inlineStr">
        <is>
          <t>mau</t>
        </is>
      </c>
      <c r="R471" t="inlineStr">
        <is>
          <t xml:space="preserve">E  </t>
        </is>
      </c>
      <c r="S471" t="n">
        <v>1</v>
      </c>
      <c r="T471" t="n">
        <v>1</v>
      </c>
      <c r="U471" t="inlineStr">
        <is>
          <t>2001-08-14</t>
        </is>
      </c>
      <c r="V471" t="inlineStr">
        <is>
          <t>2001-08-14</t>
        </is>
      </c>
      <c r="W471" t="inlineStr">
        <is>
          <t>1997-03-31</t>
        </is>
      </c>
      <c r="X471" t="inlineStr">
        <is>
          <t>1997-03-31</t>
        </is>
      </c>
      <c r="Y471" t="n">
        <v>859</v>
      </c>
      <c r="Z471" t="n">
        <v>803</v>
      </c>
      <c r="AA471" t="n">
        <v>1431</v>
      </c>
      <c r="AB471" t="n">
        <v>8</v>
      </c>
      <c r="AC471" t="n">
        <v>15</v>
      </c>
      <c r="AD471" t="n">
        <v>38</v>
      </c>
      <c r="AE471" t="n">
        <v>60</v>
      </c>
      <c r="AF471" t="n">
        <v>17</v>
      </c>
      <c r="AG471" t="n">
        <v>23</v>
      </c>
      <c r="AH471" t="n">
        <v>3</v>
      </c>
      <c r="AI471" t="n">
        <v>7</v>
      </c>
      <c r="AJ471" t="n">
        <v>17</v>
      </c>
      <c r="AK471" t="n">
        <v>23</v>
      </c>
      <c r="AL471" t="n">
        <v>7</v>
      </c>
      <c r="AM471" t="n">
        <v>11</v>
      </c>
      <c r="AN471" t="n">
        <v>1</v>
      </c>
      <c r="AO471" t="n">
        <v>6</v>
      </c>
      <c r="AP471" t="inlineStr">
        <is>
          <t>Yes</t>
        </is>
      </c>
      <c r="AQ471" t="inlineStr">
        <is>
          <t>No</t>
        </is>
      </c>
      <c r="AR471">
        <f>HYPERLINK("http://catalog.hathitrust.org/Record/008011446","HathiTrust Record")</f>
        <v/>
      </c>
      <c r="AS471">
        <f>HYPERLINK("https://creighton-primo.hosted.exlibrisgroup.com/primo-explore/search?tab=default_tab&amp;search_scope=EVERYTHING&amp;vid=01CRU&amp;lang=en_US&amp;offset=0&amp;query=any,contains,991002741709702656","Catalog Record")</f>
        <v/>
      </c>
      <c r="AT471">
        <f>HYPERLINK("http://www.worldcat.org/oclc/421354","WorldCat Record")</f>
        <v/>
      </c>
      <c r="AU471" t="inlineStr">
        <is>
          <t>1504220:eng</t>
        </is>
      </c>
      <c r="AV471" t="inlineStr">
        <is>
          <t>421354</t>
        </is>
      </c>
      <c r="AW471" t="inlineStr">
        <is>
          <t>991002741709702656</t>
        </is>
      </c>
      <c r="AX471" t="inlineStr">
        <is>
          <t>991002741709702656</t>
        </is>
      </c>
      <c r="AY471" t="inlineStr">
        <is>
          <t>2270096590002656</t>
        </is>
      </c>
      <c r="AZ471" t="inlineStr">
        <is>
          <t>BOOK</t>
        </is>
      </c>
      <c r="BC471" t="inlineStr">
        <is>
          <t>32285002484334</t>
        </is>
      </c>
      <c r="BD471" t="inlineStr">
        <is>
          <t>893347861</t>
        </is>
      </c>
    </row>
    <row r="472">
      <c r="A472" t="inlineStr">
        <is>
          <t>No</t>
        </is>
      </c>
      <c r="B472" t="inlineStr">
        <is>
          <t>E179.5 .A43 1996</t>
        </is>
      </c>
      <c r="C472" t="inlineStr">
        <is>
          <t>0                      E  0179500A  43          1996</t>
        </is>
      </c>
      <c r="D472" t="inlineStr">
        <is>
          <t>All over the map : rethinking American regions / Edward L. Ayers ... [et al.].</t>
        </is>
      </c>
      <c r="F472" t="inlineStr">
        <is>
          <t>No</t>
        </is>
      </c>
      <c r="G472" t="inlineStr">
        <is>
          <t>1</t>
        </is>
      </c>
      <c r="H472" t="inlineStr">
        <is>
          <t>No</t>
        </is>
      </c>
      <c r="I472" t="inlineStr">
        <is>
          <t>No</t>
        </is>
      </c>
      <c r="J472" t="inlineStr">
        <is>
          <t>0</t>
        </is>
      </c>
      <c r="L472" t="inlineStr">
        <is>
          <t>Baltimore : Johns Hopkins University Press, 1996.</t>
        </is>
      </c>
      <c r="M472" t="inlineStr">
        <is>
          <t>1996</t>
        </is>
      </c>
      <c r="O472" t="inlineStr">
        <is>
          <t>eng</t>
        </is>
      </c>
      <c r="P472" t="inlineStr">
        <is>
          <t>mdu</t>
        </is>
      </c>
      <c r="R472" t="inlineStr">
        <is>
          <t xml:space="preserve">E  </t>
        </is>
      </c>
      <c r="S472" t="n">
        <v>1</v>
      </c>
      <c r="T472" t="n">
        <v>1</v>
      </c>
      <c r="U472" t="inlineStr">
        <is>
          <t>1998-08-04</t>
        </is>
      </c>
      <c r="V472" t="inlineStr">
        <is>
          <t>1998-08-04</t>
        </is>
      </c>
      <c r="W472" t="inlineStr">
        <is>
          <t>1996-06-17</t>
        </is>
      </c>
      <c r="X472" t="inlineStr">
        <is>
          <t>1996-06-17</t>
        </is>
      </c>
      <c r="Y472" t="n">
        <v>520</v>
      </c>
      <c r="Z472" t="n">
        <v>457</v>
      </c>
      <c r="AA472" t="n">
        <v>458</v>
      </c>
      <c r="AB472" t="n">
        <v>5</v>
      </c>
      <c r="AC472" t="n">
        <v>5</v>
      </c>
      <c r="AD472" t="n">
        <v>27</v>
      </c>
      <c r="AE472" t="n">
        <v>27</v>
      </c>
      <c r="AF472" t="n">
        <v>11</v>
      </c>
      <c r="AG472" t="n">
        <v>11</v>
      </c>
      <c r="AH472" t="n">
        <v>5</v>
      </c>
      <c r="AI472" t="n">
        <v>5</v>
      </c>
      <c r="AJ472" t="n">
        <v>15</v>
      </c>
      <c r="AK472" t="n">
        <v>15</v>
      </c>
      <c r="AL472" t="n">
        <v>4</v>
      </c>
      <c r="AM472" t="n">
        <v>4</v>
      </c>
      <c r="AN472" t="n">
        <v>0</v>
      </c>
      <c r="AO472" t="n">
        <v>0</v>
      </c>
      <c r="AP472" t="inlineStr">
        <is>
          <t>No</t>
        </is>
      </c>
      <c r="AQ472" t="inlineStr">
        <is>
          <t>Yes</t>
        </is>
      </c>
      <c r="AR472">
        <f>HYPERLINK("http://catalog.hathitrust.org/Record/003048727","HathiTrust Record")</f>
        <v/>
      </c>
      <c r="AS472">
        <f>HYPERLINK("https://creighton-primo.hosted.exlibrisgroup.com/primo-explore/search?tab=default_tab&amp;search_scope=EVERYTHING&amp;vid=01CRU&amp;lang=en_US&amp;offset=0&amp;query=any,contains,991002520209702656","Catalog Record")</f>
        <v/>
      </c>
      <c r="AT472">
        <f>HYPERLINK("http://www.worldcat.org/oclc/32779021","WorldCat Record")</f>
        <v/>
      </c>
      <c r="AU472" t="inlineStr">
        <is>
          <t>900801567:eng</t>
        </is>
      </c>
      <c r="AV472" t="inlineStr">
        <is>
          <t>32779021</t>
        </is>
      </c>
      <c r="AW472" t="inlineStr">
        <is>
          <t>991002520209702656</t>
        </is>
      </c>
      <c r="AX472" t="inlineStr">
        <is>
          <t>991002520209702656</t>
        </is>
      </c>
      <c r="AY472" t="inlineStr">
        <is>
          <t>2259780960002656</t>
        </is>
      </c>
      <c r="AZ472" t="inlineStr">
        <is>
          <t>BOOK</t>
        </is>
      </c>
      <c r="BB472" t="inlineStr">
        <is>
          <t>9780801852060</t>
        </is>
      </c>
      <c r="BC472" t="inlineStr">
        <is>
          <t>32285002193802</t>
        </is>
      </c>
      <c r="BD472" t="inlineStr">
        <is>
          <t>893898869</t>
        </is>
      </c>
    </row>
    <row r="473">
      <c r="A473" t="inlineStr">
        <is>
          <t>No</t>
        </is>
      </c>
      <c r="B473" t="inlineStr">
        <is>
          <t>E179.5 .B3</t>
        </is>
      </c>
      <c r="C473" t="inlineStr">
        <is>
          <t>0                      E  0179500B  3</t>
        </is>
      </c>
      <c r="D473" t="inlineStr">
        <is>
          <t>The American frontier : a social and literary record / [by] C. Merton Babcock.</t>
        </is>
      </c>
      <c r="F473" t="inlineStr">
        <is>
          <t>No</t>
        </is>
      </c>
      <c r="G473" t="inlineStr">
        <is>
          <t>1</t>
        </is>
      </c>
      <c r="H473" t="inlineStr">
        <is>
          <t>No</t>
        </is>
      </c>
      <c r="I473" t="inlineStr">
        <is>
          <t>No</t>
        </is>
      </c>
      <c r="J473" t="inlineStr">
        <is>
          <t>0</t>
        </is>
      </c>
      <c r="K473" t="inlineStr">
        <is>
          <t>Babcock, C. Merton, 1908-1988 editor.</t>
        </is>
      </c>
      <c r="L473" t="inlineStr">
        <is>
          <t>New York : Holt, Rinehart and Winston, [1964, c1965]</t>
        </is>
      </c>
      <c r="M473" t="inlineStr">
        <is>
          <t>1964</t>
        </is>
      </c>
      <c r="O473" t="inlineStr">
        <is>
          <t>eng</t>
        </is>
      </c>
      <c r="P473" t="inlineStr">
        <is>
          <t>nyu</t>
        </is>
      </c>
      <c r="R473" t="inlineStr">
        <is>
          <t xml:space="preserve">E  </t>
        </is>
      </c>
      <c r="S473" t="n">
        <v>2</v>
      </c>
      <c r="T473" t="n">
        <v>2</v>
      </c>
      <c r="U473" t="inlineStr">
        <is>
          <t>1998-04-16</t>
        </is>
      </c>
      <c r="V473" t="inlineStr">
        <is>
          <t>1998-04-16</t>
        </is>
      </c>
      <c r="W473" t="inlineStr">
        <is>
          <t>1991-12-13</t>
        </is>
      </c>
      <c r="X473" t="inlineStr">
        <is>
          <t>1991-12-13</t>
        </is>
      </c>
      <c r="Y473" t="n">
        <v>837</v>
      </c>
      <c r="Z473" t="n">
        <v>786</v>
      </c>
      <c r="AA473" t="n">
        <v>831</v>
      </c>
      <c r="AB473" t="n">
        <v>9</v>
      </c>
      <c r="AC473" t="n">
        <v>9</v>
      </c>
      <c r="AD473" t="n">
        <v>35</v>
      </c>
      <c r="AE473" t="n">
        <v>38</v>
      </c>
      <c r="AF473" t="n">
        <v>15</v>
      </c>
      <c r="AG473" t="n">
        <v>16</v>
      </c>
      <c r="AH473" t="n">
        <v>6</v>
      </c>
      <c r="AI473" t="n">
        <v>6</v>
      </c>
      <c r="AJ473" t="n">
        <v>13</v>
      </c>
      <c r="AK473" t="n">
        <v>15</v>
      </c>
      <c r="AL473" t="n">
        <v>8</v>
      </c>
      <c r="AM473" t="n">
        <v>8</v>
      </c>
      <c r="AN473" t="n">
        <v>0</v>
      </c>
      <c r="AO473" t="n">
        <v>0</v>
      </c>
      <c r="AP473" t="inlineStr">
        <is>
          <t>No</t>
        </is>
      </c>
      <c r="AQ473" t="inlineStr">
        <is>
          <t>Yes</t>
        </is>
      </c>
      <c r="AR473">
        <f>HYPERLINK("http://catalog.hathitrust.org/Record/000333117","HathiTrust Record")</f>
        <v/>
      </c>
      <c r="AS473">
        <f>HYPERLINK("https://creighton-primo.hosted.exlibrisgroup.com/primo-explore/search?tab=default_tab&amp;search_scope=EVERYTHING&amp;vid=01CRU&amp;lang=en_US&amp;offset=0&amp;query=any,contains,991003429899702656","Catalog Record")</f>
        <v/>
      </c>
      <c r="AT473">
        <f>HYPERLINK("http://www.worldcat.org/oclc/965343","WorldCat Record")</f>
        <v/>
      </c>
      <c r="AU473" t="inlineStr">
        <is>
          <t>1919486:eng</t>
        </is>
      </c>
      <c r="AV473" t="inlineStr">
        <is>
          <t>965343</t>
        </is>
      </c>
      <c r="AW473" t="inlineStr">
        <is>
          <t>991003429899702656</t>
        </is>
      </c>
      <c r="AX473" t="inlineStr">
        <is>
          <t>991003429899702656</t>
        </is>
      </c>
      <c r="AY473" t="inlineStr">
        <is>
          <t>2258324350002656</t>
        </is>
      </c>
      <c r="AZ473" t="inlineStr">
        <is>
          <t>BOOK</t>
        </is>
      </c>
      <c r="BC473" t="inlineStr">
        <is>
          <t>32285000877208</t>
        </is>
      </c>
      <c r="BD473" t="inlineStr">
        <is>
          <t>893228046</t>
        </is>
      </c>
    </row>
    <row r="474">
      <c r="A474" t="inlineStr">
        <is>
          <t>No</t>
        </is>
      </c>
      <c r="B474" t="inlineStr">
        <is>
          <t>E179.5 .B43 1975</t>
        </is>
      </c>
      <c r="C474" t="inlineStr">
        <is>
          <t>0                      E  0179500B  43          1975</t>
        </is>
      </c>
      <c r="D474" t="inlineStr">
        <is>
          <t>The western military frontier, 1815-1846 / Henry Putney Beers.</t>
        </is>
      </c>
      <c r="F474" t="inlineStr">
        <is>
          <t>No</t>
        </is>
      </c>
      <c r="G474" t="inlineStr">
        <is>
          <t>1</t>
        </is>
      </c>
      <c r="H474" t="inlineStr">
        <is>
          <t>No</t>
        </is>
      </c>
      <c r="I474" t="inlineStr">
        <is>
          <t>No</t>
        </is>
      </c>
      <c r="J474" t="inlineStr">
        <is>
          <t>0</t>
        </is>
      </c>
      <c r="K474" t="inlineStr">
        <is>
          <t>Beers, Henry Putney, 1907-1996.</t>
        </is>
      </c>
      <c r="L474" t="inlineStr">
        <is>
          <t>Philadelphia : Porcupine Press, 1975.</t>
        </is>
      </c>
      <c r="M474" t="inlineStr">
        <is>
          <t>1975</t>
        </is>
      </c>
      <c r="O474" t="inlineStr">
        <is>
          <t>eng</t>
        </is>
      </c>
      <c r="P474" t="inlineStr">
        <is>
          <t>pau</t>
        </is>
      </c>
      <c r="Q474" t="inlineStr">
        <is>
          <t>Perspectives in American history ; no. 35</t>
        </is>
      </c>
      <c r="R474" t="inlineStr">
        <is>
          <t xml:space="preserve">E  </t>
        </is>
      </c>
      <c r="S474" t="n">
        <v>2</v>
      </c>
      <c r="T474" t="n">
        <v>2</v>
      </c>
      <c r="U474" t="inlineStr">
        <is>
          <t>1998-03-20</t>
        </is>
      </c>
      <c r="V474" t="inlineStr">
        <is>
          <t>1998-03-20</t>
        </is>
      </c>
      <c r="W474" t="inlineStr">
        <is>
          <t>1997-04-07</t>
        </is>
      </c>
      <c r="X474" t="inlineStr">
        <is>
          <t>1997-04-07</t>
        </is>
      </c>
      <c r="Y474" t="n">
        <v>142</v>
      </c>
      <c r="Z474" t="n">
        <v>129</v>
      </c>
      <c r="AA474" t="n">
        <v>307</v>
      </c>
      <c r="AB474" t="n">
        <v>1</v>
      </c>
      <c r="AC474" t="n">
        <v>3</v>
      </c>
      <c r="AD474" t="n">
        <v>5</v>
      </c>
      <c r="AE474" t="n">
        <v>12</v>
      </c>
      <c r="AF474" t="n">
        <v>2</v>
      </c>
      <c r="AG474" t="n">
        <v>3</v>
      </c>
      <c r="AH474" t="n">
        <v>1</v>
      </c>
      <c r="AI474" t="n">
        <v>4</v>
      </c>
      <c r="AJ474" t="n">
        <v>2</v>
      </c>
      <c r="AK474" t="n">
        <v>6</v>
      </c>
      <c r="AL474" t="n">
        <v>0</v>
      </c>
      <c r="AM474" t="n">
        <v>2</v>
      </c>
      <c r="AN474" t="n">
        <v>0</v>
      </c>
      <c r="AO474" t="n">
        <v>0</v>
      </c>
      <c r="AP474" t="inlineStr">
        <is>
          <t>No</t>
        </is>
      </c>
      <c r="AQ474" t="inlineStr">
        <is>
          <t>No</t>
        </is>
      </c>
      <c r="AS474">
        <f>HYPERLINK("https://creighton-primo.hosted.exlibrisgroup.com/primo-explore/search?tab=default_tab&amp;search_scope=EVERYTHING&amp;vid=01CRU&amp;lang=en_US&amp;offset=0&amp;query=any,contains,991003843249702656","Catalog Record")</f>
        <v/>
      </c>
      <c r="AT474">
        <f>HYPERLINK("http://www.worldcat.org/oclc/1622167","WorldCat Record")</f>
        <v/>
      </c>
      <c r="AU474" t="inlineStr">
        <is>
          <t>742096366:eng</t>
        </is>
      </c>
      <c r="AV474" t="inlineStr">
        <is>
          <t>1622167</t>
        </is>
      </c>
      <c r="AW474" t="inlineStr">
        <is>
          <t>991003843249702656</t>
        </is>
      </c>
      <c r="AX474" t="inlineStr">
        <is>
          <t>991003843249702656</t>
        </is>
      </c>
      <c r="AY474" t="inlineStr">
        <is>
          <t>2270687080002656</t>
        </is>
      </c>
      <c r="AZ474" t="inlineStr">
        <is>
          <t>BOOK</t>
        </is>
      </c>
      <c r="BB474" t="inlineStr">
        <is>
          <t>9780879913595</t>
        </is>
      </c>
      <c r="BC474" t="inlineStr">
        <is>
          <t>32285002505161</t>
        </is>
      </c>
      <c r="BD474" t="inlineStr">
        <is>
          <t>893343087</t>
        </is>
      </c>
    </row>
    <row r="475">
      <c r="A475" t="inlineStr">
        <is>
          <t>No</t>
        </is>
      </c>
      <c r="B475" t="inlineStr">
        <is>
          <t>E179.5 .H56</t>
        </is>
      </c>
      <c r="C475" t="inlineStr">
        <is>
          <t>0                      E  0179500H  56</t>
        </is>
      </c>
      <c r="D475" t="inlineStr">
        <is>
          <t>Community on the American frontier : separate but not alone / by Robert V. Hine.</t>
        </is>
      </c>
      <c r="F475" t="inlineStr">
        <is>
          <t>No</t>
        </is>
      </c>
      <c r="G475" t="inlineStr">
        <is>
          <t>1</t>
        </is>
      </c>
      <c r="H475" t="inlineStr">
        <is>
          <t>No</t>
        </is>
      </c>
      <c r="I475" t="inlineStr">
        <is>
          <t>No</t>
        </is>
      </c>
      <c r="J475" t="inlineStr">
        <is>
          <t>0</t>
        </is>
      </c>
      <c r="K475" t="inlineStr">
        <is>
          <t>Hine, Robert V., 1921-2015.</t>
        </is>
      </c>
      <c r="L475" t="inlineStr">
        <is>
          <t>Norman : University of Oklahoma Press, c1980.</t>
        </is>
      </c>
      <c r="M475" t="inlineStr">
        <is>
          <t>1980</t>
        </is>
      </c>
      <c r="N475" t="inlineStr">
        <is>
          <t>1st ed.</t>
        </is>
      </c>
      <c r="O475" t="inlineStr">
        <is>
          <t>eng</t>
        </is>
      </c>
      <c r="P475" t="inlineStr">
        <is>
          <t>oku</t>
        </is>
      </c>
      <c r="R475" t="inlineStr">
        <is>
          <t xml:space="preserve">E  </t>
        </is>
      </c>
      <c r="S475" t="n">
        <v>1</v>
      </c>
      <c r="T475" t="n">
        <v>1</v>
      </c>
      <c r="U475" t="inlineStr">
        <is>
          <t>1998-04-16</t>
        </is>
      </c>
      <c r="V475" t="inlineStr">
        <is>
          <t>1998-04-16</t>
        </is>
      </c>
      <c r="W475" t="inlineStr">
        <is>
          <t>1991-01-17</t>
        </is>
      </c>
      <c r="X475" t="inlineStr">
        <is>
          <t>1991-01-17</t>
        </is>
      </c>
      <c r="Y475" t="n">
        <v>778</v>
      </c>
      <c r="Z475" t="n">
        <v>707</v>
      </c>
      <c r="AA475" t="n">
        <v>1093</v>
      </c>
      <c r="AB475" t="n">
        <v>6</v>
      </c>
      <c r="AC475" t="n">
        <v>6</v>
      </c>
      <c r="AD475" t="n">
        <v>24</v>
      </c>
      <c r="AE475" t="n">
        <v>28</v>
      </c>
      <c r="AF475" t="n">
        <v>9</v>
      </c>
      <c r="AG475" t="n">
        <v>11</v>
      </c>
      <c r="AH475" t="n">
        <v>5</v>
      </c>
      <c r="AI475" t="n">
        <v>7</v>
      </c>
      <c r="AJ475" t="n">
        <v>13</v>
      </c>
      <c r="AK475" t="n">
        <v>15</v>
      </c>
      <c r="AL475" t="n">
        <v>4</v>
      </c>
      <c r="AM475" t="n">
        <v>4</v>
      </c>
      <c r="AN475" t="n">
        <v>0</v>
      </c>
      <c r="AO475" t="n">
        <v>0</v>
      </c>
      <c r="AP475" t="inlineStr">
        <is>
          <t>No</t>
        </is>
      </c>
      <c r="AQ475" t="inlineStr">
        <is>
          <t>No</t>
        </is>
      </c>
      <c r="AS475">
        <f>HYPERLINK("https://creighton-primo.hosted.exlibrisgroup.com/primo-explore/search?tab=default_tab&amp;search_scope=EVERYTHING&amp;vid=01CRU&amp;lang=en_US&amp;offset=0&amp;query=any,contains,991004964249702656","Catalog Record")</f>
        <v/>
      </c>
      <c r="AT475">
        <f>HYPERLINK("http://www.worldcat.org/oclc/6330628","WorldCat Record")</f>
        <v/>
      </c>
      <c r="AU475" t="inlineStr">
        <is>
          <t>799790882:eng</t>
        </is>
      </c>
      <c r="AV475" t="inlineStr">
        <is>
          <t>6330628</t>
        </is>
      </c>
      <c r="AW475" t="inlineStr">
        <is>
          <t>991004964249702656</t>
        </is>
      </c>
      <c r="AX475" t="inlineStr">
        <is>
          <t>991004964249702656</t>
        </is>
      </c>
      <c r="AY475" t="inlineStr">
        <is>
          <t>2270925490002656</t>
        </is>
      </c>
      <c r="AZ475" t="inlineStr">
        <is>
          <t>BOOK</t>
        </is>
      </c>
      <c r="BB475" t="inlineStr">
        <is>
          <t>9780806116785</t>
        </is>
      </c>
      <c r="BC475" t="inlineStr">
        <is>
          <t>32285000480409</t>
        </is>
      </c>
      <c r="BD475" t="inlineStr">
        <is>
          <t>893776636</t>
        </is>
      </c>
    </row>
    <row r="476">
      <c r="A476" t="inlineStr">
        <is>
          <t>No</t>
        </is>
      </c>
      <c r="B476" t="inlineStr">
        <is>
          <t>E179.5 .M397 1978</t>
        </is>
      </c>
      <c r="C476" t="inlineStr">
        <is>
          <t>0                      E  0179500M  397         1978</t>
        </is>
      </c>
      <c r="D476" t="inlineStr">
        <is>
          <t>History of the westward movement / Frederick Merk. --</t>
        </is>
      </c>
      <c r="F476" t="inlineStr">
        <is>
          <t>No</t>
        </is>
      </c>
      <c r="G476" t="inlineStr">
        <is>
          <t>1</t>
        </is>
      </c>
      <c r="H476" t="inlineStr">
        <is>
          <t>No</t>
        </is>
      </c>
      <c r="I476" t="inlineStr">
        <is>
          <t>No</t>
        </is>
      </c>
      <c r="J476" t="inlineStr">
        <is>
          <t>0</t>
        </is>
      </c>
      <c r="K476" t="inlineStr">
        <is>
          <t>Merk, Frederick, 1887-1977.</t>
        </is>
      </c>
      <c r="L476" t="inlineStr">
        <is>
          <t>New York : Knopf, 1978.</t>
        </is>
      </c>
      <c r="M476" t="inlineStr">
        <is>
          <t>1978</t>
        </is>
      </c>
      <c r="N476" t="inlineStr">
        <is>
          <t>1st ed.</t>
        </is>
      </c>
      <c r="O476" t="inlineStr">
        <is>
          <t>eng</t>
        </is>
      </c>
      <c r="P476" t="inlineStr">
        <is>
          <t>nyu</t>
        </is>
      </c>
      <c r="R476" t="inlineStr">
        <is>
          <t xml:space="preserve">E  </t>
        </is>
      </c>
      <c r="S476" t="n">
        <v>1</v>
      </c>
      <c r="T476" t="n">
        <v>1</v>
      </c>
      <c r="U476" t="inlineStr">
        <is>
          <t>1993-02-23</t>
        </is>
      </c>
      <c r="V476" t="inlineStr">
        <is>
          <t>1993-02-23</t>
        </is>
      </c>
      <c r="W476" t="inlineStr">
        <is>
          <t>1991-01-17</t>
        </is>
      </c>
      <c r="X476" t="inlineStr">
        <is>
          <t>1991-01-17</t>
        </is>
      </c>
      <c r="Y476" t="n">
        <v>1548</v>
      </c>
      <c r="Z476" t="n">
        <v>1440</v>
      </c>
      <c r="AA476" t="n">
        <v>1463</v>
      </c>
      <c r="AB476" t="n">
        <v>21</v>
      </c>
      <c r="AC476" t="n">
        <v>21</v>
      </c>
      <c r="AD476" t="n">
        <v>46</v>
      </c>
      <c r="AE476" t="n">
        <v>46</v>
      </c>
      <c r="AF476" t="n">
        <v>14</v>
      </c>
      <c r="AG476" t="n">
        <v>14</v>
      </c>
      <c r="AH476" t="n">
        <v>7</v>
      </c>
      <c r="AI476" t="n">
        <v>7</v>
      </c>
      <c r="AJ476" t="n">
        <v>19</v>
      </c>
      <c r="AK476" t="n">
        <v>19</v>
      </c>
      <c r="AL476" t="n">
        <v>11</v>
      </c>
      <c r="AM476" t="n">
        <v>11</v>
      </c>
      <c r="AN476" t="n">
        <v>2</v>
      </c>
      <c r="AO476" t="n">
        <v>2</v>
      </c>
      <c r="AP476" t="inlineStr">
        <is>
          <t>No</t>
        </is>
      </c>
      <c r="AQ476" t="inlineStr">
        <is>
          <t>Yes</t>
        </is>
      </c>
      <c r="AR476">
        <f>HYPERLINK("http://catalog.hathitrust.org/Record/000088533","HathiTrust Record")</f>
        <v/>
      </c>
      <c r="AS476">
        <f>HYPERLINK("https://creighton-primo.hosted.exlibrisgroup.com/primo-explore/search?tab=default_tab&amp;search_scope=EVERYTHING&amp;vid=01CRU&amp;lang=en_US&amp;offset=0&amp;query=any,contains,991004452949702656","Catalog Record")</f>
        <v/>
      </c>
      <c r="AT476">
        <f>HYPERLINK("http://www.worldcat.org/oclc/3516560","WorldCat Record")</f>
        <v/>
      </c>
      <c r="AU476" t="inlineStr">
        <is>
          <t>117257774:eng</t>
        </is>
      </c>
      <c r="AV476" t="inlineStr">
        <is>
          <t>3516560</t>
        </is>
      </c>
      <c r="AW476" t="inlineStr">
        <is>
          <t>991004452949702656</t>
        </is>
      </c>
      <c r="AX476" t="inlineStr">
        <is>
          <t>991004452949702656</t>
        </is>
      </c>
      <c r="AY476" t="inlineStr">
        <is>
          <t>2272473590002656</t>
        </is>
      </c>
      <c r="AZ476" t="inlineStr">
        <is>
          <t>BOOK</t>
        </is>
      </c>
      <c r="BB476" t="inlineStr">
        <is>
          <t>9780394411750</t>
        </is>
      </c>
      <c r="BC476" t="inlineStr">
        <is>
          <t>32285000480425</t>
        </is>
      </c>
      <c r="BD476" t="inlineStr">
        <is>
          <t>893423814</t>
        </is>
      </c>
    </row>
    <row r="477">
      <c r="A477" t="inlineStr">
        <is>
          <t>No</t>
        </is>
      </c>
      <c r="B477" t="inlineStr">
        <is>
          <t>E179.5 .V32 1965</t>
        </is>
      </c>
      <c r="C477" t="inlineStr">
        <is>
          <t>0                      E  0179500V  32          1965</t>
        </is>
      </c>
      <c r="D477" t="inlineStr">
        <is>
          <t>The rising American empire.</t>
        </is>
      </c>
      <c r="F477" t="inlineStr">
        <is>
          <t>No</t>
        </is>
      </c>
      <c r="G477" t="inlineStr">
        <is>
          <t>1</t>
        </is>
      </c>
      <c r="H477" t="inlineStr">
        <is>
          <t>No</t>
        </is>
      </c>
      <c r="I477" t="inlineStr">
        <is>
          <t>No</t>
        </is>
      </c>
      <c r="J477" t="inlineStr">
        <is>
          <t>0</t>
        </is>
      </c>
      <c r="K477" t="inlineStr">
        <is>
          <t>Van Alstyne, Richard Warner, 1900-</t>
        </is>
      </c>
      <c r="L477" t="inlineStr">
        <is>
          <t>Chicago, Quadrangle Books [1965, c1960]</t>
        </is>
      </c>
      <c r="M477" t="inlineStr">
        <is>
          <t>1965</t>
        </is>
      </c>
      <c r="O477" t="inlineStr">
        <is>
          <t>eng</t>
        </is>
      </c>
      <c r="P477" t="inlineStr">
        <is>
          <t xml:space="preserve">xx </t>
        </is>
      </c>
      <c r="Q477" t="inlineStr">
        <is>
          <t>Quadrangle paperbacks</t>
        </is>
      </c>
      <c r="R477" t="inlineStr">
        <is>
          <t xml:space="preserve">E  </t>
        </is>
      </c>
      <c r="S477" t="n">
        <v>4</v>
      </c>
      <c r="T477" t="n">
        <v>4</v>
      </c>
      <c r="U477" t="inlineStr">
        <is>
          <t>1997-02-01</t>
        </is>
      </c>
      <c r="V477" t="inlineStr">
        <is>
          <t>1997-02-01</t>
        </is>
      </c>
      <c r="W477" t="inlineStr">
        <is>
          <t>1996-08-14</t>
        </is>
      </c>
      <c r="X477" t="inlineStr">
        <is>
          <t>1996-08-14</t>
        </is>
      </c>
      <c r="Y477" t="n">
        <v>199</v>
      </c>
      <c r="Z477" t="n">
        <v>180</v>
      </c>
      <c r="AA477" t="n">
        <v>916</v>
      </c>
      <c r="AB477" t="n">
        <v>5</v>
      </c>
      <c r="AC477" t="n">
        <v>10</v>
      </c>
      <c r="AD477" t="n">
        <v>7</v>
      </c>
      <c r="AE477" t="n">
        <v>44</v>
      </c>
      <c r="AF477" t="n">
        <v>1</v>
      </c>
      <c r="AG477" t="n">
        <v>18</v>
      </c>
      <c r="AH477" t="n">
        <v>1</v>
      </c>
      <c r="AI477" t="n">
        <v>9</v>
      </c>
      <c r="AJ477" t="n">
        <v>3</v>
      </c>
      <c r="AK477" t="n">
        <v>20</v>
      </c>
      <c r="AL477" t="n">
        <v>4</v>
      </c>
      <c r="AM477" t="n">
        <v>9</v>
      </c>
      <c r="AN477" t="n">
        <v>0</v>
      </c>
      <c r="AO477" t="n">
        <v>0</v>
      </c>
      <c r="AP477" t="inlineStr">
        <is>
          <t>No</t>
        </is>
      </c>
      <c r="AQ477" t="inlineStr">
        <is>
          <t>Yes</t>
        </is>
      </c>
      <c r="AR477">
        <f>HYPERLINK("http://catalog.hathitrust.org/Record/102074110","HathiTrust Record")</f>
        <v/>
      </c>
      <c r="AS477">
        <f>HYPERLINK("https://creighton-primo.hosted.exlibrisgroup.com/primo-explore/search?tab=default_tab&amp;search_scope=EVERYTHING&amp;vid=01CRU&amp;lang=en_US&amp;offset=0&amp;query=any,contains,991003236329702656","Catalog Record")</f>
        <v/>
      </c>
      <c r="AT477">
        <f>HYPERLINK("http://www.worldcat.org/oclc/760868","WorldCat Record")</f>
        <v/>
      </c>
      <c r="AU477" t="inlineStr">
        <is>
          <t>459494:eng</t>
        </is>
      </c>
      <c r="AV477" t="inlineStr">
        <is>
          <t>760868</t>
        </is>
      </c>
      <c r="AW477" t="inlineStr">
        <is>
          <t>991003236329702656</t>
        </is>
      </c>
      <c r="AX477" t="inlineStr">
        <is>
          <t>991003236329702656</t>
        </is>
      </c>
      <c r="AY477" t="inlineStr">
        <is>
          <t>2264377880002656</t>
        </is>
      </c>
      <c r="AZ477" t="inlineStr">
        <is>
          <t>BOOK</t>
        </is>
      </c>
      <c r="BC477" t="inlineStr">
        <is>
          <t>32285002280971</t>
        </is>
      </c>
      <c r="BD477" t="inlineStr">
        <is>
          <t>893698791</t>
        </is>
      </c>
    </row>
    <row r="478">
      <c r="A478" t="inlineStr">
        <is>
          <t>No</t>
        </is>
      </c>
      <c r="B478" t="inlineStr">
        <is>
          <t>E179.5 .W48 1970b</t>
        </is>
      </c>
      <c r="C478" t="inlineStr">
        <is>
          <t>0                      E  0179500W  48          1970b</t>
        </is>
      </c>
      <c r="D478" t="inlineStr">
        <is>
          <t>Guarding the frontier; a study of frontier defense from 1815 to 1825.</t>
        </is>
      </c>
      <c r="F478" t="inlineStr">
        <is>
          <t>No</t>
        </is>
      </c>
      <c r="G478" t="inlineStr">
        <is>
          <t>1</t>
        </is>
      </c>
      <c r="H478" t="inlineStr">
        <is>
          <t>No</t>
        </is>
      </c>
      <c r="I478" t="inlineStr">
        <is>
          <t>No</t>
        </is>
      </c>
      <c r="J478" t="inlineStr">
        <is>
          <t>0</t>
        </is>
      </c>
      <c r="K478" t="inlineStr">
        <is>
          <t>Wesley, Edgar Bruce, 1891-1980.</t>
        </is>
      </c>
      <c r="L478" t="inlineStr">
        <is>
          <t>Westport, Conn., Greenwood Press [1970]</t>
        </is>
      </c>
      <c r="M478" t="inlineStr">
        <is>
          <t>1970</t>
        </is>
      </c>
      <c r="O478" t="inlineStr">
        <is>
          <t>eng</t>
        </is>
      </c>
      <c r="P478" t="inlineStr">
        <is>
          <t>ctu</t>
        </is>
      </c>
      <c r="R478" t="inlineStr">
        <is>
          <t xml:space="preserve">E  </t>
        </is>
      </c>
      <c r="S478" t="n">
        <v>0</v>
      </c>
      <c r="T478" t="n">
        <v>0</v>
      </c>
      <c r="U478" t="inlineStr">
        <is>
          <t>2000-11-02</t>
        </is>
      </c>
      <c r="V478" t="inlineStr">
        <is>
          <t>2000-11-02</t>
        </is>
      </c>
      <c r="W478" t="inlineStr">
        <is>
          <t>1997-04-07</t>
        </is>
      </c>
      <c r="X478" t="inlineStr">
        <is>
          <t>1997-04-07</t>
        </is>
      </c>
      <c r="Y478" t="n">
        <v>119</v>
      </c>
      <c r="Z478" t="n">
        <v>108</v>
      </c>
      <c r="AA478" t="n">
        <v>545</v>
      </c>
      <c r="AB478" t="n">
        <v>2</v>
      </c>
      <c r="AC478" t="n">
        <v>3</v>
      </c>
      <c r="AD478" t="n">
        <v>4</v>
      </c>
      <c r="AE478" t="n">
        <v>24</v>
      </c>
      <c r="AF478" t="n">
        <v>1</v>
      </c>
      <c r="AG478" t="n">
        <v>10</v>
      </c>
      <c r="AH478" t="n">
        <v>1</v>
      </c>
      <c r="AI478" t="n">
        <v>7</v>
      </c>
      <c r="AJ478" t="n">
        <v>3</v>
      </c>
      <c r="AK478" t="n">
        <v>13</v>
      </c>
      <c r="AL478" t="n">
        <v>1</v>
      </c>
      <c r="AM478" t="n">
        <v>2</v>
      </c>
      <c r="AN478" t="n">
        <v>0</v>
      </c>
      <c r="AO478" t="n">
        <v>0</v>
      </c>
      <c r="AP478" t="inlineStr">
        <is>
          <t>No</t>
        </is>
      </c>
      <c r="AQ478" t="inlineStr">
        <is>
          <t>No</t>
        </is>
      </c>
      <c r="AS478">
        <f>HYPERLINK("https://creighton-primo.hosted.exlibrisgroup.com/primo-explore/search?tab=default_tab&amp;search_scope=EVERYTHING&amp;vid=01CRU&amp;lang=en_US&amp;offset=0&amp;query=any,contains,991000781089702656","Catalog Record")</f>
        <v/>
      </c>
      <c r="AT478">
        <f>HYPERLINK("http://www.worldcat.org/oclc/134989","WorldCat Record")</f>
        <v/>
      </c>
      <c r="AU478" t="inlineStr">
        <is>
          <t>48353345:eng</t>
        </is>
      </c>
      <c r="AV478" t="inlineStr">
        <is>
          <t>134989</t>
        </is>
      </c>
      <c r="AW478" t="inlineStr">
        <is>
          <t>991000781089702656</t>
        </is>
      </c>
      <c r="AX478" t="inlineStr">
        <is>
          <t>991000781089702656</t>
        </is>
      </c>
      <c r="AY478" t="inlineStr">
        <is>
          <t>2263316800002656</t>
        </is>
      </c>
      <c r="AZ478" t="inlineStr">
        <is>
          <t>BOOK</t>
        </is>
      </c>
      <c r="BB478" t="inlineStr">
        <is>
          <t>9780837145679</t>
        </is>
      </c>
      <c r="BC478" t="inlineStr">
        <is>
          <t>32285002505336</t>
        </is>
      </c>
      <c r="BD478" t="inlineStr">
        <is>
          <t>893878345</t>
        </is>
      </c>
    </row>
    <row r="479">
      <c r="A479" t="inlineStr">
        <is>
          <t>No</t>
        </is>
      </c>
      <c r="B479" t="inlineStr">
        <is>
          <t>E179.5 .W5</t>
        </is>
      </c>
      <c r="C479" t="inlineStr">
        <is>
          <t>0                      E  0179500W  5</t>
        </is>
      </c>
      <c r="D479" t="inlineStr">
        <is>
          <t>Racism in U.S. imperialism; the influence of racial assumptions on American foreign policy, 1893-1946.</t>
        </is>
      </c>
      <c r="F479" t="inlineStr">
        <is>
          <t>No</t>
        </is>
      </c>
      <c r="G479" t="inlineStr">
        <is>
          <t>1</t>
        </is>
      </c>
      <c r="H479" t="inlineStr">
        <is>
          <t>No</t>
        </is>
      </c>
      <c r="I479" t="inlineStr">
        <is>
          <t>No</t>
        </is>
      </c>
      <c r="J479" t="inlineStr">
        <is>
          <t>0</t>
        </is>
      </c>
      <c r="K479" t="inlineStr">
        <is>
          <t>Weston, Rubin Francis.</t>
        </is>
      </c>
      <c r="L479" t="inlineStr">
        <is>
          <t>Columbia, University of South Carolina Press [1972]</t>
        </is>
      </c>
      <c r="M479" t="inlineStr">
        <is>
          <t>1972</t>
        </is>
      </c>
      <c r="N479" t="inlineStr">
        <is>
          <t>[1st ed.]</t>
        </is>
      </c>
      <c r="O479" t="inlineStr">
        <is>
          <t>eng</t>
        </is>
      </c>
      <c r="P479" t="inlineStr">
        <is>
          <t>scu</t>
        </is>
      </c>
      <c r="R479" t="inlineStr">
        <is>
          <t xml:space="preserve">E  </t>
        </is>
      </c>
      <c r="S479" t="n">
        <v>5</v>
      </c>
      <c r="T479" t="n">
        <v>5</v>
      </c>
      <c r="U479" t="inlineStr">
        <is>
          <t>1999-03-27</t>
        </is>
      </c>
      <c r="V479" t="inlineStr">
        <is>
          <t>1999-03-27</t>
        </is>
      </c>
      <c r="W479" t="inlineStr">
        <is>
          <t>1997-04-07</t>
        </is>
      </c>
      <c r="X479" t="inlineStr">
        <is>
          <t>1997-04-07</t>
        </is>
      </c>
      <c r="Y479" t="n">
        <v>787</v>
      </c>
      <c r="Z479" t="n">
        <v>688</v>
      </c>
      <c r="AA479" t="n">
        <v>707</v>
      </c>
      <c r="AB479" t="n">
        <v>6</v>
      </c>
      <c r="AC479" t="n">
        <v>6</v>
      </c>
      <c r="AD479" t="n">
        <v>30</v>
      </c>
      <c r="AE479" t="n">
        <v>30</v>
      </c>
      <c r="AF479" t="n">
        <v>11</v>
      </c>
      <c r="AG479" t="n">
        <v>11</v>
      </c>
      <c r="AH479" t="n">
        <v>7</v>
      </c>
      <c r="AI479" t="n">
        <v>7</v>
      </c>
      <c r="AJ479" t="n">
        <v>14</v>
      </c>
      <c r="AK479" t="n">
        <v>14</v>
      </c>
      <c r="AL479" t="n">
        <v>5</v>
      </c>
      <c r="AM479" t="n">
        <v>5</v>
      </c>
      <c r="AN479" t="n">
        <v>0</v>
      </c>
      <c r="AO479" t="n">
        <v>0</v>
      </c>
      <c r="AP479" t="inlineStr">
        <is>
          <t>No</t>
        </is>
      </c>
      <c r="AQ479" t="inlineStr">
        <is>
          <t>No</t>
        </is>
      </c>
      <c r="AS479">
        <f>HYPERLINK("https://creighton-primo.hosted.exlibrisgroup.com/primo-explore/search?tab=default_tab&amp;search_scope=EVERYTHING&amp;vid=01CRU&amp;lang=en_US&amp;offset=0&amp;query=any,contains,991002172589702656","Catalog Record")</f>
        <v/>
      </c>
      <c r="AT479">
        <f>HYPERLINK("http://www.worldcat.org/oclc/277204","WorldCat Record")</f>
        <v/>
      </c>
      <c r="AU479" t="inlineStr">
        <is>
          <t>519816:eng</t>
        </is>
      </c>
      <c r="AV479" t="inlineStr">
        <is>
          <t>277204</t>
        </is>
      </c>
      <c r="AW479" t="inlineStr">
        <is>
          <t>991002172589702656</t>
        </is>
      </c>
      <c r="AX479" t="inlineStr">
        <is>
          <t>991002172589702656</t>
        </is>
      </c>
      <c r="AY479" t="inlineStr">
        <is>
          <t>2260234560002656</t>
        </is>
      </c>
      <c r="AZ479" t="inlineStr">
        <is>
          <t>BOOK</t>
        </is>
      </c>
      <c r="BB479" t="inlineStr">
        <is>
          <t>9780872492196</t>
        </is>
      </c>
      <c r="BC479" t="inlineStr">
        <is>
          <t>32285002505344</t>
        </is>
      </c>
      <c r="BD479" t="inlineStr">
        <is>
          <t>893697436</t>
        </is>
      </c>
    </row>
    <row r="480">
      <c r="A480" t="inlineStr">
        <is>
          <t>No</t>
        </is>
      </c>
      <c r="B480" t="inlineStr">
        <is>
          <t>E179.5.T96 W5</t>
        </is>
      </c>
      <c r="C480" t="inlineStr">
        <is>
          <t>0                      E  0179500T  96                 W  5</t>
        </is>
      </c>
      <c r="D480" t="inlineStr">
        <is>
          <t>Wisconsin witness to Frederick Jackson Turner; a collection of essays on the historian and the thesis. Compiled by O. Lawrence Burnette, Jr.</t>
        </is>
      </c>
      <c r="F480" t="inlineStr">
        <is>
          <t>No</t>
        </is>
      </c>
      <c r="G480" t="inlineStr">
        <is>
          <t>1</t>
        </is>
      </c>
      <c r="H480" t="inlineStr">
        <is>
          <t>No</t>
        </is>
      </c>
      <c r="I480" t="inlineStr">
        <is>
          <t>No</t>
        </is>
      </c>
      <c r="J480" t="inlineStr">
        <is>
          <t>0</t>
        </is>
      </c>
      <c r="K480" t="inlineStr">
        <is>
          <t>State Historical Society of Wisconsin.</t>
        </is>
      </c>
      <c r="M480" t="inlineStr">
        <is>
          <t>1961</t>
        </is>
      </c>
      <c r="O480" t="inlineStr">
        <is>
          <t>eng</t>
        </is>
      </c>
      <c r="P480" t="inlineStr">
        <is>
          <t>wiu</t>
        </is>
      </c>
      <c r="R480" t="inlineStr">
        <is>
          <t xml:space="preserve">E  </t>
        </is>
      </c>
      <c r="S480" t="n">
        <v>4</v>
      </c>
      <c r="T480" t="n">
        <v>4</v>
      </c>
      <c r="U480" t="inlineStr">
        <is>
          <t>2000-09-18</t>
        </is>
      </c>
      <c r="V480" t="inlineStr">
        <is>
          <t>2000-09-18</t>
        </is>
      </c>
      <c r="W480" t="inlineStr">
        <is>
          <t>1997-04-07</t>
        </is>
      </c>
      <c r="X480" t="inlineStr">
        <is>
          <t>1997-04-07</t>
        </is>
      </c>
      <c r="Y480" t="n">
        <v>344</v>
      </c>
      <c r="Z480" t="n">
        <v>312</v>
      </c>
      <c r="AA480" t="n">
        <v>320</v>
      </c>
      <c r="AB480" t="n">
        <v>3</v>
      </c>
      <c r="AC480" t="n">
        <v>3</v>
      </c>
      <c r="AD480" t="n">
        <v>11</v>
      </c>
      <c r="AE480" t="n">
        <v>11</v>
      </c>
      <c r="AF480" t="n">
        <v>2</v>
      </c>
      <c r="AG480" t="n">
        <v>2</v>
      </c>
      <c r="AH480" t="n">
        <v>3</v>
      </c>
      <c r="AI480" t="n">
        <v>3</v>
      </c>
      <c r="AJ480" t="n">
        <v>6</v>
      </c>
      <c r="AK480" t="n">
        <v>6</v>
      </c>
      <c r="AL480" t="n">
        <v>2</v>
      </c>
      <c r="AM480" t="n">
        <v>2</v>
      </c>
      <c r="AN480" t="n">
        <v>0</v>
      </c>
      <c r="AO480" t="n">
        <v>0</v>
      </c>
      <c r="AP480" t="inlineStr">
        <is>
          <t>No</t>
        </is>
      </c>
      <c r="AQ480" t="inlineStr">
        <is>
          <t>Yes</t>
        </is>
      </c>
      <c r="AR480">
        <f>HYPERLINK("http://catalog.hathitrust.org/Record/000330960","HathiTrust Record")</f>
        <v/>
      </c>
      <c r="AS480">
        <f>HYPERLINK("https://creighton-primo.hosted.exlibrisgroup.com/primo-explore/search?tab=default_tab&amp;search_scope=EVERYTHING&amp;vid=01CRU&amp;lang=en_US&amp;offset=0&amp;query=any,contains,991002746459702656","Catalog Record")</f>
        <v/>
      </c>
      <c r="AT480">
        <f>HYPERLINK("http://www.worldcat.org/oclc/422939","WorldCat Record")</f>
        <v/>
      </c>
      <c r="AU480" t="inlineStr">
        <is>
          <t>1510532:eng</t>
        </is>
      </c>
      <c r="AV480" t="inlineStr">
        <is>
          <t>422939</t>
        </is>
      </c>
      <c r="AW480" t="inlineStr">
        <is>
          <t>991002746459702656</t>
        </is>
      </c>
      <c r="AX480" t="inlineStr">
        <is>
          <t>991002746459702656</t>
        </is>
      </c>
      <c r="AY480" t="inlineStr">
        <is>
          <t>2267043470002656</t>
        </is>
      </c>
      <c r="AZ480" t="inlineStr">
        <is>
          <t>BOOK</t>
        </is>
      </c>
      <c r="BC480" t="inlineStr">
        <is>
          <t>32285002505328</t>
        </is>
      </c>
      <c r="BD480" t="inlineStr">
        <is>
          <t>893239441</t>
        </is>
      </c>
    </row>
    <row r="481">
      <c r="A481" t="inlineStr">
        <is>
          <t>No</t>
        </is>
      </c>
      <c r="B481" t="inlineStr">
        <is>
          <t>E18 .B7</t>
        </is>
      </c>
      <c r="C481" t="inlineStr">
        <is>
          <t>0                      E  0018000B  7</t>
        </is>
      </c>
      <c r="D481" t="inlineStr">
        <is>
          <t>History of the Americas; a syllabus with maps, by Herbert Eugene Bolton ...</t>
        </is>
      </c>
      <c r="F481" t="inlineStr">
        <is>
          <t>No</t>
        </is>
      </c>
      <c r="G481" t="inlineStr">
        <is>
          <t>1</t>
        </is>
      </c>
      <c r="H481" t="inlineStr">
        <is>
          <t>No</t>
        </is>
      </c>
      <c r="I481" t="inlineStr">
        <is>
          <t>No</t>
        </is>
      </c>
      <c r="J481" t="inlineStr">
        <is>
          <t>0</t>
        </is>
      </c>
      <c r="K481" t="inlineStr">
        <is>
          <t>Bolton, Herbert Eugene, 1870-1953.</t>
        </is>
      </c>
      <c r="L481" t="inlineStr">
        <is>
          <t>Boston, Ginn [c1928]</t>
        </is>
      </c>
      <c r="M481" t="inlineStr">
        <is>
          <t>1928</t>
        </is>
      </c>
      <c r="O481" t="inlineStr">
        <is>
          <t>eng</t>
        </is>
      </c>
      <c r="P481" t="inlineStr">
        <is>
          <t xml:space="preserve">ma </t>
        </is>
      </c>
      <c r="R481" t="inlineStr">
        <is>
          <t xml:space="preserve">E  </t>
        </is>
      </c>
      <c r="S481" t="n">
        <v>1</v>
      </c>
      <c r="T481" t="n">
        <v>1</v>
      </c>
      <c r="U481" t="inlineStr">
        <is>
          <t>2003-11-04</t>
        </is>
      </c>
      <c r="V481" t="inlineStr">
        <is>
          <t>2003-11-04</t>
        </is>
      </c>
      <c r="W481" t="inlineStr">
        <is>
          <t>1996-08-13</t>
        </is>
      </c>
      <c r="X481" t="inlineStr">
        <is>
          <t>1996-08-13</t>
        </is>
      </c>
      <c r="Y481" t="n">
        <v>228</v>
      </c>
      <c r="Z481" t="n">
        <v>206</v>
      </c>
      <c r="AA481" t="n">
        <v>419</v>
      </c>
      <c r="AB481" t="n">
        <v>2</v>
      </c>
      <c r="AC481" t="n">
        <v>2</v>
      </c>
      <c r="AD481" t="n">
        <v>12</v>
      </c>
      <c r="AE481" t="n">
        <v>25</v>
      </c>
      <c r="AF481" t="n">
        <v>4</v>
      </c>
      <c r="AG481" t="n">
        <v>9</v>
      </c>
      <c r="AH481" t="n">
        <v>3</v>
      </c>
      <c r="AI481" t="n">
        <v>7</v>
      </c>
      <c r="AJ481" t="n">
        <v>7</v>
      </c>
      <c r="AK481" t="n">
        <v>15</v>
      </c>
      <c r="AL481" t="n">
        <v>1</v>
      </c>
      <c r="AM481" t="n">
        <v>1</v>
      </c>
      <c r="AN481" t="n">
        <v>0</v>
      </c>
      <c r="AO481" t="n">
        <v>0</v>
      </c>
      <c r="AP481" t="inlineStr">
        <is>
          <t>No</t>
        </is>
      </c>
      <c r="AQ481" t="inlineStr">
        <is>
          <t>No</t>
        </is>
      </c>
      <c r="AR481">
        <f>HYPERLINK("http://catalog.hathitrust.org/Record/006577429","HathiTrust Record")</f>
        <v/>
      </c>
      <c r="AS481">
        <f>HYPERLINK("https://creighton-primo.hosted.exlibrisgroup.com/primo-explore/search?tab=default_tab&amp;search_scope=EVERYTHING&amp;vid=01CRU&amp;lang=en_US&amp;offset=0&amp;query=any,contains,991004012399702656","Catalog Record")</f>
        <v/>
      </c>
      <c r="AT481">
        <f>HYPERLINK("http://www.worldcat.org/oclc/2094619","WorldCat Record")</f>
        <v/>
      </c>
      <c r="AU481" t="inlineStr">
        <is>
          <t>500206:eng</t>
        </is>
      </c>
      <c r="AV481" t="inlineStr">
        <is>
          <t>2094619</t>
        </is>
      </c>
      <c r="AW481" t="inlineStr">
        <is>
          <t>991004012399702656</t>
        </is>
      </c>
      <c r="AX481" t="inlineStr">
        <is>
          <t>991004012399702656</t>
        </is>
      </c>
      <c r="AY481" t="inlineStr">
        <is>
          <t>2268187080002656</t>
        </is>
      </c>
      <c r="AZ481" t="inlineStr">
        <is>
          <t>BOOK</t>
        </is>
      </c>
      <c r="BC481" t="inlineStr">
        <is>
          <t>32285002280385</t>
        </is>
      </c>
      <c r="BD481" t="inlineStr">
        <is>
          <t>893800475</t>
        </is>
      </c>
    </row>
    <row r="482">
      <c r="A482" t="inlineStr">
        <is>
          <t>No</t>
        </is>
      </c>
      <c r="B482" t="inlineStr">
        <is>
          <t>E18 .F39 2003</t>
        </is>
      </c>
      <c r="C482" t="inlineStr">
        <is>
          <t>0                      E  0018000F  39          2003</t>
        </is>
      </c>
      <c r="D482" t="inlineStr">
        <is>
          <t>The Americas : a hemispheric history / Felipe Fernández-Armesto.</t>
        </is>
      </c>
      <c r="F482" t="inlineStr">
        <is>
          <t>No</t>
        </is>
      </c>
      <c r="G482" t="inlineStr">
        <is>
          <t>1</t>
        </is>
      </c>
      <c r="H482" t="inlineStr">
        <is>
          <t>No</t>
        </is>
      </c>
      <c r="I482" t="inlineStr">
        <is>
          <t>No</t>
        </is>
      </c>
      <c r="J482" t="inlineStr">
        <is>
          <t>0</t>
        </is>
      </c>
      <c r="K482" t="inlineStr">
        <is>
          <t>Fernández-Armesto, Felipe.</t>
        </is>
      </c>
      <c r="L482" t="inlineStr">
        <is>
          <t>New York : Modern Library, 2003.</t>
        </is>
      </c>
      <c r="M482" t="inlineStr">
        <is>
          <t>2003</t>
        </is>
      </c>
      <c r="O482" t="inlineStr">
        <is>
          <t>eng</t>
        </is>
      </c>
      <c r="P482" t="inlineStr">
        <is>
          <t>nyu</t>
        </is>
      </c>
      <c r="Q482" t="inlineStr">
        <is>
          <t>A Modern Library chronicles book ; 13</t>
        </is>
      </c>
      <c r="R482" t="inlineStr">
        <is>
          <t xml:space="preserve">E  </t>
        </is>
      </c>
      <c r="S482" t="n">
        <v>4</v>
      </c>
      <c r="T482" t="n">
        <v>4</v>
      </c>
      <c r="U482" t="inlineStr">
        <is>
          <t>2004-10-14</t>
        </is>
      </c>
      <c r="V482" t="inlineStr">
        <is>
          <t>2004-10-14</t>
        </is>
      </c>
      <c r="W482" t="inlineStr">
        <is>
          <t>2003-06-10</t>
        </is>
      </c>
      <c r="X482" t="inlineStr">
        <is>
          <t>2003-06-10</t>
        </is>
      </c>
      <c r="Y482" t="n">
        <v>775</v>
      </c>
      <c r="Z482" t="n">
        <v>703</v>
      </c>
      <c r="AA482" t="n">
        <v>817</v>
      </c>
      <c r="AB482" t="n">
        <v>7</v>
      </c>
      <c r="AC482" t="n">
        <v>8</v>
      </c>
      <c r="AD482" t="n">
        <v>28</v>
      </c>
      <c r="AE482" t="n">
        <v>29</v>
      </c>
      <c r="AF482" t="n">
        <v>9</v>
      </c>
      <c r="AG482" t="n">
        <v>10</v>
      </c>
      <c r="AH482" t="n">
        <v>5</v>
      </c>
      <c r="AI482" t="n">
        <v>5</v>
      </c>
      <c r="AJ482" t="n">
        <v>14</v>
      </c>
      <c r="AK482" t="n">
        <v>15</v>
      </c>
      <c r="AL482" t="n">
        <v>6</v>
      </c>
      <c r="AM482" t="n">
        <v>6</v>
      </c>
      <c r="AN482" t="n">
        <v>0</v>
      </c>
      <c r="AO482" t="n">
        <v>0</v>
      </c>
      <c r="AP482" t="inlineStr">
        <is>
          <t>No</t>
        </is>
      </c>
      <c r="AQ482" t="inlineStr">
        <is>
          <t>Yes</t>
        </is>
      </c>
      <c r="AR482">
        <f>HYPERLINK("http://catalog.hathitrust.org/Record/004322259","HathiTrust Record")</f>
        <v/>
      </c>
      <c r="AS482">
        <f>HYPERLINK("https://creighton-primo.hosted.exlibrisgroup.com/primo-explore/search?tab=default_tab&amp;search_scope=EVERYTHING&amp;vid=01CRU&amp;lang=en_US&amp;offset=0&amp;query=any,contains,991004057979702656","Catalog Record")</f>
        <v/>
      </c>
      <c r="AT482">
        <f>HYPERLINK("http://www.worldcat.org/oclc/50774345","WorldCat Record")</f>
        <v/>
      </c>
      <c r="AU482" t="inlineStr">
        <is>
          <t>793977195:eng</t>
        </is>
      </c>
      <c r="AV482" t="inlineStr">
        <is>
          <t>50774345</t>
        </is>
      </c>
      <c r="AW482" t="inlineStr">
        <is>
          <t>991004057979702656</t>
        </is>
      </c>
      <c r="AX482" t="inlineStr">
        <is>
          <t>991004057979702656</t>
        </is>
      </c>
      <c r="AY482" t="inlineStr">
        <is>
          <t>2263645780002656</t>
        </is>
      </c>
      <c r="AZ482" t="inlineStr">
        <is>
          <t>BOOK</t>
        </is>
      </c>
      <c r="BB482" t="inlineStr">
        <is>
          <t>9780375504761</t>
        </is>
      </c>
      <c r="BC482" t="inlineStr">
        <is>
          <t>32285004751433</t>
        </is>
      </c>
      <c r="BD482" t="inlineStr">
        <is>
          <t>893411062</t>
        </is>
      </c>
    </row>
    <row r="483">
      <c r="A483" t="inlineStr">
        <is>
          <t>No</t>
        </is>
      </c>
      <c r="B483" t="inlineStr">
        <is>
          <t>E18 .S33</t>
        </is>
      </c>
      <c r="C483" t="inlineStr">
        <is>
          <t>0                      E  0018000S  33</t>
        </is>
      </c>
      <c r="D483" t="inlineStr">
        <is>
          <t>Empires to nations : expansion in America, 1713-1824 / by Max Savelle.</t>
        </is>
      </c>
      <c r="F483" t="inlineStr">
        <is>
          <t>No</t>
        </is>
      </c>
      <c r="G483" t="inlineStr">
        <is>
          <t>1</t>
        </is>
      </c>
      <c r="H483" t="inlineStr">
        <is>
          <t>No</t>
        </is>
      </c>
      <c r="I483" t="inlineStr">
        <is>
          <t>No</t>
        </is>
      </c>
      <c r="J483" t="inlineStr">
        <is>
          <t>0</t>
        </is>
      </c>
      <c r="K483" t="inlineStr">
        <is>
          <t>Savelle, Max, 1896-1979.</t>
        </is>
      </c>
      <c r="L483" t="inlineStr">
        <is>
          <t>Minneapolis : University of Minnesota Press, [1974]</t>
        </is>
      </c>
      <c r="M483" t="inlineStr">
        <is>
          <t>1974</t>
        </is>
      </c>
      <c r="O483" t="inlineStr">
        <is>
          <t>eng</t>
        </is>
      </c>
      <c r="P483" t="inlineStr">
        <is>
          <t>mnu</t>
        </is>
      </c>
      <c r="Q483" t="inlineStr">
        <is>
          <t>Europe and the world in the Age of Expansion ; v. 5</t>
        </is>
      </c>
      <c r="R483" t="inlineStr">
        <is>
          <t xml:space="preserve">E  </t>
        </is>
      </c>
      <c r="S483" t="n">
        <v>4</v>
      </c>
      <c r="T483" t="n">
        <v>4</v>
      </c>
      <c r="U483" t="inlineStr">
        <is>
          <t>1995-02-05</t>
        </is>
      </c>
      <c r="V483" t="inlineStr">
        <is>
          <t>1995-02-05</t>
        </is>
      </c>
      <c r="W483" t="inlineStr">
        <is>
          <t>1992-05-08</t>
        </is>
      </c>
      <c r="X483" t="inlineStr">
        <is>
          <t>1992-05-08</t>
        </is>
      </c>
      <c r="Y483" t="n">
        <v>736</v>
      </c>
      <c r="Z483" t="n">
        <v>559</v>
      </c>
      <c r="AA483" t="n">
        <v>566</v>
      </c>
      <c r="AB483" t="n">
        <v>4</v>
      </c>
      <c r="AC483" t="n">
        <v>4</v>
      </c>
      <c r="AD483" t="n">
        <v>31</v>
      </c>
      <c r="AE483" t="n">
        <v>31</v>
      </c>
      <c r="AF483" t="n">
        <v>12</v>
      </c>
      <c r="AG483" t="n">
        <v>12</v>
      </c>
      <c r="AH483" t="n">
        <v>7</v>
      </c>
      <c r="AI483" t="n">
        <v>7</v>
      </c>
      <c r="AJ483" t="n">
        <v>18</v>
      </c>
      <c r="AK483" t="n">
        <v>18</v>
      </c>
      <c r="AL483" t="n">
        <v>3</v>
      </c>
      <c r="AM483" t="n">
        <v>3</v>
      </c>
      <c r="AN483" t="n">
        <v>0</v>
      </c>
      <c r="AO483" t="n">
        <v>0</v>
      </c>
      <c r="AP483" t="inlineStr">
        <is>
          <t>No</t>
        </is>
      </c>
      <c r="AQ483" t="inlineStr">
        <is>
          <t>No</t>
        </is>
      </c>
      <c r="AS483">
        <f>HYPERLINK("https://creighton-primo.hosted.exlibrisgroup.com/primo-explore/search?tab=default_tab&amp;search_scope=EVERYTHING&amp;vid=01CRU&amp;lang=en_US&amp;offset=0&amp;query=any,contains,991003531759702656","Catalog Record")</f>
        <v/>
      </c>
      <c r="AT483">
        <f>HYPERLINK("http://www.worldcat.org/oclc/1093826","WorldCat Record")</f>
        <v/>
      </c>
      <c r="AU483" t="inlineStr">
        <is>
          <t>877288637:eng</t>
        </is>
      </c>
      <c r="AV483" t="inlineStr">
        <is>
          <t>1093826</t>
        </is>
      </c>
      <c r="AW483" t="inlineStr">
        <is>
          <t>991003531759702656</t>
        </is>
      </c>
      <c r="AX483" t="inlineStr">
        <is>
          <t>991003531759702656</t>
        </is>
      </c>
      <c r="AY483" t="inlineStr">
        <is>
          <t>2264843480002656</t>
        </is>
      </c>
      <c r="AZ483" t="inlineStr">
        <is>
          <t>BOOK</t>
        </is>
      </c>
      <c r="BB483" t="inlineStr">
        <is>
          <t>9780816607099</t>
        </is>
      </c>
      <c r="BC483" t="inlineStr">
        <is>
          <t>32285001105393</t>
        </is>
      </c>
      <c r="BD483" t="inlineStr">
        <is>
          <t>893348773</t>
        </is>
      </c>
    </row>
    <row r="484">
      <c r="A484" t="inlineStr">
        <is>
          <t>No</t>
        </is>
      </c>
      <c r="B484" t="inlineStr">
        <is>
          <t>E18.85 .M27 1999</t>
        </is>
      </c>
      <c r="C484" t="inlineStr">
        <is>
          <t>0                      E  0018850M  27          1999</t>
        </is>
      </c>
      <c r="D484" t="inlineStr">
        <is>
          <t>The Americas in transition : the contours of regionalism / Gordon Mace, Louis Bélanger, and contributors.</t>
        </is>
      </c>
      <c r="F484" t="inlineStr">
        <is>
          <t>No</t>
        </is>
      </c>
      <c r="G484" t="inlineStr">
        <is>
          <t>1</t>
        </is>
      </c>
      <c r="H484" t="inlineStr">
        <is>
          <t>No</t>
        </is>
      </c>
      <c r="I484" t="inlineStr">
        <is>
          <t>No</t>
        </is>
      </c>
      <c r="J484" t="inlineStr">
        <is>
          <t>0</t>
        </is>
      </c>
      <c r="K484" t="inlineStr">
        <is>
          <t>Mace, Gordon.</t>
        </is>
      </c>
      <c r="L484" t="inlineStr">
        <is>
          <t>Boulder, Colo. : Lynne Rienner Publishers, 1999.</t>
        </is>
      </c>
      <c r="M484" t="inlineStr">
        <is>
          <t>1999</t>
        </is>
      </c>
      <c r="O484" t="inlineStr">
        <is>
          <t>eng</t>
        </is>
      </c>
      <c r="P484" t="inlineStr">
        <is>
          <t>cou</t>
        </is>
      </c>
      <c r="R484" t="inlineStr">
        <is>
          <t xml:space="preserve">E  </t>
        </is>
      </c>
      <c r="S484" t="n">
        <v>1</v>
      </c>
      <c r="T484" t="n">
        <v>1</v>
      </c>
      <c r="U484" t="inlineStr">
        <is>
          <t>2002-10-25</t>
        </is>
      </c>
      <c r="V484" t="inlineStr">
        <is>
          <t>2002-10-25</t>
        </is>
      </c>
      <c r="W484" t="inlineStr">
        <is>
          <t>2000-03-28</t>
        </is>
      </c>
      <c r="X484" t="inlineStr">
        <is>
          <t>2000-03-28</t>
        </is>
      </c>
      <c r="Y484" t="n">
        <v>365</v>
      </c>
      <c r="Z484" t="n">
        <v>289</v>
      </c>
      <c r="AA484" t="n">
        <v>289</v>
      </c>
      <c r="AB484" t="n">
        <v>1</v>
      </c>
      <c r="AC484" t="n">
        <v>1</v>
      </c>
      <c r="AD484" t="n">
        <v>11</v>
      </c>
      <c r="AE484" t="n">
        <v>11</v>
      </c>
      <c r="AF484" t="n">
        <v>4</v>
      </c>
      <c r="AG484" t="n">
        <v>4</v>
      </c>
      <c r="AH484" t="n">
        <v>3</v>
      </c>
      <c r="AI484" t="n">
        <v>3</v>
      </c>
      <c r="AJ484" t="n">
        <v>8</v>
      </c>
      <c r="AK484" t="n">
        <v>8</v>
      </c>
      <c r="AL484" t="n">
        <v>0</v>
      </c>
      <c r="AM484" t="n">
        <v>0</v>
      </c>
      <c r="AN484" t="n">
        <v>1</v>
      </c>
      <c r="AO484" t="n">
        <v>1</v>
      </c>
      <c r="AP484" t="inlineStr">
        <is>
          <t>No</t>
        </is>
      </c>
      <c r="AQ484" t="inlineStr">
        <is>
          <t>No</t>
        </is>
      </c>
      <c r="AS484">
        <f>HYPERLINK("https://creighton-primo.hosted.exlibrisgroup.com/primo-explore/search?tab=default_tab&amp;search_scope=EVERYTHING&amp;vid=01CRU&amp;lang=en_US&amp;offset=0&amp;query=any,contains,991003002349702656","Catalog Record")</f>
        <v/>
      </c>
      <c r="AT484">
        <f>HYPERLINK("http://www.worldcat.org/oclc/40681645","WorldCat Record")</f>
        <v/>
      </c>
      <c r="AU484" t="inlineStr">
        <is>
          <t>25810254:eng</t>
        </is>
      </c>
      <c r="AV484" t="inlineStr">
        <is>
          <t>40681645</t>
        </is>
      </c>
      <c r="AW484" t="inlineStr">
        <is>
          <t>991003002349702656</t>
        </is>
      </c>
      <c r="AX484" t="inlineStr">
        <is>
          <t>991003002349702656</t>
        </is>
      </c>
      <c r="AY484" t="inlineStr">
        <is>
          <t>2264625950002656</t>
        </is>
      </c>
      <c r="AZ484" t="inlineStr">
        <is>
          <t>BOOK</t>
        </is>
      </c>
      <c r="BB484" t="inlineStr">
        <is>
          <t>9781555877170</t>
        </is>
      </c>
      <c r="BC484" t="inlineStr">
        <is>
          <t>32285003674107</t>
        </is>
      </c>
      <c r="BD484" t="inlineStr">
        <is>
          <t>893445498</t>
        </is>
      </c>
    </row>
    <row r="485">
      <c r="A485" t="inlineStr">
        <is>
          <t>No</t>
        </is>
      </c>
      <c r="B485" t="inlineStr">
        <is>
          <t>E181 .A34 1997</t>
        </is>
      </c>
      <c r="C485" t="inlineStr">
        <is>
          <t>0                      E  0181000A  34          1997</t>
        </is>
      </c>
      <c r="D485" t="inlineStr">
        <is>
          <t>Americans at war / Stephen E. Ambrose.</t>
        </is>
      </c>
      <c r="F485" t="inlineStr">
        <is>
          <t>No</t>
        </is>
      </c>
      <c r="G485" t="inlineStr">
        <is>
          <t>1</t>
        </is>
      </c>
      <c r="H485" t="inlineStr">
        <is>
          <t>No</t>
        </is>
      </c>
      <c r="I485" t="inlineStr">
        <is>
          <t>No</t>
        </is>
      </c>
      <c r="J485" t="inlineStr">
        <is>
          <t>0</t>
        </is>
      </c>
      <c r="K485" t="inlineStr">
        <is>
          <t>Ambrose, Stephen E.</t>
        </is>
      </c>
      <c r="L485" t="inlineStr">
        <is>
          <t>Jackson : University Press of Mississippi, c1997.</t>
        </is>
      </c>
      <c r="M485" t="inlineStr">
        <is>
          <t>1997</t>
        </is>
      </c>
      <c r="O485" t="inlineStr">
        <is>
          <t>eng</t>
        </is>
      </c>
      <c r="P485" t="inlineStr">
        <is>
          <t>msu</t>
        </is>
      </c>
      <c r="R485" t="inlineStr">
        <is>
          <t xml:space="preserve">E  </t>
        </is>
      </c>
      <c r="S485" t="n">
        <v>6</v>
      </c>
      <c r="T485" t="n">
        <v>6</v>
      </c>
      <c r="U485" t="inlineStr">
        <is>
          <t>2005-09-10</t>
        </is>
      </c>
      <c r="V485" t="inlineStr">
        <is>
          <t>2005-09-10</t>
        </is>
      </c>
      <c r="W485" t="inlineStr">
        <is>
          <t>1997-11-24</t>
        </is>
      </c>
      <c r="X485" t="inlineStr">
        <is>
          <t>1997-11-24</t>
        </is>
      </c>
      <c r="Y485" t="n">
        <v>1161</v>
      </c>
      <c r="Z485" t="n">
        <v>1120</v>
      </c>
      <c r="AA485" t="n">
        <v>2320</v>
      </c>
      <c r="AB485" t="n">
        <v>9</v>
      </c>
      <c r="AC485" t="n">
        <v>15</v>
      </c>
      <c r="AD485" t="n">
        <v>37</v>
      </c>
      <c r="AE485" t="n">
        <v>53</v>
      </c>
      <c r="AF485" t="n">
        <v>16</v>
      </c>
      <c r="AG485" t="n">
        <v>25</v>
      </c>
      <c r="AH485" t="n">
        <v>8</v>
      </c>
      <c r="AI485" t="n">
        <v>11</v>
      </c>
      <c r="AJ485" t="n">
        <v>15</v>
      </c>
      <c r="AK485" t="n">
        <v>22</v>
      </c>
      <c r="AL485" t="n">
        <v>5</v>
      </c>
      <c r="AM485" t="n">
        <v>8</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HYPERLINK("https://creighton-primo.hosted.exlibrisgroup.com/primo-explore/search?tab=default_tab&amp;search_scope=EVERYTHING&amp;vid=01CRU&amp;lang=en_US&amp;offset=0&amp;query=any,contains,991002800569702656","Catalog Record")</f>
        <v/>
      </c>
      <c r="AT485">
        <f>HYPERLINK("http://www.worldcat.org/oclc/36783915","WorldCat Record")</f>
        <v/>
      </c>
      <c r="AU485" t="inlineStr">
        <is>
          <t>689731:eng</t>
        </is>
      </c>
      <c r="AV485" t="inlineStr">
        <is>
          <t>36783915</t>
        </is>
      </c>
      <c r="AW485" t="inlineStr">
        <is>
          <t>991002800569702656</t>
        </is>
      </c>
      <c r="AX485" t="inlineStr">
        <is>
          <t>991002800569702656</t>
        </is>
      </c>
      <c r="AY485" t="inlineStr">
        <is>
          <t>2256512670002656</t>
        </is>
      </c>
      <c r="AZ485" t="inlineStr">
        <is>
          <t>BOOK</t>
        </is>
      </c>
      <c r="BB485" t="inlineStr">
        <is>
          <t>9781578060269</t>
        </is>
      </c>
      <c r="BC485" t="inlineStr">
        <is>
          <t>32285003273686</t>
        </is>
      </c>
      <c r="BD485" t="inlineStr">
        <is>
          <t>893721643</t>
        </is>
      </c>
    </row>
    <row r="486">
      <c r="A486" t="inlineStr">
        <is>
          <t>No</t>
        </is>
      </c>
      <c r="B486" t="inlineStr">
        <is>
          <t>E181 .C83 1982</t>
        </is>
      </c>
      <c r="C486" t="inlineStr">
        <is>
          <t>0                      E  0181000C  83          1982</t>
        </is>
      </c>
      <c r="D486" t="inlineStr">
        <is>
          <t>Citizens in arms : the army and the militia in American society to the War of 1812 / Lawrence Delbert Cress.</t>
        </is>
      </c>
      <c r="F486" t="inlineStr">
        <is>
          <t>No</t>
        </is>
      </c>
      <c r="G486" t="inlineStr">
        <is>
          <t>1</t>
        </is>
      </c>
      <c r="H486" t="inlineStr">
        <is>
          <t>No</t>
        </is>
      </c>
      <c r="I486" t="inlineStr">
        <is>
          <t>No</t>
        </is>
      </c>
      <c r="J486" t="inlineStr">
        <is>
          <t>0</t>
        </is>
      </c>
      <c r="K486" t="inlineStr">
        <is>
          <t>Cress, Lawrence Delbert.</t>
        </is>
      </c>
      <c r="L486" t="inlineStr">
        <is>
          <t>Chapel Hill : University of North Carolina Press, c1982.</t>
        </is>
      </c>
      <c r="M486" t="inlineStr">
        <is>
          <t>1982</t>
        </is>
      </c>
      <c r="O486" t="inlineStr">
        <is>
          <t>eng</t>
        </is>
      </c>
      <c r="P486" t="inlineStr">
        <is>
          <t>ncu</t>
        </is>
      </c>
      <c r="Q486" t="inlineStr">
        <is>
          <t>Studies on armed forces and society</t>
        </is>
      </c>
      <c r="R486" t="inlineStr">
        <is>
          <t xml:space="preserve">E  </t>
        </is>
      </c>
      <c r="S486" t="n">
        <v>4</v>
      </c>
      <c r="T486" t="n">
        <v>4</v>
      </c>
      <c r="U486" t="inlineStr">
        <is>
          <t>1999-12-03</t>
        </is>
      </c>
      <c r="V486" t="inlineStr">
        <is>
          <t>1999-12-03</t>
        </is>
      </c>
      <c r="W486" t="inlineStr">
        <is>
          <t>1993-06-07</t>
        </is>
      </c>
      <c r="X486" t="inlineStr">
        <is>
          <t>1993-06-07</t>
        </is>
      </c>
      <c r="Y486" t="n">
        <v>506</v>
      </c>
      <c r="Z486" t="n">
        <v>450</v>
      </c>
      <c r="AA486" t="n">
        <v>472</v>
      </c>
      <c r="AB486" t="n">
        <v>6</v>
      </c>
      <c r="AC486" t="n">
        <v>6</v>
      </c>
      <c r="AD486" t="n">
        <v>26</v>
      </c>
      <c r="AE486" t="n">
        <v>26</v>
      </c>
      <c r="AF486" t="n">
        <v>9</v>
      </c>
      <c r="AG486" t="n">
        <v>9</v>
      </c>
      <c r="AH486" t="n">
        <v>7</v>
      </c>
      <c r="AI486" t="n">
        <v>7</v>
      </c>
      <c r="AJ486" t="n">
        <v>12</v>
      </c>
      <c r="AK486" t="n">
        <v>12</v>
      </c>
      <c r="AL486" t="n">
        <v>5</v>
      </c>
      <c r="AM486" t="n">
        <v>5</v>
      </c>
      <c r="AN486" t="n">
        <v>1</v>
      </c>
      <c r="AO486" t="n">
        <v>1</v>
      </c>
      <c r="AP486" t="inlineStr">
        <is>
          <t>No</t>
        </is>
      </c>
      <c r="AQ486" t="inlineStr">
        <is>
          <t>Yes</t>
        </is>
      </c>
      <c r="AR486">
        <f>HYPERLINK("http://catalog.hathitrust.org/Record/000764106","HathiTrust Record")</f>
        <v/>
      </c>
      <c r="AS486">
        <f>HYPERLINK("https://creighton-primo.hosted.exlibrisgroup.com/primo-explore/search?tab=default_tab&amp;search_scope=EVERYTHING&amp;vid=01CRU&amp;lang=en_US&amp;offset=0&amp;query=any,contains,991005181519702656","Catalog Record")</f>
        <v/>
      </c>
      <c r="AT486">
        <f>HYPERLINK("http://www.worldcat.org/oclc/7946439","WorldCat Record")</f>
        <v/>
      </c>
      <c r="AU486" t="inlineStr">
        <is>
          <t>198940507:eng</t>
        </is>
      </c>
      <c r="AV486" t="inlineStr">
        <is>
          <t>7946439</t>
        </is>
      </c>
      <c r="AW486" t="inlineStr">
        <is>
          <t>991005181519702656</t>
        </is>
      </c>
      <c r="AX486" t="inlineStr">
        <is>
          <t>991005181519702656</t>
        </is>
      </c>
      <c r="AY486" t="inlineStr">
        <is>
          <t>2272627290002656</t>
        </is>
      </c>
      <c r="AZ486" t="inlineStr">
        <is>
          <t>BOOK</t>
        </is>
      </c>
      <c r="BB486" t="inlineStr">
        <is>
          <t>9780807815083</t>
        </is>
      </c>
      <c r="BC486" t="inlineStr">
        <is>
          <t>32285001714301</t>
        </is>
      </c>
      <c r="BD486" t="inlineStr">
        <is>
          <t>893707404</t>
        </is>
      </c>
    </row>
    <row r="487">
      <c r="A487" t="inlineStr">
        <is>
          <t>No</t>
        </is>
      </c>
      <c r="B487" t="inlineStr">
        <is>
          <t>E181 .C97 1993</t>
        </is>
      </c>
      <c r="C487" t="inlineStr">
        <is>
          <t>0                      E  0181000C  97          1993</t>
        </is>
      </c>
      <c r="D487" t="inlineStr">
        <is>
          <t>Soldiers and civilians : the martial spirit in America 1775-1865 / Marcus Cunliffe ; with a new preface by Brian Holden Reid.</t>
        </is>
      </c>
      <c r="F487" t="inlineStr">
        <is>
          <t>No</t>
        </is>
      </c>
      <c r="G487" t="inlineStr">
        <is>
          <t>1</t>
        </is>
      </c>
      <c r="H487" t="inlineStr">
        <is>
          <t>No</t>
        </is>
      </c>
      <c r="I487" t="inlineStr">
        <is>
          <t>Yes</t>
        </is>
      </c>
      <c r="J487" t="inlineStr">
        <is>
          <t>0</t>
        </is>
      </c>
      <c r="K487" t="inlineStr">
        <is>
          <t>Cunliffe, Marcus, 1922-1990.</t>
        </is>
      </c>
      <c r="L487" t="inlineStr">
        <is>
          <t>Aldershot : Gregg Revivals in association with Department of War Studies, King's College London, 1993.</t>
        </is>
      </c>
      <c r="M487" t="inlineStr">
        <is>
          <t>1993</t>
        </is>
      </c>
      <c r="O487" t="inlineStr">
        <is>
          <t>eng</t>
        </is>
      </c>
      <c r="P487" t="inlineStr">
        <is>
          <t>enk</t>
        </is>
      </c>
      <c r="R487" t="inlineStr">
        <is>
          <t xml:space="preserve">E  </t>
        </is>
      </c>
      <c r="S487" t="n">
        <v>1</v>
      </c>
      <c r="T487" t="n">
        <v>1</v>
      </c>
      <c r="U487" t="inlineStr">
        <is>
          <t>1995-08-17</t>
        </is>
      </c>
      <c r="V487" t="inlineStr">
        <is>
          <t>1995-08-17</t>
        </is>
      </c>
      <c r="W487" t="inlineStr">
        <is>
          <t>1994-06-07</t>
        </is>
      </c>
      <c r="X487" t="inlineStr">
        <is>
          <t>1994-06-07</t>
        </is>
      </c>
      <c r="Y487" t="n">
        <v>27</v>
      </c>
      <c r="Z487" t="n">
        <v>18</v>
      </c>
      <c r="AA487" t="n">
        <v>1090</v>
      </c>
      <c r="AB487" t="n">
        <v>1</v>
      </c>
      <c r="AC487" t="n">
        <v>8</v>
      </c>
      <c r="AD487" t="n">
        <v>3</v>
      </c>
      <c r="AE487" t="n">
        <v>42</v>
      </c>
      <c r="AF487" t="n">
        <v>3</v>
      </c>
      <c r="AG487" t="n">
        <v>17</v>
      </c>
      <c r="AH487" t="n">
        <v>0</v>
      </c>
      <c r="AI487" t="n">
        <v>8</v>
      </c>
      <c r="AJ487" t="n">
        <v>1</v>
      </c>
      <c r="AK487" t="n">
        <v>19</v>
      </c>
      <c r="AL487" t="n">
        <v>0</v>
      </c>
      <c r="AM487" t="n">
        <v>7</v>
      </c>
      <c r="AN487" t="n">
        <v>0</v>
      </c>
      <c r="AO487" t="n">
        <v>0</v>
      </c>
      <c r="AP487" t="inlineStr">
        <is>
          <t>No</t>
        </is>
      </c>
      <c r="AQ487" t="inlineStr">
        <is>
          <t>No</t>
        </is>
      </c>
      <c r="AS487">
        <f>HYPERLINK("https://creighton-primo.hosted.exlibrisgroup.com/primo-explore/search?tab=default_tab&amp;search_scope=EVERYTHING&amp;vid=01CRU&amp;lang=en_US&amp;offset=0&amp;query=any,contains,991002282319702656","Catalog Record")</f>
        <v/>
      </c>
      <c r="AT487">
        <f>HYPERLINK("http://www.worldcat.org/oclc/29595128","WorldCat Record")</f>
        <v/>
      </c>
      <c r="AU487" t="inlineStr">
        <is>
          <t>1516806:eng</t>
        </is>
      </c>
      <c r="AV487" t="inlineStr">
        <is>
          <t>29595128</t>
        </is>
      </c>
      <c r="AW487" t="inlineStr">
        <is>
          <t>991002282319702656</t>
        </is>
      </c>
      <c r="AX487" t="inlineStr">
        <is>
          <t>991002282319702656</t>
        </is>
      </c>
      <c r="AY487" t="inlineStr">
        <is>
          <t>2261225260002656</t>
        </is>
      </c>
      <c r="AZ487" t="inlineStr">
        <is>
          <t>BOOK</t>
        </is>
      </c>
      <c r="BB487" t="inlineStr">
        <is>
          <t>9780751201260</t>
        </is>
      </c>
      <c r="BC487" t="inlineStr">
        <is>
          <t>32285001922078</t>
        </is>
      </c>
      <c r="BD487" t="inlineStr">
        <is>
          <t>893886072</t>
        </is>
      </c>
    </row>
    <row r="488">
      <c r="A488" t="inlineStr">
        <is>
          <t>No</t>
        </is>
      </c>
      <c r="B488" t="inlineStr">
        <is>
          <t>E181 .K52 1986</t>
        </is>
      </c>
      <c r="C488" t="inlineStr">
        <is>
          <t>0                      E  0181000K  52          1986</t>
        </is>
      </c>
      <c r="D488" t="inlineStr">
        <is>
          <t>Atlas of American wars / maps by Richard Natkiel ; text by John Kirk and John Westwood.</t>
        </is>
      </c>
      <c r="F488" t="inlineStr">
        <is>
          <t>No</t>
        </is>
      </c>
      <c r="G488" t="inlineStr">
        <is>
          <t>1</t>
        </is>
      </c>
      <c r="H488" t="inlineStr">
        <is>
          <t>No</t>
        </is>
      </c>
      <c r="I488" t="inlineStr">
        <is>
          <t>No</t>
        </is>
      </c>
      <c r="J488" t="inlineStr">
        <is>
          <t>0</t>
        </is>
      </c>
      <c r="K488" t="inlineStr">
        <is>
          <t>Kirk, John G., 1928-</t>
        </is>
      </c>
      <c r="L488" t="inlineStr">
        <is>
          <t>[New York, N.Y.] : Arch Cape Press : Distributed by Crown Publishers, c1986.</t>
        </is>
      </c>
      <c r="M488" t="inlineStr">
        <is>
          <t>1986</t>
        </is>
      </c>
      <c r="O488" t="inlineStr">
        <is>
          <t>eng</t>
        </is>
      </c>
      <c r="P488" t="inlineStr">
        <is>
          <t>nyu</t>
        </is>
      </c>
      <c r="R488" t="inlineStr">
        <is>
          <t xml:space="preserve">E  </t>
        </is>
      </c>
      <c r="S488" t="n">
        <v>1</v>
      </c>
      <c r="T488" t="n">
        <v>1</v>
      </c>
      <c r="U488" t="inlineStr">
        <is>
          <t>1994-08-29</t>
        </is>
      </c>
      <c r="V488" t="inlineStr">
        <is>
          <t>1994-08-29</t>
        </is>
      </c>
      <c r="W488" t="inlineStr">
        <is>
          <t>1990-06-18</t>
        </is>
      </c>
      <c r="X488" t="inlineStr">
        <is>
          <t>1990-06-18</t>
        </is>
      </c>
      <c r="Y488" t="n">
        <v>479</v>
      </c>
      <c r="Z488" t="n">
        <v>460</v>
      </c>
      <c r="AA488" t="n">
        <v>474</v>
      </c>
      <c r="AB488" t="n">
        <v>6</v>
      </c>
      <c r="AC488" t="n">
        <v>7</v>
      </c>
      <c r="AD488" t="n">
        <v>9</v>
      </c>
      <c r="AE488" t="n">
        <v>9</v>
      </c>
      <c r="AF488" t="n">
        <v>6</v>
      </c>
      <c r="AG488" t="n">
        <v>6</v>
      </c>
      <c r="AH488" t="n">
        <v>1</v>
      </c>
      <c r="AI488" t="n">
        <v>1</v>
      </c>
      <c r="AJ488" t="n">
        <v>3</v>
      </c>
      <c r="AK488" t="n">
        <v>3</v>
      </c>
      <c r="AL488" t="n">
        <v>1</v>
      </c>
      <c r="AM488" t="n">
        <v>1</v>
      </c>
      <c r="AN488" t="n">
        <v>0</v>
      </c>
      <c r="AO488" t="n">
        <v>0</v>
      </c>
      <c r="AP488" t="inlineStr">
        <is>
          <t>No</t>
        </is>
      </c>
      <c r="AQ488" t="inlineStr">
        <is>
          <t>Yes</t>
        </is>
      </c>
      <c r="AR488">
        <f>HYPERLINK("http://catalog.hathitrust.org/Record/000402063","HathiTrust Record")</f>
        <v/>
      </c>
      <c r="AS488">
        <f>HYPERLINK("https://creighton-primo.hosted.exlibrisgroup.com/primo-explore/search?tab=default_tab&amp;search_scope=EVERYTHING&amp;vid=01CRU&amp;lang=en_US&amp;offset=0&amp;query=any,contains,991000998329702656","Catalog Record")</f>
        <v/>
      </c>
      <c r="AT488">
        <f>HYPERLINK("http://www.worldcat.org/oclc/15175407","WorldCat Record")</f>
        <v/>
      </c>
      <c r="AU488" t="inlineStr">
        <is>
          <t>3768572895:eng</t>
        </is>
      </c>
      <c r="AV488" t="inlineStr">
        <is>
          <t>15175407</t>
        </is>
      </c>
      <c r="AW488" t="inlineStr">
        <is>
          <t>991000998329702656</t>
        </is>
      </c>
      <c r="AX488" t="inlineStr">
        <is>
          <t>991000998329702656</t>
        </is>
      </c>
      <c r="AY488" t="inlineStr">
        <is>
          <t>2261690660002656</t>
        </is>
      </c>
      <c r="AZ488" t="inlineStr">
        <is>
          <t>BOOK</t>
        </is>
      </c>
      <c r="BC488" t="inlineStr">
        <is>
          <t>32285000177617</t>
        </is>
      </c>
      <c r="BD488" t="inlineStr">
        <is>
          <t>893878527</t>
        </is>
      </c>
    </row>
    <row r="489">
      <c r="A489" t="inlineStr">
        <is>
          <t>No</t>
        </is>
      </c>
      <c r="B489" t="inlineStr">
        <is>
          <t>E181 .L45 1993, v...</t>
        </is>
      </c>
      <c r="C489" t="inlineStr">
        <is>
          <t>0                      E  0181000L  45          1993                                        v...</t>
        </is>
      </c>
      <c r="D489" t="inlineStr">
        <is>
          <t>The wars of America / Robert Leckie.</t>
        </is>
      </c>
      <c r="E489" t="inlineStr">
        <is>
          <t>V.1</t>
        </is>
      </c>
      <c r="F489" t="inlineStr">
        <is>
          <t>No</t>
        </is>
      </c>
      <c r="G489" t="inlineStr">
        <is>
          <t>1</t>
        </is>
      </c>
      <c r="H489" t="inlineStr">
        <is>
          <t>No</t>
        </is>
      </c>
      <c r="I489" t="inlineStr">
        <is>
          <t>No</t>
        </is>
      </c>
      <c r="J489" t="inlineStr">
        <is>
          <t>0</t>
        </is>
      </c>
      <c r="K489" t="inlineStr">
        <is>
          <t>Leckie, Robert, 1920-2001.</t>
        </is>
      </c>
      <c r="L489" t="inlineStr">
        <is>
          <t>New York : HarperPerennial, 1993, c1992.</t>
        </is>
      </c>
      <c r="M489" t="inlineStr">
        <is>
          <t>1993</t>
        </is>
      </c>
      <c r="N489" t="inlineStr">
        <is>
          <t>New and updated ed., 1st HaperPerennial ed.</t>
        </is>
      </c>
      <c r="O489" t="inlineStr">
        <is>
          <t>eng</t>
        </is>
      </c>
      <c r="P489" t="inlineStr">
        <is>
          <t>nyu</t>
        </is>
      </c>
      <c r="R489" t="inlineStr">
        <is>
          <t xml:space="preserve">E  </t>
        </is>
      </c>
      <c r="S489" t="n">
        <v>2</v>
      </c>
      <c r="T489" t="n">
        <v>2</v>
      </c>
      <c r="U489" t="inlineStr">
        <is>
          <t>1998-10-12</t>
        </is>
      </c>
      <c r="V489" t="inlineStr">
        <is>
          <t>1998-10-12</t>
        </is>
      </c>
      <c r="W489" t="inlineStr">
        <is>
          <t>1997-02-07</t>
        </is>
      </c>
      <c r="X489" t="inlineStr">
        <is>
          <t>1997-02-07</t>
        </is>
      </c>
      <c r="Y489" t="n">
        <v>111</v>
      </c>
      <c r="Z489" t="n">
        <v>109</v>
      </c>
      <c r="AA489" t="n">
        <v>399</v>
      </c>
      <c r="AB489" t="n">
        <v>1</v>
      </c>
      <c r="AC489" t="n">
        <v>4</v>
      </c>
      <c r="AD489" t="n">
        <v>5</v>
      </c>
      <c r="AE489" t="n">
        <v>8</v>
      </c>
      <c r="AF489" t="n">
        <v>3</v>
      </c>
      <c r="AG489" t="n">
        <v>3</v>
      </c>
      <c r="AH489" t="n">
        <v>3</v>
      </c>
      <c r="AI489" t="n">
        <v>4</v>
      </c>
      <c r="AJ489" t="n">
        <v>2</v>
      </c>
      <c r="AK489" t="n">
        <v>3</v>
      </c>
      <c r="AL489" t="n">
        <v>0</v>
      </c>
      <c r="AM489" t="n">
        <v>1</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HYPERLINK("https://creighton-primo.hosted.exlibrisgroup.com/primo-explore/search?tab=default_tab&amp;search_scope=EVERYTHING&amp;vid=01CRU&amp;lang=en_US&amp;offset=0&amp;query=any,contains,991002187919702656","Catalog Record")</f>
        <v/>
      </c>
      <c r="AT489">
        <f>HYPERLINK("http://www.worldcat.org/oclc/28154342","WorldCat Record")</f>
        <v/>
      </c>
      <c r="AU489" t="inlineStr">
        <is>
          <t>3377233181:eng</t>
        </is>
      </c>
      <c r="AV489" t="inlineStr">
        <is>
          <t>28154342</t>
        </is>
      </c>
      <c r="AW489" t="inlineStr">
        <is>
          <t>991002187919702656</t>
        </is>
      </c>
      <c r="AX489" t="inlineStr">
        <is>
          <t>991002187919702656</t>
        </is>
      </c>
      <c r="AY489" t="inlineStr">
        <is>
          <t>2255029340002656</t>
        </is>
      </c>
      <c r="AZ489" t="inlineStr">
        <is>
          <t>BOOK</t>
        </is>
      </c>
      <c r="BB489" t="inlineStr">
        <is>
          <t>9780060924096</t>
        </is>
      </c>
      <c r="BC489" t="inlineStr">
        <is>
          <t>32285002414968</t>
        </is>
      </c>
      <c r="BD489" t="inlineStr">
        <is>
          <t>893903746</t>
        </is>
      </c>
    </row>
    <row r="490">
      <c r="A490" t="inlineStr">
        <is>
          <t>No</t>
        </is>
      </c>
      <c r="B490" t="inlineStr">
        <is>
          <t>E181 .P575</t>
        </is>
      </c>
      <c r="C490" t="inlineStr">
        <is>
          <t>0                      E  0181000P  575</t>
        </is>
      </c>
      <c r="D490" t="inlineStr">
        <is>
          <t>Black Jack : the life and times of John J. Pershing / by Frank E. Vandiver.</t>
        </is>
      </c>
      <c r="E490" t="inlineStr">
        <is>
          <t>V.2</t>
        </is>
      </c>
      <c r="F490" t="inlineStr">
        <is>
          <t>Yes</t>
        </is>
      </c>
      <c r="G490" t="inlineStr">
        <is>
          <t>1</t>
        </is>
      </c>
      <c r="H490" t="inlineStr">
        <is>
          <t>No</t>
        </is>
      </c>
      <c r="I490" t="inlineStr">
        <is>
          <t>No</t>
        </is>
      </c>
      <c r="J490" t="inlineStr">
        <is>
          <t>0</t>
        </is>
      </c>
      <c r="K490" t="inlineStr">
        <is>
          <t>Vandiver, Frank E., 1925-2005.</t>
        </is>
      </c>
      <c r="L490" t="inlineStr">
        <is>
          <t>College Station : Texas A&amp;M University Press, c1977.</t>
        </is>
      </c>
      <c r="M490" t="inlineStr">
        <is>
          <t>1977</t>
        </is>
      </c>
      <c r="N490" t="inlineStr">
        <is>
          <t>1st ed.</t>
        </is>
      </c>
      <c r="O490" t="inlineStr">
        <is>
          <t>eng</t>
        </is>
      </c>
      <c r="P490" t="inlineStr">
        <is>
          <t>txu</t>
        </is>
      </c>
      <c r="R490" t="inlineStr">
        <is>
          <t xml:space="preserve">E  </t>
        </is>
      </c>
      <c r="S490" t="n">
        <v>6</v>
      </c>
      <c r="T490" t="n">
        <v>14</v>
      </c>
      <c r="U490" t="inlineStr">
        <is>
          <t>1999-10-26</t>
        </is>
      </c>
      <c r="V490" t="inlineStr">
        <is>
          <t>2004-11-22</t>
        </is>
      </c>
      <c r="W490" t="inlineStr">
        <is>
          <t>1997-04-07</t>
        </is>
      </c>
      <c r="X490" t="inlineStr">
        <is>
          <t>1997-04-07</t>
        </is>
      </c>
      <c r="Y490" t="n">
        <v>998</v>
      </c>
      <c r="Z490" t="n">
        <v>947</v>
      </c>
      <c r="AA490" t="n">
        <v>960</v>
      </c>
      <c r="AB490" t="n">
        <v>10</v>
      </c>
      <c r="AC490" t="n">
        <v>10</v>
      </c>
      <c r="AD490" t="n">
        <v>34</v>
      </c>
      <c r="AE490" t="n">
        <v>35</v>
      </c>
      <c r="AF490" t="n">
        <v>15</v>
      </c>
      <c r="AG490" t="n">
        <v>16</v>
      </c>
      <c r="AH490" t="n">
        <v>9</v>
      </c>
      <c r="AI490" t="n">
        <v>9</v>
      </c>
      <c r="AJ490" t="n">
        <v>11</v>
      </c>
      <c r="AK490" t="n">
        <v>12</v>
      </c>
      <c r="AL490" t="n">
        <v>7</v>
      </c>
      <c r="AM490" t="n">
        <v>7</v>
      </c>
      <c r="AN490" t="n">
        <v>0</v>
      </c>
      <c r="AO490" t="n">
        <v>0</v>
      </c>
      <c r="AP490" t="inlineStr">
        <is>
          <t>No</t>
        </is>
      </c>
      <c r="AQ490" t="inlineStr">
        <is>
          <t>Yes</t>
        </is>
      </c>
      <c r="AR490">
        <f>HYPERLINK("http://catalog.hathitrust.org/Record/000130060","HathiTrust Record")</f>
        <v/>
      </c>
      <c r="AS490">
        <f>HYPERLINK("https://creighton-primo.hosted.exlibrisgroup.com/primo-explore/search?tab=default_tab&amp;search_scope=EVERYTHING&amp;vid=01CRU&amp;lang=en_US&amp;offset=0&amp;query=any,contains,991004198049702656","Catalog Record")</f>
        <v/>
      </c>
      <c r="AT490">
        <f>HYPERLINK("http://www.worldcat.org/oclc/2645933","WorldCat Record")</f>
        <v/>
      </c>
      <c r="AU490" t="inlineStr">
        <is>
          <t>376426789:eng</t>
        </is>
      </c>
      <c r="AV490" t="inlineStr">
        <is>
          <t>2645933</t>
        </is>
      </c>
      <c r="AW490" t="inlineStr">
        <is>
          <t>991004198049702656</t>
        </is>
      </c>
      <c r="AX490" t="inlineStr">
        <is>
          <t>991004198049702656</t>
        </is>
      </c>
      <c r="AY490" t="inlineStr">
        <is>
          <t>2255070580002656</t>
        </is>
      </c>
      <c r="AZ490" t="inlineStr">
        <is>
          <t>BOOK</t>
        </is>
      </c>
      <c r="BB490" t="inlineStr">
        <is>
          <t>9780890960240</t>
        </is>
      </c>
      <c r="BC490" t="inlineStr">
        <is>
          <t>32285002505468</t>
        </is>
      </c>
      <c r="BD490" t="inlineStr">
        <is>
          <t>893532107</t>
        </is>
      </c>
    </row>
    <row r="491">
      <c r="A491" t="inlineStr">
        <is>
          <t>No</t>
        </is>
      </c>
      <c r="B491" t="inlineStr">
        <is>
          <t>E181 .P575</t>
        </is>
      </c>
      <c r="C491" t="inlineStr">
        <is>
          <t>0                      E  0181000P  575</t>
        </is>
      </c>
      <c r="D491" t="inlineStr">
        <is>
          <t>Black Jack : the life and times of John J. Pershing / by Frank E. Vandiver.</t>
        </is>
      </c>
      <c r="E491" t="inlineStr">
        <is>
          <t>V.1</t>
        </is>
      </c>
      <c r="F491" t="inlineStr">
        <is>
          <t>Yes</t>
        </is>
      </c>
      <c r="G491" t="inlineStr">
        <is>
          <t>1</t>
        </is>
      </c>
      <c r="H491" t="inlineStr">
        <is>
          <t>No</t>
        </is>
      </c>
      <c r="I491" t="inlineStr">
        <is>
          <t>No</t>
        </is>
      </c>
      <c r="J491" t="inlineStr">
        <is>
          <t>0</t>
        </is>
      </c>
      <c r="K491" t="inlineStr">
        <is>
          <t>Vandiver, Frank E., 1925-2005.</t>
        </is>
      </c>
      <c r="L491" t="inlineStr">
        <is>
          <t>College Station : Texas A&amp;M University Press, c1977.</t>
        </is>
      </c>
      <c r="M491" t="inlineStr">
        <is>
          <t>1977</t>
        </is>
      </c>
      <c r="N491" t="inlineStr">
        <is>
          <t>1st ed.</t>
        </is>
      </c>
      <c r="O491" t="inlineStr">
        <is>
          <t>eng</t>
        </is>
      </c>
      <c r="P491" t="inlineStr">
        <is>
          <t>txu</t>
        </is>
      </c>
      <c r="R491" t="inlineStr">
        <is>
          <t xml:space="preserve">E  </t>
        </is>
      </c>
      <c r="S491" t="n">
        <v>8</v>
      </c>
      <c r="T491" t="n">
        <v>14</v>
      </c>
      <c r="U491" t="inlineStr">
        <is>
          <t>2004-11-22</t>
        </is>
      </c>
      <c r="V491" t="inlineStr">
        <is>
          <t>2004-11-22</t>
        </is>
      </c>
      <c r="W491" t="inlineStr">
        <is>
          <t>1997-04-07</t>
        </is>
      </c>
      <c r="X491" t="inlineStr">
        <is>
          <t>1997-04-07</t>
        </is>
      </c>
      <c r="Y491" t="n">
        <v>998</v>
      </c>
      <c r="Z491" t="n">
        <v>947</v>
      </c>
      <c r="AA491" t="n">
        <v>960</v>
      </c>
      <c r="AB491" t="n">
        <v>10</v>
      </c>
      <c r="AC491" t="n">
        <v>10</v>
      </c>
      <c r="AD491" t="n">
        <v>34</v>
      </c>
      <c r="AE491" t="n">
        <v>35</v>
      </c>
      <c r="AF491" t="n">
        <v>15</v>
      </c>
      <c r="AG491" t="n">
        <v>16</v>
      </c>
      <c r="AH491" t="n">
        <v>9</v>
      </c>
      <c r="AI491" t="n">
        <v>9</v>
      </c>
      <c r="AJ491" t="n">
        <v>11</v>
      </c>
      <c r="AK491" t="n">
        <v>12</v>
      </c>
      <c r="AL491" t="n">
        <v>7</v>
      </c>
      <c r="AM491" t="n">
        <v>7</v>
      </c>
      <c r="AN491" t="n">
        <v>0</v>
      </c>
      <c r="AO491" t="n">
        <v>0</v>
      </c>
      <c r="AP491" t="inlineStr">
        <is>
          <t>No</t>
        </is>
      </c>
      <c r="AQ491" t="inlineStr">
        <is>
          <t>Yes</t>
        </is>
      </c>
      <c r="AR491">
        <f>HYPERLINK("http://catalog.hathitrust.org/Record/000130060","HathiTrust Record")</f>
        <v/>
      </c>
      <c r="AS491">
        <f>HYPERLINK("https://creighton-primo.hosted.exlibrisgroup.com/primo-explore/search?tab=default_tab&amp;search_scope=EVERYTHING&amp;vid=01CRU&amp;lang=en_US&amp;offset=0&amp;query=any,contains,991004198049702656","Catalog Record")</f>
        <v/>
      </c>
      <c r="AT491">
        <f>HYPERLINK("http://www.worldcat.org/oclc/2645933","WorldCat Record")</f>
        <v/>
      </c>
      <c r="AU491" t="inlineStr">
        <is>
          <t>376426789:eng</t>
        </is>
      </c>
      <c r="AV491" t="inlineStr">
        <is>
          <t>2645933</t>
        </is>
      </c>
      <c r="AW491" t="inlineStr">
        <is>
          <t>991004198049702656</t>
        </is>
      </c>
      <c r="AX491" t="inlineStr">
        <is>
          <t>991004198049702656</t>
        </is>
      </c>
      <c r="AY491" t="inlineStr">
        <is>
          <t>2255070580002656</t>
        </is>
      </c>
      <c r="AZ491" t="inlineStr">
        <is>
          <t>BOOK</t>
        </is>
      </c>
      <c r="BB491" t="inlineStr">
        <is>
          <t>9780890960240</t>
        </is>
      </c>
      <c r="BC491" t="inlineStr">
        <is>
          <t>32285002505450</t>
        </is>
      </c>
      <c r="BD491" t="inlineStr">
        <is>
          <t>893532108</t>
        </is>
      </c>
    </row>
    <row r="492">
      <c r="A492" t="inlineStr">
        <is>
          <t>No</t>
        </is>
      </c>
      <c r="B492" t="inlineStr">
        <is>
          <t>E181 .W29 1994</t>
        </is>
      </c>
      <c r="C492" t="inlineStr">
        <is>
          <t>0                      E  0181000W  29          1994</t>
        </is>
      </c>
      <c r="D492" t="inlineStr">
        <is>
          <t>The class of 1846 : from West Point to Appomattox : Stonewall Jackson, George McClellan, and their brothers / John C. Waugh.</t>
        </is>
      </c>
      <c r="F492" t="inlineStr">
        <is>
          <t>No</t>
        </is>
      </c>
      <c r="G492" t="inlineStr">
        <is>
          <t>1</t>
        </is>
      </c>
      <c r="H492" t="inlineStr">
        <is>
          <t>No</t>
        </is>
      </c>
      <c r="I492" t="inlineStr">
        <is>
          <t>No</t>
        </is>
      </c>
      <c r="J492" t="inlineStr">
        <is>
          <t>0</t>
        </is>
      </c>
      <c r="K492" t="inlineStr">
        <is>
          <t>Waugh, John C.</t>
        </is>
      </c>
      <c r="L492" t="inlineStr">
        <is>
          <t>New York : Warner Books, c1994.</t>
        </is>
      </c>
      <c r="M492" t="inlineStr">
        <is>
          <t>1994</t>
        </is>
      </c>
      <c r="O492" t="inlineStr">
        <is>
          <t>eng</t>
        </is>
      </c>
      <c r="P492" t="inlineStr">
        <is>
          <t>nyu</t>
        </is>
      </c>
      <c r="R492" t="inlineStr">
        <is>
          <t xml:space="preserve">E  </t>
        </is>
      </c>
      <c r="S492" t="n">
        <v>3</v>
      </c>
      <c r="T492" t="n">
        <v>3</v>
      </c>
      <c r="U492" t="inlineStr">
        <is>
          <t>1996-01-04</t>
        </is>
      </c>
      <c r="V492" t="inlineStr">
        <is>
          <t>1996-01-04</t>
        </is>
      </c>
      <c r="W492" t="inlineStr">
        <is>
          <t>1994-04-25</t>
        </is>
      </c>
      <c r="X492" t="inlineStr">
        <is>
          <t>1994-04-25</t>
        </is>
      </c>
      <c r="Y492" t="n">
        <v>1028</v>
      </c>
      <c r="Z492" t="n">
        <v>1004</v>
      </c>
      <c r="AA492" t="n">
        <v>1127</v>
      </c>
      <c r="AB492" t="n">
        <v>9</v>
      </c>
      <c r="AC492" t="n">
        <v>10</v>
      </c>
      <c r="AD492" t="n">
        <v>23</v>
      </c>
      <c r="AE492" t="n">
        <v>24</v>
      </c>
      <c r="AF492" t="n">
        <v>7</v>
      </c>
      <c r="AG492" t="n">
        <v>7</v>
      </c>
      <c r="AH492" t="n">
        <v>4</v>
      </c>
      <c r="AI492" t="n">
        <v>4</v>
      </c>
      <c r="AJ492" t="n">
        <v>13</v>
      </c>
      <c r="AK492" t="n">
        <v>14</v>
      </c>
      <c r="AL492" t="n">
        <v>5</v>
      </c>
      <c r="AM492" t="n">
        <v>5</v>
      </c>
      <c r="AN492" t="n">
        <v>0</v>
      </c>
      <c r="AO492" t="n">
        <v>0</v>
      </c>
      <c r="AP492" t="inlineStr">
        <is>
          <t>No</t>
        </is>
      </c>
      <c r="AQ492" t="inlineStr">
        <is>
          <t>No</t>
        </is>
      </c>
      <c r="AS492">
        <f>HYPERLINK("https://creighton-primo.hosted.exlibrisgroup.com/primo-explore/search?tab=default_tab&amp;search_scope=EVERYTHING&amp;vid=01CRU&amp;lang=en_US&amp;offset=0&amp;query=any,contains,991002162719702656","Catalog Record")</f>
        <v/>
      </c>
      <c r="AT492">
        <f>HYPERLINK("http://www.worldcat.org/oclc/27815547","WorldCat Record")</f>
        <v/>
      </c>
      <c r="AU492" t="inlineStr">
        <is>
          <t>339148:eng</t>
        </is>
      </c>
      <c r="AV492" t="inlineStr">
        <is>
          <t>27815547</t>
        </is>
      </c>
      <c r="AW492" t="inlineStr">
        <is>
          <t>991002162719702656</t>
        </is>
      </c>
      <c r="AX492" t="inlineStr">
        <is>
          <t>991002162719702656</t>
        </is>
      </c>
      <c r="AY492" t="inlineStr">
        <is>
          <t>2267717670002656</t>
        </is>
      </c>
      <c r="AZ492" t="inlineStr">
        <is>
          <t>BOOK</t>
        </is>
      </c>
      <c r="BB492" t="inlineStr">
        <is>
          <t>9780446515948</t>
        </is>
      </c>
      <c r="BC492" t="inlineStr">
        <is>
          <t>32285001877629</t>
        </is>
      </c>
      <c r="BD492" t="inlineStr">
        <is>
          <t>893328755</t>
        </is>
      </c>
    </row>
    <row r="493">
      <c r="A493" t="inlineStr">
        <is>
          <t>No</t>
        </is>
      </c>
      <c r="B493" t="inlineStr">
        <is>
          <t>E181.B46 M5 1985</t>
        </is>
      </c>
      <c r="C493" t="inlineStr">
        <is>
          <t>0                      E  0181000B  46                 M  5           1985</t>
        </is>
      </c>
      <c r="D493" t="inlineStr">
        <is>
          <t>Harvest of barren regrets: the army career of Frederick William Benteen, 1834-1898 / by Charles K. Mills.</t>
        </is>
      </c>
      <c r="F493" t="inlineStr">
        <is>
          <t>No</t>
        </is>
      </c>
      <c r="G493" t="inlineStr">
        <is>
          <t>1</t>
        </is>
      </c>
      <c r="H493" t="inlineStr">
        <is>
          <t>No</t>
        </is>
      </c>
      <c r="I493" t="inlineStr">
        <is>
          <t>No</t>
        </is>
      </c>
      <c r="J493" t="inlineStr">
        <is>
          <t>0</t>
        </is>
      </c>
      <c r="K493" t="inlineStr">
        <is>
          <t>Mills, Charles K.</t>
        </is>
      </c>
      <c r="L493" t="inlineStr">
        <is>
          <t>Glendale, CA : The Arthur H. Clark Company, 1985</t>
        </is>
      </c>
      <c r="M493" t="inlineStr">
        <is>
          <t>1985</t>
        </is>
      </c>
      <c r="O493" t="inlineStr">
        <is>
          <t>eng</t>
        </is>
      </c>
      <c r="P493" t="inlineStr">
        <is>
          <t>cau</t>
        </is>
      </c>
      <c r="Q493" t="inlineStr">
        <is>
          <t>Frontier military series ; v. 12</t>
        </is>
      </c>
      <c r="R493" t="inlineStr">
        <is>
          <t xml:space="preserve">E  </t>
        </is>
      </c>
      <c r="S493" t="n">
        <v>3</v>
      </c>
      <c r="T493" t="n">
        <v>3</v>
      </c>
      <c r="U493" t="inlineStr">
        <is>
          <t>2000-05-19</t>
        </is>
      </c>
      <c r="V493" t="inlineStr">
        <is>
          <t>2000-05-19</t>
        </is>
      </c>
      <c r="W493" t="inlineStr">
        <is>
          <t>1991-01-17</t>
        </is>
      </c>
      <c r="X493" t="inlineStr">
        <is>
          <t>1991-01-17</t>
        </is>
      </c>
      <c r="Y493" t="n">
        <v>209</v>
      </c>
      <c r="Z493" t="n">
        <v>202</v>
      </c>
      <c r="AA493" t="n">
        <v>231</v>
      </c>
      <c r="AB493" t="n">
        <v>3</v>
      </c>
      <c r="AC493" t="n">
        <v>9</v>
      </c>
      <c r="AD493" t="n">
        <v>4</v>
      </c>
      <c r="AE493" t="n">
        <v>6</v>
      </c>
      <c r="AF493" t="n">
        <v>0</v>
      </c>
      <c r="AG493" t="n">
        <v>0</v>
      </c>
      <c r="AH493" t="n">
        <v>0</v>
      </c>
      <c r="AI493" t="n">
        <v>0</v>
      </c>
      <c r="AJ493" t="n">
        <v>3</v>
      </c>
      <c r="AK493" t="n">
        <v>3</v>
      </c>
      <c r="AL493" t="n">
        <v>1</v>
      </c>
      <c r="AM493" t="n">
        <v>3</v>
      </c>
      <c r="AN493" t="n">
        <v>0</v>
      </c>
      <c r="AO493" t="n">
        <v>0</v>
      </c>
      <c r="AP493" t="inlineStr">
        <is>
          <t>No</t>
        </is>
      </c>
      <c r="AQ493" t="inlineStr">
        <is>
          <t>Yes</t>
        </is>
      </c>
      <c r="AR493">
        <f>HYPERLINK("http://catalog.hathitrust.org/Record/000471016","HathiTrust Record")</f>
        <v/>
      </c>
      <c r="AS493">
        <f>HYPERLINK("https://creighton-primo.hosted.exlibrisgroup.com/primo-explore/search?tab=default_tab&amp;search_scope=EVERYTHING&amp;vid=01CRU&amp;lang=en_US&amp;offset=0&amp;query=any,contains,991005405899702656","Catalog Record")</f>
        <v/>
      </c>
      <c r="AT493">
        <f>HYPERLINK("http://www.worldcat.org/oclc/12644336","WorldCat Record")</f>
        <v/>
      </c>
      <c r="AU493" t="inlineStr">
        <is>
          <t>5406844:eng</t>
        </is>
      </c>
      <c r="AV493" t="inlineStr">
        <is>
          <t>12644336</t>
        </is>
      </c>
      <c r="AW493" t="inlineStr">
        <is>
          <t>991005405899702656</t>
        </is>
      </c>
      <c r="AX493" t="inlineStr">
        <is>
          <t>991005405899702656</t>
        </is>
      </c>
      <c r="AY493" t="inlineStr">
        <is>
          <t>2260161090002656</t>
        </is>
      </c>
      <c r="AZ493" t="inlineStr">
        <is>
          <t>BOOK</t>
        </is>
      </c>
      <c r="BB493" t="inlineStr">
        <is>
          <t>9780870621604</t>
        </is>
      </c>
      <c r="BC493" t="inlineStr">
        <is>
          <t>32285000480516</t>
        </is>
      </c>
      <c r="BD493" t="inlineStr">
        <is>
          <t>893508207</t>
        </is>
      </c>
    </row>
    <row r="494">
      <c r="A494" t="inlineStr">
        <is>
          <t>No</t>
        </is>
      </c>
      <c r="B494" t="inlineStr">
        <is>
          <t>E182 .A26 1990</t>
        </is>
      </c>
      <c r="C494" t="inlineStr">
        <is>
          <t>0                      E  0182000A  26          1990</t>
        </is>
      </c>
      <c r="D494" t="inlineStr">
        <is>
          <t>Admirals of the new steel navy : makers of the American naval tradition, 1880-1930 / edited by James C. Bradford.</t>
        </is>
      </c>
      <c r="F494" t="inlineStr">
        <is>
          <t>No</t>
        </is>
      </c>
      <c r="G494" t="inlineStr">
        <is>
          <t>1</t>
        </is>
      </c>
      <c r="H494" t="inlineStr">
        <is>
          <t>No</t>
        </is>
      </c>
      <c r="I494" t="inlineStr">
        <is>
          <t>No</t>
        </is>
      </c>
      <c r="J494" t="inlineStr">
        <is>
          <t>0</t>
        </is>
      </c>
      <c r="L494" t="inlineStr">
        <is>
          <t>Annapolis, Md. : Naval Institute Press, c1990.</t>
        </is>
      </c>
      <c r="M494" t="inlineStr">
        <is>
          <t>1990</t>
        </is>
      </c>
      <c r="O494" t="inlineStr">
        <is>
          <t>eng</t>
        </is>
      </c>
      <c r="P494" t="inlineStr">
        <is>
          <t>mdu</t>
        </is>
      </c>
      <c r="Q494" t="inlineStr">
        <is>
          <t>Makers of the American naval tradition</t>
        </is>
      </c>
      <c r="R494" t="inlineStr">
        <is>
          <t xml:space="preserve">E  </t>
        </is>
      </c>
      <c r="S494" t="n">
        <v>4</v>
      </c>
      <c r="T494" t="n">
        <v>4</v>
      </c>
      <c r="U494" t="inlineStr">
        <is>
          <t>1999-10-03</t>
        </is>
      </c>
      <c r="V494" t="inlineStr">
        <is>
          <t>1999-10-03</t>
        </is>
      </c>
      <c r="W494" t="inlineStr">
        <is>
          <t>1991-06-11</t>
        </is>
      </c>
      <c r="X494" t="inlineStr">
        <is>
          <t>1991-06-11</t>
        </is>
      </c>
      <c r="Y494" t="n">
        <v>283</v>
      </c>
      <c r="Z494" t="n">
        <v>255</v>
      </c>
      <c r="AA494" t="n">
        <v>293</v>
      </c>
      <c r="AB494" t="n">
        <v>2</v>
      </c>
      <c r="AC494" t="n">
        <v>3</v>
      </c>
      <c r="AD494" t="n">
        <v>11</v>
      </c>
      <c r="AE494" t="n">
        <v>14</v>
      </c>
      <c r="AF494" t="n">
        <v>4</v>
      </c>
      <c r="AG494" t="n">
        <v>5</v>
      </c>
      <c r="AH494" t="n">
        <v>2</v>
      </c>
      <c r="AI494" t="n">
        <v>4</v>
      </c>
      <c r="AJ494" t="n">
        <v>7</v>
      </c>
      <c r="AK494" t="n">
        <v>7</v>
      </c>
      <c r="AL494" t="n">
        <v>1</v>
      </c>
      <c r="AM494" t="n">
        <v>2</v>
      </c>
      <c r="AN494" t="n">
        <v>0</v>
      </c>
      <c r="AO494" t="n">
        <v>0</v>
      </c>
      <c r="AP494" t="inlineStr">
        <is>
          <t>No</t>
        </is>
      </c>
      <c r="AQ494" t="inlineStr">
        <is>
          <t>Yes</t>
        </is>
      </c>
      <c r="AR494">
        <f>HYPERLINK("http://catalog.hathitrust.org/Record/002064304","HathiTrust Record")</f>
        <v/>
      </c>
      <c r="AS494">
        <f>HYPERLINK("https://creighton-primo.hosted.exlibrisgroup.com/primo-explore/search?tab=default_tab&amp;search_scope=EVERYTHING&amp;vid=01CRU&amp;lang=en_US&amp;offset=0&amp;query=any,contains,991001599439702656","Catalog Record")</f>
        <v/>
      </c>
      <c r="AT494">
        <f>HYPERLINK("http://www.worldcat.org/oclc/20637541","WorldCat Record")</f>
        <v/>
      </c>
      <c r="AU494" t="inlineStr">
        <is>
          <t>22628765:eng</t>
        </is>
      </c>
      <c r="AV494" t="inlineStr">
        <is>
          <t>20637541</t>
        </is>
      </c>
      <c r="AW494" t="inlineStr">
        <is>
          <t>991001599439702656</t>
        </is>
      </c>
      <c r="AX494" t="inlineStr">
        <is>
          <t>991001599439702656</t>
        </is>
      </c>
      <c r="AY494" t="inlineStr">
        <is>
          <t>2266120670002656</t>
        </is>
      </c>
      <c r="AZ494" t="inlineStr">
        <is>
          <t>BOOK</t>
        </is>
      </c>
      <c r="BB494" t="inlineStr">
        <is>
          <t>9780870210037</t>
        </is>
      </c>
      <c r="BC494" t="inlineStr">
        <is>
          <t>32285000594654</t>
        </is>
      </c>
      <c r="BD494" t="inlineStr">
        <is>
          <t>893785210</t>
        </is>
      </c>
    </row>
    <row r="495">
      <c r="A495" t="inlineStr">
        <is>
          <t>No</t>
        </is>
      </c>
      <c r="B495" t="inlineStr">
        <is>
          <t>E182 .C81</t>
        </is>
      </c>
      <c r="C495" t="inlineStr">
        <is>
          <t>0                      E  0182000C  81</t>
        </is>
      </c>
      <c r="D495" t="inlineStr">
        <is>
          <t>History of the Navy of the United States of America. By J. Fenimore Cooper. Continued to 1853. From the author's manuscripts, and other authentic sources ...</t>
        </is>
      </c>
      <c r="F495" t="inlineStr">
        <is>
          <t>No</t>
        </is>
      </c>
      <c r="G495" t="inlineStr">
        <is>
          <t>1</t>
        </is>
      </c>
      <c r="H495" t="inlineStr">
        <is>
          <t>No</t>
        </is>
      </c>
      <c r="I495" t="inlineStr">
        <is>
          <t>No</t>
        </is>
      </c>
      <c r="J495" t="inlineStr">
        <is>
          <t>0</t>
        </is>
      </c>
      <c r="K495" t="inlineStr">
        <is>
          <t>Cooper, James Fenimore, 1789-1851.</t>
        </is>
      </c>
      <c r="L495" t="inlineStr">
        <is>
          <t>New York, G.P. Putnam &amp; Co., 1853.</t>
        </is>
      </c>
      <c r="M495" t="inlineStr">
        <is>
          <t>1853</t>
        </is>
      </c>
      <c r="O495" t="inlineStr">
        <is>
          <t>eng</t>
        </is>
      </c>
      <c r="P495" t="inlineStr">
        <is>
          <t>nyu</t>
        </is>
      </c>
      <c r="R495" t="inlineStr">
        <is>
          <t xml:space="preserve">E  </t>
        </is>
      </c>
      <c r="S495" t="n">
        <v>1</v>
      </c>
      <c r="T495" t="n">
        <v>1</v>
      </c>
      <c r="U495" t="inlineStr">
        <is>
          <t>1997-04-01</t>
        </is>
      </c>
      <c r="V495" t="inlineStr">
        <is>
          <t>1997-04-01</t>
        </is>
      </c>
      <c r="W495" t="inlineStr">
        <is>
          <t>1997-04-01</t>
        </is>
      </c>
      <c r="X495" t="inlineStr">
        <is>
          <t>1997-04-01</t>
        </is>
      </c>
      <c r="Y495" t="n">
        <v>56</v>
      </c>
      <c r="Z495" t="n">
        <v>55</v>
      </c>
      <c r="AA495" t="n">
        <v>611</v>
      </c>
      <c r="AB495" t="n">
        <v>1</v>
      </c>
      <c r="AC495" t="n">
        <v>7</v>
      </c>
      <c r="AD495" t="n">
        <v>3</v>
      </c>
      <c r="AE495" t="n">
        <v>37</v>
      </c>
      <c r="AF495" t="n">
        <v>2</v>
      </c>
      <c r="AG495" t="n">
        <v>12</v>
      </c>
      <c r="AH495" t="n">
        <v>0</v>
      </c>
      <c r="AI495" t="n">
        <v>7</v>
      </c>
      <c r="AJ495" t="n">
        <v>1</v>
      </c>
      <c r="AK495" t="n">
        <v>18</v>
      </c>
      <c r="AL495" t="n">
        <v>0</v>
      </c>
      <c r="AM495" t="n">
        <v>6</v>
      </c>
      <c r="AN495" t="n">
        <v>0</v>
      </c>
      <c r="AO495" t="n">
        <v>0</v>
      </c>
      <c r="AP495" t="inlineStr">
        <is>
          <t>Yes</t>
        </is>
      </c>
      <c r="AQ495" t="inlineStr">
        <is>
          <t>No</t>
        </is>
      </c>
      <c r="AR495">
        <f>HYPERLINK("http://catalog.hathitrust.org/Record/008592119","HathiTrust Record")</f>
        <v/>
      </c>
      <c r="AS495">
        <f>HYPERLINK("https://creighton-primo.hosted.exlibrisgroup.com/primo-explore/search?tab=default_tab&amp;search_scope=EVERYTHING&amp;vid=01CRU&amp;lang=en_US&amp;offset=0&amp;query=any,contains,991004623769702656","Catalog Record")</f>
        <v/>
      </c>
      <c r="AT495">
        <f>HYPERLINK("http://www.worldcat.org/oclc/4319261","WorldCat Record")</f>
        <v/>
      </c>
      <c r="AU495" t="inlineStr">
        <is>
          <t>1254220:eng</t>
        </is>
      </c>
      <c r="AV495" t="inlineStr">
        <is>
          <t>4319261</t>
        </is>
      </c>
      <c r="AW495" t="inlineStr">
        <is>
          <t>991004623769702656</t>
        </is>
      </c>
      <c r="AX495" t="inlineStr">
        <is>
          <t>991004623769702656</t>
        </is>
      </c>
      <c r="AY495" t="inlineStr">
        <is>
          <t>2272181410002656</t>
        </is>
      </c>
      <c r="AZ495" t="inlineStr">
        <is>
          <t>BOOK</t>
        </is>
      </c>
      <c r="BC495" t="inlineStr">
        <is>
          <t>32285002477437</t>
        </is>
      </c>
      <c r="BD495" t="inlineStr">
        <is>
          <t>893247780</t>
        </is>
      </c>
    </row>
    <row r="496">
      <c r="A496" t="inlineStr">
        <is>
          <t>No</t>
        </is>
      </c>
      <c r="B496" t="inlineStr">
        <is>
          <t>E182 .H16 1991</t>
        </is>
      </c>
      <c r="C496" t="inlineStr">
        <is>
          <t>0                      E  0182000H  16          1991</t>
        </is>
      </c>
      <c r="D496" t="inlineStr">
        <is>
          <t>This people's Navy : the making of American sea power / Kenneth J. Hagan.</t>
        </is>
      </c>
      <c r="F496" t="inlineStr">
        <is>
          <t>No</t>
        </is>
      </c>
      <c r="G496" t="inlineStr">
        <is>
          <t>1</t>
        </is>
      </c>
      <c r="H496" t="inlineStr">
        <is>
          <t>No</t>
        </is>
      </c>
      <c r="I496" t="inlineStr">
        <is>
          <t>No</t>
        </is>
      </c>
      <c r="J496" t="inlineStr">
        <is>
          <t>0</t>
        </is>
      </c>
      <c r="K496" t="inlineStr">
        <is>
          <t>Hagan, Kenneth J.</t>
        </is>
      </c>
      <c r="L496" t="inlineStr">
        <is>
          <t>New York : Free Press ; Toronto : Collier Macmillan, c1991.</t>
        </is>
      </c>
      <c r="M496" t="inlineStr">
        <is>
          <t>1991</t>
        </is>
      </c>
      <c r="O496" t="inlineStr">
        <is>
          <t>eng</t>
        </is>
      </c>
      <c r="P496" t="inlineStr">
        <is>
          <t>nyu</t>
        </is>
      </c>
      <c r="R496" t="inlineStr">
        <is>
          <t xml:space="preserve">E  </t>
        </is>
      </c>
      <c r="S496" t="n">
        <v>3</v>
      </c>
      <c r="T496" t="n">
        <v>3</v>
      </c>
      <c r="U496" t="inlineStr">
        <is>
          <t>1994-11-08</t>
        </is>
      </c>
      <c r="V496" t="inlineStr">
        <is>
          <t>1994-11-08</t>
        </is>
      </c>
      <c r="W496" t="inlineStr">
        <is>
          <t>1991-06-04</t>
        </is>
      </c>
      <c r="X496" t="inlineStr">
        <is>
          <t>1991-06-04</t>
        </is>
      </c>
      <c r="Y496" t="n">
        <v>898</v>
      </c>
      <c r="Z496" t="n">
        <v>829</v>
      </c>
      <c r="AA496" t="n">
        <v>872</v>
      </c>
      <c r="AB496" t="n">
        <v>6</v>
      </c>
      <c r="AC496" t="n">
        <v>6</v>
      </c>
      <c r="AD496" t="n">
        <v>26</v>
      </c>
      <c r="AE496" t="n">
        <v>29</v>
      </c>
      <c r="AF496" t="n">
        <v>12</v>
      </c>
      <c r="AG496" t="n">
        <v>14</v>
      </c>
      <c r="AH496" t="n">
        <v>5</v>
      </c>
      <c r="AI496" t="n">
        <v>5</v>
      </c>
      <c r="AJ496" t="n">
        <v>13</v>
      </c>
      <c r="AK496" t="n">
        <v>14</v>
      </c>
      <c r="AL496" t="n">
        <v>3</v>
      </c>
      <c r="AM496" t="n">
        <v>3</v>
      </c>
      <c r="AN496" t="n">
        <v>0</v>
      </c>
      <c r="AO496" t="n">
        <v>0</v>
      </c>
      <c r="AP496" t="inlineStr">
        <is>
          <t>No</t>
        </is>
      </c>
      <c r="AQ496" t="inlineStr">
        <is>
          <t>Yes</t>
        </is>
      </c>
      <c r="AR496">
        <f>HYPERLINK("http://catalog.hathitrust.org/Record/002233635","HathiTrust Record")</f>
        <v/>
      </c>
      <c r="AS496">
        <f>HYPERLINK("https://creighton-primo.hosted.exlibrisgroup.com/primo-explore/search?tab=default_tab&amp;search_scope=EVERYTHING&amp;vid=01CRU&amp;lang=en_US&amp;offset=0&amp;query=any,contains,991001757939702656","Catalog Record")</f>
        <v/>
      </c>
      <c r="AT496">
        <f>HYPERLINK("http://www.worldcat.org/oclc/22239857","WorldCat Record")</f>
        <v/>
      </c>
      <c r="AU496" t="inlineStr">
        <is>
          <t>24502008:eng</t>
        </is>
      </c>
      <c r="AV496" t="inlineStr">
        <is>
          <t>22239857</t>
        </is>
      </c>
      <c r="AW496" t="inlineStr">
        <is>
          <t>991001757939702656</t>
        </is>
      </c>
      <c r="AX496" t="inlineStr">
        <is>
          <t>991001757939702656</t>
        </is>
      </c>
      <c r="AY496" t="inlineStr">
        <is>
          <t>2258682350002656</t>
        </is>
      </c>
      <c r="AZ496" t="inlineStr">
        <is>
          <t>BOOK</t>
        </is>
      </c>
      <c r="BB496" t="inlineStr">
        <is>
          <t>9780029134702</t>
        </is>
      </c>
      <c r="BC496" t="inlineStr">
        <is>
          <t>32285000592575</t>
        </is>
      </c>
      <c r="BD496" t="inlineStr">
        <is>
          <t>893316018</t>
        </is>
      </c>
    </row>
    <row r="497">
      <c r="A497" t="inlineStr">
        <is>
          <t>No</t>
        </is>
      </c>
      <c r="B497" t="inlineStr">
        <is>
          <t>E183 .B43 1995</t>
        </is>
      </c>
      <c r="C497" t="inlineStr">
        <is>
          <t>0                      E  0183000B  43          1995</t>
        </is>
      </c>
      <c r="D497" t="inlineStr">
        <is>
          <t>The party of fear : from nativist movements to the New Right in American history / David H. Bennett.</t>
        </is>
      </c>
      <c r="F497" t="inlineStr">
        <is>
          <t>No</t>
        </is>
      </c>
      <c r="G497" t="inlineStr">
        <is>
          <t>1</t>
        </is>
      </c>
      <c r="H497" t="inlineStr">
        <is>
          <t>No</t>
        </is>
      </c>
      <c r="I497" t="inlineStr">
        <is>
          <t>Yes</t>
        </is>
      </c>
      <c r="J497" t="inlineStr">
        <is>
          <t>0</t>
        </is>
      </c>
      <c r="K497" t="inlineStr">
        <is>
          <t>Bennett, David Harry, 1935-</t>
        </is>
      </c>
      <c r="L497" t="inlineStr">
        <is>
          <t>New York : Vintage Books, 1995.</t>
        </is>
      </c>
      <c r="M497" t="inlineStr">
        <is>
          <t>1995</t>
        </is>
      </c>
      <c r="N497" t="inlineStr">
        <is>
          <t>2nd Vintage Books ed.</t>
        </is>
      </c>
      <c r="O497" t="inlineStr">
        <is>
          <t>eng</t>
        </is>
      </c>
      <c r="P497" t="inlineStr">
        <is>
          <t>nyu</t>
        </is>
      </c>
      <c r="R497" t="inlineStr">
        <is>
          <t xml:space="preserve">E  </t>
        </is>
      </c>
      <c r="S497" t="n">
        <v>6</v>
      </c>
      <c r="T497" t="n">
        <v>6</v>
      </c>
      <c r="U497" t="inlineStr">
        <is>
          <t>1999-11-10</t>
        </is>
      </c>
      <c r="V497" t="inlineStr">
        <is>
          <t>1999-11-10</t>
        </is>
      </c>
      <c r="W497" t="inlineStr">
        <is>
          <t>1996-08-29</t>
        </is>
      </c>
      <c r="X497" t="inlineStr">
        <is>
          <t>1996-08-29</t>
        </is>
      </c>
      <c r="Y497" t="n">
        <v>146</v>
      </c>
      <c r="Z497" t="n">
        <v>129</v>
      </c>
      <c r="AA497" t="n">
        <v>994</v>
      </c>
      <c r="AB497" t="n">
        <v>2</v>
      </c>
      <c r="AC497" t="n">
        <v>6</v>
      </c>
      <c r="AD497" t="n">
        <v>9</v>
      </c>
      <c r="AE497" t="n">
        <v>43</v>
      </c>
      <c r="AF497" t="n">
        <v>4</v>
      </c>
      <c r="AG497" t="n">
        <v>17</v>
      </c>
      <c r="AH497" t="n">
        <v>1</v>
      </c>
      <c r="AI497" t="n">
        <v>9</v>
      </c>
      <c r="AJ497" t="n">
        <v>4</v>
      </c>
      <c r="AK497" t="n">
        <v>20</v>
      </c>
      <c r="AL497" t="n">
        <v>1</v>
      </c>
      <c r="AM497" t="n">
        <v>5</v>
      </c>
      <c r="AN497" t="n">
        <v>1</v>
      </c>
      <c r="AO497" t="n">
        <v>3</v>
      </c>
      <c r="AP497" t="inlineStr">
        <is>
          <t>No</t>
        </is>
      </c>
      <c r="AQ497" t="inlineStr">
        <is>
          <t>No</t>
        </is>
      </c>
      <c r="AS497">
        <f>HYPERLINK("https://creighton-primo.hosted.exlibrisgroup.com/primo-explore/search?tab=default_tab&amp;search_scope=EVERYTHING&amp;vid=01CRU&amp;lang=en_US&amp;offset=0&amp;query=any,contains,991002599489702656","Catalog Record")</f>
        <v/>
      </c>
      <c r="AT497">
        <f>HYPERLINK("http://www.worldcat.org/oclc/34063682","WorldCat Record")</f>
        <v/>
      </c>
      <c r="AU497" t="inlineStr">
        <is>
          <t>12002214:eng</t>
        </is>
      </c>
      <c r="AV497" t="inlineStr">
        <is>
          <t>34063682</t>
        </is>
      </c>
      <c r="AW497" t="inlineStr">
        <is>
          <t>991002599489702656</t>
        </is>
      </c>
      <c r="AX497" t="inlineStr">
        <is>
          <t>991002599489702656</t>
        </is>
      </c>
      <c r="AY497" t="inlineStr">
        <is>
          <t>2271059530002656</t>
        </is>
      </c>
      <c r="AZ497" t="inlineStr">
        <is>
          <t>BOOK</t>
        </is>
      </c>
      <c r="BB497" t="inlineStr">
        <is>
          <t>9780679767213</t>
        </is>
      </c>
      <c r="BC497" t="inlineStr">
        <is>
          <t>32285002293271</t>
        </is>
      </c>
      <c r="BD497" t="inlineStr">
        <is>
          <t>893233153</t>
        </is>
      </c>
    </row>
    <row r="498">
      <c r="A498" t="inlineStr">
        <is>
          <t>No</t>
        </is>
      </c>
      <c r="B498" t="inlineStr">
        <is>
          <t>E183 .B7 1991</t>
        </is>
      </c>
      <c r="C498" t="inlineStr">
        <is>
          <t>0                      E  0183000B  7           1991</t>
        </is>
      </c>
      <c r="D498" t="inlineStr">
        <is>
          <t>Congressional anecdotes / Paul F. Boller, Jr.</t>
        </is>
      </c>
      <c r="F498" t="inlineStr">
        <is>
          <t>No</t>
        </is>
      </c>
      <c r="G498" t="inlineStr">
        <is>
          <t>1</t>
        </is>
      </c>
      <c r="H498" t="inlineStr">
        <is>
          <t>No</t>
        </is>
      </c>
      <c r="I498" t="inlineStr">
        <is>
          <t>No</t>
        </is>
      </c>
      <c r="J498" t="inlineStr">
        <is>
          <t>0</t>
        </is>
      </c>
      <c r="K498" t="inlineStr">
        <is>
          <t>Boller, Paul F.</t>
        </is>
      </c>
      <c r="L498" t="inlineStr">
        <is>
          <t>New York : Oxford University Press, 1991.</t>
        </is>
      </c>
      <c r="M498" t="inlineStr">
        <is>
          <t>1991</t>
        </is>
      </c>
      <c r="O498" t="inlineStr">
        <is>
          <t>eng</t>
        </is>
      </c>
      <c r="P498" t="inlineStr">
        <is>
          <t>nyu</t>
        </is>
      </c>
      <c r="R498" t="inlineStr">
        <is>
          <t xml:space="preserve">E  </t>
        </is>
      </c>
      <c r="S498" t="n">
        <v>1</v>
      </c>
      <c r="T498" t="n">
        <v>1</v>
      </c>
      <c r="U498" t="inlineStr">
        <is>
          <t>1992-03-12</t>
        </is>
      </c>
      <c r="V498" t="inlineStr">
        <is>
          <t>1992-03-12</t>
        </is>
      </c>
      <c r="W498" t="inlineStr">
        <is>
          <t>1992-03-06</t>
        </is>
      </c>
      <c r="X498" t="inlineStr">
        <is>
          <t>1992-03-06</t>
        </is>
      </c>
      <c r="Y498" t="n">
        <v>607</v>
      </c>
      <c r="Z498" t="n">
        <v>572</v>
      </c>
      <c r="AA498" t="n">
        <v>623</v>
      </c>
      <c r="AB498" t="n">
        <v>4</v>
      </c>
      <c r="AC498" t="n">
        <v>4</v>
      </c>
      <c r="AD498" t="n">
        <v>23</v>
      </c>
      <c r="AE498" t="n">
        <v>27</v>
      </c>
      <c r="AF498" t="n">
        <v>6</v>
      </c>
      <c r="AG498" t="n">
        <v>9</v>
      </c>
      <c r="AH498" t="n">
        <v>5</v>
      </c>
      <c r="AI498" t="n">
        <v>5</v>
      </c>
      <c r="AJ498" t="n">
        <v>9</v>
      </c>
      <c r="AK498" t="n">
        <v>10</v>
      </c>
      <c r="AL498" t="n">
        <v>3</v>
      </c>
      <c r="AM498" t="n">
        <v>3</v>
      </c>
      <c r="AN498" t="n">
        <v>6</v>
      </c>
      <c r="AO498" t="n">
        <v>7</v>
      </c>
      <c r="AP498" t="inlineStr">
        <is>
          <t>No</t>
        </is>
      </c>
      <c r="AQ498" t="inlineStr">
        <is>
          <t>Yes</t>
        </is>
      </c>
      <c r="AR498">
        <f>HYPERLINK("http://catalog.hathitrust.org/Record/002477070","HathiTrust Record")</f>
        <v/>
      </c>
      <c r="AS498">
        <f>HYPERLINK("https://creighton-primo.hosted.exlibrisgroup.com/primo-explore/search?tab=default_tab&amp;search_scope=EVERYTHING&amp;vid=01CRU&amp;lang=en_US&amp;offset=0&amp;query=any,contains,991001794289702656","Catalog Record")</f>
        <v/>
      </c>
      <c r="AT498">
        <f>HYPERLINK("http://www.worldcat.org/oclc/22593392","WorldCat Record")</f>
        <v/>
      </c>
      <c r="AU498" t="inlineStr">
        <is>
          <t>24538342:eng</t>
        </is>
      </c>
      <c r="AV498" t="inlineStr">
        <is>
          <t>22593392</t>
        </is>
      </c>
      <c r="AW498" t="inlineStr">
        <is>
          <t>991001794289702656</t>
        </is>
      </c>
      <c r="AX498" t="inlineStr">
        <is>
          <t>991001794289702656</t>
        </is>
      </c>
      <c r="AY498" t="inlineStr">
        <is>
          <t>2263454410002656</t>
        </is>
      </c>
      <c r="AZ498" t="inlineStr">
        <is>
          <t>BOOK</t>
        </is>
      </c>
      <c r="BB498" t="inlineStr">
        <is>
          <t>9780195060928</t>
        </is>
      </c>
      <c r="BC498" t="inlineStr">
        <is>
          <t>32285000938208</t>
        </is>
      </c>
      <c r="BD498" t="inlineStr">
        <is>
          <t>893609150</t>
        </is>
      </c>
    </row>
    <row r="499">
      <c r="A499" t="inlineStr">
        <is>
          <t>No</t>
        </is>
      </c>
      <c r="B499" t="inlineStr">
        <is>
          <t>E183 .K65</t>
        </is>
      </c>
      <c r="C499" t="inlineStr">
        <is>
          <t>0                      E  0183000K  65</t>
        </is>
      </c>
      <c r="D499" t="inlineStr">
        <is>
          <t>The American enlightenment; the shaping of the American experiment and a free society. Selected and edited with introd. and notes by Adrienne Koch.</t>
        </is>
      </c>
      <c r="F499" t="inlineStr">
        <is>
          <t>No</t>
        </is>
      </c>
      <c r="G499" t="inlineStr">
        <is>
          <t>1</t>
        </is>
      </c>
      <c r="H499" t="inlineStr">
        <is>
          <t>No</t>
        </is>
      </c>
      <c r="I499" t="inlineStr">
        <is>
          <t>No</t>
        </is>
      </c>
      <c r="J499" t="inlineStr">
        <is>
          <t>0</t>
        </is>
      </c>
      <c r="K499" t="inlineStr">
        <is>
          <t>Koch, Adrienne, 1912-1971 editor.</t>
        </is>
      </c>
      <c r="L499" t="inlineStr">
        <is>
          <t>New York, G. Braziller [c1965]</t>
        </is>
      </c>
      <c r="M499" t="inlineStr">
        <is>
          <t>1965</t>
        </is>
      </c>
      <c r="O499" t="inlineStr">
        <is>
          <t>eng</t>
        </is>
      </c>
      <c r="P499" t="inlineStr">
        <is>
          <t>nyu</t>
        </is>
      </c>
      <c r="R499" t="inlineStr">
        <is>
          <t xml:space="preserve">E  </t>
        </is>
      </c>
      <c r="S499" t="n">
        <v>3</v>
      </c>
      <c r="T499" t="n">
        <v>3</v>
      </c>
      <c r="U499" t="inlineStr">
        <is>
          <t>2000-02-07</t>
        </is>
      </c>
      <c r="V499" t="inlineStr">
        <is>
          <t>2000-02-07</t>
        </is>
      </c>
      <c r="W499" t="inlineStr">
        <is>
          <t>1997-04-08</t>
        </is>
      </c>
      <c r="X499" t="inlineStr">
        <is>
          <t>1997-04-08</t>
        </is>
      </c>
      <c r="Y499" t="n">
        <v>1227</v>
      </c>
      <c r="Z499" t="n">
        <v>1147</v>
      </c>
      <c r="AA499" t="n">
        <v>1154</v>
      </c>
      <c r="AB499" t="n">
        <v>7</v>
      </c>
      <c r="AC499" t="n">
        <v>7</v>
      </c>
      <c r="AD499" t="n">
        <v>42</v>
      </c>
      <c r="AE499" t="n">
        <v>42</v>
      </c>
      <c r="AF499" t="n">
        <v>19</v>
      </c>
      <c r="AG499" t="n">
        <v>19</v>
      </c>
      <c r="AH499" t="n">
        <v>7</v>
      </c>
      <c r="AI499" t="n">
        <v>7</v>
      </c>
      <c r="AJ499" t="n">
        <v>19</v>
      </c>
      <c r="AK499" t="n">
        <v>19</v>
      </c>
      <c r="AL499" t="n">
        <v>6</v>
      </c>
      <c r="AM499" t="n">
        <v>6</v>
      </c>
      <c r="AN499" t="n">
        <v>1</v>
      </c>
      <c r="AO499" t="n">
        <v>1</v>
      </c>
      <c r="AP499" t="inlineStr">
        <is>
          <t>No</t>
        </is>
      </c>
      <c r="AQ499" t="inlineStr">
        <is>
          <t>No</t>
        </is>
      </c>
      <c r="AS499">
        <f>HYPERLINK("https://creighton-primo.hosted.exlibrisgroup.com/primo-explore/search?tab=default_tab&amp;search_scope=EVERYTHING&amp;vid=01CRU&amp;lang=en_US&amp;offset=0&amp;query=any,contains,991002745669702656","Catalog Record")</f>
        <v/>
      </c>
      <c r="AT499">
        <f>HYPERLINK("http://www.worldcat.org/oclc/422635","WorldCat Record")</f>
        <v/>
      </c>
      <c r="AU499" t="inlineStr">
        <is>
          <t>898457439:eng</t>
        </is>
      </c>
      <c r="AV499" t="inlineStr">
        <is>
          <t>422635</t>
        </is>
      </c>
      <c r="AW499" t="inlineStr">
        <is>
          <t>991002745669702656</t>
        </is>
      </c>
      <c r="AX499" t="inlineStr">
        <is>
          <t>991002745669702656</t>
        </is>
      </c>
      <c r="AY499" t="inlineStr">
        <is>
          <t>2267105220002656</t>
        </is>
      </c>
      <c r="AZ499" t="inlineStr">
        <is>
          <t>BOOK</t>
        </is>
      </c>
      <c r="BC499" t="inlineStr">
        <is>
          <t>32285002505807</t>
        </is>
      </c>
      <c r="BD499" t="inlineStr">
        <is>
          <t>893434246</t>
        </is>
      </c>
    </row>
    <row r="500">
      <c r="A500" t="inlineStr">
        <is>
          <t>No</t>
        </is>
      </c>
      <c r="B500" t="inlineStr">
        <is>
          <t>E183 .M147 1974</t>
        </is>
      </c>
      <c r="C500" t="inlineStr">
        <is>
          <t>0                      E  0183000M  147         1974</t>
        </is>
      </c>
      <c r="D500" t="inlineStr">
        <is>
          <t>American populism / edited, selected, and with introductions by George McKenna. --</t>
        </is>
      </c>
      <c r="F500" t="inlineStr">
        <is>
          <t>No</t>
        </is>
      </c>
      <c r="G500" t="inlineStr">
        <is>
          <t>1</t>
        </is>
      </c>
      <c r="H500" t="inlineStr">
        <is>
          <t>No</t>
        </is>
      </c>
      <c r="I500" t="inlineStr">
        <is>
          <t>No</t>
        </is>
      </c>
      <c r="J500" t="inlineStr">
        <is>
          <t>0</t>
        </is>
      </c>
      <c r="K500" t="inlineStr">
        <is>
          <t>McKenna, George, compiler.</t>
        </is>
      </c>
      <c r="L500" t="inlineStr">
        <is>
          <t>New York : Putnam, 1974.</t>
        </is>
      </c>
      <c r="M500" t="inlineStr">
        <is>
          <t>1974</t>
        </is>
      </c>
      <c r="O500" t="inlineStr">
        <is>
          <t>eng</t>
        </is>
      </c>
      <c r="P500" t="inlineStr">
        <is>
          <t>nyu</t>
        </is>
      </c>
      <c r="R500" t="inlineStr">
        <is>
          <t xml:space="preserve">E  </t>
        </is>
      </c>
      <c r="S500" t="n">
        <v>12</v>
      </c>
      <c r="T500" t="n">
        <v>12</v>
      </c>
      <c r="U500" t="inlineStr">
        <is>
          <t>1998-05-02</t>
        </is>
      </c>
      <c r="V500" t="inlineStr">
        <is>
          <t>1998-05-02</t>
        </is>
      </c>
      <c r="W500" t="inlineStr">
        <is>
          <t>1991-01-28</t>
        </is>
      </c>
      <c r="X500" t="inlineStr">
        <is>
          <t>1991-01-28</t>
        </is>
      </c>
      <c r="Y500" t="n">
        <v>738</v>
      </c>
      <c r="Z500" t="n">
        <v>678</v>
      </c>
      <c r="AA500" t="n">
        <v>680</v>
      </c>
      <c r="AB500" t="n">
        <v>5</v>
      </c>
      <c r="AC500" t="n">
        <v>5</v>
      </c>
      <c r="AD500" t="n">
        <v>27</v>
      </c>
      <c r="AE500" t="n">
        <v>27</v>
      </c>
      <c r="AF500" t="n">
        <v>8</v>
      </c>
      <c r="AG500" t="n">
        <v>8</v>
      </c>
      <c r="AH500" t="n">
        <v>9</v>
      </c>
      <c r="AI500" t="n">
        <v>9</v>
      </c>
      <c r="AJ500" t="n">
        <v>11</v>
      </c>
      <c r="AK500" t="n">
        <v>11</v>
      </c>
      <c r="AL500" t="n">
        <v>4</v>
      </c>
      <c r="AM500" t="n">
        <v>4</v>
      </c>
      <c r="AN500" t="n">
        <v>0</v>
      </c>
      <c r="AO500" t="n">
        <v>0</v>
      </c>
      <c r="AP500" t="inlineStr">
        <is>
          <t>No</t>
        </is>
      </c>
      <c r="AQ500" t="inlineStr">
        <is>
          <t>Yes</t>
        </is>
      </c>
      <c r="AR500">
        <f>HYPERLINK("http://catalog.hathitrust.org/Record/000333879","HathiTrust Record")</f>
        <v/>
      </c>
      <c r="AS500">
        <f>HYPERLINK("https://creighton-primo.hosted.exlibrisgroup.com/primo-explore/search?tab=default_tab&amp;search_scope=EVERYTHING&amp;vid=01CRU&amp;lang=en_US&amp;offset=0&amp;query=any,contains,991003586489702656","Catalog Record")</f>
        <v/>
      </c>
      <c r="AT500">
        <f>HYPERLINK("http://www.worldcat.org/oclc/1060736","WorldCat Record")</f>
        <v/>
      </c>
      <c r="AU500" t="inlineStr">
        <is>
          <t>1998724:eng</t>
        </is>
      </c>
      <c r="AV500" t="inlineStr">
        <is>
          <t>1060736</t>
        </is>
      </c>
      <c r="AW500" t="inlineStr">
        <is>
          <t>991003586489702656</t>
        </is>
      </c>
      <c r="AX500" t="inlineStr">
        <is>
          <t>991003586489702656</t>
        </is>
      </c>
      <c r="AY500" t="inlineStr">
        <is>
          <t>2267884850002656</t>
        </is>
      </c>
      <c r="AZ500" t="inlineStr">
        <is>
          <t>BOOK</t>
        </is>
      </c>
      <c r="BB500" t="inlineStr">
        <is>
          <t>9780399111167</t>
        </is>
      </c>
      <c r="BC500" t="inlineStr">
        <is>
          <t>32285000480631</t>
        </is>
      </c>
      <c r="BD500" t="inlineStr">
        <is>
          <t>893705390</t>
        </is>
      </c>
    </row>
    <row r="501">
      <c r="A501" t="inlineStr">
        <is>
          <t>No</t>
        </is>
      </c>
      <c r="B501" t="inlineStr">
        <is>
          <t>E183 .M698 2003</t>
        </is>
      </c>
      <c r="C501" t="inlineStr">
        <is>
          <t>0                      E  0183000M  698         2003</t>
        </is>
      </c>
      <c r="D501" t="inlineStr">
        <is>
          <t>Indian fighters turned American politicians : from military service to public office / Thomas G. Mitchell.</t>
        </is>
      </c>
      <c r="F501" t="inlineStr">
        <is>
          <t>No</t>
        </is>
      </c>
      <c r="G501" t="inlineStr">
        <is>
          <t>1</t>
        </is>
      </c>
      <c r="H501" t="inlineStr">
        <is>
          <t>No</t>
        </is>
      </c>
      <c r="I501" t="inlineStr">
        <is>
          <t>No</t>
        </is>
      </c>
      <c r="J501" t="inlineStr">
        <is>
          <t>0</t>
        </is>
      </c>
      <c r="K501" t="inlineStr">
        <is>
          <t>Mitchell, Thomas G., 1957-</t>
        </is>
      </c>
      <c r="L501" t="inlineStr">
        <is>
          <t>Westport, Conn. : Praeger, 2003.</t>
        </is>
      </c>
      <c r="M501" t="inlineStr">
        <is>
          <t>2003</t>
        </is>
      </c>
      <c r="O501" t="inlineStr">
        <is>
          <t>eng</t>
        </is>
      </c>
      <c r="P501" t="inlineStr">
        <is>
          <t>ctu</t>
        </is>
      </c>
      <c r="R501" t="inlineStr">
        <is>
          <t xml:space="preserve">E  </t>
        </is>
      </c>
      <c r="S501" t="n">
        <v>1</v>
      </c>
      <c r="T501" t="n">
        <v>1</v>
      </c>
      <c r="U501" t="inlineStr">
        <is>
          <t>2004-04-07</t>
        </is>
      </c>
      <c r="V501" t="inlineStr">
        <is>
          <t>2004-04-07</t>
        </is>
      </c>
      <c r="W501" t="inlineStr">
        <is>
          <t>2004-04-07</t>
        </is>
      </c>
      <c r="X501" t="inlineStr">
        <is>
          <t>2004-04-07</t>
        </is>
      </c>
      <c r="Y501" t="n">
        <v>266</v>
      </c>
      <c r="Z501" t="n">
        <v>244</v>
      </c>
      <c r="AA501" t="n">
        <v>790</v>
      </c>
      <c r="AB501" t="n">
        <v>4</v>
      </c>
      <c r="AC501" t="n">
        <v>18</v>
      </c>
      <c r="AD501" t="n">
        <v>11</v>
      </c>
      <c r="AE501" t="n">
        <v>26</v>
      </c>
      <c r="AF501" t="n">
        <v>2</v>
      </c>
      <c r="AG501" t="n">
        <v>8</v>
      </c>
      <c r="AH501" t="n">
        <v>4</v>
      </c>
      <c r="AI501" t="n">
        <v>5</v>
      </c>
      <c r="AJ501" t="n">
        <v>5</v>
      </c>
      <c r="AK501" t="n">
        <v>8</v>
      </c>
      <c r="AL501" t="n">
        <v>3</v>
      </c>
      <c r="AM501" t="n">
        <v>10</v>
      </c>
      <c r="AN501" t="n">
        <v>0</v>
      </c>
      <c r="AO501" t="n">
        <v>0</v>
      </c>
      <c r="AP501" t="inlineStr">
        <is>
          <t>No</t>
        </is>
      </c>
      <c r="AQ501" t="inlineStr">
        <is>
          <t>Yes</t>
        </is>
      </c>
      <c r="AR501">
        <f>HYPERLINK("http://catalog.hathitrust.org/Record/004353768","HathiTrust Record")</f>
        <v/>
      </c>
      <c r="AS501">
        <f>HYPERLINK("https://creighton-primo.hosted.exlibrisgroup.com/primo-explore/search?tab=default_tab&amp;search_scope=EVERYTHING&amp;vid=01CRU&amp;lang=en_US&amp;offset=0&amp;query=any,contains,991004256599702656","Catalog Record")</f>
        <v/>
      </c>
      <c r="AT501">
        <f>HYPERLINK("http://www.worldcat.org/oclc/52334998","WorldCat Record")</f>
        <v/>
      </c>
      <c r="AU501" t="inlineStr">
        <is>
          <t>801526916:eng</t>
        </is>
      </c>
      <c r="AV501" t="inlineStr">
        <is>
          <t>52334998</t>
        </is>
      </c>
      <c r="AW501" t="inlineStr">
        <is>
          <t>991004256599702656</t>
        </is>
      </c>
      <c r="AX501" t="inlineStr">
        <is>
          <t>991004256599702656</t>
        </is>
      </c>
      <c r="AY501" t="inlineStr">
        <is>
          <t>2256598150002656</t>
        </is>
      </c>
      <c r="AZ501" t="inlineStr">
        <is>
          <t>BOOK</t>
        </is>
      </c>
      <c r="BB501" t="inlineStr">
        <is>
          <t>9780275981303</t>
        </is>
      </c>
      <c r="BC501" t="inlineStr">
        <is>
          <t>32285004898507</t>
        </is>
      </c>
      <c r="BD501" t="inlineStr">
        <is>
          <t>893506633</t>
        </is>
      </c>
    </row>
    <row r="502">
      <c r="A502" t="inlineStr">
        <is>
          <t>No</t>
        </is>
      </c>
      <c r="B502" t="inlineStr">
        <is>
          <t>E183 .W54 1995</t>
        </is>
      </c>
      <c r="C502" t="inlineStr">
        <is>
          <t>0                      E  0183000W  54          1995</t>
        </is>
      </c>
      <c r="D502" t="inlineStr">
        <is>
          <t>Self-rule : a cultural history of American democracy / Robert H. Wiebe.</t>
        </is>
      </c>
      <c r="F502" t="inlineStr">
        <is>
          <t>No</t>
        </is>
      </c>
      <c r="G502" t="inlineStr">
        <is>
          <t>1</t>
        </is>
      </c>
      <c r="H502" t="inlineStr">
        <is>
          <t>No</t>
        </is>
      </c>
      <c r="I502" t="inlineStr">
        <is>
          <t>No</t>
        </is>
      </c>
      <c r="J502" t="inlineStr">
        <is>
          <t>0</t>
        </is>
      </c>
      <c r="K502" t="inlineStr">
        <is>
          <t>Wiebe, Robert H.</t>
        </is>
      </c>
      <c r="L502" t="inlineStr">
        <is>
          <t>Chicago : University of Chicago Press, 1995.</t>
        </is>
      </c>
      <c r="M502" t="inlineStr">
        <is>
          <t>1995</t>
        </is>
      </c>
      <c r="O502" t="inlineStr">
        <is>
          <t>eng</t>
        </is>
      </c>
      <c r="P502" t="inlineStr">
        <is>
          <t>ilu</t>
        </is>
      </c>
      <c r="R502" t="inlineStr">
        <is>
          <t xml:space="preserve">E  </t>
        </is>
      </c>
      <c r="S502" t="n">
        <v>1</v>
      </c>
      <c r="T502" t="n">
        <v>1</v>
      </c>
      <c r="U502" t="inlineStr">
        <is>
          <t>1996-03-25</t>
        </is>
      </c>
      <c r="V502" t="inlineStr">
        <is>
          <t>1996-03-25</t>
        </is>
      </c>
      <c r="W502" t="inlineStr">
        <is>
          <t>1995-05-17</t>
        </is>
      </c>
      <c r="X502" t="inlineStr">
        <is>
          <t>1995-05-17</t>
        </is>
      </c>
      <c r="Y502" t="n">
        <v>850</v>
      </c>
      <c r="Z502" t="n">
        <v>747</v>
      </c>
      <c r="AA502" t="n">
        <v>753</v>
      </c>
      <c r="AB502" t="n">
        <v>6</v>
      </c>
      <c r="AC502" t="n">
        <v>6</v>
      </c>
      <c r="AD502" t="n">
        <v>35</v>
      </c>
      <c r="AE502" t="n">
        <v>35</v>
      </c>
      <c r="AF502" t="n">
        <v>14</v>
      </c>
      <c r="AG502" t="n">
        <v>14</v>
      </c>
      <c r="AH502" t="n">
        <v>9</v>
      </c>
      <c r="AI502" t="n">
        <v>9</v>
      </c>
      <c r="AJ502" t="n">
        <v>15</v>
      </c>
      <c r="AK502" t="n">
        <v>15</v>
      </c>
      <c r="AL502" t="n">
        <v>5</v>
      </c>
      <c r="AM502" t="n">
        <v>5</v>
      </c>
      <c r="AN502" t="n">
        <v>2</v>
      </c>
      <c r="AO502" t="n">
        <v>2</v>
      </c>
      <c r="AP502" t="inlineStr">
        <is>
          <t>No</t>
        </is>
      </c>
      <c r="AQ502" t="inlineStr">
        <is>
          <t>No</t>
        </is>
      </c>
      <c r="AS502">
        <f>HYPERLINK("https://creighton-primo.hosted.exlibrisgroup.com/primo-explore/search?tab=default_tab&amp;search_scope=EVERYTHING&amp;vid=01CRU&amp;lang=en_US&amp;offset=0&amp;query=any,contains,991002392679702656","Catalog Record")</f>
        <v/>
      </c>
      <c r="AT502">
        <f>HYPERLINK("http://www.worldcat.org/oclc/31075676","WorldCat Record")</f>
        <v/>
      </c>
      <c r="AU502" t="inlineStr">
        <is>
          <t>32995348:eng</t>
        </is>
      </c>
      <c r="AV502" t="inlineStr">
        <is>
          <t>31075676</t>
        </is>
      </c>
      <c r="AW502" t="inlineStr">
        <is>
          <t>991002392679702656</t>
        </is>
      </c>
      <c r="AX502" t="inlineStr">
        <is>
          <t>991002392679702656</t>
        </is>
      </c>
      <c r="AY502" t="inlineStr">
        <is>
          <t>2269386410002656</t>
        </is>
      </c>
      <c r="AZ502" t="inlineStr">
        <is>
          <t>BOOK</t>
        </is>
      </c>
      <c r="BB502" t="inlineStr">
        <is>
          <t>9780226895628</t>
        </is>
      </c>
      <c r="BC502" t="inlineStr">
        <is>
          <t>32285002045879</t>
        </is>
      </c>
      <c r="BD502" t="inlineStr">
        <is>
          <t>893262254</t>
        </is>
      </c>
    </row>
    <row r="503">
      <c r="A503" t="inlineStr">
        <is>
          <t>No</t>
        </is>
      </c>
      <c r="B503" t="inlineStr">
        <is>
          <t>E183 .W57 1999</t>
        </is>
      </c>
      <c r="C503" t="inlineStr">
        <is>
          <t>0                      E  0183000W  57          1999</t>
        </is>
      </c>
      <c r="D503" t="inlineStr">
        <is>
          <t>A necessary evil : a history of American distrust of government / Garry Wills.</t>
        </is>
      </c>
      <c r="F503" t="inlineStr">
        <is>
          <t>No</t>
        </is>
      </c>
      <c r="G503" t="inlineStr">
        <is>
          <t>1</t>
        </is>
      </c>
      <c r="H503" t="inlineStr">
        <is>
          <t>No</t>
        </is>
      </c>
      <c r="I503" t="inlineStr">
        <is>
          <t>No</t>
        </is>
      </c>
      <c r="J503" t="inlineStr">
        <is>
          <t>0</t>
        </is>
      </c>
      <c r="K503" t="inlineStr">
        <is>
          <t>Wills, Garry, 1934-</t>
        </is>
      </c>
      <c r="L503" t="inlineStr">
        <is>
          <t>New York : Simon &amp; Schuster, c1999.</t>
        </is>
      </c>
      <c r="M503" t="inlineStr">
        <is>
          <t>1999</t>
        </is>
      </c>
      <c r="O503" t="inlineStr">
        <is>
          <t>eng</t>
        </is>
      </c>
      <c r="P503" t="inlineStr">
        <is>
          <t>nyu</t>
        </is>
      </c>
      <c r="R503" t="inlineStr">
        <is>
          <t xml:space="preserve">E  </t>
        </is>
      </c>
      <c r="S503" t="n">
        <v>9</v>
      </c>
      <c r="T503" t="n">
        <v>9</v>
      </c>
      <c r="U503" t="inlineStr">
        <is>
          <t>2001-03-05</t>
        </is>
      </c>
      <c r="V503" t="inlineStr">
        <is>
          <t>2001-03-05</t>
        </is>
      </c>
      <c r="W503" t="inlineStr">
        <is>
          <t>1999-10-13</t>
        </is>
      </c>
      <c r="X503" t="inlineStr">
        <is>
          <t>1999-10-13</t>
        </is>
      </c>
      <c r="Y503" t="n">
        <v>1919</v>
      </c>
      <c r="Z503" t="n">
        <v>1827</v>
      </c>
      <c r="AA503" t="n">
        <v>1893</v>
      </c>
      <c r="AB503" t="n">
        <v>15</v>
      </c>
      <c r="AC503" t="n">
        <v>16</v>
      </c>
      <c r="AD503" t="n">
        <v>53</v>
      </c>
      <c r="AE503" t="n">
        <v>55</v>
      </c>
      <c r="AF503" t="n">
        <v>23</v>
      </c>
      <c r="AG503" t="n">
        <v>24</v>
      </c>
      <c r="AH503" t="n">
        <v>10</v>
      </c>
      <c r="AI503" t="n">
        <v>10</v>
      </c>
      <c r="AJ503" t="n">
        <v>21</v>
      </c>
      <c r="AK503" t="n">
        <v>21</v>
      </c>
      <c r="AL503" t="n">
        <v>9</v>
      </c>
      <c r="AM503" t="n">
        <v>10</v>
      </c>
      <c r="AN503" t="n">
        <v>2</v>
      </c>
      <c r="AO503" t="n">
        <v>2</v>
      </c>
      <c r="AP503" t="inlineStr">
        <is>
          <t>No</t>
        </is>
      </c>
      <c r="AQ503" t="inlineStr">
        <is>
          <t>Yes</t>
        </is>
      </c>
      <c r="AR503">
        <f>HYPERLINK("http://catalog.hathitrust.org/Record/004054695","HathiTrust Record")</f>
        <v/>
      </c>
      <c r="AS503">
        <f>HYPERLINK("https://creighton-primo.hosted.exlibrisgroup.com/primo-explore/search?tab=default_tab&amp;search_scope=EVERYTHING&amp;vid=01CRU&amp;lang=en_US&amp;offset=0&amp;query=any,contains,991003033939702656","Catalog Record")</f>
        <v/>
      </c>
      <c r="AT503">
        <f>HYPERLINK("http://www.worldcat.org/oclc/41606289","WorldCat Record")</f>
        <v/>
      </c>
      <c r="AU503" t="inlineStr">
        <is>
          <t>20335333:eng</t>
        </is>
      </c>
      <c r="AV503" t="inlineStr">
        <is>
          <t>41606289</t>
        </is>
      </c>
      <c r="AW503" t="inlineStr">
        <is>
          <t>991003033939702656</t>
        </is>
      </c>
      <c r="AX503" t="inlineStr">
        <is>
          <t>991003033939702656</t>
        </is>
      </c>
      <c r="AY503" t="inlineStr">
        <is>
          <t>2258534140002656</t>
        </is>
      </c>
      <c r="AZ503" t="inlineStr">
        <is>
          <t>BOOK</t>
        </is>
      </c>
      <c r="BB503" t="inlineStr">
        <is>
          <t>9780684844893</t>
        </is>
      </c>
      <c r="BC503" t="inlineStr">
        <is>
          <t>32285003610358</t>
        </is>
      </c>
      <c r="BD503" t="inlineStr">
        <is>
          <t>893440859</t>
        </is>
      </c>
    </row>
    <row r="504">
      <c r="A504" t="inlineStr">
        <is>
          <t>No</t>
        </is>
      </c>
      <c r="B504" t="inlineStr">
        <is>
          <t>E183.7 .A56</t>
        </is>
      </c>
      <c r="C504" t="inlineStr">
        <is>
          <t>0                      E  0183700A  56</t>
        </is>
      </c>
      <c r="D504" t="inlineStr">
        <is>
          <t>American foreign relations, a historiographical review / edited by Gerald K. Haines and J. Samuel Walker.</t>
        </is>
      </c>
      <c r="F504" t="inlineStr">
        <is>
          <t>No</t>
        </is>
      </c>
      <c r="G504" t="inlineStr">
        <is>
          <t>1</t>
        </is>
      </c>
      <c r="H504" t="inlineStr">
        <is>
          <t>No</t>
        </is>
      </c>
      <c r="I504" t="inlineStr">
        <is>
          <t>No</t>
        </is>
      </c>
      <c r="J504" t="inlineStr">
        <is>
          <t>0</t>
        </is>
      </c>
      <c r="L504" t="inlineStr">
        <is>
          <t>Westport, Conn. : Greenwood Press, 1981.</t>
        </is>
      </c>
      <c r="M504" t="inlineStr">
        <is>
          <t>1981</t>
        </is>
      </c>
      <c r="O504" t="inlineStr">
        <is>
          <t>eng</t>
        </is>
      </c>
      <c r="P504" t="inlineStr">
        <is>
          <t>ctu</t>
        </is>
      </c>
      <c r="Q504" t="inlineStr">
        <is>
          <t>Contributions in American history, 0084-9219 ; no. 90</t>
        </is>
      </c>
      <c r="R504" t="inlineStr">
        <is>
          <t xml:space="preserve">E  </t>
        </is>
      </c>
      <c r="S504" t="n">
        <v>11</v>
      </c>
      <c r="T504" t="n">
        <v>11</v>
      </c>
      <c r="U504" t="inlineStr">
        <is>
          <t>1999-05-19</t>
        </is>
      </c>
      <c r="V504" t="inlineStr">
        <is>
          <t>1999-05-19</t>
        </is>
      </c>
      <c r="W504" t="inlineStr">
        <is>
          <t>1990-01-30</t>
        </is>
      </c>
      <c r="X504" t="inlineStr">
        <is>
          <t>1990-01-30</t>
        </is>
      </c>
      <c r="Y504" t="n">
        <v>618</v>
      </c>
      <c r="Z504" t="n">
        <v>529</v>
      </c>
      <c r="AA504" t="n">
        <v>533</v>
      </c>
      <c r="AB504" t="n">
        <v>5</v>
      </c>
      <c r="AC504" t="n">
        <v>5</v>
      </c>
      <c r="AD504" t="n">
        <v>21</v>
      </c>
      <c r="AE504" t="n">
        <v>21</v>
      </c>
      <c r="AF504" t="n">
        <v>7</v>
      </c>
      <c r="AG504" t="n">
        <v>7</v>
      </c>
      <c r="AH504" t="n">
        <v>4</v>
      </c>
      <c r="AI504" t="n">
        <v>4</v>
      </c>
      <c r="AJ504" t="n">
        <v>9</v>
      </c>
      <c r="AK504" t="n">
        <v>9</v>
      </c>
      <c r="AL504" t="n">
        <v>4</v>
      </c>
      <c r="AM504" t="n">
        <v>4</v>
      </c>
      <c r="AN504" t="n">
        <v>2</v>
      </c>
      <c r="AO504" t="n">
        <v>2</v>
      </c>
      <c r="AP504" t="inlineStr">
        <is>
          <t>No</t>
        </is>
      </c>
      <c r="AQ504" t="inlineStr">
        <is>
          <t>Yes</t>
        </is>
      </c>
      <c r="AR504">
        <f>HYPERLINK("http://catalog.hathitrust.org/Record/000083481","HathiTrust Record")</f>
        <v/>
      </c>
      <c r="AS504">
        <f>HYPERLINK("https://creighton-primo.hosted.exlibrisgroup.com/primo-explore/search?tab=default_tab&amp;search_scope=EVERYTHING&amp;vid=01CRU&amp;lang=en_US&amp;offset=0&amp;query=any,contains,991004919769702656","Catalog Record")</f>
        <v/>
      </c>
      <c r="AT504">
        <f>HYPERLINK("http://www.worldcat.org/oclc/6042741","WorldCat Record")</f>
        <v/>
      </c>
      <c r="AU504" t="inlineStr">
        <is>
          <t>445595:eng</t>
        </is>
      </c>
      <c r="AV504" t="inlineStr">
        <is>
          <t>6042741</t>
        </is>
      </c>
      <c r="AW504" t="inlineStr">
        <is>
          <t>991004919769702656</t>
        </is>
      </c>
      <c r="AX504" t="inlineStr">
        <is>
          <t>991004919769702656</t>
        </is>
      </c>
      <c r="AY504" t="inlineStr">
        <is>
          <t>2256397200002656</t>
        </is>
      </c>
      <c r="AZ504" t="inlineStr">
        <is>
          <t>BOOK</t>
        </is>
      </c>
      <c r="BB504" t="inlineStr">
        <is>
          <t>9780313210617</t>
        </is>
      </c>
      <c r="BC504" t="inlineStr">
        <is>
          <t>32285000031145</t>
        </is>
      </c>
      <c r="BD504" t="inlineStr">
        <is>
          <t>893263512</t>
        </is>
      </c>
    </row>
    <row r="505">
      <c r="A505" t="inlineStr">
        <is>
          <t>No</t>
        </is>
      </c>
      <c r="B505" t="inlineStr">
        <is>
          <t>E183.7 .B35 1954</t>
        </is>
      </c>
      <c r="C505" t="inlineStr">
        <is>
          <t>0                      E  0183700B  35          1954</t>
        </is>
      </c>
      <c r="D505" t="inlineStr">
        <is>
          <t>The record of American diplomacy; documents and readings in the history of American foreign relations.</t>
        </is>
      </c>
      <c r="F505" t="inlineStr">
        <is>
          <t>No</t>
        </is>
      </c>
      <c r="G505" t="inlineStr">
        <is>
          <t>1</t>
        </is>
      </c>
      <c r="H505" t="inlineStr">
        <is>
          <t>No</t>
        </is>
      </c>
      <c r="I505" t="inlineStr">
        <is>
          <t>No</t>
        </is>
      </c>
      <c r="J505" t="inlineStr">
        <is>
          <t>0</t>
        </is>
      </c>
      <c r="K505" t="inlineStr">
        <is>
          <t>Bartlett, Ruhl Jacob, 1897-1995, editor.</t>
        </is>
      </c>
      <c r="L505" t="inlineStr">
        <is>
          <t>New York, Knopf, 1954.</t>
        </is>
      </c>
      <c r="M505" t="inlineStr">
        <is>
          <t>1954</t>
        </is>
      </c>
      <c r="N505" t="inlineStr">
        <is>
          <t>3d ed., rev. and enl.</t>
        </is>
      </c>
      <c r="O505" t="inlineStr">
        <is>
          <t>eng</t>
        </is>
      </c>
      <c r="P505" t="inlineStr">
        <is>
          <t>nyu</t>
        </is>
      </c>
      <c r="R505" t="inlineStr">
        <is>
          <t xml:space="preserve">E  </t>
        </is>
      </c>
      <c r="S505" t="n">
        <v>3</v>
      </c>
      <c r="T505" t="n">
        <v>3</v>
      </c>
      <c r="U505" t="inlineStr">
        <is>
          <t>2001-04-06</t>
        </is>
      </c>
      <c r="V505" t="inlineStr">
        <is>
          <t>2001-04-06</t>
        </is>
      </c>
      <c r="W505" t="inlineStr">
        <is>
          <t>1997-04-08</t>
        </is>
      </c>
      <c r="X505" t="inlineStr">
        <is>
          <t>1997-04-08</t>
        </is>
      </c>
      <c r="Y505" t="n">
        <v>349</v>
      </c>
      <c r="Z505" t="n">
        <v>319</v>
      </c>
      <c r="AA505" t="n">
        <v>1228</v>
      </c>
      <c r="AB505" t="n">
        <v>5</v>
      </c>
      <c r="AC505" t="n">
        <v>14</v>
      </c>
      <c r="AD505" t="n">
        <v>17</v>
      </c>
      <c r="AE505" t="n">
        <v>54</v>
      </c>
      <c r="AF505" t="n">
        <v>5</v>
      </c>
      <c r="AG505" t="n">
        <v>19</v>
      </c>
      <c r="AH505" t="n">
        <v>4</v>
      </c>
      <c r="AI505" t="n">
        <v>8</v>
      </c>
      <c r="AJ505" t="n">
        <v>7</v>
      </c>
      <c r="AK505" t="n">
        <v>23</v>
      </c>
      <c r="AL505" t="n">
        <v>2</v>
      </c>
      <c r="AM505" t="n">
        <v>10</v>
      </c>
      <c r="AN505" t="n">
        <v>1</v>
      </c>
      <c r="AO505" t="n">
        <v>4</v>
      </c>
      <c r="AP505" t="inlineStr">
        <is>
          <t>No</t>
        </is>
      </c>
      <c r="AQ505" t="inlineStr">
        <is>
          <t>No</t>
        </is>
      </c>
      <c r="AR505">
        <f>HYPERLINK("http://catalog.hathitrust.org/Record/000333935","HathiTrust Record")</f>
        <v/>
      </c>
      <c r="AS505">
        <f>HYPERLINK("https://creighton-primo.hosted.exlibrisgroup.com/primo-explore/search?tab=default_tab&amp;search_scope=EVERYTHING&amp;vid=01CRU&amp;lang=en_US&amp;offset=0&amp;query=any,contains,991003673129702656","Catalog Record")</f>
        <v/>
      </c>
      <c r="AT505">
        <f>HYPERLINK("http://www.worldcat.org/oclc/1291177","WorldCat Record")</f>
        <v/>
      </c>
      <c r="AU505" t="inlineStr">
        <is>
          <t>1307092:eng</t>
        </is>
      </c>
      <c r="AV505" t="inlineStr">
        <is>
          <t>1291177</t>
        </is>
      </c>
      <c r="AW505" t="inlineStr">
        <is>
          <t>991003673129702656</t>
        </is>
      </c>
      <c r="AX505" t="inlineStr">
        <is>
          <t>991003673129702656</t>
        </is>
      </c>
      <c r="AY505" t="inlineStr">
        <is>
          <t>2255429170002656</t>
        </is>
      </c>
      <c r="AZ505" t="inlineStr">
        <is>
          <t>BOOK</t>
        </is>
      </c>
      <c r="BC505" t="inlineStr">
        <is>
          <t>32285002506037</t>
        </is>
      </c>
      <c r="BD505" t="inlineStr">
        <is>
          <t>893893981</t>
        </is>
      </c>
    </row>
    <row r="506">
      <c r="A506" t="inlineStr">
        <is>
          <t>No</t>
        </is>
      </c>
      <c r="B506" t="inlineStr">
        <is>
          <t>E183.7 .B4</t>
        </is>
      </c>
      <c r="C506" t="inlineStr">
        <is>
          <t>0                      E  0183700B  4</t>
        </is>
      </c>
      <c r="D506" t="inlineStr">
        <is>
          <t>Guide to the diplomatic history of the United States, 1775-1921 by Samuel Flagg Bemis ... and Grace Gardner Griffin ...</t>
        </is>
      </c>
      <c r="F506" t="inlineStr">
        <is>
          <t>No</t>
        </is>
      </c>
      <c r="G506" t="inlineStr">
        <is>
          <t>1</t>
        </is>
      </c>
      <c r="H506" t="inlineStr">
        <is>
          <t>No</t>
        </is>
      </c>
      <c r="I506" t="inlineStr">
        <is>
          <t>No</t>
        </is>
      </c>
      <c r="J506" t="inlineStr">
        <is>
          <t>0</t>
        </is>
      </c>
      <c r="K506" t="inlineStr">
        <is>
          <t>Bemis, Samuel Flagg, 1891-1973.</t>
        </is>
      </c>
      <c r="L506" t="inlineStr">
        <is>
          <t>Washington, U.S. Govt. print. off., 1935.</t>
        </is>
      </c>
      <c r="M506" t="inlineStr">
        <is>
          <t>1935</t>
        </is>
      </c>
      <c r="O506" t="inlineStr">
        <is>
          <t>eng</t>
        </is>
      </c>
      <c r="P506" t="inlineStr">
        <is>
          <t>dcu</t>
        </is>
      </c>
      <c r="R506" t="inlineStr">
        <is>
          <t xml:space="preserve">E  </t>
        </is>
      </c>
      <c r="S506" t="n">
        <v>4</v>
      </c>
      <c r="T506" t="n">
        <v>4</v>
      </c>
      <c r="U506" t="inlineStr">
        <is>
          <t>2001-04-06</t>
        </is>
      </c>
      <c r="V506" t="inlineStr">
        <is>
          <t>2001-04-06</t>
        </is>
      </c>
      <c r="W506" t="inlineStr">
        <is>
          <t>1997-04-08</t>
        </is>
      </c>
      <c r="X506" t="inlineStr">
        <is>
          <t>1997-04-08</t>
        </is>
      </c>
      <c r="Y506" t="n">
        <v>625</v>
      </c>
      <c r="Z506" t="n">
        <v>576</v>
      </c>
      <c r="AA506" t="n">
        <v>576</v>
      </c>
      <c r="AB506" t="n">
        <v>8</v>
      </c>
      <c r="AC506" t="n">
        <v>8</v>
      </c>
      <c r="AD506" t="n">
        <v>33</v>
      </c>
      <c r="AE506" t="n">
        <v>33</v>
      </c>
      <c r="AF506" t="n">
        <v>5</v>
      </c>
      <c r="AG506" t="n">
        <v>5</v>
      </c>
      <c r="AH506" t="n">
        <v>6</v>
      </c>
      <c r="AI506" t="n">
        <v>6</v>
      </c>
      <c r="AJ506" t="n">
        <v>17</v>
      </c>
      <c r="AK506" t="n">
        <v>17</v>
      </c>
      <c r="AL506" t="n">
        <v>7</v>
      </c>
      <c r="AM506" t="n">
        <v>7</v>
      </c>
      <c r="AN506" t="n">
        <v>3</v>
      </c>
      <c r="AO506" t="n">
        <v>3</v>
      </c>
      <c r="AP506" t="inlineStr">
        <is>
          <t>Yes</t>
        </is>
      </c>
      <c r="AQ506" t="inlineStr">
        <is>
          <t>Yes</t>
        </is>
      </c>
      <c r="AR506">
        <f>HYPERLINK("http://catalog.hathitrust.org/Record/001168234","HathiTrust Record")</f>
        <v/>
      </c>
      <c r="AS506">
        <f>HYPERLINK("https://creighton-primo.hosted.exlibrisgroup.com/primo-explore/search?tab=default_tab&amp;search_scope=EVERYTHING&amp;vid=01CRU&amp;lang=en_US&amp;offset=0&amp;query=any,contains,991002985939702656","Catalog Record")</f>
        <v/>
      </c>
      <c r="AT506">
        <f>HYPERLINK("http://www.worldcat.org/oclc/557569","WorldCat Record")</f>
        <v/>
      </c>
      <c r="AU506" t="inlineStr">
        <is>
          <t>5616057057:eng</t>
        </is>
      </c>
      <c r="AV506" t="inlineStr">
        <is>
          <t>557569</t>
        </is>
      </c>
      <c r="AW506" t="inlineStr">
        <is>
          <t>991002985939702656</t>
        </is>
      </c>
      <c r="AX506" t="inlineStr">
        <is>
          <t>991002985939702656</t>
        </is>
      </c>
      <c r="AY506" t="inlineStr">
        <is>
          <t>2261496650002656</t>
        </is>
      </c>
      <c r="AZ506" t="inlineStr">
        <is>
          <t>BOOK</t>
        </is>
      </c>
      <c r="BC506" t="inlineStr">
        <is>
          <t>32285002506045</t>
        </is>
      </c>
      <c r="BD506" t="inlineStr">
        <is>
          <t>893342101</t>
        </is>
      </c>
    </row>
    <row r="507">
      <c r="A507" t="inlineStr">
        <is>
          <t>No</t>
        </is>
      </c>
      <c r="B507" t="inlineStr">
        <is>
          <t>E183.7 .B44</t>
        </is>
      </c>
      <c r="C507" t="inlineStr">
        <is>
          <t>0                      E  0183700B  44</t>
        </is>
      </c>
      <c r="D507" t="inlineStr">
        <is>
          <t>American foreign policy and the blessings of liberty, and other essays.</t>
        </is>
      </c>
      <c r="F507" t="inlineStr">
        <is>
          <t>No</t>
        </is>
      </c>
      <c r="G507" t="inlineStr">
        <is>
          <t>1</t>
        </is>
      </c>
      <c r="H507" t="inlineStr">
        <is>
          <t>No</t>
        </is>
      </c>
      <c r="I507" t="inlineStr">
        <is>
          <t>No</t>
        </is>
      </c>
      <c r="J507" t="inlineStr">
        <is>
          <t>0</t>
        </is>
      </c>
      <c r="K507" t="inlineStr">
        <is>
          <t>Bemis, Samuel Flagg, 1891-1973.</t>
        </is>
      </c>
      <c r="L507" t="inlineStr">
        <is>
          <t>New Haven, Yale University Press, 1962.</t>
        </is>
      </c>
      <c r="M507" t="inlineStr">
        <is>
          <t>1962</t>
        </is>
      </c>
      <c r="O507" t="inlineStr">
        <is>
          <t>eng</t>
        </is>
      </c>
      <c r="P507" t="inlineStr">
        <is>
          <t>ctu</t>
        </is>
      </c>
      <c r="R507" t="inlineStr">
        <is>
          <t xml:space="preserve">E  </t>
        </is>
      </c>
      <c r="S507" t="n">
        <v>1</v>
      </c>
      <c r="T507" t="n">
        <v>1</v>
      </c>
      <c r="U507" t="inlineStr">
        <is>
          <t>1999-04-09</t>
        </is>
      </c>
      <c r="V507" t="inlineStr">
        <is>
          <t>1999-04-09</t>
        </is>
      </c>
      <c r="W507" t="inlineStr">
        <is>
          <t>1997-04-08</t>
        </is>
      </c>
      <c r="X507" t="inlineStr">
        <is>
          <t>1997-04-08</t>
        </is>
      </c>
      <c r="Y507" t="n">
        <v>828</v>
      </c>
      <c r="Z507" t="n">
        <v>742</v>
      </c>
      <c r="AA507" t="n">
        <v>763</v>
      </c>
      <c r="AB507" t="n">
        <v>6</v>
      </c>
      <c r="AC507" t="n">
        <v>6</v>
      </c>
      <c r="AD507" t="n">
        <v>32</v>
      </c>
      <c r="AE507" t="n">
        <v>33</v>
      </c>
      <c r="AF507" t="n">
        <v>11</v>
      </c>
      <c r="AG507" t="n">
        <v>11</v>
      </c>
      <c r="AH507" t="n">
        <v>7</v>
      </c>
      <c r="AI507" t="n">
        <v>8</v>
      </c>
      <c r="AJ507" t="n">
        <v>14</v>
      </c>
      <c r="AK507" t="n">
        <v>15</v>
      </c>
      <c r="AL507" t="n">
        <v>5</v>
      </c>
      <c r="AM507" t="n">
        <v>5</v>
      </c>
      <c r="AN507" t="n">
        <v>0</v>
      </c>
      <c r="AO507" t="n">
        <v>0</v>
      </c>
      <c r="AP507" t="inlineStr">
        <is>
          <t>No</t>
        </is>
      </c>
      <c r="AQ507" t="inlineStr">
        <is>
          <t>No</t>
        </is>
      </c>
      <c r="AR507">
        <f>HYPERLINK("http://catalog.hathitrust.org/Record/000333940","HathiTrust Record")</f>
        <v/>
      </c>
      <c r="AS507">
        <f>HYPERLINK("https://creighton-primo.hosted.exlibrisgroup.com/primo-explore/search?tab=default_tab&amp;search_scope=EVERYTHING&amp;vid=01CRU&amp;lang=en_US&amp;offset=0&amp;query=any,contains,991002743689702656","Catalog Record")</f>
        <v/>
      </c>
      <c r="AT507">
        <f>HYPERLINK("http://www.worldcat.org/oclc/421950","WorldCat Record")</f>
        <v/>
      </c>
      <c r="AU507" t="inlineStr">
        <is>
          <t>1506494:eng</t>
        </is>
      </c>
      <c r="AV507" t="inlineStr">
        <is>
          <t>421950</t>
        </is>
      </c>
      <c r="AW507" t="inlineStr">
        <is>
          <t>991002743689702656</t>
        </is>
      </c>
      <c r="AX507" t="inlineStr">
        <is>
          <t>991002743689702656</t>
        </is>
      </c>
      <c r="AY507" t="inlineStr">
        <is>
          <t>2270259490002656</t>
        </is>
      </c>
      <c r="AZ507" t="inlineStr">
        <is>
          <t>BOOK</t>
        </is>
      </c>
      <c r="BC507" t="inlineStr">
        <is>
          <t>32285002506052</t>
        </is>
      </c>
      <c r="BD507" t="inlineStr">
        <is>
          <t>893880348</t>
        </is>
      </c>
    </row>
    <row r="508">
      <c r="A508" t="inlineStr">
        <is>
          <t>No</t>
        </is>
      </c>
      <c r="B508" t="inlineStr">
        <is>
          <t>E183.7 .B462 v.15</t>
        </is>
      </c>
      <c r="C508" t="inlineStr">
        <is>
          <t>0                      E  0183700B  462                                                     v.15</t>
        </is>
      </c>
      <c r="D508" t="inlineStr">
        <is>
          <t>George C. Marshall / by Robert H. Ferrell.</t>
        </is>
      </c>
      <c r="E508" t="inlineStr">
        <is>
          <t>V.15</t>
        </is>
      </c>
      <c r="F508" t="inlineStr">
        <is>
          <t>No</t>
        </is>
      </c>
      <c r="G508" t="inlineStr">
        <is>
          <t>1</t>
        </is>
      </c>
      <c r="H508" t="inlineStr">
        <is>
          <t>No</t>
        </is>
      </c>
      <c r="I508" t="inlineStr">
        <is>
          <t>No</t>
        </is>
      </c>
      <c r="J508" t="inlineStr">
        <is>
          <t>0</t>
        </is>
      </c>
      <c r="K508" t="inlineStr">
        <is>
          <t>Ferrell, Robert H.</t>
        </is>
      </c>
      <c r="L508" t="inlineStr">
        <is>
          <t>New York : Cooper Square Publishers, 1965.</t>
        </is>
      </c>
      <c r="M508" t="inlineStr">
        <is>
          <t>1966</t>
        </is>
      </c>
      <c r="O508" t="inlineStr">
        <is>
          <t>eng</t>
        </is>
      </c>
      <c r="P508" t="inlineStr">
        <is>
          <t>nyu</t>
        </is>
      </c>
      <c r="Q508" t="inlineStr">
        <is>
          <t>The American Secretaries of State and their diplomacy, v. 15</t>
        </is>
      </c>
      <c r="R508" t="inlineStr">
        <is>
          <t xml:space="preserve">E  </t>
        </is>
      </c>
      <c r="S508" t="n">
        <v>6</v>
      </c>
      <c r="T508" t="n">
        <v>6</v>
      </c>
      <c r="U508" t="inlineStr">
        <is>
          <t>2000-04-13</t>
        </is>
      </c>
      <c r="V508" t="inlineStr">
        <is>
          <t>2000-04-13</t>
        </is>
      </c>
      <c r="W508" t="inlineStr">
        <is>
          <t>1993-10-13</t>
        </is>
      </c>
      <c r="X508" t="inlineStr">
        <is>
          <t>1993-10-13</t>
        </is>
      </c>
      <c r="Y508" t="n">
        <v>449</v>
      </c>
      <c r="Z508" t="n">
        <v>372</v>
      </c>
      <c r="AA508" t="n">
        <v>376</v>
      </c>
      <c r="AB508" t="n">
        <v>4</v>
      </c>
      <c r="AC508" t="n">
        <v>4</v>
      </c>
      <c r="AD508" t="n">
        <v>18</v>
      </c>
      <c r="AE508" t="n">
        <v>19</v>
      </c>
      <c r="AF508" t="n">
        <v>8</v>
      </c>
      <c r="AG508" t="n">
        <v>9</v>
      </c>
      <c r="AH508" t="n">
        <v>5</v>
      </c>
      <c r="AI508" t="n">
        <v>5</v>
      </c>
      <c r="AJ508" t="n">
        <v>9</v>
      </c>
      <c r="AK508" t="n">
        <v>9</v>
      </c>
      <c r="AL508" t="n">
        <v>3</v>
      </c>
      <c r="AM508" t="n">
        <v>3</v>
      </c>
      <c r="AN508" t="n">
        <v>0</v>
      </c>
      <c r="AO508" t="n">
        <v>0</v>
      </c>
      <c r="AP508" t="inlineStr">
        <is>
          <t>No</t>
        </is>
      </c>
      <c r="AQ508" t="inlineStr">
        <is>
          <t>No</t>
        </is>
      </c>
      <c r="AS508">
        <f>HYPERLINK("https://creighton-primo.hosted.exlibrisgroup.com/primo-explore/search?tab=default_tab&amp;search_scope=EVERYTHING&amp;vid=01CRU&amp;lang=en_US&amp;offset=0&amp;query=any,contains,991001924809702656","Catalog Record")</f>
        <v/>
      </c>
      <c r="AT508">
        <f>HYPERLINK("http://www.worldcat.org/oclc/246080","WorldCat Record")</f>
        <v/>
      </c>
      <c r="AU508" t="inlineStr">
        <is>
          <t>1399999:eng</t>
        </is>
      </c>
      <c r="AV508" t="inlineStr">
        <is>
          <t>246080</t>
        </is>
      </c>
      <c r="AW508" t="inlineStr">
        <is>
          <t>991001924809702656</t>
        </is>
      </c>
      <c r="AX508" t="inlineStr">
        <is>
          <t>991001924809702656</t>
        </is>
      </c>
      <c r="AY508" t="inlineStr">
        <is>
          <t>2257272630002656</t>
        </is>
      </c>
      <c r="AZ508" t="inlineStr">
        <is>
          <t>BOOK</t>
        </is>
      </c>
      <c r="BC508" t="inlineStr">
        <is>
          <t>32285001791812</t>
        </is>
      </c>
      <c r="BD508" t="inlineStr">
        <is>
          <t>893340837</t>
        </is>
      </c>
    </row>
    <row r="509">
      <c r="A509" t="inlineStr">
        <is>
          <t>No</t>
        </is>
      </c>
      <c r="B509" t="inlineStr">
        <is>
          <t>E183.7 .B462 v.17</t>
        </is>
      </c>
      <c r="C509" t="inlineStr">
        <is>
          <t>0                      E  0183700B  462                                                     v.17</t>
        </is>
      </c>
      <c r="D509" t="inlineStr">
        <is>
          <t>John Foster Dulles / by Louis L. Gerson.</t>
        </is>
      </c>
      <c r="E509" t="inlineStr">
        <is>
          <t>v.17*</t>
        </is>
      </c>
      <c r="F509" t="inlineStr">
        <is>
          <t>No</t>
        </is>
      </c>
      <c r="G509" t="inlineStr">
        <is>
          <t>1</t>
        </is>
      </c>
      <c r="H509" t="inlineStr">
        <is>
          <t>No</t>
        </is>
      </c>
      <c r="I509" t="inlineStr">
        <is>
          <t>No</t>
        </is>
      </c>
      <c r="J509" t="inlineStr">
        <is>
          <t>0</t>
        </is>
      </c>
      <c r="K509" t="inlineStr">
        <is>
          <t>Gerson, Louis L.</t>
        </is>
      </c>
      <c r="L509" t="inlineStr">
        <is>
          <t>New York : Cooper Square Publishers, 1967.</t>
        </is>
      </c>
      <c r="M509" t="inlineStr">
        <is>
          <t>1968</t>
        </is>
      </c>
      <c r="O509" t="inlineStr">
        <is>
          <t>eng</t>
        </is>
      </c>
      <c r="P509" t="inlineStr">
        <is>
          <t>nyu</t>
        </is>
      </c>
      <c r="Q509" t="inlineStr">
        <is>
          <t>The American Secretaries of State and their diplomacy, v. 17</t>
        </is>
      </c>
      <c r="R509" t="inlineStr">
        <is>
          <t xml:space="preserve">E  </t>
        </is>
      </c>
      <c r="S509" t="n">
        <v>4</v>
      </c>
      <c r="T509" t="n">
        <v>4</v>
      </c>
      <c r="U509" t="inlineStr">
        <is>
          <t>1993-04-08</t>
        </is>
      </c>
      <c r="V509" t="inlineStr">
        <is>
          <t>1993-04-08</t>
        </is>
      </c>
      <c r="W509" t="inlineStr">
        <is>
          <t>1992-08-07</t>
        </is>
      </c>
      <c r="X509" t="inlineStr">
        <is>
          <t>1992-08-07</t>
        </is>
      </c>
      <c r="Y509" t="n">
        <v>563</v>
      </c>
      <c r="Z509" t="n">
        <v>528</v>
      </c>
      <c r="AA509" t="n">
        <v>550</v>
      </c>
      <c r="AB509" t="n">
        <v>5</v>
      </c>
      <c r="AC509" t="n">
        <v>5</v>
      </c>
      <c r="AD509" t="n">
        <v>26</v>
      </c>
      <c r="AE509" t="n">
        <v>26</v>
      </c>
      <c r="AF509" t="n">
        <v>12</v>
      </c>
      <c r="AG509" t="n">
        <v>12</v>
      </c>
      <c r="AH509" t="n">
        <v>7</v>
      </c>
      <c r="AI509" t="n">
        <v>7</v>
      </c>
      <c r="AJ509" t="n">
        <v>10</v>
      </c>
      <c r="AK509" t="n">
        <v>10</v>
      </c>
      <c r="AL509" t="n">
        <v>4</v>
      </c>
      <c r="AM509" t="n">
        <v>4</v>
      </c>
      <c r="AN509" t="n">
        <v>1</v>
      </c>
      <c r="AO509" t="n">
        <v>1</v>
      </c>
      <c r="AP509" t="inlineStr">
        <is>
          <t>No</t>
        </is>
      </c>
      <c r="AQ509" t="inlineStr">
        <is>
          <t>Yes</t>
        </is>
      </c>
      <c r="AR509">
        <f>HYPERLINK("http://catalog.hathitrust.org/Record/000524594","HathiTrust Record")</f>
        <v/>
      </c>
      <c r="AS509">
        <f>HYPERLINK("https://creighton-primo.hosted.exlibrisgroup.com/primo-explore/search?tab=default_tab&amp;search_scope=EVERYTHING&amp;vid=01CRU&amp;lang=en_US&amp;offset=0&amp;query=any,contains,991001181759702656","Catalog Record")</f>
        <v/>
      </c>
      <c r="AT509">
        <f>HYPERLINK("http://www.worldcat.org/oclc/190603","WorldCat Record")</f>
        <v/>
      </c>
      <c r="AU509" t="inlineStr">
        <is>
          <t>3943273013:eng</t>
        </is>
      </c>
      <c r="AV509" t="inlineStr">
        <is>
          <t>190603</t>
        </is>
      </c>
      <c r="AW509" t="inlineStr">
        <is>
          <t>991001181759702656</t>
        </is>
      </c>
      <c r="AX509" t="inlineStr">
        <is>
          <t>991001181759702656</t>
        </is>
      </c>
      <c r="AY509" t="inlineStr">
        <is>
          <t>2259427010002656</t>
        </is>
      </c>
      <c r="AZ509" t="inlineStr">
        <is>
          <t>BOOK</t>
        </is>
      </c>
      <c r="BC509" t="inlineStr">
        <is>
          <t>32285001243087</t>
        </is>
      </c>
      <c r="BD509" t="inlineStr">
        <is>
          <t>893791241</t>
        </is>
      </c>
    </row>
    <row r="510">
      <c r="A510" t="inlineStr">
        <is>
          <t>No</t>
        </is>
      </c>
      <c r="B510" t="inlineStr">
        <is>
          <t>E183.7 .B698 2000</t>
        </is>
      </c>
      <c r="C510" t="inlineStr">
        <is>
          <t>0                      E  0183700B  698         2000</t>
        </is>
      </c>
      <c r="D510" t="inlineStr">
        <is>
          <t>America's way with the world / Robert M. Brown.</t>
        </is>
      </c>
      <c r="F510" t="inlineStr">
        <is>
          <t>No</t>
        </is>
      </c>
      <c r="G510" t="inlineStr">
        <is>
          <t>1</t>
        </is>
      </c>
      <c r="H510" t="inlineStr">
        <is>
          <t>No</t>
        </is>
      </c>
      <c r="I510" t="inlineStr">
        <is>
          <t>No</t>
        </is>
      </c>
      <c r="J510" t="inlineStr">
        <is>
          <t>0</t>
        </is>
      </c>
      <c r="K510" t="inlineStr">
        <is>
          <t>Brown, Robert M.</t>
        </is>
      </c>
      <c r="L510" t="inlineStr">
        <is>
          <t>Lanham, Md. : University Press of America, c2000.</t>
        </is>
      </c>
      <c r="M510" t="inlineStr">
        <is>
          <t>2000</t>
        </is>
      </c>
      <c r="O510" t="inlineStr">
        <is>
          <t>eng</t>
        </is>
      </c>
      <c r="P510" t="inlineStr">
        <is>
          <t>mdu</t>
        </is>
      </c>
      <c r="R510" t="inlineStr">
        <is>
          <t xml:space="preserve">E  </t>
        </is>
      </c>
      <c r="S510" t="n">
        <v>1</v>
      </c>
      <c r="T510" t="n">
        <v>1</v>
      </c>
      <c r="U510" t="inlineStr">
        <is>
          <t>2001-10-13</t>
        </is>
      </c>
      <c r="V510" t="inlineStr">
        <is>
          <t>2001-10-13</t>
        </is>
      </c>
      <c r="W510" t="inlineStr">
        <is>
          <t>2001-10-13</t>
        </is>
      </c>
      <c r="X510" t="inlineStr">
        <is>
          <t>2001-10-13</t>
        </is>
      </c>
      <c r="Y510" t="n">
        <v>135</v>
      </c>
      <c r="Z510" t="n">
        <v>117</v>
      </c>
      <c r="AA510" t="n">
        <v>119</v>
      </c>
      <c r="AB510" t="n">
        <v>2</v>
      </c>
      <c r="AC510" t="n">
        <v>2</v>
      </c>
      <c r="AD510" t="n">
        <v>4</v>
      </c>
      <c r="AE510" t="n">
        <v>4</v>
      </c>
      <c r="AF510" t="n">
        <v>0</v>
      </c>
      <c r="AG510" t="n">
        <v>0</v>
      </c>
      <c r="AH510" t="n">
        <v>1</v>
      </c>
      <c r="AI510" t="n">
        <v>1</v>
      </c>
      <c r="AJ510" t="n">
        <v>3</v>
      </c>
      <c r="AK510" t="n">
        <v>3</v>
      </c>
      <c r="AL510" t="n">
        <v>1</v>
      </c>
      <c r="AM510" t="n">
        <v>1</v>
      </c>
      <c r="AN510" t="n">
        <v>0</v>
      </c>
      <c r="AO510" t="n">
        <v>0</v>
      </c>
      <c r="AP510" t="inlineStr">
        <is>
          <t>No</t>
        </is>
      </c>
      <c r="AQ510" t="inlineStr">
        <is>
          <t>Yes</t>
        </is>
      </c>
      <c r="AR510">
        <f>HYPERLINK("http://catalog.hathitrust.org/Record/004138246","HathiTrust Record")</f>
        <v/>
      </c>
      <c r="AS510">
        <f>HYPERLINK("https://creighton-primo.hosted.exlibrisgroup.com/primo-explore/search?tab=default_tab&amp;search_scope=EVERYTHING&amp;vid=01CRU&amp;lang=en_US&amp;offset=0&amp;query=any,contains,991003587109702656","Catalog Record")</f>
        <v/>
      </c>
      <c r="AT510">
        <f>HYPERLINK("http://www.worldcat.org/oclc/43859386","WorldCat Record")</f>
        <v/>
      </c>
      <c r="AU510" t="inlineStr">
        <is>
          <t>33088012:eng</t>
        </is>
      </c>
      <c r="AV510" t="inlineStr">
        <is>
          <t>43859386</t>
        </is>
      </c>
      <c r="AW510" t="inlineStr">
        <is>
          <t>991003587109702656</t>
        </is>
      </c>
      <c r="AX510" t="inlineStr">
        <is>
          <t>991003587109702656</t>
        </is>
      </c>
      <c r="AY510" t="inlineStr">
        <is>
          <t>2270911070002656</t>
        </is>
      </c>
      <c r="AZ510" t="inlineStr">
        <is>
          <t>BOOK</t>
        </is>
      </c>
      <c r="BB510" t="inlineStr">
        <is>
          <t>9780761816935</t>
        </is>
      </c>
      <c r="BC510" t="inlineStr">
        <is>
          <t>32285004395686</t>
        </is>
      </c>
      <c r="BD510" t="inlineStr">
        <is>
          <t>893324222</t>
        </is>
      </c>
    </row>
    <row r="511">
      <c r="A511" t="inlineStr">
        <is>
          <t>No</t>
        </is>
      </c>
      <c r="B511" t="inlineStr">
        <is>
          <t>E183.7 .C56 1993</t>
        </is>
      </c>
      <c r="C511" t="inlineStr">
        <is>
          <t>0                      E  0183700C  56          1993</t>
        </is>
      </c>
      <c r="D511" t="inlineStr">
        <is>
          <t>Ethics, American foreign policy, and the Third World / David Louis Cingranelli.</t>
        </is>
      </c>
      <c r="F511" t="inlineStr">
        <is>
          <t>No</t>
        </is>
      </c>
      <c r="G511" t="inlineStr">
        <is>
          <t>1</t>
        </is>
      </c>
      <c r="H511" t="inlineStr">
        <is>
          <t>No</t>
        </is>
      </c>
      <c r="I511" t="inlineStr">
        <is>
          <t>No</t>
        </is>
      </c>
      <c r="J511" t="inlineStr">
        <is>
          <t>0</t>
        </is>
      </c>
      <c r="K511" t="inlineStr">
        <is>
          <t>Cingranelli, David L.</t>
        </is>
      </c>
      <c r="L511" t="inlineStr">
        <is>
          <t>New York : St. Martin's Press, c1993.</t>
        </is>
      </c>
      <c r="M511" t="inlineStr">
        <is>
          <t>1993</t>
        </is>
      </c>
      <c r="O511" t="inlineStr">
        <is>
          <t>eng</t>
        </is>
      </c>
      <c r="P511" t="inlineStr">
        <is>
          <t>nyu</t>
        </is>
      </c>
      <c r="R511" t="inlineStr">
        <is>
          <t xml:space="preserve">E  </t>
        </is>
      </c>
      <c r="S511" t="n">
        <v>2</v>
      </c>
      <c r="T511" t="n">
        <v>2</v>
      </c>
      <c r="U511" t="inlineStr">
        <is>
          <t>2003-09-30</t>
        </is>
      </c>
      <c r="V511" t="inlineStr">
        <is>
          <t>2003-09-30</t>
        </is>
      </c>
      <c r="W511" t="inlineStr">
        <is>
          <t>1993-11-02</t>
        </is>
      </c>
      <c r="X511" t="inlineStr">
        <is>
          <t>1993-11-02</t>
        </is>
      </c>
      <c r="Y511" t="n">
        <v>517</v>
      </c>
      <c r="Z511" t="n">
        <v>415</v>
      </c>
      <c r="AA511" t="n">
        <v>421</v>
      </c>
      <c r="AB511" t="n">
        <v>3</v>
      </c>
      <c r="AC511" t="n">
        <v>3</v>
      </c>
      <c r="AD511" t="n">
        <v>23</v>
      </c>
      <c r="AE511" t="n">
        <v>23</v>
      </c>
      <c r="AF511" t="n">
        <v>9</v>
      </c>
      <c r="AG511" t="n">
        <v>9</v>
      </c>
      <c r="AH511" t="n">
        <v>7</v>
      </c>
      <c r="AI511" t="n">
        <v>7</v>
      </c>
      <c r="AJ511" t="n">
        <v>10</v>
      </c>
      <c r="AK511" t="n">
        <v>10</v>
      </c>
      <c r="AL511" t="n">
        <v>2</v>
      </c>
      <c r="AM511" t="n">
        <v>2</v>
      </c>
      <c r="AN511" t="n">
        <v>1</v>
      </c>
      <c r="AO511" t="n">
        <v>1</v>
      </c>
      <c r="AP511" t="inlineStr">
        <is>
          <t>No</t>
        </is>
      </c>
      <c r="AQ511" t="inlineStr">
        <is>
          <t>No</t>
        </is>
      </c>
      <c r="AS511">
        <f>HYPERLINK("https://creighton-primo.hosted.exlibrisgroup.com/primo-explore/search?tab=default_tab&amp;search_scope=EVERYTHING&amp;vid=01CRU&amp;lang=en_US&amp;offset=0&amp;query=any,contains,991002047239702656","Catalog Record")</f>
        <v/>
      </c>
      <c r="AT511">
        <f>HYPERLINK("http://www.worldcat.org/oclc/26130919","WorldCat Record")</f>
        <v/>
      </c>
      <c r="AU511" t="inlineStr">
        <is>
          <t>330376:eng</t>
        </is>
      </c>
      <c r="AV511" t="inlineStr">
        <is>
          <t>26130919</t>
        </is>
      </c>
      <c r="AW511" t="inlineStr">
        <is>
          <t>991002047239702656</t>
        </is>
      </c>
      <c r="AX511" t="inlineStr">
        <is>
          <t>991002047239702656</t>
        </is>
      </c>
      <c r="AY511" t="inlineStr">
        <is>
          <t>2260510250002656</t>
        </is>
      </c>
      <c r="AZ511" t="inlineStr">
        <is>
          <t>BOOK</t>
        </is>
      </c>
      <c r="BB511" t="inlineStr">
        <is>
          <t>9780312056698</t>
        </is>
      </c>
      <c r="BC511" t="inlineStr">
        <is>
          <t>32285001789774</t>
        </is>
      </c>
      <c r="BD511" t="inlineStr">
        <is>
          <t>893523124</t>
        </is>
      </c>
    </row>
    <row r="512">
      <c r="A512" t="inlineStr">
        <is>
          <t>No</t>
        </is>
      </c>
      <c r="B512" t="inlineStr">
        <is>
          <t>E183.7 .C655 1983</t>
        </is>
      </c>
      <c r="C512" t="inlineStr">
        <is>
          <t>0                      E  0183700C  655         1983</t>
        </is>
      </c>
      <c r="D512" t="inlineStr">
        <is>
          <t>American diplomatic history : two centuries of changing interpretations / Jerald A. Combs.</t>
        </is>
      </c>
      <c r="F512" t="inlineStr">
        <is>
          <t>No</t>
        </is>
      </c>
      <c r="G512" t="inlineStr">
        <is>
          <t>1</t>
        </is>
      </c>
      <c r="H512" t="inlineStr">
        <is>
          <t>No</t>
        </is>
      </c>
      <c r="I512" t="inlineStr">
        <is>
          <t>No</t>
        </is>
      </c>
      <c r="J512" t="inlineStr">
        <is>
          <t>0</t>
        </is>
      </c>
      <c r="K512" t="inlineStr">
        <is>
          <t>Combs, Jerald A.</t>
        </is>
      </c>
      <c r="L512" t="inlineStr">
        <is>
          <t>Berkeley : University of California Press, c1983.</t>
        </is>
      </c>
      <c r="M512" t="inlineStr">
        <is>
          <t>1983</t>
        </is>
      </c>
      <c r="O512" t="inlineStr">
        <is>
          <t>eng</t>
        </is>
      </c>
      <c r="P512" t="inlineStr">
        <is>
          <t>cau</t>
        </is>
      </c>
      <c r="R512" t="inlineStr">
        <is>
          <t xml:space="preserve">E  </t>
        </is>
      </c>
      <c r="S512" t="n">
        <v>9</v>
      </c>
      <c r="T512" t="n">
        <v>9</v>
      </c>
      <c r="U512" t="inlineStr">
        <is>
          <t>1997-08-12</t>
        </is>
      </c>
      <c r="V512" t="inlineStr">
        <is>
          <t>1997-08-12</t>
        </is>
      </c>
      <c r="W512" t="inlineStr">
        <is>
          <t>1991-01-28</t>
        </is>
      </c>
      <c r="X512" t="inlineStr">
        <is>
          <t>1991-01-28</t>
        </is>
      </c>
      <c r="Y512" t="n">
        <v>735</v>
      </c>
      <c r="Z512" t="n">
        <v>605</v>
      </c>
      <c r="AA512" t="n">
        <v>628</v>
      </c>
      <c r="AB512" t="n">
        <v>4</v>
      </c>
      <c r="AC512" t="n">
        <v>4</v>
      </c>
      <c r="AD512" t="n">
        <v>30</v>
      </c>
      <c r="AE512" t="n">
        <v>30</v>
      </c>
      <c r="AF512" t="n">
        <v>8</v>
      </c>
      <c r="AG512" t="n">
        <v>8</v>
      </c>
      <c r="AH512" t="n">
        <v>8</v>
      </c>
      <c r="AI512" t="n">
        <v>8</v>
      </c>
      <c r="AJ512" t="n">
        <v>18</v>
      </c>
      <c r="AK512" t="n">
        <v>18</v>
      </c>
      <c r="AL512" t="n">
        <v>3</v>
      </c>
      <c r="AM512" t="n">
        <v>3</v>
      </c>
      <c r="AN512" t="n">
        <v>1</v>
      </c>
      <c r="AO512" t="n">
        <v>1</v>
      </c>
      <c r="AP512" t="inlineStr">
        <is>
          <t>No</t>
        </is>
      </c>
      <c r="AQ512" t="inlineStr">
        <is>
          <t>No</t>
        </is>
      </c>
      <c r="AS512">
        <f>HYPERLINK("https://creighton-primo.hosted.exlibrisgroup.com/primo-explore/search?tab=default_tab&amp;search_scope=EVERYTHING&amp;vid=01CRU&amp;lang=en_US&amp;offset=0&amp;query=any,contains,991005206519702656","Catalog Record")</f>
        <v/>
      </c>
      <c r="AT512">
        <f>HYPERLINK("http://www.worldcat.org/oclc/8115271","WorldCat Record")</f>
        <v/>
      </c>
      <c r="AU512" t="inlineStr">
        <is>
          <t>889753885:eng</t>
        </is>
      </c>
      <c r="AV512" t="inlineStr">
        <is>
          <t>8115271</t>
        </is>
      </c>
      <c r="AW512" t="inlineStr">
        <is>
          <t>991005206519702656</t>
        </is>
      </c>
      <c r="AX512" t="inlineStr">
        <is>
          <t>991005206519702656</t>
        </is>
      </c>
      <c r="AY512" t="inlineStr">
        <is>
          <t>2258024920002656</t>
        </is>
      </c>
      <c r="AZ512" t="inlineStr">
        <is>
          <t>BOOK</t>
        </is>
      </c>
      <c r="BB512" t="inlineStr">
        <is>
          <t>9780520045903</t>
        </is>
      </c>
      <c r="BC512" t="inlineStr">
        <is>
          <t>32285000480680</t>
        </is>
      </c>
      <c r="BD512" t="inlineStr">
        <is>
          <t>893320243</t>
        </is>
      </c>
    </row>
    <row r="513">
      <c r="A513" t="inlineStr">
        <is>
          <t>No</t>
        </is>
      </c>
      <c r="B513" t="inlineStr">
        <is>
          <t>E183.7 .C658 2003</t>
        </is>
      </c>
      <c r="C513" t="inlineStr">
        <is>
          <t>0                      E  0183700C  658         2003</t>
        </is>
      </c>
      <c r="D513" t="inlineStr">
        <is>
          <t>A companion to American foreign relations / edited by Robert D. Schulzinger.</t>
        </is>
      </c>
      <c r="F513" t="inlineStr">
        <is>
          <t>No</t>
        </is>
      </c>
      <c r="G513" t="inlineStr">
        <is>
          <t>1</t>
        </is>
      </c>
      <c r="H513" t="inlineStr">
        <is>
          <t>No</t>
        </is>
      </c>
      <c r="I513" t="inlineStr">
        <is>
          <t>No</t>
        </is>
      </c>
      <c r="J513" t="inlineStr">
        <is>
          <t>0</t>
        </is>
      </c>
      <c r="L513" t="inlineStr">
        <is>
          <t>Malden, MA : Blackwell Pub., c2003.</t>
        </is>
      </c>
      <c r="M513" t="inlineStr">
        <is>
          <t>2003</t>
        </is>
      </c>
      <c r="O513" t="inlineStr">
        <is>
          <t>eng</t>
        </is>
      </c>
      <c r="P513" t="inlineStr">
        <is>
          <t>mau</t>
        </is>
      </c>
      <c r="Q513" t="inlineStr">
        <is>
          <t>Blackwell companions to American history</t>
        </is>
      </c>
      <c r="R513" t="inlineStr">
        <is>
          <t xml:space="preserve">E  </t>
        </is>
      </c>
      <c r="S513" t="n">
        <v>3</v>
      </c>
      <c r="T513" t="n">
        <v>3</v>
      </c>
      <c r="U513" t="inlineStr">
        <is>
          <t>2005-03-15</t>
        </is>
      </c>
      <c r="V513" t="inlineStr">
        <is>
          <t>2005-03-15</t>
        </is>
      </c>
      <c r="W513" t="inlineStr">
        <is>
          <t>2004-10-07</t>
        </is>
      </c>
      <c r="X513" t="inlineStr">
        <is>
          <t>2004-10-07</t>
        </is>
      </c>
      <c r="Y513" t="n">
        <v>339</v>
      </c>
      <c r="Z513" t="n">
        <v>252</v>
      </c>
      <c r="AA513" t="n">
        <v>942</v>
      </c>
      <c r="AB513" t="n">
        <v>2</v>
      </c>
      <c r="AC513" t="n">
        <v>31</v>
      </c>
      <c r="AD513" t="n">
        <v>15</v>
      </c>
      <c r="AE513" t="n">
        <v>43</v>
      </c>
      <c r="AF513" t="n">
        <v>6</v>
      </c>
      <c r="AG513" t="n">
        <v>15</v>
      </c>
      <c r="AH513" t="n">
        <v>5</v>
      </c>
      <c r="AI513" t="n">
        <v>9</v>
      </c>
      <c r="AJ513" t="n">
        <v>7</v>
      </c>
      <c r="AK513" t="n">
        <v>12</v>
      </c>
      <c r="AL513" t="n">
        <v>1</v>
      </c>
      <c r="AM513" t="n">
        <v>12</v>
      </c>
      <c r="AN513" t="n">
        <v>0</v>
      </c>
      <c r="AO513" t="n">
        <v>1</v>
      </c>
      <c r="AP513" t="inlineStr">
        <is>
          <t>No</t>
        </is>
      </c>
      <c r="AQ513" t="inlineStr">
        <is>
          <t>No</t>
        </is>
      </c>
      <c r="AS513">
        <f>HYPERLINK("https://creighton-primo.hosted.exlibrisgroup.com/primo-explore/search?tab=default_tab&amp;search_scope=EVERYTHING&amp;vid=01CRU&amp;lang=en_US&amp;offset=0&amp;query=any,contains,991004360219702656","Catalog Record")</f>
        <v/>
      </c>
      <c r="AT513">
        <f>HYPERLINK("http://www.worldcat.org/oclc/51022575","WorldCat Record")</f>
        <v/>
      </c>
      <c r="AU513" t="inlineStr">
        <is>
          <t>871902674:eng</t>
        </is>
      </c>
      <c r="AV513" t="inlineStr">
        <is>
          <t>51022575</t>
        </is>
      </c>
      <c r="AW513" t="inlineStr">
        <is>
          <t>991004360219702656</t>
        </is>
      </c>
      <c r="AX513" t="inlineStr">
        <is>
          <t>991004360219702656</t>
        </is>
      </c>
      <c r="AY513" t="inlineStr">
        <is>
          <t>2264286330002656</t>
        </is>
      </c>
      <c r="AZ513" t="inlineStr">
        <is>
          <t>BOOK</t>
        </is>
      </c>
      <c r="BB513" t="inlineStr">
        <is>
          <t>9780631223153</t>
        </is>
      </c>
      <c r="BC513" t="inlineStr">
        <is>
          <t>32285005002240</t>
        </is>
      </c>
      <c r="BD513" t="inlineStr">
        <is>
          <t>893693850</t>
        </is>
      </c>
    </row>
    <row r="514">
      <c r="A514" t="inlineStr">
        <is>
          <t>No</t>
        </is>
      </c>
      <c r="B514" t="inlineStr">
        <is>
          <t>E183.7 .F43 1968b</t>
        </is>
      </c>
      <c r="C514" t="inlineStr">
        <is>
          <t>0                      E  0183700F  43          1968b</t>
        </is>
      </c>
      <c r="D514" t="inlineStr">
        <is>
          <t>Foundations of American diplomacy, 1775-1872, edited by Robert H. Ferrell. Cartography by Norman J. G. Pounds.</t>
        </is>
      </c>
      <c r="F514" t="inlineStr">
        <is>
          <t>No</t>
        </is>
      </c>
      <c r="G514" t="inlineStr">
        <is>
          <t>1</t>
        </is>
      </c>
      <c r="H514" t="inlineStr">
        <is>
          <t>No</t>
        </is>
      </c>
      <c r="I514" t="inlineStr">
        <is>
          <t>No</t>
        </is>
      </c>
      <c r="J514" t="inlineStr">
        <is>
          <t>0</t>
        </is>
      </c>
      <c r="K514" t="inlineStr">
        <is>
          <t>Ferrell, Robert H. compiler.</t>
        </is>
      </c>
      <c r="L514" t="inlineStr">
        <is>
          <t>Columbia, University of South Carolina Press [1968]</t>
        </is>
      </c>
      <c r="M514" t="inlineStr">
        <is>
          <t>1968</t>
        </is>
      </c>
      <c r="N514" t="inlineStr">
        <is>
          <t>[1st ed.]</t>
        </is>
      </c>
      <c r="O514" t="inlineStr">
        <is>
          <t>eng</t>
        </is>
      </c>
      <c r="P514" t="inlineStr">
        <is>
          <t>scu</t>
        </is>
      </c>
      <c r="Q514" t="inlineStr">
        <is>
          <t>Documentary history of the United States</t>
        </is>
      </c>
      <c r="R514" t="inlineStr">
        <is>
          <t xml:space="preserve">E  </t>
        </is>
      </c>
      <c r="S514" t="n">
        <v>3</v>
      </c>
      <c r="T514" t="n">
        <v>3</v>
      </c>
      <c r="U514" t="inlineStr">
        <is>
          <t>2001-04-06</t>
        </is>
      </c>
      <c r="V514" t="inlineStr">
        <is>
          <t>2001-04-06</t>
        </is>
      </c>
      <c r="W514" t="inlineStr">
        <is>
          <t>1997-04-08</t>
        </is>
      </c>
      <c r="X514" t="inlineStr">
        <is>
          <t>1997-04-08</t>
        </is>
      </c>
      <c r="Y514" t="n">
        <v>331</v>
      </c>
      <c r="Z514" t="n">
        <v>299</v>
      </c>
      <c r="AA514" t="n">
        <v>673</v>
      </c>
      <c r="AB514" t="n">
        <v>3</v>
      </c>
      <c r="AC514" t="n">
        <v>4</v>
      </c>
      <c r="AD514" t="n">
        <v>16</v>
      </c>
      <c r="AE514" t="n">
        <v>28</v>
      </c>
      <c r="AF514" t="n">
        <v>8</v>
      </c>
      <c r="AG514" t="n">
        <v>13</v>
      </c>
      <c r="AH514" t="n">
        <v>2</v>
      </c>
      <c r="AI514" t="n">
        <v>4</v>
      </c>
      <c r="AJ514" t="n">
        <v>9</v>
      </c>
      <c r="AK514" t="n">
        <v>16</v>
      </c>
      <c r="AL514" t="n">
        <v>2</v>
      </c>
      <c r="AM514" t="n">
        <v>3</v>
      </c>
      <c r="AN514" t="n">
        <v>1</v>
      </c>
      <c r="AO514" t="n">
        <v>1</v>
      </c>
      <c r="AP514" t="inlineStr">
        <is>
          <t>No</t>
        </is>
      </c>
      <c r="AQ514" t="inlineStr">
        <is>
          <t>Yes</t>
        </is>
      </c>
      <c r="AR514">
        <f>HYPERLINK("http://catalog.hathitrust.org/Record/000003220","HathiTrust Record")</f>
        <v/>
      </c>
      <c r="AS514">
        <f>HYPERLINK("https://creighton-primo.hosted.exlibrisgroup.com/primo-explore/search?tab=default_tab&amp;search_scope=EVERYTHING&amp;vid=01CRU&amp;lang=en_US&amp;offset=0&amp;query=any,contains,991001295069702656","Catalog Record")</f>
        <v/>
      </c>
      <c r="AT514">
        <f>HYPERLINK("http://www.worldcat.org/oclc/219231","WorldCat Record")</f>
        <v/>
      </c>
      <c r="AU514" t="inlineStr">
        <is>
          <t>1317535:eng</t>
        </is>
      </c>
      <c r="AV514" t="inlineStr">
        <is>
          <t>219231</t>
        </is>
      </c>
      <c r="AW514" t="inlineStr">
        <is>
          <t>991001295069702656</t>
        </is>
      </c>
      <c r="AX514" t="inlineStr">
        <is>
          <t>991001295069702656</t>
        </is>
      </c>
      <c r="AY514" t="inlineStr">
        <is>
          <t>2258196580002656</t>
        </is>
      </c>
      <c r="AZ514" t="inlineStr">
        <is>
          <t>BOOK</t>
        </is>
      </c>
      <c r="BB514" t="inlineStr">
        <is>
          <t>9780872491229</t>
        </is>
      </c>
      <c r="BC514" t="inlineStr">
        <is>
          <t>32285002506128</t>
        </is>
      </c>
      <c r="BD514" t="inlineStr">
        <is>
          <t>893522475</t>
        </is>
      </c>
    </row>
    <row r="515">
      <c r="A515" t="inlineStr">
        <is>
          <t>No</t>
        </is>
      </c>
      <c r="B515" t="inlineStr">
        <is>
          <t>E183.7 .G72</t>
        </is>
      </c>
      <c r="C515" t="inlineStr">
        <is>
          <t>0                      E  0183700G  72</t>
        </is>
      </c>
      <c r="D515" t="inlineStr">
        <is>
          <t>Crisis diplomacy : a history of U.S. intervention policies and practices.</t>
        </is>
      </c>
      <c r="F515" t="inlineStr">
        <is>
          <t>No</t>
        </is>
      </c>
      <c r="G515" t="inlineStr">
        <is>
          <t>1</t>
        </is>
      </c>
      <c r="H515" t="inlineStr">
        <is>
          <t>No</t>
        </is>
      </c>
      <c r="I515" t="inlineStr">
        <is>
          <t>No</t>
        </is>
      </c>
      <c r="J515" t="inlineStr">
        <is>
          <t>0</t>
        </is>
      </c>
      <c r="K515" t="inlineStr">
        <is>
          <t>Graber, Doris A. (Doris Appel), 1923-</t>
        </is>
      </c>
      <c r="L515" t="inlineStr">
        <is>
          <t>Washington : Public Affairs Press, [1959]</t>
        </is>
      </c>
      <c r="M515" t="inlineStr">
        <is>
          <t>1959</t>
        </is>
      </c>
      <c r="O515" t="inlineStr">
        <is>
          <t>eng</t>
        </is>
      </c>
      <c r="P515" t="inlineStr">
        <is>
          <t>dcu</t>
        </is>
      </c>
      <c r="R515" t="inlineStr">
        <is>
          <t xml:space="preserve">E  </t>
        </is>
      </c>
      <c r="S515" t="n">
        <v>4</v>
      </c>
      <c r="T515" t="n">
        <v>4</v>
      </c>
      <c r="U515" t="inlineStr">
        <is>
          <t>1994-09-21</t>
        </is>
      </c>
      <c r="V515" t="inlineStr">
        <is>
          <t>1994-09-21</t>
        </is>
      </c>
      <c r="W515" t="inlineStr">
        <is>
          <t>1993-05-03</t>
        </is>
      </c>
      <c r="X515" t="inlineStr">
        <is>
          <t>1993-05-03</t>
        </is>
      </c>
      <c r="Y515" t="n">
        <v>564</v>
      </c>
      <c r="Z515" t="n">
        <v>488</v>
      </c>
      <c r="AA515" t="n">
        <v>591</v>
      </c>
      <c r="AB515" t="n">
        <v>4</v>
      </c>
      <c r="AC515" t="n">
        <v>5</v>
      </c>
      <c r="AD515" t="n">
        <v>20</v>
      </c>
      <c r="AE515" t="n">
        <v>27</v>
      </c>
      <c r="AF515" t="n">
        <v>6</v>
      </c>
      <c r="AG515" t="n">
        <v>9</v>
      </c>
      <c r="AH515" t="n">
        <v>5</v>
      </c>
      <c r="AI515" t="n">
        <v>7</v>
      </c>
      <c r="AJ515" t="n">
        <v>10</v>
      </c>
      <c r="AK515" t="n">
        <v>10</v>
      </c>
      <c r="AL515" t="n">
        <v>3</v>
      </c>
      <c r="AM515" t="n">
        <v>3</v>
      </c>
      <c r="AN515" t="n">
        <v>0</v>
      </c>
      <c r="AO515" t="n">
        <v>3</v>
      </c>
      <c r="AP515" t="inlineStr">
        <is>
          <t>Yes</t>
        </is>
      </c>
      <c r="AQ515" t="inlineStr">
        <is>
          <t>No</t>
        </is>
      </c>
      <c r="AR515">
        <f>HYPERLINK("http://catalog.hathitrust.org/Record/000333904","HathiTrust Record")</f>
        <v/>
      </c>
      <c r="AS515">
        <f>HYPERLINK("https://creighton-primo.hosted.exlibrisgroup.com/primo-explore/search?tab=default_tab&amp;search_scope=EVERYTHING&amp;vid=01CRU&amp;lang=en_US&amp;offset=0&amp;query=any,contains,991002012479702656","Catalog Record")</f>
        <v/>
      </c>
      <c r="AT515">
        <f>HYPERLINK("http://www.worldcat.org/oclc/258918","WorldCat Record")</f>
        <v/>
      </c>
      <c r="AU515" t="inlineStr">
        <is>
          <t>234135121:eng</t>
        </is>
      </c>
      <c r="AV515" t="inlineStr">
        <is>
          <t>258918</t>
        </is>
      </c>
      <c r="AW515" t="inlineStr">
        <is>
          <t>991002012479702656</t>
        </is>
      </c>
      <c r="AX515" t="inlineStr">
        <is>
          <t>991002012479702656</t>
        </is>
      </c>
      <c r="AY515" t="inlineStr">
        <is>
          <t>2271654690002656</t>
        </is>
      </c>
      <c r="AZ515" t="inlineStr">
        <is>
          <t>BOOK</t>
        </is>
      </c>
      <c r="BC515" t="inlineStr">
        <is>
          <t>32285001632602</t>
        </is>
      </c>
      <c r="BD515" t="inlineStr">
        <is>
          <t>893328584</t>
        </is>
      </c>
    </row>
    <row r="516">
      <c r="A516" t="inlineStr">
        <is>
          <t>No</t>
        </is>
      </c>
      <c r="B516" t="inlineStr">
        <is>
          <t>E183.7 .H94 2001</t>
        </is>
      </c>
      <c r="C516" t="inlineStr">
        <is>
          <t>0                      E  0183700H  94          2001</t>
        </is>
      </c>
      <c r="D516" t="inlineStr">
        <is>
          <t>Made by the USA : the international system / Alex Roberto Hybel.</t>
        </is>
      </c>
      <c r="F516" t="inlineStr">
        <is>
          <t>No</t>
        </is>
      </c>
      <c r="G516" t="inlineStr">
        <is>
          <t>1</t>
        </is>
      </c>
      <c r="H516" t="inlineStr">
        <is>
          <t>No</t>
        </is>
      </c>
      <c r="I516" t="inlineStr">
        <is>
          <t>No</t>
        </is>
      </c>
      <c r="J516" t="inlineStr">
        <is>
          <t>0</t>
        </is>
      </c>
      <c r="K516" t="inlineStr">
        <is>
          <t>Hybel, Alex Roberto.</t>
        </is>
      </c>
      <c r="L516" t="inlineStr">
        <is>
          <t>New York : Palgrave, 2001.</t>
        </is>
      </c>
      <c r="M516" t="inlineStr">
        <is>
          <t>2001</t>
        </is>
      </c>
      <c r="N516" t="inlineStr">
        <is>
          <t>1st ed.</t>
        </is>
      </c>
      <c r="O516" t="inlineStr">
        <is>
          <t>eng</t>
        </is>
      </c>
      <c r="P516" t="inlineStr">
        <is>
          <t>nyu</t>
        </is>
      </c>
      <c r="R516" t="inlineStr">
        <is>
          <t xml:space="preserve">E  </t>
        </is>
      </c>
      <c r="S516" t="n">
        <v>1</v>
      </c>
      <c r="T516" t="n">
        <v>1</v>
      </c>
      <c r="U516" t="inlineStr">
        <is>
          <t>2002-10-17</t>
        </is>
      </c>
      <c r="V516" t="inlineStr">
        <is>
          <t>2002-10-17</t>
        </is>
      </c>
      <c r="W516" t="inlineStr">
        <is>
          <t>2002-10-17</t>
        </is>
      </c>
      <c r="X516" t="inlineStr">
        <is>
          <t>2002-10-17</t>
        </is>
      </c>
      <c r="Y516" t="n">
        <v>331</v>
      </c>
      <c r="Z516" t="n">
        <v>277</v>
      </c>
      <c r="AA516" t="n">
        <v>322</v>
      </c>
      <c r="AB516" t="n">
        <v>5</v>
      </c>
      <c r="AC516" t="n">
        <v>5</v>
      </c>
      <c r="AD516" t="n">
        <v>21</v>
      </c>
      <c r="AE516" t="n">
        <v>21</v>
      </c>
      <c r="AF516" t="n">
        <v>8</v>
      </c>
      <c r="AG516" t="n">
        <v>8</v>
      </c>
      <c r="AH516" t="n">
        <v>5</v>
      </c>
      <c r="AI516" t="n">
        <v>5</v>
      </c>
      <c r="AJ516" t="n">
        <v>9</v>
      </c>
      <c r="AK516" t="n">
        <v>9</v>
      </c>
      <c r="AL516" t="n">
        <v>4</v>
      </c>
      <c r="AM516" t="n">
        <v>4</v>
      </c>
      <c r="AN516" t="n">
        <v>0</v>
      </c>
      <c r="AO516" t="n">
        <v>0</v>
      </c>
      <c r="AP516" t="inlineStr">
        <is>
          <t>No</t>
        </is>
      </c>
      <c r="AQ516" t="inlineStr">
        <is>
          <t>No</t>
        </is>
      </c>
      <c r="AS516">
        <f>HYPERLINK("https://creighton-primo.hosted.exlibrisgroup.com/primo-explore/search?tab=default_tab&amp;search_scope=EVERYTHING&amp;vid=01CRU&amp;lang=en_US&amp;offset=0&amp;query=any,contains,991003874659702656","Catalog Record")</f>
        <v/>
      </c>
      <c r="AT516">
        <f>HYPERLINK("http://www.worldcat.org/oclc/45634609","WorldCat Record")</f>
        <v/>
      </c>
      <c r="AU516" t="inlineStr">
        <is>
          <t>793897364:eng</t>
        </is>
      </c>
      <c r="AV516" t="inlineStr">
        <is>
          <t>45634609</t>
        </is>
      </c>
      <c r="AW516" t="inlineStr">
        <is>
          <t>991003874659702656</t>
        </is>
      </c>
      <c r="AX516" t="inlineStr">
        <is>
          <t>991003874659702656</t>
        </is>
      </c>
      <c r="AY516" t="inlineStr">
        <is>
          <t>2260531860002656</t>
        </is>
      </c>
      <c r="AZ516" t="inlineStr">
        <is>
          <t>BOOK</t>
        </is>
      </c>
      <c r="BB516" t="inlineStr">
        <is>
          <t>9780312238926</t>
        </is>
      </c>
      <c r="BC516" t="inlineStr">
        <is>
          <t>32285004655840</t>
        </is>
      </c>
      <c r="BD516" t="inlineStr">
        <is>
          <t>893699527</t>
        </is>
      </c>
    </row>
    <row r="517">
      <c r="A517" t="inlineStr">
        <is>
          <t>No</t>
        </is>
      </c>
      <c r="B517" t="inlineStr">
        <is>
          <t>E183.7 .V66 1997</t>
        </is>
      </c>
      <c r="C517" t="inlineStr">
        <is>
          <t>0                      E  0183700V  66          1997</t>
        </is>
      </c>
      <c r="D517" t="inlineStr">
        <is>
          <t>American foreign policy : consensus at home, leadership abroad / Karl von Vorys.</t>
        </is>
      </c>
      <c r="F517" t="inlineStr">
        <is>
          <t>No</t>
        </is>
      </c>
      <c r="G517" t="inlineStr">
        <is>
          <t>1</t>
        </is>
      </c>
      <c r="H517" t="inlineStr">
        <is>
          <t>No</t>
        </is>
      </c>
      <c r="I517" t="inlineStr">
        <is>
          <t>No</t>
        </is>
      </c>
      <c r="J517" t="inlineStr">
        <is>
          <t>0</t>
        </is>
      </c>
      <c r="K517" t="inlineStr">
        <is>
          <t>Von Vorys, Karl.</t>
        </is>
      </c>
      <c r="L517" t="inlineStr">
        <is>
          <t>Westport, Conn. : Praeger, 1997.</t>
        </is>
      </c>
      <c r="M517" t="inlineStr">
        <is>
          <t>1997</t>
        </is>
      </c>
      <c r="O517" t="inlineStr">
        <is>
          <t>eng</t>
        </is>
      </c>
      <c r="P517" t="inlineStr">
        <is>
          <t>ctu</t>
        </is>
      </c>
      <c r="R517" t="inlineStr">
        <is>
          <t xml:space="preserve">E  </t>
        </is>
      </c>
      <c r="S517" t="n">
        <v>2</v>
      </c>
      <c r="T517" t="n">
        <v>2</v>
      </c>
      <c r="U517" t="inlineStr">
        <is>
          <t>1998-11-19</t>
        </is>
      </c>
      <c r="V517" t="inlineStr">
        <is>
          <t>1998-11-19</t>
        </is>
      </c>
      <c r="W517" t="inlineStr">
        <is>
          <t>1998-11-09</t>
        </is>
      </c>
      <c r="X517" t="inlineStr">
        <is>
          <t>1998-11-09</t>
        </is>
      </c>
      <c r="Y517" t="n">
        <v>276</v>
      </c>
      <c r="Z517" t="n">
        <v>226</v>
      </c>
      <c r="AA517" t="n">
        <v>228</v>
      </c>
      <c r="AB517" t="n">
        <v>3</v>
      </c>
      <c r="AC517" t="n">
        <v>3</v>
      </c>
      <c r="AD517" t="n">
        <v>13</v>
      </c>
      <c r="AE517" t="n">
        <v>13</v>
      </c>
      <c r="AF517" t="n">
        <v>3</v>
      </c>
      <c r="AG517" t="n">
        <v>3</v>
      </c>
      <c r="AH517" t="n">
        <v>4</v>
      </c>
      <c r="AI517" t="n">
        <v>4</v>
      </c>
      <c r="AJ517" t="n">
        <v>8</v>
      </c>
      <c r="AK517" t="n">
        <v>8</v>
      </c>
      <c r="AL517" t="n">
        <v>2</v>
      </c>
      <c r="AM517" t="n">
        <v>2</v>
      </c>
      <c r="AN517" t="n">
        <v>0</v>
      </c>
      <c r="AO517" t="n">
        <v>0</v>
      </c>
      <c r="AP517" t="inlineStr">
        <is>
          <t>No</t>
        </is>
      </c>
      <c r="AQ517" t="inlineStr">
        <is>
          <t>Yes</t>
        </is>
      </c>
      <c r="AR517">
        <f>HYPERLINK("http://catalog.hathitrust.org/Record/003954610","HathiTrust Record")</f>
        <v/>
      </c>
      <c r="AS517">
        <f>HYPERLINK("https://creighton-primo.hosted.exlibrisgroup.com/primo-explore/search?tab=default_tab&amp;search_scope=EVERYTHING&amp;vid=01CRU&amp;lang=en_US&amp;offset=0&amp;query=any,contains,991002772989702656","Catalog Record")</f>
        <v/>
      </c>
      <c r="AT517">
        <f>HYPERLINK("http://www.worldcat.org/oclc/36417756","WorldCat Record")</f>
        <v/>
      </c>
      <c r="AU517" t="inlineStr">
        <is>
          <t>340377921:eng</t>
        </is>
      </c>
      <c r="AV517" t="inlineStr">
        <is>
          <t>36417756</t>
        </is>
      </c>
      <c r="AW517" t="inlineStr">
        <is>
          <t>991002772989702656</t>
        </is>
      </c>
      <c r="AX517" t="inlineStr">
        <is>
          <t>991002772989702656</t>
        </is>
      </c>
      <c r="AY517" t="inlineStr">
        <is>
          <t>2258485720002656</t>
        </is>
      </c>
      <c r="AZ517" t="inlineStr">
        <is>
          <t>BOOK</t>
        </is>
      </c>
      <c r="BB517" t="inlineStr">
        <is>
          <t>9780275957292</t>
        </is>
      </c>
      <c r="BC517" t="inlineStr">
        <is>
          <t>32285003486817</t>
        </is>
      </c>
      <c r="BD517" t="inlineStr">
        <is>
          <t>893691987</t>
        </is>
      </c>
    </row>
    <row r="518">
      <c r="A518" t="inlineStr">
        <is>
          <t>No</t>
        </is>
      </c>
      <c r="B518" t="inlineStr">
        <is>
          <t>E183.7 .W85 1992</t>
        </is>
      </c>
      <c r="C518" t="inlineStr">
        <is>
          <t>0                      E  0183700W  85          1992</t>
        </is>
      </c>
      <c r="D518" t="inlineStr">
        <is>
          <t>Women and American foreign policy : lobbyists, critics, and insiders / edited by Edward P. Crapol.</t>
        </is>
      </c>
      <c r="F518" t="inlineStr">
        <is>
          <t>No</t>
        </is>
      </c>
      <c r="G518" t="inlineStr">
        <is>
          <t>1</t>
        </is>
      </c>
      <c r="H518" t="inlineStr">
        <is>
          <t>No</t>
        </is>
      </c>
      <c r="I518" t="inlineStr">
        <is>
          <t>No</t>
        </is>
      </c>
      <c r="J518" t="inlineStr">
        <is>
          <t>0</t>
        </is>
      </c>
      <c r="L518" t="inlineStr">
        <is>
          <t>Wilmington, Del. : SR Books, c1992.</t>
        </is>
      </c>
      <c r="M518" t="inlineStr">
        <is>
          <t>1992</t>
        </is>
      </c>
      <c r="N518" t="inlineStr">
        <is>
          <t>2nd ed.</t>
        </is>
      </c>
      <c r="O518" t="inlineStr">
        <is>
          <t>eng</t>
        </is>
      </c>
      <c r="P518" t="inlineStr">
        <is>
          <t>deu</t>
        </is>
      </c>
      <c r="Q518" t="inlineStr">
        <is>
          <t>America in the modern world</t>
        </is>
      </c>
      <c r="R518" t="inlineStr">
        <is>
          <t xml:space="preserve">E  </t>
        </is>
      </c>
      <c r="S518" t="n">
        <v>4</v>
      </c>
      <c r="T518" t="n">
        <v>4</v>
      </c>
      <c r="U518" t="inlineStr">
        <is>
          <t>1995-03-22</t>
        </is>
      </c>
      <c r="V518" t="inlineStr">
        <is>
          <t>1995-03-22</t>
        </is>
      </c>
      <c r="W518" t="inlineStr">
        <is>
          <t>1992-09-23</t>
        </is>
      </c>
      <c r="X518" t="inlineStr">
        <is>
          <t>1992-09-23</t>
        </is>
      </c>
      <c r="Y518" t="n">
        <v>329</v>
      </c>
      <c r="Z518" t="n">
        <v>291</v>
      </c>
      <c r="AA518" t="n">
        <v>584</v>
      </c>
      <c r="AB518" t="n">
        <v>4</v>
      </c>
      <c r="AC518" t="n">
        <v>5</v>
      </c>
      <c r="AD518" t="n">
        <v>15</v>
      </c>
      <c r="AE518" t="n">
        <v>30</v>
      </c>
      <c r="AF518" t="n">
        <v>5</v>
      </c>
      <c r="AG518" t="n">
        <v>11</v>
      </c>
      <c r="AH518" t="n">
        <v>5</v>
      </c>
      <c r="AI518" t="n">
        <v>9</v>
      </c>
      <c r="AJ518" t="n">
        <v>7</v>
      </c>
      <c r="AK518" t="n">
        <v>14</v>
      </c>
      <c r="AL518" t="n">
        <v>3</v>
      </c>
      <c r="AM518" t="n">
        <v>4</v>
      </c>
      <c r="AN518" t="n">
        <v>0</v>
      </c>
      <c r="AO518" t="n">
        <v>0</v>
      </c>
      <c r="AP518" t="inlineStr">
        <is>
          <t>No</t>
        </is>
      </c>
      <c r="AQ518" t="inlineStr">
        <is>
          <t>Yes</t>
        </is>
      </c>
      <c r="AR518">
        <f>HYPERLINK("http://catalog.hathitrust.org/Record/002547006","HathiTrust Record")</f>
        <v/>
      </c>
      <c r="AS518">
        <f>HYPERLINK("https://creighton-primo.hosted.exlibrisgroup.com/primo-explore/search?tab=default_tab&amp;search_scope=EVERYTHING&amp;vid=01CRU&amp;lang=en_US&amp;offset=0&amp;query=any,contains,991001970319702656","Catalog Record")</f>
        <v/>
      </c>
      <c r="AT518">
        <f>HYPERLINK("http://www.worldcat.org/oclc/25008147","WorldCat Record")</f>
        <v/>
      </c>
      <c r="AU518" t="inlineStr">
        <is>
          <t>836633381:eng</t>
        </is>
      </c>
      <c r="AV518" t="inlineStr">
        <is>
          <t>25008147</t>
        </is>
      </c>
      <c r="AW518" t="inlineStr">
        <is>
          <t>991001970319702656</t>
        </is>
      </c>
      <c r="AX518" t="inlineStr">
        <is>
          <t>991001970319702656</t>
        </is>
      </c>
      <c r="AY518" t="inlineStr">
        <is>
          <t>2268947600002656</t>
        </is>
      </c>
      <c r="AZ518" t="inlineStr">
        <is>
          <t>BOOK</t>
        </is>
      </c>
      <c r="BB518" t="inlineStr">
        <is>
          <t>9780842024303</t>
        </is>
      </c>
      <c r="BC518" t="inlineStr">
        <is>
          <t>32285001288942</t>
        </is>
      </c>
      <c r="BD518" t="inlineStr">
        <is>
          <t>893408534</t>
        </is>
      </c>
    </row>
    <row r="519">
      <c r="A519" t="inlineStr">
        <is>
          <t>No</t>
        </is>
      </c>
      <c r="B519" t="inlineStr">
        <is>
          <t>E183.8.A7 W66</t>
        </is>
      </c>
      <c r="C519" t="inlineStr">
        <is>
          <t>0                      E  0183800A  7                  W  66</t>
        </is>
      </c>
      <c r="D519" t="inlineStr">
        <is>
          <t>The Roosevelt foreign-policy establishment and the "good neighbor" : the United States and Argentina, 1941-1945 / Randall Bennett Woods.</t>
        </is>
      </c>
      <c r="F519" t="inlineStr">
        <is>
          <t>No</t>
        </is>
      </c>
      <c r="G519" t="inlineStr">
        <is>
          <t>1</t>
        </is>
      </c>
      <c r="H519" t="inlineStr">
        <is>
          <t>No</t>
        </is>
      </c>
      <c r="I519" t="inlineStr">
        <is>
          <t>No</t>
        </is>
      </c>
      <c r="J519" t="inlineStr">
        <is>
          <t>0</t>
        </is>
      </c>
      <c r="K519" t="inlineStr">
        <is>
          <t>Woods, Randall Bennett, 1944-</t>
        </is>
      </c>
      <c r="L519" t="inlineStr">
        <is>
          <t>Lawrence : Regents Press of Kansas, c1979.</t>
        </is>
      </c>
      <c r="M519" t="inlineStr">
        <is>
          <t>1979</t>
        </is>
      </c>
      <c r="O519" t="inlineStr">
        <is>
          <t>eng</t>
        </is>
      </c>
      <c r="P519" t="inlineStr">
        <is>
          <t>ksu</t>
        </is>
      </c>
      <c r="R519" t="inlineStr">
        <is>
          <t xml:space="preserve">E  </t>
        </is>
      </c>
      <c r="S519" t="n">
        <v>6</v>
      </c>
      <c r="T519" t="n">
        <v>6</v>
      </c>
      <c r="U519" t="inlineStr">
        <is>
          <t>2001-02-01</t>
        </is>
      </c>
      <c r="V519" t="inlineStr">
        <is>
          <t>2001-02-01</t>
        </is>
      </c>
      <c r="W519" t="inlineStr">
        <is>
          <t>1991-01-28</t>
        </is>
      </c>
      <c r="X519" t="inlineStr">
        <is>
          <t>1991-01-28</t>
        </is>
      </c>
      <c r="Y519" t="n">
        <v>624</v>
      </c>
      <c r="Z519" t="n">
        <v>556</v>
      </c>
      <c r="AA519" t="n">
        <v>559</v>
      </c>
      <c r="AB519" t="n">
        <v>4</v>
      </c>
      <c r="AC519" t="n">
        <v>4</v>
      </c>
      <c r="AD519" t="n">
        <v>29</v>
      </c>
      <c r="AE519" t="n">
        <v>29</v>
      </c>
      <c r="AF519" t="n">
        <v>12</v>
      </c>
      <c r="AG519" t="n">
        <v>12</v>
      </c>
      <c r="AH519" t="n">
        <v>5</v>
      </c>
      <c r="AI519" t="n">
        <v>5</v>
      </c>
      <c r="AJ519" t="n">
        <v>17</v>
      </c>
      <c r="AK519" t="n">
        <v>17</v>
      </c>
      <c r="AL519" t="n">
        <v>3</v>
      </c>
      <c r="AM519" t="n">
        <v>3</v>
      </c>
      <c r="AN519" t="n">
        <v>0</v>
      </c>
      <c r="AO519" t="n">
        <v>0</v>
      </c>
      <c r="AP519" t="inlineStr">
        <is>
          <t>No</t>
        </is>
      </c>
      <c r="AQ519" t="inlineStr">
        <is>
          <t>Yes</t>
        </is>
      </c>
      <c r="AR519">
        <f>HYPERLINK("http://catalog.hathitrust.org/Record/000256440","HathiTrust Record")</f>
        <v/>
      </c>
      <c r="AS519">
        <f>HYPERLINK("https://creighton-primo.hosted.exlibrisgroup.com/primo-explore/search?tab=default_tab&amp;search_scope=EVERYTHING&amp;vid=01CRU&amp;lang=en_US&amp;offset=0&amp;query=any,contains,991004659379702656","Catalog Record")</f>
        <v/>
      </c>
      <c r="AT519">
        <f>HYPERLINK("http://www.worldcat.org/oclc/4496337","WorldCat Record")</f>
        <v/>
      </c>
      <c r="AU519" t="inlineStr">
        <is>
          <t>891546621:eng</t>
        </is>
      </c>
      <c r="AV519" t="inlineStr">
        <is>
          <t>4496337</t>
        </is>
      </c>
      <c r="AW519" t="inlineStr">
        <is>
          <t>991004659379702656</t>
        </is>
      </c>
      <c r="AX519" t="inlineStr">
        <is>
          <t>991004659379702656</t>
        </is>
      </c>
      <c r="AY519" t="inlineStr">
        <is>
          <t>2268700140002656</t>
        </is>
      </c>
      <c r="AZ519" t="inlineStr">
        <is>
          <t>BOOK</t>
        </is>
      </c>
      <c r="BB519" t="inlineStr">
        <is>
          <t>9780700601882</t>
        </is>
      </c>
      <c r="BC519" t="inlineStr">
        <is>
          <t>32285000480722</t>
        </is>
      </c>
      <c r="BD519" t="inlineStr">
        <is>
          <t>893436561</t>
        </is>
      </c>
    </row>
    <row r="520">
      <c r="A520" t="inlineStr">
        <is>
          <t>No</t>
        </is>
      </c>
      <c r="B520" t="inlineStr">
        <is>
          <t>E183.8.A8 B37</t>
        </is>
      </c>
      <c r="C520" t="inlineStr">
        <is>
          <t>0                      E  0183800A  8                  B  37</t>
        </is>
      </c>
      <c r="D520" t="inlineStr">
        <is>
          <t>Australia and America through 200 years ; 1776-1976 / Norman Bartlett ; foreword by Malcolm Fraser ; introd. by Manning Clark.</t>
        </is>
      </c>
      <c r="F520" t="inlineStr">
        <is>
          <t>No</t>
        </is>
      </c>
      <c r="G520" t="inlineStr">
        <is>
          <t>1</t>
        </is>
      </c>
      <c r="H520" t="inlineStr">
        <is>
          <t>No</t>
        </is>
      </c>
      <c r="I520" t="inlineStr">
        <is>
          <t>No</t>
        </is>
      </c>
      <c r="J520" t="inlineStr">
        <is>
          <t>0</t>
        </is>
      </c>
      <c r="K520" t="inlineStr">
        <is>
          <t>Bartlett, Norman.</t>
        </is>
      </c>
      <c r="L520" t="inlineStr">
        <is>
          <t>Sydney : published by S. U. Smith at the Fine Arts Press, 1976.</t>
        </is>
      </c>
      <c r="M520" t="inlineStr">
        <is>
          <t>1976</t>
        </is>
      </c>
      <c r="N520" t="inlineStr">
        <is>
          <t>1st ed.</t>
        </is>
      </c>
      <c r="O520" t="inlineStr">
        <is>
          <t>eng</t>
        </is>
      </c>
      <c r="P520" t="inlineStr">
        <is>
          <t xml:space="preserve">at </t>
        </is>
      </c>
      <c r="R520" t="inlineStr">
        <is>
          <t xml:space="preserve">E  </t>
        </is>
      </c>
      <c r="S520" t="n">
        <v>1</v>
      </c>
      <c r="T520" t="n">
        <v>1</v>
      </c>
      <c r="U520" t="inlineStr">
        <is>
          <t>2005-04-20</t>
        </is>
      </c>
      <c r="V520" t="inlineStr">
        <is>
          <t>2005-04-20</t>
        </is>
      </c>
      <c r="W520" t="inlineStr">
        <is>
          <t>1997-04-08</t>
        </is>
      </c>
      <c r="X520" t="inlineStr">
        <is>
          <t>1997-04-08</t>
        </is>
      </c>
      <c r="Y520" t="n">
        <v>395</v>
      </c>
      <c r="Z520" t="n">
        <v>385</v>
      </c>
      <c r="AA520" t="n">
        <v>563</v>
      </c>
      <c r="AB520" t="n">
        <v>4</v>
      </c>
      <c r="AC520" t="n">
        <v>5</v>
      </c>
      <c r="AD520" t="n">
        <v>20</v>
      </c>
      <c r="AE520" t="n">
        <v>25</v>
      </c>
      <c r="AF520" t="n">
        <v>10</v>
      </c>
      <c r="AG520" t="n">
        <v>12</v>
      </c>
      <c r="AH520" t="n">
        <v>5</v>
      </c>
      <c r="AI520" t="n">
        <v>5</v>
      </c>
      <c r="AJ520" t="n">
        <v>8</v>
      </c>
      <c r="AK520" t="n">
        <v>11</v>
      </c>
      <c r="AL520" t="n">
        <v>3</v>
      </c>
      <c r="AM520" t="n">
        <v>4</v>
      </c>
      <c r="AN520" t="n">
        <v>0</v>
      </c>
      <c r="AO520" t="n">
        <v>0</v>
      </c>
      <c r="AP520" t="inlineStr">
        <is>
          <t>No</t>
        </is>
      </c>
      <c r="AQ520" t="inlineStr">
        <is>
          <t>Yes</t>
        </is>
      </c>
      <c r="AR520">
        <f>HYPERLINK("http://catalog.hathitrust.org/Record/000213439","HathiTrust Record")</f>
        <v/>
      </c>
      <c r="AS520">
        <f>HYPERLINK("https://creighton-primo.hosted.exlibrisgroup.com/primo-explore/search?tab=default_tab&amp;search_scope=EVERYTHING&amp;vid=01CRU&amp;lang=en_US&amp;offset=0&amp;query=any,contains,991004295629702656","Catalog Record")</f>
        <v/>
      </c>
      <c r="AT520">
        <f>HYPERLINK("http://www.worldcat.org/oclc/2963768","WorldCat Record")</f>
        <v/>
      </c>
      <c r="AU520" t="inlineStr">
        <is>
          <t>6573227:eng</t>
        </is>
      </c>
      <c r="AV520" t="inlineStr">
        <is>
          <t>2963768</t>
        </is>
      </c>
      <c r="AW520" t="inlineStr">
        <is>
          <t>991004295629702656</t>
        </is>
      </c>
      <c r="AX520" t="inlineStr">
        <is>
          <t>991004295629702656</t>
        </is>
      </c>
      <c r="AY520" t="inlineStr">
        <is>
          <t>2271161290002656</t>
        </is>
      </c>
      <c r="AZ520" t="inlineStr">
        <is>
          <t>BOOK</t>
        </is>
      </c>
      <c r="BB520" t="inlineStr">
        <is>
          <t>9780869170007</t>
        </is>
      </c>
      <c r="BC520" t="inlineStr">
        <is>
          <t>32285002506292</t>
        </is>
      </c>
      <c r="BD520" t="inlineStr">
        <is>
          <t>893253516</t>
        </is>
      </c>
    </row>
    <row r="521">
      <c r="A521" t="inlineStr">
        <is>
          <t>No</t>
        </is>
      </c>
      <c r="B521" t="inlineStr">
        <is>
          <t>E183.8.B67 D33 2000</t>
        </is>
      </c>
      <c r="C521" t="inlineStr">
        <is>
          <t>0                      E  0183800B  67                 D  33          2000</t>
        </is>
      </c>
      <c r="D521" t="inlineStr">
        <is>
          <t>Getting to Dayton : the making of America's Bosnia policy / Ivo H. Daalder.</t>
        </is>
      </c>
      <c r="F521" t="inlineStr">
        <is>
          <t>No</t>
        </is>
      </c>
      <c r="G521" t="inlineStr">
        <is>
          <t>1</t>
        </is>
      </c>
      <c r="H521" t="inlineStr">
        <is>
          <t>No</t>
        </is>
      </c>
      <c r="I521" t="inlineStr">
        <is>
          <t>No</t>
        </is>
      </c>
      <c r="J521" t="inlineStr">
        <is>
          <t>0</t>
        </is>
      </c>
      <c r="K521" t="inlineStr">
        <is>
          <t>Daalder, Ivo H.</t>
        </is>
      </c>
      <c r="L521" t="inlineStr">
        <is>
          <t>Washington, D.C. : Brookings Institution Press, c2000.</t>
        </is>
      </c>
      <c r="M521" t="inlineStr">
        <is>
          <t>2000</t>
        </is>
      </c>
      <c r="O521" t="inlineStr">
        <is>
          <t>eng</t>
        </is>
      </c>
      <c r="P521" t="inlineStr">
        <is>
          <t>dcu</t>
        </is>
      </c>
      <c r="R521" t="inlineStr">
        <is>
          <t xml:space="preserve">E  </t>
        </is>
      </c>
      <c r="S521" t="n">
        <v>1</v>
      </c>
      <c r="T521" t="n">
        <v>1</v>
      </c>
      <c r="U521" t="inlineStr">
        <is>
          <t>2001-03-26</t>
        </is>
      </c>
      <c r="V521" t="inlineStr">
        <is>
          <t>2001-03-26</t>
        </is>
      </c>
      <c r="W521" t="inlineStr">
        <is>
          <t>2000-06-28</t>
        </is>
      </c>
      <c r="X521" t="inlineStr">
        <is>
          <t>2000-06-28</t>
        </is>
      </c>
      <c r="Y521" t="n">
        <v>575</v>
      </c>
      <c r="Z521" t="n">
        <v>478</v>
      </c>
      <c r="AA521" t="n">
        <v>483</v>
      </c>
      <c r="AB521" t="n">
        <v>4</v>
      </c>
      <c r="AC521" t="n">
        <v>4</v>
      </c>
      <c r="AD521" t="n">
        <v>28</v>
      </c>
      <c r="AE521" t="n">
        <v>28</v>
      </c>
      <c r="AF521" t="n">
        <v>9</v>
      </c>
      <c r="AG521" t="n">
        <v>9</v>
      </c>
      <c r="AH521" t="n">
        <v>8</v>
      </c>
      <c r="AI521" t="n">
        <v>8</v>
      </c>
      <c r="AJ521" t="n">
        <v>14</v>
      </c>
      <c r="AK521" t="n">
        <v>14</v>
      </c>
      <c r="AL521" t="n">
        <v>3</v>
      </c>
      <c r="AM521" t="n">
        <v>3</v>
      </c>
      <c r="AN521" t="n">
        <v>2</v>
      </c>
      <c r="AO521" t="n">
        <v>2</v>
      </c>
      <c r="AP521" t="inlineStr">
        <is>
          <t>No</t>
        </is>
      </c>
      <c r="AQ521" t="inlineStr">
        <is>
          <t>Yes</t>
        </is>
      </c>
      <c r="AR521">
        <f>HYPERLINK("http://catalog.hathitrust.org/Record/004090206","HathiTrust Record")</f>
        <v/>
      </c>
      <c r="AS521">
        <f>HYPERLINK("https://creighton-primo.hosted.exlibrisgroup.com/primo-explore/search?tab=default_tab&amp;search_scope=EVERYTHING&amp;vid=01CRU&amp;lang=en_US&amp;offset=0&amp;query=any,contains,991003194869702656","Catalog Record")</f>
        <v/>
      </c>
      <c r="AT521">
        <f>HYPERLINK("http://www.worldcat.org/oclc/42619716","WorldCat Record")</f>
        <v/>
      </c>
      <c r="AU521" t="inlineStr">
        <is>
          <t>836954924:eng</t>
        </is>
      </c>
      <c r="AV521" t="inlineStr">
        <is>
          <t>42619716</t>
        </is>
      </c>
      <c r="AW521" t="inlineStr">
        <is>
          <t>991003194869702656</t>
        </is>
      </c>
      <c r="AX521" t="inlineStr">
        <is>
          <t>991003194869702656</t>
        </is>
      </c>
      <c r="AY521" t="inlineStr">
        <is>
          <t>2266418060002656</t>
        </is>
      </c>
      <c r="AZ521" t="inlineStr">
        <is>
          <t>BOOK</t>
        </is>
      </c>
      <c r="BB521" t="inlineStr">
        <is>
          <t>9780815716914</t>
        </is>
      </c>
      <c r="BC521" t="inlineStr">
        <is>
          <t>32285003684528</t>
        </is>
      </c>
      <c r="BD521" t="inlineStr">
        <is>
          <t>893874519</t>
        </is>
      </c>
    </row>
    <row r="522">
      <c r="A522" t="inlineStr">
        <is>
          <t>No</t>
        </is>
      </c>
      <c r="B522" t="inlineStr">
        <is>
          <t>E183.8.B7 H35 1989</t>
        </is>
      </c>
      <c r="C522" t="inlineStr">
        <is>
          <t>0                      E  0183800B  7                  H  35          1989</t>
        </is>
      </c>
      <c r="D522" t="inlineStr">
        <is>
          <t>The Americanization of Brazil : a study of U.S. cold war diplomacy in the Third World, 1945-1954 / Gerald K. Haines.</t>
        </is>
      </c>
      <c r="F522" t="inlineStr">
        <is>
          <t>No</t>
        </is>
      </c>
      <c r="G522" t="inlineStr">
        <is>
          <t>1</t>
        </is>
      </c>
      <c r="H522" t="inlineStr">
        <is>
          <t>No</t>
        </is>
      </c>
      <c r="I522" t="inlineStr">
        <is>
          <t>No</t>
        </is>
      </c>
      <c r="J522" t="inlineStr">
        <is>
          <t>0</t>
        </is>
      </c>
      <c r="K522" t="inlineStr">
        <is>
          <t>Haines, Gerald K., 1943-</t>
        </is>
      </c>
      <c r="L522" t="inlineStr">
        <is>
          <t>Wilmington, Del. : SR Books, 1989.</t>
        </is>
      </c>
      <c r="M522" t="inlineStr">
        <is>
          <t>1989</t>
        </is>
      </c>
      <c r="O522" t="inlineStr">
        <is>
          <t>eng</t>
        </is>
      </c>
      <c r="P522" t="inlineStr">
        <is>
          <t>deu</t>
        </is>
      </c>
      <c r="Q522" t="inlineStr">
        <is>
          <t>America in the modern world</t>
        </is>
      </c>
      <c r="R522" t="inlineStr">
        <is>
          <t xml:space="preserve">E  </t>
        </is>
      </c>
      <c r="S522" t="n">
        <v>5</v>
      </c>
      <c r="T522" t="n">
        <v>5</v>
      </c>
      <c r="U522" t="inlineStr">
        <is>
          <t>2003-03-13</t>
        </is>
      </c>
      <c r="V522" t="inlineStr">
        <is>
          <t>2003-03-13</t>
        </is>
      </c>
      <c r="W522" t="inlineStr">
        <is>
          <t>1990-10-17</t>
        </is>
      </c>
      <c r="X522" t="inlineStr">
        <is>
          <t>1990-10-17</t>
        </is>
      </c>
      <c r="Y522" t="n">
        <v>366</v>
      </c>
      <c r="Z522" t="n">
        <v>310</v>
      </c>
      <c r="AA522" t="n">
        <v>434</v>
      </c>
      <c r="AB522" t="n">
        <v>2</v>
      </c>
      <c r="AC522" t="n">
        <v>2</v>
      </c>
      <c r="AD522" t="n">
        <v>14</v>
      </c>
      <c r="AE522" t="n">
        <v>19</v>
      </c>
      <c r="AF522" t="n">
        <v>2</v>
      </c>
      <c r="AG522" t="n">
        <v>6</v>
      </c>
      <c r="AH522" t="n">
        <v>7</v>
      </c>
      <c r="AI522" t="n">
        <v>9</v>
      </c>
      <c r="AJ522" t="n">
        <v>8</v>
      </c>
      <c r="AK522" t="n">
        <v>10</v>
      </c>
      <c r="AL522" t="n">
        <v>1</v>
      </c>
      <c r="AM522" t="n">
        <v>1</v>
      </c>
      <c r="AN522" t="n">
        <v>0</v>
      </c>
      <c r="AO522" t="n">
        <v>0</v>
      </c>
      <c r="AP522" t="inlineStr">
        <is>
          <t>No</t>
        </is>
      </c>
      <c r="AQ522" t="inlineStr">
        <is>
          <t>Yes</t>
        </is>
      </c>
      <c r="AR522">
        <f>HYPERLINK("http://catalog.hathitrust.org/Record/001955351","HathiTrust Record")</f>
        <v/>
      </c>
      <c r="AS522">
        <f>HYPERLINK("https://creighton-primo.hosted.exlibrisgroup.com/primo-explore/search?tab=default_tab&amp;search_scope=EVERYTHING&amp;vid=01CRU&amp;lang=en_US&amp;offset=0&amp;query=any,contains,991001474829702656","Catalog Record")</f>
        <v/>
      </c>
      <c r="AT522">
        <f>HYPERLINK("http://www.worldcat.org/oclc/19555721","WorldCat Record")</f>
        <v/>
      </c>
      <c r="AU522" t="inlineStr">
        <is>
          <t>1026724:eng</t>
        </is>
      </c>
      <c r="AV522" t="inlineStr">
        <is>
          <t>19555721</t>
        </is>
      </c>
      <c r="AW522" t="inlineStr">
        <is>
          <t>991001474829702656</t>
        </is>
      </c>
      <c r="AX522" t="inlineStr">
        <is>
          <t>991001474829702656</t>
        </is>
      </c>
      <c r="AY522" t="inlineStr">
        <is>
          <t>2271579830002656</t>
        </is>
      </c>
      <c r="AZ522" t="inlineStr">
        <is>
          <t>BOOK</t>
        </is>
      </c>
      <c r="BB522" t="inlineStr">
        <is>
          <t>9780842023399</t>
        </is>
      </c>
      <c r="BC522" t="inlineStr">
        <is>
          <t>32285000311174</t>
        </is>
      </c>
      <c r="BD522" t="inlineStr">
        <is>
          <t>893684346</t>
        </is>
      </c>
    </row>
    <row r="523">
      <c r="A523" t="inlineStr">
        <is>
          <t>No</t>
        </is>
      </c>
      <c r="B523" t="inlineStr">
        <is>
          <t>E183.8.B7 T66 1996</t>
        </is>
      </c>
      <c r="C523" t="inlineStr">
        <is>
          <t>0                      E  0183800B  7                  T  66          1996</t>
        </is>
      </c>
      <c r="D523" t="inlineStr">
        <is>
          <t>Trade and gunboats : the United States and Brazil in the age of empire / Steven C. Topik.</t>
        </is>
      </c>
      <c r="F523" t="inlineStr">
        <is>
          <t>No</t>
        </is>
      </c>
      <c r="G523" t="inlineStr">
        <is>
          <t>1</t>
        </is>
      </c>
      <c r="H523" t="inlineStr">
        <is>
          <t>No</t>
        </is>
      </c>
      <c r="I523" t="inlineStr">
        <is>
          <t>No</t>
        </is>
      </c>
      <c r="J523" t="inlineStr">
        <is>
          <t>0</t>
        </is>
      </c>
      <c r="K523" t="inlineStr">
        <is>
          <t>Topik, Steven.</t>
        </is>
      </c>
      <c r="L523" t="inlineStr">
        <is>
          <t>Stanford, Calif. : Stanford University Press, 1996.</t>
        </is>
      </c>
      <c r="M523" t="inlineStr">
        <is>
          <t>1996</t>
        </is>
      </c>
      <c r="O523" t="inlineStr">
        <is>
          <t>eng</t>
        </is>
      </c>
      <c r="P523" t="inlineStr">
        <is>
          <t>cau</t>
        </is>
      </c>
      <c r="R523" t="inlineStr">
        <is>
          <t xml:space="preserve">E  </t>
        </is>
      </c>
      <c r="S523" t="n">
        <v>6</v>
      </c>
      <c r="T523" t="n">
        <v>6</v>
      </c>
      <c r="U523" t="inlineStr">
        <is>
          <t>2000-04-05</t>
        </is>
      </c>
      <c r="V523" t="inlineStr">
        <is>
          <t>2000-04-05</t>
        </is>
      </c>
      <c r="W523" t="inlineStr">
        <is>
          <t>1998-01-23</t>
        </is>
      </c>
      <c r="X523" t="inlineStr">
        <is>
          <t>1998-01-23</t>
        </is>
      </c>
      <c r="Y523" t="n">
        <v>484</v>
      </c>
      <c r="Z523" t="n">
        <v>417</v>
      </c>
      <c r="AA523" t="n">
        <v>419</v>
      </c>
      <c r="AB523" t="n">
        <v>2</v>
      </c>
      <c r="AC523" t="n">
        <v>2</v>
      </c>
      <c r="AD523" t="n">
        <v>28</v>
      </c>
      <c r="AE523" t="n">
        <v>28</v>
      </c>
      <c r="AF523" t="n">
        <v>12</v>
      </c>
      <c r="AG523" t="n">
        <v>12</v>
      </c>
      <c r="AH523" t="n">
        <v>8</v>
      </c>
      <c r="AI523" t="n">
        <v>8</v>
      </c>
      <c r="AJ523" t="n">
        <v>15</v>
      </c>
      <c r="AK523" t="n">
        <v>15</v>
      </c>
      <c r="AL523" t="n">
        <v>1</v>
      </c>
      <c r="AM523" t="n">
        <v>1</v>
      </c>
      <c r="AN523" t="n">
        <v>0</v>
      </c>
      <c r="AO523" t="n">
        <v>0</v>
      </c>
      <c r="AP523" t="inlineStr">
        <is>
          <t>No</t>
        </is>
      </c>
      <c r="AQ523" t="inlineStr">
        <is>
          <t>No</t>
        </is>
      </c>
      <c r="AS523">
        <f>HYPERLINK("https://creighton-primo.hosted.exlibrisgroup.com/primo-explore/search?tab=default_tab&amp;search_scope=EVERYTHING&amp;vid=01CRU&amp;lang=en_US&amp;offset=0&amp;query=any,contains,991002615619702656","Catalog Record")</f>
        <v/>
      </c>
      <c r="AT523">
        <f>HYPERLINK("http://www.worldcat.org/oclc/34283556","WorldCat Record")</f>
        <v/>
      </c>
      <c r="AU523" t="inlineStr">
        <is>
          <t>203293689:eng</t>
        </is>
      </c>
      <c r="AV523" t="inlineStr">
        <is>
          <t>34283556</t>
        </is>
      </c>
      <c r="AW523" t="inlineStr">
        <is>
          <t>991002615619702656</t>
        </is>
      </c>
      <c r="AX523" t="inlineStr">
        <is>
          <t>991002615619702656</t>
        </is>
      </c>
      <c r="AY523" t="inlineStr">
        <is>
          <t>2257759850002656</t>
        </is>
      </c>
      <c r="AZ523" t="inlineStr">
        <is>
          <t>BOOK</t>
        </is>
      </c>
      <c r="BB523" t="inlineStr">
        <is>
          <t>9780804726023</t>
        </is>
      </c>
      <c r="BC523" t="inlineStr">
        <is>
          <t>32285003310637</t>
        </is>
      </c>
      <c r="BD523" t="inlineStr">
        <is>
          <t>893498320</t>
        </is>
      </c>
    </row>
    <row r="524">
      <c r="A524" t="inlineStr">
        <is>
          <t>No</t>
        </is>
      </c>
      <c r="B524" t="inlineStr">
        <is>
          <t>E183.8.C2 A65</t>
        </is>
      </c>
      <c r="C524" t="inlineStr">
        <is>
          <t>0                      E  0183800C  2                  A  65</t>
        </is>
      </c>
      <c r="D524" t="inlineStr">
        <is>
          <t>The United States and Canada. [Edited by John Sloan Dickey]</t>
        </is>
      </c>
      <c r="F524" t="inlineStr">
        <is>
          <t>No</t>
        </is>
      </c>
      <c r="G524" t="inlineStr">
        <is>
          <t>1</t>
        </is>
      </c>
      <c r="H524" t="inlineStr">
        <is>
          <t>No</t>
        </is>
      </c>
      <c r="I524" t="inlineStr">
        <is>
          <t>No</t>
        </is>
      </c>
      <c r="J524" t="inlineStr">
        <is>
          <t>0</t>
        </is>
      </c>
      <c r="K524" t="inlineStr">
        <is>
          <t>American Assembly.</t>
        </is>
      </c>
      <c r="L524" t="inlineStr">
        <is>
          <t>Englewood Cliffs, N.J., Prentice-Hall [1964]</t>
        </is>
      </c>
      <c r="M524" t="inlineStr">
        <is>
          <t>1964</t>
        </is>
      </c>
      <c r="O524" t="inlineStr">
        <is>
          <t>eng</t>
        </is>
      </c>
      <c r="P524" t="inlineStr">
        <is>
          <t>nju</t>
        </is>
      </c>
      <c r="Q524" t="inlineStr">
        <is>
          <t>A Spectrum book, S-AA-12</t>
        </is>
      </c>
      <c r="R524" t="inlineStr">
        <is>
          <t xml:space="preserve">E  </t>
        </is>
      </c>
      <c r="S524" t="n">
        <v>3</v>
      </c>
      <c r="T524" t="n">
        <v>3</v>
      </c>
      <c r="U524" t="inlineStr">
        <is>
          <t>1998-05-07</t>
        </is>
      </c>
      <c r="V524" t="inlineStr">
        <is>
          <t>1998-05-07</t>
        </is>
      </c>
      <c r="W524" t="inlineStr">
        <is>
          <t>1997-04-08</t>
        </is>
      </c>
      <c r="X524" t="inlineStr">
        <is>
          <t>1997-04-08</t>
        </is>
      </c>
      <c r="Y524" t="n">
        <v>785</v>
      </c>
      <c r="Z524" t="n">
        <v>662</v>
      </c>
      <c r="AA524" t="n">
        <v>672</v>
      </c>
      <c r="AB524" t="n">
        <v>5</v>
      </c>
      <c r="AC524" t="n">
        <v>5</v>
      </c>
      <c r="AD524" t="n">
        <v>30</v>
      </c>
      <c r="AE524" t="n">
        <v>30</v>
      </c>
      <c r="AF524" t="n">
        <v>9</v>
      </c>
      <c r="AG524" t="n">
        <v>9</v>
      </c>
      <c r="AH524" t="n">
        <v>6</v>
      </c>
      <c r="AI524" t="n">
        <v>6</v>
      </c>
      <c r="AJ524" t="n">
        <v>17</v>
      </c>
      <c r="AK524" t="n">
        <v>17</v>
      </c>
      <c r="AL524" t="n">
        <v>4</v>
      </c>
      <c r="AM524" t="n">
        <v>4</v>
      </c>
      <c r="AN524" t="n">
        <v>2</v>
      </c>
      <c r="AO524" t="n">
        <v>2</v>
      </c>
      <c r="AP524" t="inlineStr">
        <is>
          <t>No</t>
        </is>
      </c>
      <c r="AQ524" t="inlineStr">
        <is>
          <t>Yes</t>
        </is>
      </c>
      <c r="AR524">
        <f>HYPERLINK("http://catalog.hathitrust.org/Record/000334726","HathiTrust Record")</f>
        <v/>
      </c>
      <c r="AS524">
        <f>HYPERLINK("https://creighton-primo.hosted.exlibrisgroup.com/primo-explore/search?tab=default_tab&amp;search_scope=EVERYTHING&amp;vid=01CRU&amp;lang=en_US&amp;offset=0&amp;query=any,contains,991002747749702656","Catalog Record")</f>
        <v/>
      </c>
      <c r="AT524">
        <f>HYPERLINK("http://www.worldcat.org/oclc/423482","WorldCat Record")</f>
        <v/>
      </c>
      <c r="AU524" t="inlineStr">
        <is>
          <t>1512299:eng</t>
        </is>
      </c>
      <c r="AV524" t="inlineStr">
        <is>
          <t>423482</t>
        </is>
      </c>
      <c r="AW524" t="inlineStr">
        <is>
          <t>991002747749702656</t>
        </is>
      </c>
      <c r="AX524" t="inlineStr">
        <is>
          <t>991002747749702656</t>
        </is>
      </c>
      <c r="AY524" t="inlineStr">
        <is>
          <t>2266603670002656</t>
        </is>
      </c>
      <c r="AZ524" t="inlineStr">
        <is>
          <t>BOOK</t>
        </is>
      </c>
      <c r="BC524" t="inlineStr">
        <is>
          <t>32285002506359</t>
        </is>
      </c>
      <c r="BD524" t="inlineStr">
        <is>
          <t>893886647</t>
        </is>
      </c>
    </row>
    <row r="525">
      <c r="A525" t="inlineStr">
        <is>
          <t>No</t>
        </is>
      </c>
      <c r="B525" t="inlineStr">
        <is>
          <t>E183.8.C2 B68 1992</t>
        </is>
      </c>
      <c r="C525" t="inlineStr">
        <is>
          <t>0                      E  0183800C  2                  B  68          1992</t>
        </is>
      </c>
      <c r="D525" t="inlineStr">
        <is>
          <t>Canada and the United States : the politics of partnership / Robert Bothwell.</t>
        </is>
      </c>
      <c r="F525" t="inlineStr">
        <is>
          <t>No</t>
        </is>
      </c>
      <c r="G525" t="inlineStr">
        <is>
          <t>1</t>
        </is>
      </c>
      <c r="H525" t="inlineStr">
        <is>
          <t>No</t>
        </is>
      </c>
      <c r="I525" t="inlineStr">
        <is>
          <t>No</t>
        </is>
      </c>
      <c r="J525" t="inlineStr">
        <is>
          <t>0</t>
        </is>
      </c>
      <c r="K525" t="inlineStr">
        <is>
          <t>Bothwell, Robert.</t>
        </is>
      </c>
      <c r="L525" t="inlineStr">
        <is>
          <t>New York : Twayne Publishers ; New York : Maxwell Macmillan International, 1992.</t>
        </is>
      </c>
      <c r="M525" t="inlineStr">
        <is>
          <t>1992</t>
        </is>
      </c>
      <c r="O525" t="inlineStr">
        <is>
          <t>eng</t>
        </is>
      </c>
      <c r="P525" t="inlineStr">
        <is>
          <t>nyu</t>
        </is>
      </c>
      <c r="Q525" t="inlineStr">
        <is>
          <t>Twayne's international history series ; no. 10</t>
        </is>
      </c>
      <c r="R525" t="inlineStr">
        <is>
          <t xml:space="preserve">E  </t>
        </is>
      </c>
      <c r="S525" t="n">
        <v>3</v>
      </c>
      <c r="T525" t="n">
        <v>3</v>
      </c>
      <c r="U525" t="inlineStr">
        <is>
          <t>1995-03-18</t>
        </is>
      </c>
      <c r="V525" t="inlineStr">
        <is>
          <t>1995-03-18</t>
        </is>
      </c>
      <c r="W525" t="inlineStr">
        <is>
          <t>1992-05-11</t>
        </is>
      </c>
      <c r="X525" t="inlineStr">
        <is>
          <t>1992-05-11</t>
        </is>
      </c>
      <c r="Y525" t="n">
        <v>380</v>
      </c>
      <c r="Z525" t="n">
        <v>334</v>
      </c>
      <c r="AA525" t="n">
        <v>383</v>
      </c>
      <c r="AB525" t="n">
        <v>3</v>
      </c>
      <c r="AC525" t="n">
        <v>3</v>
      </c>
      <c r="AD525" t="n">
        <v>19</v>
      </c>
      <c r="AE525" t="n">
        <v>22</v>
      </c>
      <c r="AF525" t="n">
        <v>7</v>
      </c>
      <c r="AG525" t="n">
        <v>10</v>
      </c>
      <c r="AH525" t="n">
        <v>5</v>
      </c>
      <c r="AI525" t="n">
        <v>5</v>
      </c>
      <c r="AJ525" t="n">
        <v>9</v>
      </c>
      <c r="AK525" t="n">
        <v>12</v>
      </c>
      <c r="AL525" t="n">
        <v>2</v>
      </c>
      <c r="AM525" t="n">
        <v>2</v>
      </c>
      <c r="AN525" t="n">
        <v>0</v>
      </c>
      <c r="AO525" t="n">
        <v>0</v>
      </c>
      <c r="AP525" t="inlineStr">
        <is>
          <t>No</t>
        </is>
      </c>
      <c r="AQ525" t="inlineStr">
        <is>
          <t>Yes</t>
        </is>
      </c>
      <c r="AR525">
        <f>HYPERLINK("http://catalog.hathitrust.org/Record/002570305","HathiTrust Record")</f>
        <v/>
      </c>
      <c r="AS525">
        <f>HYPERLINK("https://creighton-primo.hosted.exlibrisgroup.com/primo-explore/search?tab=default_tab&amp;search_scope=EVERYTHING&amp;vid=01CRU&amp;lang=en_US&amp;offset=0&amp;query=any,contains,991001962439702656","Catalog Record")</f>
        <v/>
      </c>
      <c r="AT525">
        <f>HYPERLINK("http://www.worldcat.org/oclc/24870813","WorldCat Record")</f>
        <v/>
      </c>
      <c r="AU525" t="inlineStr">
        <is>
          <t>351551:eng</t>
        </is>
      </c>
      <c r="AV525" t="inlineStr">
        <is>
          <t>24870813</t>
        </is>
      </c>
      <c r="AW525" t="inlineStr">
        <is>
          <t>991001962439702656</t>
        </is>
      </c>
      <c r="AX525" t="inlineStr">
        <is>
          <t>991001962439702656</t>
        </is>
      </c>
      <c r="AY525" t="inlineStr">
        <is>
          <t>2262909340002656</t>
        </is>
      </c>
      <c r="AZ525" t="inlineStr">
        <is>
          <t>BOOK</t>
        </is>
      </c>
      <c r="BB525" t="inlineStr">
        <is>
          <t>9780805779141</t>
        </is>
      </c>
      <c r="BC525" t="inlineStr">
        <is>
          <t>32285001039592</t>
        </is>
      </c>
      <c r="BD525" t="inlineStr">
        <is>
          <t>893414667</t>
        </is>
      </c>
    </row>
    <row r="526">
      <c r="A526" t="inlineStr">
        <is>
          <t>No</t>
        </is>
      </c>
      <c r="B526" t="inlineStr">
        <is>
          <t>E183.8.C2 C348 1975</t>
        </is>
      </c>
      <c r="C526" t="inlineStr">
        <is>
          <t>0                      E  0183800C  2                  C  348         1975</t>
        </is>
      </c>
      <c r="D526" t="inlineStr">
        <is>
          <t>Canadian-American summit diplomacy, 1923-1973 : selected speeches and documents / edited and with an introd. by Roger Frank Swanson.</t>
        </is>
      </c>
      <c r="F526" t="inlineStr">
        <is>
          <t>No</t>
        </is>
      </c>
      <c r="G526" t="inlineStr">
        <is>
          <t>1</t>
        </is>
      </c>
      <c r="H526" t="inlineStr">
        <is>
          <t>No</t>
        </is>
      </c>
      <c r="I526" t="inlineStr">
        <is>
          <t>No</t>
        </is>
      </c>
      <c r="J526" t="inlineStr">
        <is>
          <t>0</t>
        </is>
      </c>
      <c r="L526" t="inlineStr">
        <is>
          <t>Toronto : McClelland and Stewart, 1975.</t>
        </is>
      </c>
      <c r="M526" t="inlineStr">
        <is>
          <t>1975</t>
        </is>
      </c>
      <c r="O526" t="inlineStr">
        <is>
          <t>eng</t>
        </is>
      </c>
      <c r="P526" t="inlineStr">
        <is>
          <t>onc</t>
        </is>
      </c>
      <c r="Q526" t="inlineStr">
        <is>
          <t>The Carleton library ; no. 81</t>
        </is>
      </c>
      <c r="R526" t="inlineStr">
        <is>
          <t xml:space="preserve">E  </t>
        </is>
      </c>
      <c r="S526" t="n">
        <v>6</v>
      </c>
      <c r="T526" t="n">
        <v>6</v>
      </c>
      <c r="U526" t="inlineStr">
        <is>
          <t>1999-05-19</t>
        </is>
      </c>
      <c r="V526" t="inlineStr">
        <is>
          <t>1999-05-19</t>
        </is>
      </c>
      <c r="W526" t="inlineStr">
        <is>
          <t>1996-11-22</t>
        </is>
      </c>
      <c r="X526" t="inlineStr">
        <is>
          <t>1996-11-22</t>
        </is>
      </c>
      <c r="Y526" t="n">
        <v>201</v>
      </c>
      <c r="Z526" t="n">
        <v>98</v>
      </c>
      <c r="AA526" t="n">
        <v>250</v>
      </c>
      <c r="AB526" t="n">
        <v>2</v>
      </c>
      <c r="AC526" t="n">
        <v>5</v>
      </c>
      <c r="AD526" t="n">
        <v>4</v>
      </c>
      <c r="AE526" t="n">
        <v>16</v>
      </c>
      <c r="AF526" t="n">
        <v>1</v>
      </c>
      <c r="AG526" t="n">
        <v>7</v>
      </c>
      <c r="AH526" t="n">
        <v>0</v>
      </c>
      <c r="AI526" t="n">
        <v>4</v>
      </c>
      <c r="AJ526" t="n">
        <v>3</v>
      </c>
      <c r="AK526" t="n">
        <v>5</v>
      </c>
      <c r="AL526" t="n">
        <v>1</v>
      </c>
      <c r="AM526" t="n">
        <v>3</v>
      </c>
      <c r="AN526" t="n">
        <v>0</v>
      </c>
      <c r="AO526" t="n">
        <v>0</v>
      </c>
      <c r="AP526" t="inlineStr">
        <is>
          <t>No</t>
        </is>
      </c>
      <c r="AQ526" t="inlineStr">
        <is>
          <t>No</t>
        </is>
      </c>
      <c r="AS526">
        <f>HYPERLINK("https://creighton-primo.hosted.exlibrisgroup.com/primo-explore/search?tab=default_tab&amp;search_scope=EVERYTHING&amp;vid=01CRU&amp;lang=en_US&amp;offset=0&amp;query=any,contains,991004008169702656","Catalog Record")</f>
        <v/>
      </c>
      <c r="AT526">
        <f>HYPERLINK("http://www.worldcat.org/oclc/2089111","WorldCat Record")</f>
        <v/>
      </c>
      <c r="AU526" t="inlineStr">
        <is>
          <t>899739044:eng</t>
        </is>
      </c>
      <c r="AV526" t="inlineStr">
        <is>
          <t>2089111</t>
        </is>
      </c>
      <c r="AW526" t="inlineStr">
        <is>
          <t>991004008169702656</t>
        </is>
      </c>
      <c r="AX526" t="inlineStr">
        <is>
          <t>991004008169702656</t>
        </is>
      </c>
      <c r="AY526" t="inlineStr">
        <is>
          <t>2263510980002656</t>
        </is>
      </c>
      <c r="AZ526" t="inlineStr">
        <is>
          <t>BOOK</t>
        </is>
      </c>
      <c r="BB526" t="inlineStr">
        <is>
          <t>9780771097812</t>
        </is>
      </c>
      <c r="BC526" t="inlineStr">
        <is>
          <t>32285002385358</t>
        </is>
      </c>
      <c r="BD526" t="inlineStr">
        <is>
          <t>893718350</t>
        </is>
      </c>
    </row>
    <row r="527">
      <c r="A527" t="inlineStr">
        <is>
          <t>No</t>
        </is>
      </c>
      <c r="B527" t="inlineStr">
        <is>
          <t>E183.8.C2 C38</t>
        </is>
      </c>
      <c r="C527" t="inlineStr">
        <is>
          <t>0                      E  0183800C  2                  C  38</t>
        </is>
      </c>
      <c r="D527" t="inlineStr">
        <is>
          <t>Canada-United States relations / edited by H. Edward English.</t>
        </is>
      </c>
      <c r="F527" t="inlineStr">
        <is>
          <t>No</t>
        </is>
      </c>
      <c r="G527" t="inlineStr">
        <is>
          <t>1</t>
        </is>
      </c>
      <c r="H527" t="inlineStr">
        <is>
          <t>No</t>
        </is>
      </c>
      <c r="I527" t="inlineStr">
        <is>
          <t>No</t>
        </is>
      </c>
      <c r="J527" t="inlineStr">
        <is>
          <t>0</t>
        </is>
      </c>
      <c r="L527" t="inlineStr">
        <is>
          <t>New York : Academy of Political Science, 1976.</t>
        </is>
      </c>
      <c r="M527" t="inlineStr">
        <is>
          <t>1976</t>
        </is>
      </c>
      <c r="O527" t="inlineStr">
        <is>
          <t>eng</t>
        </is>
      </c>
      <c r="P527" t="inlineStr">
        <is>
          <t>nyu</t>
        </is>
      </c>
      <c r="Q527" t="inlineStr">
        <is>
          <t>Proceedings of the Academy of Political Science ; v. 32, no. 2</t>
        </is>
      </c>
      <c r="R527" t="inlineStr">
        <is>
          <t xml:space="preserve">E  </t>
        </is>
      </c>
      <c r="S527" t="n">
        <v>2</v>
      </c>
      <c r="T527" t="n">
        <v>2</v>
      </c>
      <c r="U527" t="inlineStr">
        <is>
          <t>1994-07-07</t>
        </is>
      </c>
      <c r="V527" t="inlineStr">
        <is>
          <t>1994-07-07</t>
        </is>
      </c>
      <c r="W527" t="inlineStr">
        <is>
          <t>1994-07-06</t>
        </is>
      </c>
      <c r="X527" t="inlineStr">
        <is>
          <t>1994-07-06</t>
        </is>
      </c>
      <c r="Y527" t="n">
        <v>574</v>
      </c>
      <c r="Z527" t="n">
        <v>480</v>
      </c>
      <c r="AA527" t="n">
        <v>527</v>
      </c>
      <c r="AB527" t="n">
        <v>4</v>
      </c>
      <c r="AC527" t="n">
        <v>4</v>
      </c>
      <c r="AD527" t="n">
        <v>21</v>
      </c>
      <c r="AE527" t="n">
        <v>24</v>
      </c>
      <c r="AF527" t="n">
        <v>7</v>
      </c>
      <c r="AG527" t="n">
        <v>8</v>
      </c>
      <c r="AH527" t="n">
        <v>3</v>
      </c>
      <c r="AI527" t="n">
        <v>5</v>
      </c>
      <c r="AJ527" t="n">
        <v>11</v>
      </c>
      <c r="AK527" t="n">
        <v>11</v>
      </c>
      <c r="AL527" t="n">
        <v>3</v>
      </c>
      <c r="AM527" t="n">
        <v>3</v>
      </c>
      <c r="AN527" t="n">
        <v>2</v>
      </c>
      <c r="AO527" t="n">
        <v>2</v>
      </c>
      <c r="AP527" t="inlineStr">
        <is>
          <t>No</t>
        </is>
      </c>
      <c r="AQ527" t="inlineStr">
        <is>
          <t>Yes</t>
        </is>
      </c>
      <c r="AR527">
        <f>HYPERLINK("http://catalog.hathitrust.org/Record/000723639","HathiTrust Record")</f>
        <v/>
      </c>
      <c r="AS527">
        <f>HYPERLINK("https://creighton-primo.hosted.exlibrisgroup.com/primo-explore/search?tab=default_tab&amp;search_scope=EVERYTHING&amp;vid=01CRU&amp;lang=en_US&amp;offset=0&amp;query=any,contains,991004053339702656","Catalog Record")</f>
        <v/>
      </c>
      <c r="AT527">
        <f>HYPERLINK("http://www.worldcat.org/oclc/2218737","WorldCat Record")</f>
        <v/>
      </c>
      <c r="AU527" t="inlineStr">
        <is>
          <t>504034848:eng</t>
        </is>
      </c>
      <c r="AV527" t="inlineStr">
        <is>
          <t>2218737</t>
        </is>
      </c>
      <c r="AW527" t="inlineStr">
        <is>
          <t>991004053339702656</t>
        </is>
      </c>
      <c r="AX527" t="inlineStr">
        <is>
          <t>991004053339702656</t>
        </is>
      </c>
      <c r="AY527" t="inlineStr">
        <is>
          <t>2256226900002656</t>
        </is>
      </c>
      <c r="AZ527" t="inlineStr">
        <is>
          <t>BOOK</t>
        </is>
      </c>
      <c r="BC527" t="inlineStr">
        <is>
          <t>32285001936235</t>
        </is>
      </c>
      <c r="BD527" t="inlineStr">
        <is>
          <t>893794416</t>
        </is>
      </c>
    </row>
    <row r="528">
      <c r="A528" t="inlineStr">
        <is>
          <t>No</t>
        </is>
      </c>
      <c r="B528" t="inlineStr">
        <is>
          <t>E183.8.C2 D52</t>
        </is>
      </c>
      <c r="C528" t="inlineStr">
        <is>
          <t>0                      E  0183800C  2                  D  52</t>
        </is>
      </c>
      <c r="D528" t="inlineStr">
        <is>
          <t>Canada and the American presence : the United States interest in an independent Canada / by John Sloan Dickey, Whitney H. Shepardson.</t>
        </is>
      </c>
      <c r="F528" t="inlineStr">
        <is>
          <t>No</t>
        </is>
      </c>
      <c r="G528" t="inlineStr">
        <is>
          <t>1</t>
        </is>
      </c>
      <c r="H528" t="inlineStr">
        <is>
          <t>No</t>
        </is>
      </c>
      <c r="I528" t="inlineStr">
        <is>
          <t>No</t>
        </is>
      </c>
      <c r="J528" t="inlineStr">
        <is>
          <t>0</t>
        </is>
      </c>
      <c r="K528" t="inlineStr">
        <is>
          <t>Dickey, John Sloan, 1907-1991.</t>
        </is>
      </c>
      <c r="L528" t="inlineStr">
        <is>
          <t>New York : New York University Press, 1975.</t>
        </is>
      </c>
      <c r="M528" t="inlineStr">
        <is>
          <t>1975</t>
        </is>
      </c>
      <c r="O528" t="inlineStr">
        <is>
          <t>eng</t>
        </is>
      </c>
      <c r="P528" t="inlineStr">
        <is>
          <t>nyu</t>
        </is>
      </c>
      <c r="R528" t="inlineStr">
        <is>
          <t xml:space="preserve">E  </t>
        </is>
      </c>
      <c r="S528" t="n">
        <v>5</v>
      </c>
      <c r="T528" t="n">
        <v>5</v>
      </c>
      <c r="U528" t="inlineStr">
        <is>
          <t>1998-05-07</t>
        </is>
      </c>
      <c r="V528" t="inlineStr">
        <is>
          <t>1998-05-07</t>
        </is>
      </c>
      <c r="W528" t="inlineStr">
        <is>
          <t>1994-07-06</t>
        </is>
      </c>
      <c r="X528" t="inlineStr">
        <is>
          <t>1994-07-06</t>
        </is>
      </c>
      <c r="Y528" t="n">
        <v>520</v>
      </c>
      <c r="Z528" t="n">
        <v>424</v>
      </c>
      <c r="AA528" t="n">
        <v>446</v>
      </c>
      <c r="AB528" t="n">
        <v>4</v>
      </c>
      <c r="AC528" t="n">
        <v>4</v>
      </c>
      <c r="AD528" t="n">
        <v>23</v>
      </c>
      <c r="AE528" t="n">
        <v>26</v>
      </c>
      <c r="AF528" t="n">
        <v>8</v>
      </c>
      <c r="AG528" t="n">
        <v>8</v>
      </c>
      <c r="AH528" t="n">
        <v>5</v>
      </c>
      <c r="AI528" t="n">
        <v>5</v>
      </c>
      <c r="AJ528" t="n">
        <v>11</v>
      </c>
      <c r="AK528" t="n">
        <v>11</v>
      </c>
      <c r="AL528" t="n">
        <v>3</v>
      </c>
      <c r="AM528" t="n">
        <v>3</v>
      </c>
      <c r="AN528" t="n">
        <v>1</v>
      </c>
      <c r="AO528" t="n">
        <v>4</v>
      </c>
      <c r="AP528" t="inlineStr">
        <is>
          <t>No</t>
        </is>
      </c>
      <c r="AQ528" t="inlineStr">
        <is>
          <t>Yes</t>
        </is>
      </c>
      <c r="AR528">
        <f>HYPERLINK("http://catalog.hathitrust.org/Record/000045178","HathiTrust Record")</f>
        <v/>
      </c>
      <c r="AS528">
        <f>HYPERLINK("https://creighton-primo.hosted.exlibrisgroup.com/primo-explore/search?tab=default_tab&amp;search_scope=EVERYTHING&amp;vid=01CRU&amp;lang=en_US&amp;offset=0&amp;query=any,contains,991003803349702656","Catalog Record")</f>
        <v/>
      </c>
      <c r="AT528">
        <f>HYPERLINK("http://www.worldcat.org/oclc/1529241","WorldCat Record")</f>
        <v/>
      </c>
      <c r="AU528" t="inlineStr">
        <is>
          <t>196796475:eng</t>
        </is>
      </c>
      <c r="AV528" t="inlineStr">
        <is>
          <t>1529241</t>
        </is>
      </c>
      <c r="AW528" t="inlineStr">
        <is>
          <t>991003803349702656</t>
        </is>
      </c>
      <c r="AX528" t="inlineStr">
        <is>
          <t>991003803349702656</t>
        </is>
      </c>
      <c r="AY528" t="inlineStr">
        <is>
          <t>2257266090002656</t>
        </is>
      </c>
      <c r="AZ528" t="inlineStr">
        <is>
          <t>BOOK</t>
        </is>
      </c>
      <c r="BB528" t="inlineStr">
        <is>
          <t>9780814717585</t>
        </is>
      </c>
      <c r="BC528" t="inlineStr">
        <is>
          <t>32285001936185</t>
        </is>
      </c>
      <c r="BD528" t="inlineStr">
        <is>
          <t>893686993</t>
        </is>
      </c>
    </row>
    <row r="529">
      <c r="A529" t="inlineStr">
        <is>
          <t>No</t>
        </is>
      </c>
      <c r="B529" t="inlineStr">
        <is>
          <t>E183.8.C2 D67 1984</t>
        </is>
      </c>
      <c r="C529" t="inlineStr">
        <is>
          <t>0                      E  0183800C  2                  D  67          1984</t>
        </is>
      </c>
      <c r="D529" t="inlineStr">
        <is>
          <t>Forgotten partnership : U.S.-Canada relations today / Charles F. Doran.</t>
        </is>
      </c>
      <c r="F529" t="inlineStr">
        <is>
          <t>No</t>
        </is>
      </c>
      <c r="G529" t="inlineStr">
        <is>
          <t>1</t>
        </is>
      </c>
      <c r="H529" t="inlineStr">
        <is>
          <t>No</t>
        </is>
      </c>
      <c r="I529" t="inlineStr">
        <is>
          <t>No</t>
        </is>
      </c>
      <c r="J529" t="inlineStr">
        <is>
          <t>0</t>
        </is>
      </c>
      <c r="K529" t="inlineStr">
        <is>
          <t>Doran, Charles F.</t>
        </is>
      </c>
      <c r="L529" t="inlineStr">
        <is>
          <t>Baltimore : Johns Hopkins University Press, c1984.</t>
        </is>
      </c>
      <c r="M529" t="inlineStr">
        <is>
          <t>1984</t>
        </is>
      </c>
      <c r="O529" t="inlineStr">
        <is>
          <t>eng</t>
        </is>
      </c>
      <c r="P529" t="inlineStr">
        <is>
          <t>mdu</t>
        </is>
      </c>
      <c r="R529" t="inlineStr">
        <is>
          <t xml:space="preserve">E  </t>
        </is>
      </c>
      <c r="S529" t="n">
        <v>5</v>
      </c>
      <c r="T529" t="n">
        <v>5</v>
      </c>
      <c r="U529" t="inlineStr">
        <is>
          <t>1998-04-27</t>
        </is>
      </c>
      <c r="V529" t="inlineStr">
        <is>
          <t>1998-04-27</t>
        </is>
      </c>
      <c r="W529" t="inlineStr">
        <is>
          <t>1991-01-28</t>
        </is>
      </c>
      <c r="X529" t="inlineStr">
        <is>
          <t>1991-01-28</t>
        </is>
      </c>
      <c r="Y529" t="n">
        <v>647</v>
      </c>
      <c r="Z529" t="n">
        <v>526</v>
      </c>
      <c r="AA529" t="n">
        <v>548</v>
      </c>
      <c r="AB529" t="n">
        <v>5</v>
      </c>
      <c r="AC529" t="n">
        <v>5</v>
      </c>
      <c r="AD529" t="n">
        <v>29</v>
      </c>
      <c r="AE529" t="n">
        <v>29</v>
      </c>
      <c r="AF529" t="n">
        <v>9</v>
      </c>
      <c r="AG529" t="n">
        <v>9</v>
      </c>
      <c r="AH529" t="n">
        <v>4</v>
      </c>
      <c r="AI529" t="n">
        <v>4</v>
      </c>
      <c r="AJ529" t="n">
        <v>15</v>
      </c>
      <c r="AK529" t="n">
        <v>15</v>
      </c>
      <c r="AL529" t="n">
        <v>3</v>
      </c>
      <c r="AM529" t="n">
        <v>3</v>
      </c>
      <c r="AN529" t="n">
        <v>5</v>
      </c>
      <c r="AO529" t="n">
        <v>5</v>
      </c>
      <c r="AP529" t="inlineStr">
        <is>
          <t>No</t>
        </is>
      </c>
      <c r="AQ529" t="inlineStr">
        <is>
          <t>Yes</t>
        </is>
      </c>
      <c r="AR529">
        <f>HYPERLINK("http://catalog.hathitrust.org/Record/000201843","HathiTrust Record")</f>
        <v/>
      </c>
      <c r="AS529">
        <f>HYPERLINK("https://creighton-primo.hosted.exlibrisgroup.com/primo-explore/search?tab=default_tab&amp;search_scope=EVERYTHING&amp;vid=01CRU&amp;lang=en_US&amp;offset=0&amp;query=any,contains,991000234969702656","Catalog Record")</f>
        <v/>
      </c>
      <c r="AT529">
        <f>HYPERLINK("http://www.worldcat.org/oclc/9646502","WorldCat Record")</f>
        <v/>
      </c>
      <c r="AU529" t="inlineStr">
        <is>
          <t>836622668:eng</t>
        </is>
      </c>
      <c r="AV529" t="inlineStr">
        <is>
          <t>9646502</t>
        </is>
      </c>
      <c r="AW529" t="inlineStr">
        <is>
          <t>991000234969702656</t>
        </is>
      </c>
      <c r="AX529" t="inlineStr">
        <is>
          <t>991000234969702656</t>
        </is>
      </c>
      <c r="AY529" t="inlineStr">
        <is>
          <t>2269042550002656</t>
        </is>
      </c>
      <c r="AZ529" t="inlineStr">
        <is>
          <t>BOOK</t>
        </is>
      </c>
      <c r="BB529" t="inlineStr">
        <is>
          <t>9780801830334</t>
        </is>
      </c>
      <c r="BC529" t="inlineStr">
        <is>
          <t>32285000480748</t>
        </is>
      </c>
      <c r="BD529" t="inlineStr">
        <is>
          <t>893515128</t>
        </is>
      </c>
    </row>
    <row r="530">
      <c r="A530" t="inlineStr">
        <is>
          <t>No</t>
        </is>
      </c>
      <c r="B530" t="inlineStr">
        <is>
          <t>E183.8.C2 F69 1985</t>
        </is>
      </c>
      <c r="C530" t="inlineStr">
        <is>
          <t>0                      E  0183800C  2                  F  69          1985</t>
        </is>
      </c>
      <c r="D530" t="inlineStr">
        <is>
          <t>A continent apart : the United States and Canada in world politics / William T.R. Fox.</t>
        </is>
      </c>
      <c r="F530" t="inlineStr">
        <is>
          <t>No</t>
        </is>
      </c>
      <c r="G530" t="inlineStr">
        <is>
          <t>1</t>
        </is>
      </c>
      <c r="H530" t="inlineStr">
        <is>
          <t>No</t>
        </is>
      </c>
      <c r="I530" t="inlineStr">
        <is>
          <t>No</t>
        </is>
      </c>
      <c r="J530" t="inlineStr">
        <is>
          <t>0</t>
        </is>
      </c>
      <c r="K530" t="inlineStr">
        <is>
          <t>Fox, William T. R. (William Thornton Rickert), 1912-1988.</t>
        </is>
      </c>
      <c r="L530" t="inlineStr">
        <is>
          <t>Toronto ; Buffalo : University of Toronto Press, c1985.</t>
        </is>
      </c>
      <c r="M530" t="inlineStr">
        <is>
          <t>1985</t>
        </is>
      </c>
      <c r="O530" t="inlineStr">
        <is>
          <t>eng</t>
        </is>
      </c>
      <c r="P530" t="inlineStr">
        <is>
          <t>onc</t>
        </is>
      </c>
      <c r="Q530" t="inlineStr">
        <is>
          <t>The Bissell lectures ; 1982-3</t>
        </is>
      </c>
      <c r="R530" t="inlineStr">
        <is>
          <t xml:space="preserve">E  </t>
        </is>
      </c>
      <c r="S530" t="n">
        <v>7</v>
      </c>
      <c r="T530" t="n">
        <v>7</v>
      </c>
      <c r="U530" t="inlineStr">
        <is>
          <t>1998-04-27</t>
        </is>
      </c>
      <c r="V530" t="inlineStr">
        <is>
          <t>1998-04-27</t>
        </is>
      </c>
      <c r="W530" t="inlineStr">
        <is>
          <t>1991-01-28</t>
        </is>
      </c>
      <c r="X530" t="inlineStr">
        <is>
          <t>1991-01-28</t>
        </is>
      </c>
      <c r="Y530" t="n">
        <v>377</v>
      </c>
      <c r="Z530" t="n">
        <v>262</v>
      </c>
      <c r="AA530" t="n">
        <v>264</v>
      </c>
      <c r="AB530" t="n">
        <v>3</v>
      </c>
      <c r="AC530" t="n">
        <v>3</v>
      </c>
      <c r="AD530" t="n">
        <v>12</v>
      </c>
      <c r="AE530" t="n">
        <v>12</v>
      </c>
      <c r="AF530" t="n">
        <v>3</v>
      </c>
      <c r="AG530" t="n">
        <v>3</v>
      </c>
      <c r="AH530" t="n">
        <v>3</v>
      </c>
      <c r="AI530" t="n">
        <v>3</v>
      </c>
      <c r="AJ530" t="n">
        <v>6</v>
      </c>
      <c r="AK530" t="n">
        <v>6</v>
      </c>
      <c r="AL530" t="n">
        <v>2</v>
      </c>
      <c r="AM530" t="n">
        <v>2</v>
      </c>
      <c r="AN530" t="n">
        <v>0</v>
      </c>
      <c r="AO530" t="n">
        <v>0</v>
      </c>
      <c r="AP530" t="inlineStr">
        <is>
          <t>No</t>
        </is>
      </c>
      <c r="AQ530" t="inlineStr">
        <is>
          <t>Yes</t>
        </is>
      </c>
      <c r="AR530">
        <f>HYPERLINK("http://catalog.hathitrust.org/Record/000382809","HathiTrust Record")</f>
        <v/>
      </c>
      <c r="AS530">
        <f>HYPERLINK("https://creighton-primo.hosted.exlibrisgroup.com/primo-explore/search?tab=default_tab&amp;search_scope=EVERYTHING&amp;vid=01CRU&amp;lang=en_US&amp;offset=0&amp;query=any,contains,991000676169702656","Catalog Record")</f>
        <v/>
      </c>
      <c r="AT530">
        <f>HYPERLINK("http://www.worldcat.org/oclc/12352373","WorldCat Record")</f>
        <v/>
      </c>
      <c r="AU530" t="inlineStr">
        <is>
          <t>894520420:eng</t>
        </is>
      </c>
      <c r="AV530" t="inlineStr">
        <is>
          <t>12352373</t>
        </is>
      </c>
      <c r="AW530" t="inlineStr">
        <is>
          <t>991000676169702656</t>
        </is>
      </c>
      <c r="AX530" t="inlineStr">
        <is>
          <t>991000676169702656</t>
        </is>
      </c>
      <c r="AY530" t="inlineStr">
        <is>
          <t>2258555850002656</t>
        </is>
      </c>
      <c r="AZ530" t="inlineStr">
        <is>
          <t>BOOK</t>
        </is>
      </c>
      <c r="BB530" t="inlineStr">
        <is>
          <t>9780802065759</t>
        </is>
      </c>
      <c r="BC530" t="inlineStr">
        <is>
          <t>32285000480755</t>
        </is>
      </c>
      <c r="BD530" t="inlineStr">
        <is>
          <t>893714801</t>
        </is>
      </c>
    </row>
    <row r="531">
      <c r="A531" t="inlineStr">
        <is>
          <t>No</t>
        </is>
      </c>
      <c r="B531" t="inlineStr">
        <is>
          <t>E183.8.C2 G73 1991</t>
        </is>
      </c>
      <c r="C531" t="inlineStr">
        <is>
          <t>0                      E  0183800C  2                  G  73          1991</t>
        </is>
      </c>
      <c r="D531" t="inlineStr">
        <is>
          <t>For better or for worse : Canada and the United States to the 1990s / J.L. Granatstein, Norman Hillmer.</t>
        </is>
      </c>
      <c r="F531" t="inlineStr">
        <is>
          <t>No</t>
        </is>
      </c>
      <c r="G531" t="inlineStr">
        <is>
          <t>1</t>
        </is>
      </c>
      <c r="H531" t="inlineStr">
        <is>
          <t>No</t>
        </is>
      </c>
      <c r="I531" t="inlineStr">
        <is>
          <t>No</t>
        </is>
      </c>
      <c r="J531" t="inlineStr">
        <is>
          <t>0</t>
        </is>
      </c>
      <c r="K531" t="inlineStr">
        <is>
          <t>Granatstein, J. L.</t>
        </is>
      </c>
      <c r="L531" t="inlineStr">
        <is>
          <t>Toronto : Copp Clark Pitman, c1991.</t>
        </is>
      </c>
      <c r="M531" t="inlineStr">
        <is>
          <t>1991</t>
        </is>
      </c>
      <c r="O531" t="inlineStr">
        <is>
          <t>eng</t>
        </is>
      </c>
      <c r="P531" t="inlineStr">
        <is>
          <t>onc</t>
        </is>
      </c>
      <c r="R531" t="inlineStr">
        <is>
          <t xml:space="preserve">E  </t>
        </is>
      </c>
      <c r="S531" t="n">
        <v>4</v>
      </c>
      <c r="T531" t="n">
        <v>4</v>
      </c>
      <c r="U531" t="inlineStr">
        <is>
          <t>1994-05-22</t>
        </is>
      </c>
      <c r="V531" t="inlineStr">
        <is>
          <t>1994-05-22</t>
        </is>
      </c>
      <c r="W531" t="inlineStr">
        <is>
          <t>1992-07-28</t>
        </is>
      </c>
      <c r="X531" t="inlineStr">
        <is>
          <t>1992-07-28</t>
        </is>
      </c>
      <c r="Y531" t="n">
        <v>251</v>
      </c>
      <c r="Z531" t="n">
        <v>128</v>
      </c>
      <c r="AA531" t="n">
        <v>135</v>
      </c>
      <c r="AB531" t="n">
        <v>1</v>
      </c>
      <c r="AC531" t="n">
        <v>1</v>
      </c>
      <c r="AD531" t="n">
        <v>6</v>
      </c>
      <c r="AE531" t="n">
        <v>6</v>
      </c>
      <c r="AF531" t="n">
        <v>2</v>
      </c>
      <c r="AG531" t="n">
        <v>2</v>
      </c>
      <c r="AH531" t="n">
        <v>2</v>
      </c>
      <c r="AI531" t="n">
        <v>2</v>
      </c>
      <c r="AJ531" t="n">
        <v>3</v>
      </c>
      <c r="AK531" t="n">
        <v>3</v>
      </c>
      <c r="AL531" t="n">
        <v>0</v>
      </c>
      <c r="AM531" t="n">
        <v>0</v>
      </c>
      <c r="AN531" t="n">
        <v>0</v>
      </c>
      <c r="AO531" t="n">
        <v>0</v>
      </c>
      <c r="AP531" t="inlineStr">
        <is>
          <t>No</t>
        </is>
      </c>
      <c r="AQ531" t="inlineStr">
        <is>
          <t>Yes</t>
        </is>
      </c>
      <c r="AR531">
        <f>HYPERLINK("http://catalog.hathitrust.org/Record/002522015","HathiTrust Record")</f>
        <v/>
      </c>
      <c r="AS531">
        <f>HYPERLINK("https://creighton-primo.hosted.exlibrisgroup.com/primo-explore/search?tab=default_tab&amp;search_scope=EVERYTHING&amp;vid=01CRU&amp;lang=en_US&amp;offset=0&amp;query=any,contains,991002046769702656","Catalog Record")</f>
        <v/>
      </c>
      <c r="AT531">
        <f>HYPERLINK("http://www.worldcat.org/oclc/26129799","WorldCat Record")</f>
        <v/>
      </c>
      <c r="AU531" t="inlineStr">
        <is>
          <t>3503718283:eng</t>
        </is>
      </c>
      <c r="AV531" t="inlineStr">
        <is>
          <t>26129799</t>
        </is>
      </c>
      <c r="AW531" t="inlineStr">
        <is>
          <t>991002046769702656</t>
        </is>
      </c>
      <c r="AX531" t="inlineStr">
        <is>
          <t>991002046769702656</t>
        </is>
      </c>
      <c r="AY531" t="inlineStr">
        <is>
          <t>2270948360002656</t>
        </is>
      </c>
      <c r="AZ531" t="inlineStr">
        <is>
          <t>BOOK</t>
        </is>
      </c>
      <c r="BB531" t="inlineStr">
        <is>
          <t>9780773051669</t>
        </is>
      </c>
      <c r="BC531" t="inlineStr">
        <is>
          <t>32285001195790</t>
        </is>
      </c>
      <c r="BD531" t="inlineStr">
        <is>
          <t>893609404</t>
        </is>
      </c>
    </row>
    <row r="532">
      <c r="A532" t="inlineStr">
        <is>
          <t>No</t>
        </is>
      </c>
      <c r="B532" t="inlineStr">
        <is>
          <t>E183.8.C2 G95 1985</t>
        </is>
      </c>
      <c r="C532" t="inlineStr">
        <is>
          <t>0                      E  0183800C  2                  G  95          1985</t>
        </is>
      </c>
      <c r="D532" t="inlineStr">
        <is>
          <t>The 49th paradox : Canada in North America / Richard Gwyn.</t>
        </is>
      </c>
      <c r="F532" t="inlineStr">
        <is>
          <t>No</t>
        </is>
      </c>
      <c r="G532" t="inlineStr">
        <is>
          <t>1</t>
        </is>
      </c>
      <c r="H532" t="inlineStr">
        <is>
          <t>No</t>
        </is>
      </c>
      <c r="I532" t="inlineStr">
        <is>
          <t>No</t>
        </is>
      </c>
      <c r="J532" t="inlineStr">
        <is>
          <t>0</t>
        </is>
      </c>
      <c r="K532" t="inlineStr">
        <is>
          <t>Gwyn, Richard J., 1934-</t>
        </is>
      </c>
      <c r="L532" t="inlineStr">
        <is>
          <t>Toronto, Ont. : McClelland and Stewart, c1985.</t>
        </is>
      </c>
      <c r="M532" t="inlineStr">
        <is>
          <t>1985</t>
        </is>
      </c>
      <c r="O532" t="inlineStr">
        <is>
          <t>eng</t>
        </is>
      </c>
      <c r="P532" t="inlineStr">
        <is>
          <t>onc</t>
        </is>
      </c>
      <c r="R532" t="inlineStr">
        <is>
          <t xml:space="preserve">E  </t>
        </is>
      </c>
      <c r="S532" t="n">
        <v>1</v>
      </c>
      <c r="T532" t="n">
        <v>1</v>
      </c>
      <c r="U532" t="inlineStr">
        <is>
          <t>1994-05-22</t>
        </is>
      </c>
      <c r="V532" t="inlineStr">
        <is>
          <t>1994-05-22</t>
        </is>
      </c>
      <c r="W532" t="inlineStr">
        <is>
          <t>1991-01-28</t>
        </is>
      </c>
      <c r="X532" t="inlineStr">
        <is>
          <t>1991-01-28</t>
        </is>
      </c>
      <c r="Y532" t="n">
        <v>207</v>
      </c>
      <c r="Z532" t="n">
        <v>103</v>
      </c>
      <c r="AA532" t="n">
        <v>115</v>
      </c>
      <c r="AB532" t="n">
        <v>1</v>
      </c>
      <c r="AC532" t="n">
        <v>1</v>
      </c>
      <c r="AD532" t="n">
        <v>5</v>
      </c>
      <c r="AE532" t="n">
        <v>5</v>
      </c>
      <c r="AF532" t="n">
        <v>2</v>
      </c>
      <c r="AG532" t="n">
        <v>2</v>
      </c>
      <c r="AH532" t="n">
        <v>2</v>
      </c>
      <c r="AI532" t="n">
        <v>2</v>
      </c>
      <c r="AJ532" t="n">
        <v>2</v>
      </c>
      <c r="AK532" t="n">
        <v>2</v>
      </c>
      <c r="AL532" t="n">
        <v>0</v>
      </c>
      <c r="AM532" t="n">
        <v>0</v>
      </c>
      <c r="AN532" t="n">
        <v>1</v>
      </c>
      <c r="AO532" t="n">
        <v>1</v>
      </c>
      <c r="AP532" t="inlineStr">
        <is>
          <t>No</t>
        </is>
      </c>
      <c r="AQ532" t="inlineStr">
        <is>
          <t>Yes</t>
        </is>
      </c>
      <c r="AR532">
        <f>HYPERLINK("http://catalog.hathitrust.org/Record/000589924","HathiTrust Record")</f>
        <v/>
      </c>
      <c r="AS532">
        <f>HYPERLINK("https://creighton-primo.hosted.exlibrisgroup.com/primo-explore/search?tab=default_tab&amp;search_scope=EVERYTHING&amp;vid=01CRU&amp;lang=en_US&amp;offset=0&amp;query=any,contains,991000746319702656","Catalog Record")</f>
        <v/>
      </c>
      <c r="AT532">
        <f>HYPERLINK("http://www.worldcat.org/oclc/12850458","WorldCat Record")</f>
        <v/>
      </c>
      <c r="AU532" t="inlineStr">
        <is>
          <t>5340427:eng</t>
        </is>
      </c>
      <c r="AV532" t="inlineStr">
        <is>
          <t>12850458</t>
        </is>
      </c>
      <c r="AW532" t="inlineStr">
        <is>
          <t>991000746319702656</t>
        </is>
      </c>
      <c r="AX532" t="inlineStr">
        <is>
          <t>991000746319702656</t>
        </is>
      </c>
      <c r="AY532" t="inlineStr">
        <is>
          <t>2258965870002656</t>
        </is>
      </c>
      <c r="AZ532" t="inlineStr">
        <is>
          <t>BOOK</t>
        </is>
      </c>
      <c r="BB532" t="inlineStr">
        <is>
          <t>9780771037337</t>
        </is>
      </c>
      <c r="BC532" t="inlineStr">
        <is>
          <t>32285000480763</t>
        </is>
      </c>
      <c r="BD532" t="inlineStr">
        <is>
          <t>893413642</t>
        </is>
      </c>
    </row>
    <row r="533">
      <c r="A533" t="inlineStr">
        <is>
          <t>No</t>
        </is>
      </c>
      <c r="B533" t="inlineStr">
        <is>
          <t>E183.8.C2 I48</t>
        </is>
      </c>
      <c r="C533" t="inlineStr">
        <is>
          <t>0                      E  0183800C  2                  I  48</t>
        </is>
      </c>
      <c r="D533" t="inlineStr">
        <is>
          <t>The Influence of the United States on Canadian development : eleven case studies / Irving M. Abella ... [et al.] ; edited by Richard A. Preston.</t>
        </is>
      </c>
      <c r="F533" t="inlineStr">
        <is>
          <t>No</t>
        </is>
      </c>
      <c r="G533" t="inlineStr">
        <is>
          <t>1</t>
        </is>
      </c>
      <c r="H533" t="inlineStr">
        <is>
          <t>No</t>
        </is>
      </c>
      <c r="I533" t="inlineStr">
        <is>
          <t>No</t>
        </is>
      </c>
      <c r="J533" t="inlineStr">
        <is>
          <t>0</t>
        </is>
      </c>
      <c r="L533" t="inlineStr">
        <is>
          <t>Durham, N.C. : Duke University Press, 1972.</t>
        </is>
      </c>
      <c r="M533" t="inlineStr">
        <is>
          <t>1972</t>
        </is>
      </c>
      <c r="O533" t="inlineStr">
        <is>
          <t>eng</t>
        </is>
      </c>
      <c r="P533" t="inlineStr">
        <is>
          <t>ncu</t>
        </is>
      </c>
      <c r="Q533" t="inlineStr">
        <is>
          <t>Commonwealth-Studies Center. Publication 40</t>
        </is>
      </c>
      <c r="R533" t="inlineStr">
        <is>
          <t xml:space="preserve">E  </t>
        </is>
      </c>
      <c r="S533" t="n">
        <v>1</v>
      </c>
      <c r="T533" t="n">
        <v>1</v>
      </c>
      <c r="U533" t="inlineStr">
        <is>
          <t>2002-06-12</t>
        </is>
      </c>
      <c r="V533" t="inlineStr">
        <is>
          <t>2002-06-12</t>
        </is>
      </c>
      <c r="W533" t="inlineStr">
        <is>
          <t>1995-04-26</t>
        </is>
      </c>
      <c r="X533" t="inlineStr">
        <is>
          <t>1995-04-26</t>
        </is>
      </c>
      <c r="Y533" t="n">
        <v>485</v>
      </c>
      <c r="Z533" t="n">
        <v>373</v>
      </c>
      <c r="AA533" t="n">
        <v>405</v>
      </c>
      <c r="AB533" t="n">
        <v>2</v>
      </c>
      <c r="AC533" t="n">
        <v>2</v>
      </c>
      <c r="AD533" t="n">
        <v>13</v>
      </c>
      <c r="AE533" t="n">
        <v>15</v>
      </c>
      <c r="AF533" t="n">
        <v>4</v>
      </c>
      <c r="AG533" t="n">
        <v>5</v>
      </c>
      <c r="AH533" t="n">
        <v>3</v>
      </c>
      <c r="AI533" t="n">
        <v>4</v>
      </c>
      <c r="AJ533" t="n">
        <v>7</v>
      </c>
      <c r="AK533" t="n">
        <v>7</v>
      </c>
      <c r="AL533" t="n">
        <v>1</v>
      </c>
      <c r="AM533" t="n">
        <v>1</v>
      </c>
      <c r="AN533" t="n">
        <v>2</v>
      </c>
      <c r="AO533" t="n">
        <v>2</v>
      </c>
      <c r="AP533" t="inlineStr">
        <is>
          <t>No</t>
        </is>
      </c>
      <c r="AQ533" t="inlineStr">
        <is>
          <t>Yes</t>
        </is>
      </c>
      <c r="AR533">
        <f>HYPERLINK("http://catalog.hathitrust.org/Record/000335007","HathiTrust Record")</f>
        <v/>
      </c>
      <c r="AS533">
        <f>HYPERLINK("https://creighton-primo.hosted.exlibrisgroup.com/primo-explore/search?tab=default_tab&amp;search_scope=EVERYTHING&amp;vid=01CRU&amp;lang=en_US&amp;offset=0&amp;query=any,contains,991002997899702656","Catalog Record")</f>
        <v/>
      </c>
      <c r="AT533">
        <f>HYPERLINK("http://www.worldcat.org/oclc/566432","WorldCat Record")</f>
        <v/>
      </c>
      <c r="AU533" t="inlineStr">
        <is>
          <t>1654779:eng</t>
        </is>
      </c>
      <c r="AV533" t="inlineStr">
        <is>
          <t>566432</t>
        </is>
      </c>
      <c r="AW533" t="inlineStr">
        <is>
          <t>991002997899702656</t>
        </is>
      </c>
      <c r="AX533" t="inlineStr">
        <is>
          <t>991002997899702656</t>
        </is>
      </c>
      <c r="AY533" t="inlineStr">
        <is>
          <t>2256266210002656</t>
        </is>
      </c>
      <c r="AZ533" t="inlineStr">
        <is>
          <t>BOOK</t>
        </is>
      </c>
      <c r="BB533" t="inlineStr">
        <is>
          <t>9780822302742</t>
        </is>
      </c>
      <c r="BC533" t="inlineStr">
        <is>
          <t>32285002029535</t>
        </is>
      </c>
      <c r="BD533" t="inlineStr">
        <is>
          <t>893598146</t>
        </is>
      </c>
    </row>
    <row r="534">
      <c r="A534" t="inlineStr">
        <is>
          <t>No</t>
        </is>
      </c>
      <c r="B534" t="inlineStr">
        <is>
          <t>E183.8.C2 L27 1994</t>
        </is>
      </c>
      <c r="C534" t="inlineStr">
        <is>
          <t>0                      E  0183800C  2                  L  27          1994</t>
        </is>
      </c>
      <c r="D534" t="inlineStr">
        <is>
          <t>Breakup : the coming end of Canada and the stakes for America / Lansing Lamont.</t>
        </is>
      </c>
      <c r="F534" t="inlineStr">
        <is>
          <t>No</t>
        </is>
      </c>
      <c r="G534" t="inlineStr">
        <is>
          <t>1</t>
        </is>
      </c>
      <c r="H534" t="inlineStr">
        <is>
          <t>No</t>
        </is>
      </c>
      <c r="I534" t="inlineStr">
        <is>
          <t>No</t>
        </is>
      </c>
      <c r="J534" t="inlineStr">
        <is>
          <t>0</t>
        </is>
      </c>
      <c r="K534" t="inlineStr">
        <is>
          <t>Lamont, Lansing.</t>
        </is>
      </c>
      <c r="L534" t="inlineStr">
        <is>
          <t>New York : Norton, c1994.</t>
        </is>
      </c>
      <c r="M534" t="inlineStr">
        <is>
          <t>1994</t>
        </is>
      </c>
      <c r="N534" t="inlineStr">
        <is>
          <t>1st ed.</t>
        </is>
      </c>
      <c r="O534" t="inlineStr">
        <is>
          <t>eng</t>
        </is>
      </c>
      <c r="P534" t="inlineStr">
        <is>
          <t>nyu</t>
        </is>
      </c>
      <c r="R534" t="inlineStr">
        <is>
          <t xml:space="preserve">E  </t>
        </is>
      </c>
      <c r="S534" t="n">
        <v>1</v>
      </c>
      <c r="T534" t="n">
        <v>1</v>
      </c>
      <c r="U534" t="inlineStr">
        <is>
          <t>1998-06-28</t>
        </is>
      </c>
      <c r="V534" t="inlineStr">
        <is>
          <t>1998-06-28</t>
        </is>
      </c>
      <c r="W534" t="inlineStr">
        <is>
          <t>1994-11-22</t>
        </is>
      </c>
      <c r="X534" t="inlineStr">
        <is>
          <t>1994-11-22</t>
        </is>
      </c>
      <c r="Y534" t="n">
        <v>900</v>
      </c>
      <c r="Z534" t="n">
        <v>770</v>
      </c>
      <c r="AA534" t="n">
        <v>775</v>
      </c>
      <c r="AB534" t="n">
        <v>5</v>
      </c>
      <c r="AC534" t="n">
        <v>5</v>
      </c>
      <c r="AD534" t="n">
        <v>33</v>
      </c>
      <c r="AE534" t="n">
        <v>33</v>
      </c>
      <c r="AF534" t="n">
        <v>11</v>
      </c>
      <c r="AG534" t="n">
        <v>11</v>
      </c>
      <c r="AH534" t="n">
        <v>6</v>
      </c>
      <c r="AI534" t="n">
        <v>6</v>
      </c>
      <c r="AJ534" t="n">
        <v>16</v>
      </c>
      <c r="AK534" t="n">
        <v>16</v>
      </c>
      <c r="AL534" t="n">
        <v>4</v>
      </c>
      <c r="AM534" t="n">
        <v>4</v>
      </c>
      <c r="AN534" t="n">
        <v>4</v>
      </c>
      <c r="AO534" t="n">
        <v>4</v>
      </c>
      <c r="AP534" t="inlineStr">
        <is>
          <t>No</t>
        </is>
      </c>
      <c r="AQ534" t="inlineStr">
        <is>
          <t>No</t>
        </is>
      </c>
      <c r="AS534">
        <f>HYPERLINK("https://creighton-primo.hosted.exlibrisgroup.com/primo-explore/search?tab=default_tab&amp;search_scope=EVERYTHING&amp;vid=01CRU&amp;lang=en_US&amp;offset=0&amp;query=any,contains,991002262719702656","Catalog Record")</f>
        <v/>
      </c>
      <c r="AT534">
        <f>HYPERLINK("http://www.worldcat.org/oclc/29357505","WorldCat Record")</f>
        <v/>
      </c>
      <c r="AU534" t="inlineStr">
        <is>
          <t>31217719:eng</t>
        </is>
      </c>
      <c r="AV534" t="inlineStr">
        <is>
          <t>29357505</t>
        </is>
      </c>
      <c r="AW534" t="inlineStr">
        <is>
          <t>991002262719702656</t>
        </is>
      </c>
      <c r="AX534" t="inlineStr">
        <is>
          <t>991002262719702656</t>
        </is>
      </c>
      <c r="AY534" t="inlineStr">
        <is>
          <t>2265816160002656</t>
        </is>
      </c>
      <c r="AZ534" t="inlineStr">
        <is>
          <t>BOOK</t>
        </is>
      </c>
      <c r="BB534" t="inlineStr">
        <is>
          <t>9780393036343</t>
        </is>
      </c>
      <c r="BC534" t="inlineStr">
        <is>
          <t>32285001959088</t>
        </is>
      </c>
      <c r="BD534" t="inlineStr">
        <is>
          <t>893697531</t>
        </is>
      </c>
    </row>
    <row r="535">
      <c r="A535" t="inlineStr">
        <is>
          <t>No</t>
        </is>
      </c>
      <c r="B535" t="inlineStr">
        <is>
          <t>E183.8.C2 L47 1976</t>
        </is>
      </c>
      <c r="C535" t="inlineStr">
        <is>
          <t>0                      E  0183800C  2                  L  47          1976</t>
        </is>
      </c>
      <c r="D535" t="inlineStr">
        <is>
          <t>Canadian cultural nationalism / The Fourth Lester B. Pearson Conference on the Canada-United States Relationship ; Janice L. Murray, editor.</t>
        </is>
      </c>
      <c r="F535" t="inlineStr">
        <is>
          <t>No</t>
        </is>
      </c>
      <c r="G535" t="inlineStr">
        <is>
          <t>1</t>
        </is>
      </c>
      <c r="H535" t="inlineStr">
        <is>
          <t>No</t>
        </is>
      </c>
      <c r="I535" t="inlineStr">
        <is>
          <t>No</t>
        </is>
      </c>
      <c r="J535" t="inlineStr">
        <is>
          <t>0</t>
        </is>
      </c>
      <c r="K535" t="inlineStr">
        <is>
          <t>Lester B. Pearson Conference on the Canada-United States Relationship (4th : 1976 : Niagara Institute)</t>
        </is>
      </c>
      <c r="L535" t="inlineStr">
        <is>
          <t>New York : Published for the Canadian Institute of International Affairs and the Council on Foreign Relations by New York University Press, 1977.</t>
        </is>
      </c>
      <c r="M535" t="inlineStr">
        <is>
          <t>1977</t>
        </is>
      </c>
      <c r="O535" t="inlineStr">
        <is>
          <t>eng</t>
        </is>
      </c>
      <c r="P535" t="inlineStr">
        <is>
          <t>nyu</t>
        </is>
      </c>
      <c r="R535" t="inlineStr">
        <is>
          <t xml:space="preserve">E  </t>
        </is>
      </c>
      <c r="S535" t="n">
        <v>4</v>
      </c>
      <c r="T535" t="n">
        <v>4</v>
      </c>
      <c r="U535" t="inlineStr">
        <is>
          <t>1995-01-09</t>
        </is>
      </c>
      <c r="V535" t="inlineStr">
        <is>
          <t>1995-01-09</t>
        </is>
      </c>
      <c r="W535" t="inlineStr">
        <is>
          <t>1995-02-28</t>
        </is>
      </c>
      <c r="X535" t="inlineStr">
        <is>
          <t>1995-02-28</t>
        </is>
      </c>
      <c r="Y535" t="n">
        <v>260</v>
      </c>
      <c r="Z535" t="n">
        <v>173</v>
      </c>
      <c r="AA535" t="n">
        <v>195</v>
      </c>
      <c r="AB535" t="n">
        <v>2</v>
      </c>
      <c r="AC535" t="n">
        <v>2</v>
      </c>
      <c r="AD535" t="n">
        <v>9</v>
      </c>
      <c r="AE535" t="n">
        <v>12</v>
      </c>
      <c r="AF535" t="n">
        <v>3</v>
      </c>
      <c r="AG535" t="n">
        <v>3</v>
      </c>
      <c r="AH535" t="n">
        <v>3</v>
      </c>
      <c r="AI535" t="n">
        <v>3</v>
      </c>
      <c r="AJ535" t="n">
        <v>5</v>
      </c>
      <c r="AK535" t="n">
        <v>5</v>
      </c>
      <c r="AL535" t="n">
        <v>1</v>
      </c>
      <c r="AM535" t="n">
        <v>1</v>
      </c>
      <c r="AN535" t="n">
        <v>1</v>
      </c>
      <c r="AO535" t="n">
        <v>4</v>
      </c>
      <c r="AP535" t="inlineStr">
        <is>
          <t>No</t>
        </is>
      </c>
      <c r="AQ535" t="inlineStr">
        <is>
          <t>No</t>
        </is>
      </c>
      <c r="AS535">
        <f>HYPERLINK("https://creighton-primo.hosted.exlibrisgroup.com/primo-explore/search?tab=default_tab&amp;search_scope=EVERYTHING&amp;vid=01CRU&amp;lang=en_US&amp;offset=0&amp;query=any,contains,991004510789702656","Catalog Record")</f>
        <v/>
      </c>
      <c r="AT535">
        <f>HYPERLINK("http://www.worldcat.org/oclc/3763484","WorldCat Record")</f>
        <v/>
      </c>
      <c r="AU535" t="inlineStr">
        <is>
          <t>2865221230:eng</t>
        </is>
      </c>
      <c r="AV535" t="inlineStr">
        <is>
          <t>3763484</t>
        </is>
      </c>
      <c r="AW535" t="inlineStr">
        <is>
          <t>991004510789702656</t>
        </is>
      </c>
      <c r="AX535" t="inlineStr">
        <is>
          <t>991004510789702656</t>
        </is>
      </c>
      <c r="AY535" t="inlineStr">
        <is>
          <t>2254985160002656</t>
        </is>
      </c>
      <c r="AZ535" t="inlineStr">
        <is>
          <t>BOOK</t>
        </is>
      </c>
      <c r="BB535" t="inlineStr">
        <is>
          <t>9780814754214</t>
        </is>
      </c>
      <c r="BC535" t="inlineStr">
        <is>
          <t>32285001779536</t>
        </is>
      </c>
      <c r="BD535" t="inlineStr">
        <is>
          <t>893719004</t>
        </is>
      </c>
    </row>
    <row r="536">
      <c r="A536" t="inlineStr">
        <is>
          <t>No</t>
        </is>
      </c>
      <c r="B536" t="inlineStr">
        <is>
          <t>E183.8.C2 M37</t>
        </is>
      </c>
      <c r="C536" t="inlineStr">
        <is>
          <t>0                      E  0183800C  2                  M  37</t>
        </is>
      </c>
      <c r="D536" t="inlineStr">
        <is>
          <t>Neighbors taken for granted; Canada and the United States, edited by Livingston T. Merchant.</t>
        </is>
      </c>
      <c r="F536" t="inlineStr">
        <is>
          <t>No</t>
        </is>
      </c>
      <c r="G536" t="inlineStr">
        <is>
          <t>1</t>
        </is>
      </c>
      <c r="H536" t="inlineStr">
        <is>
          <t>No</t>
        </is>
      </c>
      <c r="I536" t="inlineStr">
        <is>
          <t>No</t>
        </is>
      </c>
      <c r="J536" t="inlineStr">
        <is>
          <t>0</t>
        </is>
      </c>
      <c r="K536" t="inlineStr">
        <is>
          <t>Merchant, Livingston T. (Livingston Tallmadge), 1903-1976, editor.</t>
        </is>
      </c>
      <c r="L536" t="inlineStr">
        <is>
          <t>New York, Published for the School of Advanced International Studies, the Johns Hopkins University, [Baltimore] by F. A. Praeger [1966]</t>
        </is>
      </c>
      <c r="M536" t="inlineStr">
        <is>
          <t>1966</t>
        </is>
      </c>
      <c r="O536" t="inlineStr">
        <is>
          <t>eng</t>
        </is>
      </c>
      <c r="P536" t="inlineStr">
        <is>
          <t>nyu</t>
        </is>
      </c>
      <c r="R536" t="inlineStr">
        <is>
          <t xml:space="preserve">E  </t>
        </is>
      </c>
      <c r="S536" t="n">
        <v>3</v>
      </c>
      <c r="T536" t="n">
        <v>3</v>
      </c>
      <c r="U536" t="inlineStr">
        <is>
          <t>1998-05-07</t>
        </is>
      </c>
      <c r="V536" t="inlineStr">
        <is>
          <t>1998-05-07</t>
        </is>
      </c>
      <c r="W536" t="inlineStr">
        <is>
          <t>1996-08-14</t>
        </is>
      </c>
      <c r="X536" t="inlineStr">
        <is>
          <t>1996-08-14</t>
        </is>
      </c>
      <c r="Y536" t="n">
        <v>505</v>
      </c>
      <c r="Z536" t="n">
        <v>416</v>
      </c>
      <c r="AA536" t="n">
        <v>437</v>
      </c>
      <c r="AB536" t="n">
        <v>3</v>
      </c>
      <c r="AC536" t="n">
        <v>3</v>
      </c>
      <c r="AD536" t="n">
        <v>15</v>
      </c>
      <c r="AE536" t="n">
        <v>15</v>
      </c>
      <c r="AF536" t="n">
        <v>3</v>
      </c>
      <c r="AG536" t="n">
        <v>3</v>
      </c>
      <c r="AH536" t="n">
        <v>4</v>
      </c>
      <c r="AI536" t="n">
        <v>4</v>
      </c>
      <c r="AJ536" t="n">
        <v>10</v>
      </c>
      <c r="AK536" t="n">
        <v>10</v>
      </c>
      <c r="AL536" t="n">
        <v>2</v>
      </c>
      <c r="AM536" t="n">
        <v>2</v>
      </c>
      <c r="AN536" t="n">
        <v>0</v>
      </c>
      <c r="AO536" t="n">
        <v>0</v>
      </c>
      <c r="AP536" t="inlineStr">
        <is>
          <t>No</t>
        </is>
      </c>
      <c r="AQ536" t="inlineStr">
        <is>
          <t>Yes</t>
        </is>
      </c>
      <c r="AR536">
        <f>HYPERLINK("http://catalog.hathitrust.org/Record/000335031","HathiTrust Record")</f>
        <v/>
      </c>
      <c r="AS536">
        <f>HYPERLINK("https://creighton-primo.hosted.exlibrisgroup.com/primo-explore/search?tab=default_tab&amp;search_scope=EVERYTHING&amp;vid=01CRU&amp;lang=en_US&amp;offset=0&amp;query=any,contains,991002742949702656","Catalog Record")</f>
        <v/>
      </c>
      <c r="AT536">
        <f>HYPERLINK("http://www.worldcat.org/oclc/421718","WorldCat Record")</f>
        <v/>
      </c>
      <c r="AU536" t="inlineStr">
        <is>
          <t>836719228:eng</t>
        </is>
      </c>
      <c r="AV536" t="inlineStr">
        <is>
          <t>421718</t>
        </is>
      </c>
      <c r="AW536" t="inlineStr">
        <is>
          <t>991002742949702656</t>
        </is>
      </c>
      <c r="AX536" t="inlineStr">
        <is>
          <t>991002742949702656</t>
        </is>
      </c>
      <c r="AY536" t="inlineStr">
        <is>
          <t>2270063780002656</t>
        </is>
      </c>
      <c r="AZ536" t="inlineStr">
        <is>
          <t>BOOK</t>
        </is>
      </c>
      <c r="BC536" t="inlineStr">
        <is>
          <t>32285002281003</t>
        </is>
      </c>
      <c r="BD536" t="inlineStr">
        <is>
          <t>893421744</t>
        </is>
      </c>
    </row>
    <row r="537">
      <c r="A537" t="inlineStr">
        <is>
          <t>No</t>
        </is>
      </c>
      <c r="B537" t="inlineStr">
        <is>
          <t>E183.8.C2 P37 1989</t>
        </is>
      </c>
      <c r="C537" t="inlineStr">
        <is>
          <t>0                      E  0183800C  2                  P  37          1989</t>
        </is>
      </c>
      <c r="D537" t="inlineStr">
        <is>
          <t>Partners nevertheless : Canadian-American relations in the twentieth century / edited by Norman Hillmer.</t>
        </is>
      </c>
      <c r="F537" t="inlineStr">
        <is>
          <t>No</t>
        </is>
      </c>
      <c r="G537" t="inlineStr">
        <is>
          <t>1</t>
        </is>
      </c>
      <c r="H537" t="inlineStr">
        <is>
          <t>No</t>
        </is>
      </c>
      <c r="I537" t="inlineStr">
        <is>
          <t>No</t>
        </is>
      </c>
      <c r="J537" t="inlineStr">
        <is>
          <t>0</t>
        </is>
      </c>
      <c r="L537" t="inlineStr">
        <is>
          <t>Toronto : Copp Clark Pitman, c1989.</t>
        </is>
      </c>
      <c r="M537" t="inlineStr">
        <is>
          <t>1989</t>
        </is>
      </c>
      <c r="O537" t="inlineStr">
        <is>
          <t>eng</t>
        </is>
      </c>
      <c r="P537" t="inlineStr">
        <is>
          <t>onc</t>
        </is>
      </c>
      <c r="Q537" t="inlineStr">
        <is>
          <t>New Canadian readings</t>
        </is>
      </c>
      <c r="R537" t="inlineStr">
        <is>
          <t xml:space="preserve">E  </t>
        </is>
      </c>
      <c r="S537" t="n">
        <v>1</v>
      </c>
      <c r="T537" t="n">
        <v>1</v>
      </c>
      <c r="U537" t="inlineStr">
        <is>
          <t>1995-03-18</t>
        </is>
      </c>
      <c r="V537" t="inlineStr">
        <is>
          <t>1995-03-18</t>
        </is>
      </c>
      <c r="W537" t="inlineStr">
        <is>
          <t>1994-12-13</t>
        </is>
      </c>
      <c r="X537" t="inlineStr">
        <is>
          <t>1994-12-13</t>
        </is>
      </c>
      <c r="Y537" t="n">
        <v>179</v>
      </c>
      <c r="Z537" t="n">
        <v>88</v>
      </c>
      <c r="AA537" t="n">
        <v>88</v>
      </c>
      <c r="AB537" t="n">
        <v>1</v>
      </c>
      <c r="AC537" t="n">
        <v>1</v>
      </c>
      <c r="AD537" t="n">
        <v>1</v>
      </c>
      <c r="AE537" t="n">
        <v>1</v>
      </c>
      <c r="AF537" t="n">
        <v>0</v>
      </c>
      <c r="AG537" t="n">
        <v>0</v>
      </c>
      <c r="AH537" t="n">
        <v>1</v>
      </c>
      <c r="AI537" t="n">
        <v>1</v>
      </c>
      <c r="AJ537" t="n">
        <v>0</v>
      </c>
      <c r="AK537" t="n">
        <v>0</v>
      </c>
      <c r="AL537" t="n">
        <v>0</v>
      </c>
      <c r="AM537" t="n">
        <v>0</v>
      </c>
      <c r="AN537" t="n">
        <v>0</v>
      </c>
      <c r="AO537" t="n">
        <v>0</v>
      </c>
      <c r="AP537" t="inlineStr">
        <is>
          <t>No</t>
        </is>
      </c>
      <c r="AQ537" t="inlineStr">
        <is>
          <t>No</t>
        </is>
      </c>
      <c r="AS537">
        <f>HYPERLINK("https://creighton-primo.hosted.exlibrisgroup.com/primo-explore/search?tab=default_tab&amp;search_scope=EVERYTHING&amp;vid=01CRU&amp;lang=en_US&amp;offset=0&amp;query=any,contains,991001693199702656","Catalog Record")</f>
        <v/>
      </c>
      <c r="AT537">
        <f>HYPERLINK("http://www.worldcat.org/oclc/21448805","WorldCat Record")</f>
        <v/>
      </c>
      <c r="AU537" t="inlineStr">
        <is>
          <t>23867620:eng</t>
        </is>
      </c>
      <c r="AV537" t="inlineStr">
        <is>
          <t>21448805</t>
        </is>
      </c>
      <c r="AW537" t="inlineStr">
        <is>
          <t>991001693199702656</t>
        </is>
      </c>
      <c r="AX537" t="inlineStr">
        <is>
          <t>991001693199702656</t>
        </is>
      </c>
      <c r="AY537" t="inlineStr">
        <is>
          <t>2257990970002656</t>
        </is>
      </c>
      <c r="AZ537" t="inlineStr">
        <is>
          <t>BOOK</t>
        </is>
      </c>
      <c r="BB537" t="inlineStr">
        <is>
          <t>9780773049130</t>
        </is>
      </c>
      <c r="BC537" t="inlineStr">
        <is>
          <t>32285001976298</t>
        </is>
      </c>
      <c r="BD537" t="inlineStr">
        <is>
          <t>893797746</t>
        </is>
      </c>
    </row>
    <row r="538">
      <c r="A538" t="inlineStr">
        <is>
          <t>No</t>
        </is>
      </c>
      <c r="B538" t="inlineStr">
        <is>
          <t>E183.8.C5 B22</t>
        </is>
      </c>
      <c r="C538" t="inlineStr">
        <is>
          <t>0                      E  0183800C  5                  B  22</t>
        </is>
      </c>
      <c r="D538" t="inlineStr">
        <is>
          <t>China policy, old problems and new challenges / A. Doak Barnett.</t>
        </is>
      </c>
      <c r="F538" t="inlineStr">
        <is>
          <t>No</t>
        </is>
      </c>
      <c r="G538" t="inlineStr">
        <is>
          <t>1</t>
        </is>
      </c>
      <c r="H538" t="inlineStr">
        <is>
          <t>No</t>
        </is>
      </c>
      <c r="I538" t="inlineStr">
        <is>
          <t>No</t>
        </is>
      </c>
      <c r="J538" t="inlineStr">
        <is>
          <t>0</t>
        </is>
      </c>
      <c r="K538" t="inlineStr">
        <is>
          <t>Barnett, A. Doak.</t>
        </is>
      </c>
      <c r="L538" t="inlineStr">
        <is>
          <t>Washington : Brookings Institution, c1977.</t>
        </is>
      </c>
      <c r="M538" t="inlineStr">
        <is>
          <t>1977</t>
        </is>
      </c>
      <c r="O538" t="inlineStr">
        <is>
          <t>eng</t>
        </is>
      </c>
      <c r="P538" t="inlineStr">
        <is>
          <t>dcu</t>
        </is>
      </c>
      <c r="R538" t="inlineStr">
        <is>
          <t xml:space="preserve">E  </t>
        </is>
      </c>
      <c r="S538" t="n">
        <v>3</v>
      </c>
      <c r="T538" t="n">
        <v>3</v>
      </c>
      <c r="U538" t="inlineStr">
        <is>
          <t>1999-11-08</t>
        </is>
      </c>
      <c r="V538" t="inlineStr">
        <is>
          <t>1999-11-08</t>
        </is>
      </c>
      <c r="W538" t="inlineStr">
        <is>
          <t>1997-04-08</t>
        </is>
      </c>
      <c r="X538" t="inlineStr">
        <is>
          <t>1997-04-08</t>
        </is>
      </c>
      <c r="Y538" t="n">
        <v>821</v>
      </c>
      <c r="Z538" t="n">
        <v>699</v>
      </c>
      <c r="AA538" t="n">
        <v>1340</v>
      </c>
      <c r="AB538" t="n">
        <v>7</v>
      </c>
      <c r="AC538" t="n">
        <v>10</v>
      </c>
      <c r="AD538" t="n">
        <v>32</v>
      </c>
      <c r="AE538" t="n">
        <v>38</v>
      </c>
      <c r="AF538" t="n">
        <v>10</v>
      </c>
      <c r="AG538" t="n">
        <v>13</v>
      </c>
      <c r="AH538" t="n">
        <v>8</v>
      </c>
      <c r="AI538" t="n">
        <v>8</v>
      </c>
      <c r="AJ538" t="n">
        <v>13</v>
      </c>
      <c r="AK538" t="n">
        <v>13</v>
      </c>
      <c r="AL538" t="n">
        <v>6</v>
      </c>
      <c r="AM538" t="n">
        <v>9</v>
      </c>
      <c r="AN538" t="n">
        <v>2</v>
      </c>
      <c r="AO538" t="n">
        <v>2</v>
      </c>
      <c r="AP538" t="inlineStr">
        <is>
          <t>No</t>
        </is>
      </c>
      <c r="AQ538" t="inlineStr">
        <is>
          <t>Yes</t>
        </is>
      </c>
      <c r="AR538">
        <f>HYPERLINK("http://catalog.hathitrust.org/Record/000250268","HathiTrust Record")</f>
        <v/>
      </c>
      <c r="AS538">
        <f>HYPERLINK("https://creighton-primo.hosted.exlibrisgroup.com/primo-explore/search?tab=default_tab&amp;search_scope=EVERYTHING&amp;vid=01CRU&amp;lang=en_US&amp;offset=0&amp;query=any,contains,991004306059702656","Catalog Record")</f>
        <v/>
      </c>
      <c r="AT538">
        <f>HYPERLINK("http://www.worldcat.org/oclc/2983802","WorldCat Record")</f>
        <v/>
      </c>
      <c r="AU538" t="inlineStr">
        <is>
          <t>477809:eng</t>
        </is>
      </c>
      <c r="AV538" t="inlineStr">
        <is>
          <t>2983802</t>
        </is>
      </c>
      <c r="AW538" t="inlineStr">
        <is>
          <t>991004306059702656</t>
        </is>
      </c>
      <c r="AX538" t="inlineStr">
        <is>
          <t>991004306059702656</t>
        </is>
      </c>
      <c r="AY538" t="inlineStr">
        <is>
          <t>2260975180002656</t>
        </is>
      </c>
      <c r="AZ538" t="inlineStr">
        <is>
          <t>BOOK</t>
        </is>
      </c>
      <c r="BB538" t="inlineStr">
        <is>
          <t>9780815708223</t>
        </is>
      </c>
      <c r="BC538" t="inlineStr">
        <is>
          <t>32285002506508</t>
        </is>
      </c>
      <c r="BD538" t="inlineStr">
        <is>
          <t>893229187</t>
        </is>
      </c>
    </row>
    <row r="539">
      <c r="A539" t="inlineStr">
        <is>
          <t>No</t>
        </is>
      </c>
      <c r="B539" t="inlineStr">
        <is>
          <t>E183.8.C5 B24 1982</t>
        </is>
      </c>
      <c r="C539" t="inlineStr">
        <is>
          <t>0                      E  0183800C  5                  B  24          1982</t>
        </is>
      </c>
      <c r="D539" t="inlineStr">
        <is>
          <t>U.S. arms sales : the China-Taiwan tangle / A. Doak Barnett.</t>
        </is>
      </c>
      <c r="F539" t="inlineStr">
        <is>
          <t>No</t>
        </is>
      </c>
      <c r="G539" t="inlineStr">
        <is>
          <t>1</t>
        </is>
      </c>
      <c r="H539" t="inlineStr">
        <is>
          <t>No</t>
        </is>
      </c>
      <c r="I539" t="inlineStr">
        <is>
          <t>No</t>
        </is>
      </c>
      <c r="J539" t="inlineStr">
        <is>
          <t>0</t>
        </is>
      </c>
      <c r="K539" t="inlineStr">
        <is>
          <t>Barnett, A. Doak.</t>
        </is>
      </c>
      <c r="L539" t="inlineStr">
        <is>
          <t>Washington, D.C. : Brookings Institution, c1982.</t>
        </is>
      </c>
      <c r="M539" t="inlineStr">
        <is>
          <t>1982</t>
        </is>
      </c>
      <c r="O539" t="inlineStr">
        <is>
          <t>eng</t>
        </is>
      </c>
      <c r="P539" t="inlineStr">
        <is>
          <t>dcu</t>
        </is>
      </c>
      <c r="Q539" t="inlineStr">
        <is>
          <t>Studies in defense policy</t>
        </is>
      </c>
      <c r="R539" t="inlineStr">
        <is>
          <t xml:space="preserve">E  </t>
        </is>
      </c>
      <c r="S539" t="n">
        <v>2</v>
      </c>
      <c r="T539" t="n">
        <v>2</v>
      </c>
      <c r="U539" t="inlineStr">
        <is>
          <t>1995-10-27</t>
        </is>
      </c>
      <c r="V539" t="inlineStr">
        <is>
          <t>1995-10-27</t>
        </is>
      </c>
      <c r="W539" t="inlineStr">
        <is>
          <t>1991-01-28</t>
        </is>
      </c>
      <c r="X539" t="inlineStr">
        <is>
          <t>1991-01-28</t>
        </is>
      </c>
      <c r="Y539" t="n">
        <v>466</v>
      </c>
      <c r="Z539" t="n">
        <v>411</v>
      </c>
      <c r="AA539" t="n">
        <v>413</v>
      </c>
      <c r="AB539" t="n">
        <v>4</v>
      </c>
      <c r="AC539" t="n">
        <v>4</v>
      </c>
      <c r="AD539" t="n">
        <v>18</v>
      </c>
      <c r="AE539" t="n">
        <v>18</v>
      </c>
      <c r="AF539" t="n">
        <v>3</v>
      </c>
      <c r="AG539" t="n">
        <v>3</v>
      </c>
      <c r="AH539" t="n">
        <v>4</v>
      </c>
      <c r="AI539" t="n">
        <v>4</v>
      </c>
      <c r="AJ539" t="n">
        <v>12</v>
      </c>
      <c r="AK539" t="n">
        <v>12</v>
      </c>
      <c r="AL539" t="n">
        <v>3</v>
      </c>
      <c r="AM539" t="n">
        <v>3</v>
      </c>
      <c r="AN539" t="n">
        <v>1</v>
      </c>
      <c r="AO539" t="n">
        <v>1</v>
      </c>
      <c r="AP539" t="inlineStr">
        <is>
          <t>No</t>
        </is>
      </c>
      <c r="AQ539" t="inlineStr">
        <is>
          <t>Yes</t>
        </is>
      </c>
      <c r="AR539">
        <f>HYPERLINK("http://catalog.hathitrust.org/Record/000767560","HathiTrust Record")</f>
        <v/>
      </c>
      <c r="AS539">
        <f>HYPERLINK("https://creighton-primo.hosted.exlibrisgroup.com/primo-explore/search?tab=default_tab&amp;search_scope=EVERYTHING&amp;vid=01CRU&amp;lang=en_US&amp;offset=0&amp;query=any,contains,991000022009702656","Catalog Record")</f>
        <v/>
      </c>
      <c r="AT539">
        <f>HYPERLINK("http://www.worldcat.org/oclc/8578790","WorldCat Record")</f>
        <v/>
      </c>
      <c r="AU539" t="inlineStr">
        <is>
          <t>477817:eng</t>
        </is>
      </c>
      <c r="AV539" t="inlineStr">
        <is>
          <t>8578790</t>
        </is>
      </c>
      <c r="AW539" t="inlineStr">
        <is>
          <t>991000022009702656</t>
        </is>
      </c>
      <c r="AX539" t="inlineStr">
        <is>
          <t>991000022009702656</t>
        </is>
      </c>
      <c r="AY539" t="inlineStr">
        <is>
          <t>2259078240002656</t>
        </is>
      </c>
      <c r="AZ539" t="inlineStr">
        <is>
          <t>BOOK</t>
        </is>
      </c>
      <c r="BB539" t="inlineStr">
        <is>
          <t>9780815708292</t>
        </is>
      </c>
      <c r="BC539" t="inlineStr">
        <is>
          <t>32285000480813</t>
        </is>
      </c>
      <c r="BD539" t="inlineStr">
        <is>
          <t>893771306</t>
        </is>
      </c>
    </row>
    <row r="540">
      <c r="A540" t="inlineStr">
        <is>
          <t>No</t>
        </is>
      </c>
      <c r="B540" t="inlineStr">
        <is>
          <t>E183.8.C5 B44 1997</t>
        </is>
      </c>
      <c r="C540" t="inlineStr">
        <is>
          <t>0                      E  0183800C  5                  B  44          1997</t>
        </is>
      </c>
      <c r="D540" t="inlineStr">
        <is>
          <t>The coming conflict with China / Richard Bernstein and Ross H. Munro.</t>
        </is>
      </c>
      <c r="F540" t="inlineStr">
        <is>
          <t>No</t>
        </is>
      </c>
      <c r="G540" t="inlineStr">
        <is>
          <t>1</t>
        </is>
      </c>
      <c r="H540" t="inlineStr">
        <is>
          <t>No</t>
        </is>
      </c>
      <c r="I540" t="inlineStr">
        <is>
          <t>No</t>
        </is>
      </c>
      <c r="J540" t="inlineStr">
        <is>
          <t>0</t>
        </is>
      </c>
      <c r="K540" t="inlineStr">
        <is>
          <t>Bernstein, Richard, 1944-</t>
        </is>
      </c>
      <c r="L540" t="inlineStr">
        <is>
          <t>New York : A.A. Knopf : Distributed by Random House, 1997.</t>
        </is>
      </c>
      <c r="M540" t="inlineStr">
        <is>
          <t>1997</t>
        </is>
      </c>
      <c r="N540" t="inlineStr">
        <is>
          <t>1st ed.</t>
        </is>
      </c>
      <c r="O540" t="inlineStr">
        <is>
          <t>eng</t>
        </is>
      </c>
      <c r="P540" t="inlineStr">
        <is>
          <t>nyu</t>
        </is>
      </c>
      <c r="R540" t="inlineStr">
        <is>
          <t xml:space="preserve">E  </t>
        </is>
      </c>
      <c r="S540" t="n">
        <v>12</v>
      </c>
      <c r="T540" t="n">
        <v>12</v>
      </c>
      <c r="U540" t="inlineStr">
        <is>
          <t>2004-09-13</t>
        </is>
      </c>
      <c r="V540" t="inlineStr">
        <is>
          <t>2004-09-13</t>
        </is>
      </c>
      <c r="W540" t="inlineStr">
        <is>
          <t>1997-05-12</t>
        </is>
      </c>
      <c r="X540" t="inlineStr">
        <is>
          <t>1997-05-12</t>
        </is>
      </c>
      <c r="Y540" t="n">
        <v>1128</v>
      </c>
      <c r="Z540" t="n">
        <v>1009</v>
      </c>
      <c r="AA540" t="n">
        <v>1104</v>
      </c>
      <c r="AB540" t="n">
        <v>6</v>
      </c>
      <c r="AC540" t="n">
        <v>7</v>
      </c>
      <c r="AD540" t="n">
        <v>30</v>
      </c>
      <c r="AE540" t="n">
        <v>37</v>
      </c>
      <c r="AF540" t="n">
        <v>11</v>
      </c>
      <c r="AG540" t="n">
        <v>15</v>
      </c>
      <c r="AH540" t="n">
        <v>7</v>
      </c>
      <c r="AI540" t="n">
        <v>7</v>
      </c>
      <c r="AJ540" t="n">
        <v>13</v>
      </c>
      <c r="AK540" t="n">
        <v>16</v>
      </c>
      <c r="AL540" t="n">
        <v>4</v>
      </c>
      <c r="AM540" t="n">
        <v>5</v>
      </c>
      <c r="AN540" t="n">
        <v>1</v>
      </c>
      <c r="AO540" t="n">
        <v>1</v>
      </c>
      <c r="AP540" t="inlineStr">
        <is>
          <t>No</t>
        </is>
      </c>
      <c r="AQ540" t="inlineStr">
        <is>
          <t>Yes</t>
        </is>
      </c>
      <c r="AR540">
        <f>HYPERLINK("http://catalog.hathitrust.org/Record/003142299","HathiTrust Record")</f>
        <v/>
      </c>
      <c r="AS540">
        <f>HYPERLINK("https://creighton-primo.hosted.exlibrisgroup.com/primo-explore/search?tab=default_tab&amp;search_scope=EVERYTHING&amp;vid=01CRU&amp;lang=en_US&amp;offset=0&amp;query=any,contains,991002724859702656","Catalog Record")</f>
        <v/>
      </c>
      <c r="AT540">
        <f>HYPERLINK("http://www.worldcat.org/oclc/35741322","WorldCat Record")</f>
        <v/>
      </c>
      <c r="AU540" t="inlineStr">
        <is>
          <t>570818:eng</t>
        </is>
      </c>
      <c r="AV540" t="inlineStr">
        <is>
          <t>35741322</t>
        </is>
      </c>
      <c r="AW540" t="inlineStr">
        <is>
          <t>991002724859702656</t>
        </is>
      </c>
      <c r="AX540" t="inlineStr">
        <is>
          <t>991002724859702656</t>
        </is>
      </c>
      <c r="AY540" t="inlineStr">
        <is>
          <t>2260674730002656</t>
        </is>
      </c>
      <c r="AZ540" t="inlineStr">
        <is>
          <t>BOOK</t>
        </is>
      </c>
      <c r="BB540" t="inlineStr">
        <is>
          <t>9780679454632</t>
        </is>
      </c>
      <c r="BC540" t="inlineStr">
        <is>
          <t>32285002606985</t>
        </is>
      </c>
      <c r="BD540" t="inlineStr">
        <is>
          <t>893704432</t>
        </is>
      </c>
    </row>
    <row r="541">
      <c r="A541" t="inlineStr">
        <is>
          <t>No</t>
        </is>
      </c>
      <c r="B541" t="inlineStr">
        <is>
          <t>E183.8.C5 B76</t>
        </is>
      </c>
      <c r="C541" t="inlineStr">
        <is>
          <t>0                      E  0183800C  5                  B  76</t>
        </is>
      </c>
      <c r="D541" t="inlineStr">
        <is>
          <t>U.S. China policy and the problem of Taiwan, by William M. Bueler.</t>
        </is>
      </c>
      <c r="F541" t="inlineStr">
        <is>
          <t>No</t>
        </is>
      </c>
      <c r="G541" t="inlineStr">
        <is>
          <t>1</t>
        </is>
      </c>
      <c r="H541" t="inlineStr">
        <is>
          <t>No</t>
        </is>
      </c>
      <c r="I541" t="inlineStr">
        <is>
          <t>No</t>
        </is>
      </c>
      <c r="J541" t="inlineStr">
        <is>
          <t>0</t>
        </is>
      </c>
      <c r="K541" t="inlineStr">
        <is>
          <t>Bueler, William M.</t>
        </is>
      </c>
      <c r="L541" t="inlineStr">
        <is>
          <t>Boulder, Colorado Associated University Press [1971]</t>
        </is>
      </c>
      <c r="M541" t="inlineStr">
        <is>
          <t>1971</t>
        </is>
      </c>
      <c r="O541" t="inlineStr">
        <is>
          <t>eng</t>
        </is>
      </c>
      <c r="P541" t="inlineStr">
        <is>
          <t>cou</t>
        </is>
      </c>
      <c r="R541" t="inlineStr">
        <is>
          <t xml:space="preserve">E  </t>
        </is>
      </c>
      <c r="S541" t="n">
        <v>3</v>
      </c>
      <c r="T541" t="n">
        <v>3</v>
      </c>
      <c r="U541" t="inlineStr">
        <is>
          <t>1995-10-27</t>
        </is>
      </c>
      <c r="V541" t="inlineStr">
        <is>
          <t>1995-10-27</t>
        </is>
      </c>
      <c r="W541" t="inlineStr">
        <is>
          <t>1990-02-14</t>
        </is>
      </c>
      <c r="X541" t="inlineStr">
        <is>
          <t>1990-02-14</t>
        </is>
      </c>
      <c r="Y541" t="n">
        <v>657</v>
      </c>
      <c r="Z541" t="n">
        <v>584</v>
      </c>
      <c r="AA541" t="n">
        <v>642</v>
      </c>
      <c r="AB541" t="n">
        <v>5</v>
      </c>
      <c r="AC541" t="n">
        <v>5</v>
      </c>
      <c r="AD541" t="n">
        <v>26</v>
      </c>
      <c r="AE541" t="n">
        <v>29</v>
      </c>
      <c r="AF541" t="n">
        <v>11</v>
      </c>
      <c r="AG541" t="n">
        <v>11</v>
      </c>
      <c r="AH541" t="n">
        <v>5</v>
      </c>
      <c r="AI541" t="n">
        <v>6</v>
      </c>
      <c r="AJ541" t="n">
        <v>12</v>
      </c>
      <c r="AK541" t="n">
        <v>15</v>
      </c>
      <c r="AL541" t="n">
        <v>4</v>
      </c>
      <c r="AM541" t="n">
        <v>4</v>
      </c>
      <c r="AN541" t="n">
        <v>2</v>
      </c>
      <c r="AO541" t="n">
        <v>2</v>
      </c>
      <c r="AP541" t="inlineStr">
        <is>
          <t>No</t>
        </is>
      </c>
      <c r="AQ541" t="inlineStr">
        <is>
          <t>Yes</t>
        </is>
      </c>
      <c r="AR541">
        <f>HYPERLINK("http://catalog.hathitrust.org/Record/000334410","HathiTrust Record")</f>
        <v/>
      </c>
      <c r="AS541">
        <f>HYPERLINK("https://creighton-primo.hosted.exlibrisgroup.com/primo-explore/search?tab=default_tab&amp;search_scope=EVERYTHING&amp;vid=01CRU&amp;lang=en_US&amp;offset=0&amp;query=any,contains,991000926479702656","Catalog Record")</f>
        <v/>
      </c>
      <c r="AT541">
        <f>HYPERLINK("http://www.worldcat.org/oclc/163486","WorldCat Record")</f>
        <v/>
      </c>
      <c r="AU541" t="inlineStr">
        <is>
          <t>1275542:eng</t>
        </is>
      </c>
      <c r="AV541" t="inlineStr">
        <is>
          <t>163486</t>
        </is>
      </c>
      <c r="AW541" t="inlineStr">
        <is>
          <t>991000926479702656</t>
        </is>
      </c>
      <c r="AX541" t="inlineStr">
        <is>
          <t>991000926479702656</t>
        </is>
      </c>
      <c r="AY541" t="inlineStr">
        <is>
          <t>2272177440002656</t>
        </is>
      </c>
      <c r="AZ541" t="inlineStr">
        <is>
          <t>BOOK</t>
        </is>
      </c>
      <c r="BB541" t="inlineStr">
        <is>
          <t>9780870810138</t>
        </is>
      </c>
      <c r="BC541" t="inlineStr">
        <is>
          <t>32285000009737</t>
        </is>
      </c>
      <c r="BD541" t="inlineStr">
        <is>
          <t>893797117</t>
        </is>
      </c>
    </row>
    <row r="542">
      <c r="A542" t="inlineStr">
        <is>
          <t>No</t>
        </is>
      </c>
      <c r="B542" t="inlineStr">
        <is>
          <t>E183.8.C5 C72 1980</t>
        </is>
      </c>
      <c r="C542" t="inlineStr">
        <is>
          <t>0                      E  0183800C  5                  C  72          1980</t>
        </is>
      </c>
      <c r="D542" t="inlineStr">
        <is>
          <t>China : U.S. policy since 1945.</t>
        </is>
      </c>
      <c r="F542" t="inlineStr">
        <is>
          <t>No</t>
        </is>
      </c>
      <c r="G542" t="inlineStr">
        <is>
          <t>1</t>
        </is>
      </c>
      <c r="H542" t="inlineStr">
        <is>
          <t>No</t>
        </is>
      </c>
      <c r="I542" t="inlineStr">
        <is>
          <t>No</t>
        </is>
      </c>
      <c r="J542" t="inlineStr">
        <is>
          <t>0</t>
        </is>
      </c>
      <c r="K542" t="inlineStr">
        <is>
          <t>Congressional Quarterly, inc.</t>
        </is>
      </c>
      <c r="L542" t="inlineStr">
        <is>
          <t>Washington, D.C. : Congressional Quarterly, [c1980]</t>
        </is>
      </c>
      <c r="M542" t="inlineStr">
        <is>
          <t>1980</t>
        </is>
      </c>
      <c r="O542" t="inlineStr">
        <is>
          <t>eng</t>
        </is>
      </c>
      <c r="P542" t="inlineStr">
        <is>
          <t>dcu</t>
        </is>
      </c>
      <c r="R542" t="inlineStr">
        <is>
          <t xml:space="preserve">E  </t>
        </is>
      </c>
      <c r="S542" t="n">
        <v>2</v>
      </c>
      <c r="T542" t="n">
        <v>2</v>
      </c>
      <c r="U542" t="inlineStr">
        <is>
          <t>1996-02-23</t>
        </is>
      </c>
      <c r="V542" t="inlineStr">
        <is>
          <t>1996-02-23</t>
        </is>
      </c>
      <c r="W542" t="inlineStr">
        <is>
          <t>1991-01-28</t>
        </is>
      </c>
      <c r="X542" t="inlineStr">
        <is>
          <t>1991-01-28</t>
        </is>
      </c>
      <c r="Y542" t="n">
        <v>1080</v>
      </c>
      <c r="Z542" t="n">
        <v>1009</v>
      </c>
      <c r="AA542" t="n">
        <v>1016</v>
      </c>
      <c r="AB542" t="n">
        <v>7</v>
      </c>
      <c r="AC542" t="n">
        <v>7</v>
      </c>
      <c r="AD542" t="n">
        <v>36</v>
      </c>
      <c r="AE542" t="n">
        <v>36</v>
      </c>
      <c r="AF542" t="n">
        <v>14</v>
      </c>
      <c r="AG542" t="n">
        <v>14</v>
      </c>
      <c r="AH542" t="n">
        <v>9</v>
      </c>
      <c r="AI542" t="n">
        <v>9</v>
      </c>
      <c r="AJ542" t="n">
        <v>14</v>
      </c>
      <c r="AK542" t="n">
        <v>14</v>
      </c>
      <c r="AL542" t="n">
        <v>5</v>
      </c>
      <c r="AM542" t="n">
        <v>5</v>
      </c>
      <c r="AN542" t="n">
        <v>2</v>
      </c>
      <c r="AO542" t="n">
        <v>2</v>
      </c>
      <c r="AP542" t="inlineStr">
        <is>
          <t>No</t>
        </is>
      </c>
      <c r="AQ542" t="inlineStr">
        <is>
          <t>Yes</t>
        </is>
      </c>
      <c r="AR542">
        <f>HYPERLINK("http://catalog.hathitrust.org/Record/000705563","HathiTrust Record")</f>
        <v/>
      </c>
      <c r="AS542">
        <f>HYPERLINK("https://creighton-primo.hosted.exlibrisgroup.com/primo-explore/search?tab=default_tab&amp;search_scope=EVERYTHING&amp;vid=01CRU&amp;lang=en_US&amp;offset=0&amp;query=any,contains,991004902979702656","Catalog Record")</f>
        <v/>
      </c>
      <c r="AT542">
        <f>HYPERLINK("http://www.worldcat.org/oclc/5942232","WorldCat Record")</f>
        <v/>
      </c>
      <c r="AU542" t="inlineStr">
        <is>
          <t>13785084:eng</t>
        </is>
      </c>
      <c r="AV542" t="inlineStr">
        <is>
          <t>5942232</t>
        </is>
      </c>
      <c r="AW542" t="inlineStr">
        <is>
          <t>991004902979702656</t>
        </is>
      </c>
      <c r="AX542" t="inlineStr">
        <is>
          <t>991004902979702656</t>
        </is>
      </c>
      <c r="AY542" t="inlineStr">
        <is>
          <t>2270689440002656</t>
        </is>
      </c>
      <c r="AZ542" t="inlineStr">
        <is>
          <t>BOOK</t>
        </is>
      </c>
      <c r="BB542" t="inlineStr">
        <is>
          <t>9780871871886</t>
        </is>
      </c>
      <c r="BC542" t="inlineStr">
        <is>
          <t>32285000480870</t>
        </is>
      </c>
      <c r="BD542" t="inlineStr">
        <is>
          <t>893606578</t>
        </is>
      </c>
    </row>
    <row r="543">
      <c r="A543" t="inlineStr">
        <is>
          <t>No</t>
        </is>
      </c>
      <c r="B543" t="inlineStr">
        <is>
          <t>E183.8.C5 D65 2001</t>
        </is>
      </c>
      <c r="C543" t="inlineStr">
        <is>
          <t>0                      E  0183800C  5                  D  65          2001</t>
        </is>
      </c>
      <c r="D543" t="inlineStr">
        <is>
          <t>Tainted perceptions : liberal-democracy and American popular images of China / Thomas Laszlo Dorogi.</t>
        </is>
      </c>
      <c r="F543" t="inlineStr">
        <is>
          <t>No</t>
        </is>
      </c>
      <c r="G543" t="inlineStr">
        <is>
          <t>1</t>
        </is>
      </c>
      <c r="H543" t="inlineStr">
        <is>
          <t>No</t>
        </is>
      </c>
      <c r="I543" t="inlineStr">
        <is>
          <t>No</t>
        </is>
      </c>
      <c r="J543" t="inlineStr">
        <is>
          <t>0</t>
        </is>
      </c>
      <c r="K543" t="inlineStr">
        <is>
          <t>Dorogi, Thomas Laszlo.</t>
        </is>
      </c>
      <c r="L543" t="inlineStr">
        <is>
          <t>Lanham, Md. : University Press of America, c2001.</t>
        </is>
      </c>
      <c r="M543" t="inlineStr">
        <is>
          <t>2001</t>
        </is>
      </c>
      <c r="O543" t="inlineStr">
        <is>
          <t>eng</t>
        </is>
      </c>
      <c r="P543" t="inlineStr">
        <is>
          <t>mdu</t>
        </is>
      </c>
      <c r="R543" t="inlineStr">
        <is>
          <t xml:space="preserve">E  </t>
        </is>
      </c>
      <c r="S543" t="n">
        <v>1</v>
      </c>
      <c r="T543" t="n">
        <v>1</v>
      </c>
      <c r="U543" t="inlineStr">
        <is>
          <t>2002-09-25</t>
        </is>
      </c>
      <c r="V543" t="inlineStr">
        <is>
          <t>2002-09-25</t>
        </is>
      </c>
      <c r="W543" t="inlineStr">
        <is>
          <t>2002-09-25</t>
        </is>
      </c>
      <c r="X543" t="inlineStr">
        <is>
          <t>2002-09-25</t>
        </is>
      </c>
      <c r="Y543" t="n">
        <v>134</v>
      </c>
      <c r="Z543" t="n">
        <v>115</v>
      </c>
      <c r="AA543" t="n">
        <v>118</v>
      </c>
      <c r="AB543" t="n">
        <v>2</v>
      </c>
      <c r="AC543" t="n">
        <v>2</v>
      </c>
      <c r="AD543" t="n">
        <v>7</v>
      </c>
      <c r="AE543" t="n">
        <v>7</v>
      </c>
      <c r="AF543" t="n">
        <v>1</v>
      </c>
      <c r="AG543" t="n">
        <v>1</v>
      </c>
      <c r="AH543" t="n">
        <v>2</v>
      </c>
      <c r="AI543" t="n">
        <v>2</v>
      </c>
      <c r="AJ543" t="n">
        <v>5</v>
      </c>
      <c r="AK543" t="n">
        <v>5</v>
      </c>
      <c r="AL543" t="n">
        <v>1</v>
      </c>
      <c r="AM543" t="n">
        <v>1</v>
      </c>
      <c r="AN543" t="n">
        <v>0</v>
      </c>
      <c r="AO543" t="n">
        <v>0</v>
      </c>
      <c r="AP543" t="inlineStr">
        <is>
          <t>No</t>
        </is>
      </c>
      <c r="AQ543" t="inlineStr">
        <is>
          <t>Yes</t>
        </is>
      </c>
      <c r="AR543">
        <f>HYPERLINK("http://catalog.hathitrust.org/Record/004206735","HathiTrust Record")</f>
        <v/>
      </c>
      <c r="AS543">
        <f>HYPERLINK("https://creighton-primo.hosted.exlibrisgroup.com/primo-explore/search?tab=default_tab&amp;search_scope=EVERYTHING&amp;vid=01CRU&amp;lang=en_US&amp;offset=0&amp;query=any,contains,991003851349702656","Catalog Record")</f>
        <v/>
      </c>
      <c r="AT543">
        <f>HYPERLINK("http://www.worldcat.org/oclc/47140766","WorldCat Record")</f>
        <v/>
      </c>
      <c r="AU543" t="inlineStr">
        <is>
          <t>36639122:eng</t>
        </is>
      </c>
      <c r="AV543" t="inlineStr">
        <is>
          <t>47140766</t>
        </is>
      </c>
      <c r="AW543" t="inlineStr">
        <is>
          <t>991003851349702656</t>
        </is>
      </c>
      <c r="AX543" t="inlineStr">
        <is>
          <t>991003851349702656</t>
        </is>
      </c>
      <c r="AY543" t="inlineStr">
        <is>
          <t>2262873740002656</t>
        </is>
      </c>
      <c r="AZ543" t="inlineStr">
        <is>
          <t>BOOK</t>
        </is>
      </c>
      <c r="BB543" t="inlineStr">
        <is>
          <t>9780761820772</t>
        </is>
      </c>
      <c r="BC543" t="inlineStr">
        <is>
          <t>32285004649389</t>
        </is>
      </c>
      <c r="BD543" t="inlineStr">
        <is>
          <t>893435535</t>
        </is>
      </c>
    </row>
    <row r="544">
      <c r="A544" t="inlineStr">
        <is>
          <t>No</t>
        </is>
      </c>
      <c r="B544" t="inlineStr">
        <is>
          <t>E183.8.C5 D67</t>
        </is>
      </c>
      <c r="C544" t="inlineStr">
        <is>
          <t>0                      E  0183800C  5                  D  67</t>
        </is>
      </c>
      <c r="D544" t="inlineStr">
        <is>
          <t>The Taiwan pawn in the China game : Congress to the rescue / by Robert L. Downen ; with a foreword by Ray S. Cline.</t>
        </is>
      </c>
      <c r="F544" t="inlineStr">
        <is>
          <t>No</t>
        </is>
      </c>
      <c r="G544" t="inlineStr">
        <is>
          <t>1</t>
        </is>
      </c>
      <c r="H544" t="inlineStr">
        <is>
          <t>No</t>
        </is>
      </c>
      <c r="I544" t="inlineStr">
        <is>
          <t>No</t>
        </is>
      </c>
      <c r="J544" t="inlineStr">
        <is>
          <t>0</t>
        </is>
      </c>
      <c r="K544" t="inlineStr">
        <is>
          <t>Downen, Robert L., 1951-</t>
        </is>
      </c>
      <c r="L544" t="inlineStr">
        <is>
          <t>Washington : Center for Strategic and International Studies, Georgetown University, c1979.</t>
        </is>
      </c>
      <c r="M544" t="inlineStr">
        <is>
          <t>1979</t>
        </is>
      </c>
      <c r="O544" t="inlineStr">
        <is>
          <t>eng</t>
        </is>
      </c>
      <c r="P544" t="inlineStr">
        <is>
          <t>dcu</t>
        </is>
      </c>
      <c r="R544" t="inlineStr">
        <is>
          <t xml:space="preserve">E  </t>
        </is>
      </c>
      <c r="S544" t="n">
        <v>4</v>
      </c>
      <c r="T544" t="n">
        <v>4</v>
      </c>
      <c r="U544" t="inlineStr">
        <is>
          <t>2004-10-04</t>
        </is>
      </c>
      <c r="V544" t="inlineStr">
        <is>
          <t>2004-10-04</t>
        </is>
      </c>
      <c r="W544" t="inlineStr">
        <is>
          <t>1991-01-28</t>
        </is>
      </c>
      <c r="X544" t="inlineStr">
        <is>
          <t>1991-01-28</t>
        </is>
      </c>
      <c r="Y544" t="n">
        <v>73</v>
      </c>
      <c r="Z544" t="n">
        <v>61</v>
      </c>
      <c r="AA544" t="n">
        <v>62</v>
      </c>
      <c r="AB544" t="n">
        <v>2</v>
      </c>
      <c r="AC544" t="n">
        <v>2</v>
      </c>
      <c r="AD544" t="n">
        <v>3</v>
      </c>
      <c r="AE544" t="n">
        <v>3</v>
      </c>
      <c r="AF544" t="n">
        <v>0</v>
      </c>
      <c r="AG544" t="n">
        <v>0</v>
      </c>
      <c r="AH544" t="n">
        <v>1</v>
      </c>
      <c r="AI544" t="n">
        <v>1</v>
      </c>
      <c r="AJ544" t="n">
        <v>2</v>
      </c>
      <c r="AK544" t="n">
        <v>2</v>
      </c>
      <c r="AL544" t="n">
        <v>1</v>
      </c>
      <c r="AM544" t="n">
        <v>1</v>
      </c>
      <c r="AN544" t="n">
        <v>0</v>
      </c>
      <c r="AO544" t="n">
        <v>0</v>
      </c>
      <c r="AP544" t="inlineStr">
        <is>
          <t>No</t>
        </is>
      </c>
      <c r="AQ544" t="inlineStr">
        <is>
          <t>No</t>
        </is>
      </c>
      <c r="AS544">
        <f>HYPERLINK("https://creighton-primo.hosted.exlibrisgroup.com/primo-explore/search?tab=default_tab&amp;search_scope=EVERYTHING&amp;vid=01CRU&amp;lang=en_US&amp;offset=0&amp;query=any,contains,991004822019702656","Catalog Record")</f>
        <v/>
      </c>
      <c r="AT544">
        <f>HYPERLINK("http://www.worldcat.org/oclc/5336692","WorldCat Record")</f>
        <v/>
      </c>
      <c r="AU544" t="inlineStr">
        <is>
          <t>1809044217:eng</t>
        </is>
      </c>
      <c r="AV544" t="inlineStr">
        <is>
          <t>5336692</t>
        </is>
      </c>
      <c r="AW544" t="inlineStr">
        <is>
          <t>991004822019702656</t>
        </is>
      </c>
      <c r="AX544" t="inlineStr">
        <is>
          <t>991004822019702656</t>
        </is>
      </c>
      <c r="AY544" t="inlineStr">
        <is>
          <t>2265280290002656</t>
        </is>
      </c>
      <c r="AZ544" t="inlineStr">
        <is>
          <t>BOOK</t>
        </is>
      </c>
      <c r="BB544" t="inlineStr">
        <is>
          <t>9780892060078</t>
        </is>
      </c>
      <c r="BC544" t="inlineStr">
        <is>
          <t>32285000480888</t>
        </is>
      </c>
      <c r="BD544" t="inlineStr">
        <is>
          <t>893795307</t>
        </is>
      </c>
    </row>
    <row r="545">
      <c r="A545" t="inlineStr">
        <is>
          <t>No</t>
        </is>
      </c>
      <c r="B545" t="inlineStr">
        <is>
          <t>E183.8.C5 F66 1995</t>
        </is>
      </c>
      <c r="C545" t="inlineStr">
        <is>
          <t>0                      E  0183800C  5                  F  66          1995</t>
        </is>
      </c>
      <c r="D545" t="inlineStr">
        <is>
          <t>The practice of power : US relations with China since 1949 / Rosemary Foot.</t>
        </is>
      </c>
      <c r="F545" t="inlineStr">
        <is>
          <t>No</t>
        </is>
      </c>
      <c r="G545" t="inlineStr">
        <is>
          <t>1</t>
        </is>
      </c>
      <c r="H545" t="inlineStr">
        <is>
          <t>No</t>
        </is>
      </c>
      <c r="I545" t="inlineStr">
        <is>
          <t>No</t>
        </is>
      </c>
      <c r="J545" t="inlineStr">
        <is>
          <t>0</t>
        </is>
      </c>
      <c r="K545" t="inlineStr">
        <is>
          <t>Foot, Rosemary, 1948-</t>
        </is>
      </c>
      <c r="L545" t="inlineStr">
        <is>
          <t>Oxford : Clarendon Press ; New York : Oxford University Press, 1995.</t>
        </is>
      </c>
      <c r="M545" t="inlineStr">
        <is>
          <t>1995</t>
        </is>
      </c>
      <c r="O545" t="inlineStr">
        <is>
          <t>eng</t>
        </is>
      </c>
      <c r="P545" t="inlineStr">
        <is>
          <t>enk</t>
        </is>
      </c>
      <c r="R545" t="inlineStr">
        <is>
          <t xml:space="preserve">E  </t>
        </is>
      </c>
      <c r="S545" t="n">
        <v>3</v>
      </c>
      <c r="T545" t="n">
        <v>3</v>
      </c>
      <c r="U545" t="inlineStr">
        <is>
          <t>1999-11-05</t>
        </is>
      </c>
      <c r="V545" t="inlineStr">
        <is>
          <t>1999-11-05</t>
        </is>
      </c>
      <c r="W545" t="inlineStr">
        <is>
          <t>1996-07-15</t>
        </is>
      </c>
      <c r="X545" t="inlineStr">
        <is>
          <t>1996-07-15</t>
        </is>
      </c>
      <c r="Y545" t="n">
        <v>556</v>
      </c>
      <c r="Z545" t="n">
        <v>440</v>
      </c>
      <c r="AA545" t="n">
        <v>1364</v>
      </c>
      <c r="AB545" t="n">
        <v>3</v>
      </c>
      <c r="AC545" t="n">
        <v>4</v>
      </c>
      <c r="AD545" t="n">
        <v>26</v>
      </c>
      <c r="AE545" t="n">
        <v>41</v>
      </c>
      <c r="AF545" t="n">
        <v>10</v>
      </c>
      <c r="AG545" t="n">
        <v>20</v>
      </c>
      <c r="AH545" t="n">
        <v>9</v>
      </c>
      <c r="AI545" t="n">
        <v>10</v>
      </c>
      <c r="AJ545" t="n">
        <v>12</v>
      </c>
      <c r="AK545" t="n">
        <v>19</v>
      </c>
      <c r="AL545" t="n">
        <v>2</v>
      </c>
      <c r="AM545" t="n">
        <v>3</v>
      </c>
      <c r="AN545" t="n">
        <v>0</v>
      </c>
      <c r="AO545" t="n">
        <v>0</v>
      </c>
      <c r="AP545" t="inlineStr">
        <is>
          <t>No</t>
        </is>
      </c>
      <c r="AQ545" t="inlineStr">
        <is>
          <t>Yes</t>
        </is>
      </c>
      <c r="AR545">
        <f>HYPERLINK("http://catalog.hathitrust.org/Record/003009101","HathiTrust Record")</f>
        <v/>
      </c>
      <c r="AS545">
        <f>HYPERLINK("https://creighton-primo.hosted.exlibrisgroup.com/primo-explore/search?tab=default_tab&amp;search_scope=EVERYTHING&amp;vid=01CRU&amp;lang=en_US&amp;offset=0&amp;query=any,contains,991002465279702656","Catalog Record")</f>
        <v/>
      </c>
      <c r="AT545">
        <f>HYPERLINK("http://www.worldcat.org/oclc/32130993","WorldCat Record")</f>
        <v/>
      </c>
      <c r="AU545" t="inlineStr">
        <is>
          <t>988615:eng</t>
        </is>
      </c>
      <c r="AV545" t="inlineStr">
        <is>
          <t>32130993</t>
        </is>
      </c>
      <c r="AW545" t="inlineStr">
        <is>
          <t>991002465279702656</t>
        </is>
      </c>
      <c r="AX545" t="inlineStr">
        <is>
          <t>991002465279702656</t>
        </is>
      </c>
      <c r="AY545" t="inlineStr">
        <is>
          <t>2263453980002656</t>
        </is>
      </c>
      <c r="AZ545" t="inlineStr">
        <is>
          <t>BOOK</t>
        </is>
      </c>
      <c r="BB545" t="inlineStr">
        <is>
          <t>9780198278788</t>
        </is>
      </c>
      <c r="BC545" t="inlineStr">
        <is>
          <t>32285002212305</t>
        </is>
      </c>
      <c r="BD545" t="inlineStr">
        <is>
          <t>893232993</t>
        </is>
      </c>
    </row>
    <row r="546">
      <c r="A546" t="inlineStr">
        <is>
          <t>No</t>
        </is>
      </c>
      <c r="B546" t="inlineStr">
        <is>
          <t>E183.8.C5 G37 1982</t>
        </is>
      </c>
      <c r="C546" t="inlineStr">
        <is>
          <t>0                      E  0183800C  5                  G  37          1982</t>
        </is>
      </c>
      <c r="D546" t="inlineStr">
        <is>
          <t>China's decision for rapprochement with the United States, 1968-1971 / John W. Garver.</t>
        </is>
      </c>
      <c r="F546" t="inlineStr">
        <is>
          <t>No</t>
        </is>
      </c>
      <c r="G546" t="inlineStr">
        <is>
          <t>1</t>
        </is>
      </c>
      <c r="H546" t="inlineStr">
        <is>
          <t>No</t>
        </is>
      </c>
      <c r="I546" t="inlineStr">
        <is>
          <t>No</t>
        </is>
      </c>
      <c r="J546" t="inlineStr">
        <is>
          <t>0</t>
        </is>
      </c>
      <c r="K546" t="inlineStr">
        <is>
          <t>Garver, John W.</t>
        </is>
      </c>
      <c r="L546" t="inlineStr">
        <is>
          <t>Boulder, Colo. : Westview Press, 1982.</t>
        </is>
      </c>
      <c r="M546" t="inlineStr">
        <is>
          <t>1982</t>
        </is>
      </c>
      <c r="O546" t="inlineStr">
        <is>
          <t>eng</t>
        </is>
      </c>
      <c r="P546" t="inlineStr">
        <is>
          <t>cou</t>
        </is>
      </c>
      <c r="Q546" t="inlineStr">
        <is>
          <t>A Westview replica edition</t>
        </is>
      </c>
      <c r="R546" t="inlineStr">
        <is>
          <t xml:space="preserve">E  </t>
        </is>
      </c>
      <c r="S546" t="n">
        <v>5</v>
      </c>
      <c r="T546" t="n">
        <v>5</v>
      </c>
      <c r="U546" t="inlineStr">
        <is>
          <t>2005-12-08</t>
        </is>
      </c>
      <c r="V546" t="inlineStr">
        <is>
          <t>2005-12-08</t>
        </is>
      </c>
      <c r="W546" t="inlineStr">
        <is>
          <t>1991-01-28</t>
        </is>
      </c>
      <c r="X546" t="inlineStr">
        <is>
          <t>1991-01-28</t>
        </is>
      </c>
      <c r="Y546" t="n">
        <v>269</v>
      </c>
      <c r="Z546" t="n">
        <v>205</v>
      </c>
      <c r="AA546" t="n">
        <v>207</v>
      </c>
      <c r="AB546" t="n">
        <v>3</v>
      </c>
      <c r="AC546" t="n">
        <v>3</v>
      </c>
      <c r="AD546" t="n">
        <v>8</v>
      </c>
      <c r="AE546" t="n">
        <v>8</v>
      </c>
      <c r="AF546" t="n">
        <v>1</v>
      </c>
      <c r="AG546" t="n">
        <v>1</v>
      </c>
      <c r="AH546" t="n">
        <v>4</v>
      </c>
      <c r="AI546" t="n">
        <v>4</v>
      </c>
      <c r="AJ546" t="n">
        <v>3</v>
      </c>
      <c r="AK546" t="n">
        <v>3</v>
      </c>
      <c r="AL546" t="n">
        <v>2</v>
      </c>
      <c r="AM546" t="n">
        <v>2</v>
      </c>
      <c r="AN546" t="n">
        <v>0</v>
      </c>
      <c r="AO546" t="n">
        <v>0</v>
      </c>
      <c r="AP546" t="inlineStr">
        <is>
          <t>No</t>
        </is>
      </c>
      <c r="AQ546" t="inlineStr">
        <is>
          <t>Yes</t>
        </is>
      </c>
      <c r="AR546">
        <f>HYPERLINK("http://catalog.hathitrust.org/Record/000189680","HathiTrust Record")</f>
        <v/>
      </c>
      <c r="AS546">
        <f>HYPERLINK("https://creighton-primo.hosted.exlibrisgroup.com/primo-explore/search?tab=default_tab&amp;search_scope=EVERYTHING&amp;vid=01CRU&amp;lang=en_US&amp;offset=0&amp;query=any,contains,991000048109702656","Catalog Record")</f>
        <v/>
      </c>
      <c r="AT546">
        <f>HYPERLINK("http://www.worldcat.org/oclc/8670243","WorldCat Record")</f>
        <v/>
      </c>
      <c r="AU546" t="inlineStr">
        <is>
          <t>12739181:eng</t>
        </is>
      </c>
      <c r="AV546" t="inlineStr">
        <is>
          <t>8670243</t>
        </is>
      </c>
      <c r="AW546" t="inlineStr">
        <is>
          <t>991000048109702656</t>
        </is>
      </c>
      <c r="AX546" t="inlineStr">
        <is>
          <t>991000048109702656</t>
        </is>
      </c>
      <c r="AY546" t="inlineStr">
        <is>
          <t>2267569740002656</t>
        </is>
      </c>
      <c r="AZ546" t="inlineStr">
        <is>
          <t>BOOK</t>
        </is>
      </c>
      <c r="BB546" t="inlineStr">
        <is>
          <t>9780865319158</t>
        </is>
      </c>
      <c r="BC546" t="inlineStr">
        <is>
          <t>32285000480904</t>
        </is>
      </c>
      <c r="BD546" t="inlineStr">
        <is>
          <t>893689360</t>
        </is>
      </c>
    </row>
    <row r="547">
      <c r="A547" t="inlineStr">
        <is>
          <t>No</t>
        </is>
      </c>
      <c r="B547" t="inlineStr">
        <is>
          <t>E183.8.C5 G47 2000</t>
        </is>
      </c>
      <c r="C547" t="inlineStr">
        <is>
          <t>0                      E  0183800C  5                  G  47          2000</t>
        </is>
      </c>
      <c r="D547" t="inlineStr">
        <is>
          <t>The China threat : how the People's Republic targets America / Bill Gertz.</t>
        </is>
      </c>
      <c r="F547" t="inlineStr">
        <is>
          <t>No</t>
        </is>
      </c>
      <c r="G547" t="inlineStr">
        <is>
          <t>1</t>
        </is>
      </c>
      <c r="H547" t="inlineStr">
        <is>
          <t>No</t>
        </is>
      </c>
      <c r="I547" t="inlineStr">
        <is>
          <t>No</t>
        </is>
      </c>
      <c r="J547" t="inlineStr">
        <is>
          <t>0</t>
        </is>
      </c>
      <c r="K547" t="inlineStr">
        <is>
          <t>Gertz, Bill.</t>
        </is>
      </c>
      <c r="L547" t="inlineStr">
        <is>
          <t>Washington, DC : Regnery Pub. ; Lanham, MD : Distributed to the trade by National Book Network, c2000.</t>
        </is>
      </c>
      <c r="M547" t="inlineStr">
        <is>
          <t>2000</t>
        </is>
      </c>
      <c r="O547" t="inlineStr">
        <is>
          <t>eng</t>
        </is>
      </c>
      <c r="P547" t="inlineStr">
        <is>
          <t>dcu</t>
        </is>
      </c>
      <c r="R547" t="inlineStr">
        <is>
          <t xml:space="preserve">E  </t>
        </is>
      </c>
      <c r="S547" t="n">
        <v>3</v>
      </c>
      <c r="T547" t="n">
        <v>3</v>
      </c>
      <c r="U547" t="inlineStr">
        <is>
          <t>2001-11-14</t>
        </is>
      </c>
      <c r="V547" t="inlineStr">
        <is>
          <t>2001-11-14</t>
        </is>
      </c>
      <c r="W547" t="inlineStr">
        <is>
          <t>2001-04-04</t>
        </is>
      </c>
      <c r="X547" t="inlineStr">
        <is>
          <t>2001-04-04</t>
        </is>
      </c>
      <c r="Y547" t="n">
        <v>547</v>
      </c>
      <c r="Z547" t="n">
        <v>520</v>
      </c>
      <c r="AA547" t="n">
        <v>574</v>
      </c>
      <c r="AB547" t="n">
        <v>2</v>
      </c>
      <c r="AC547" t="n">
        <v>2</v>
      </c>
      <c r="AD547" t="n">
        <v>11</v>
      </c>
      <c r="AE547" t="n">
        <v>13</v>
      </c>
      <c r="AF547" t="n">
        <v>6</v>
      </c>
      <c r="AG547" t="n">
        <v>7</v>
      </c>
      <c r="AH547" t="n">
        <v>3</v>
      </c>
      <c r="AI547" t="n">
        <v>3</v>
      </c>
      <c r="AJ547" t="n">
        <v>4</v>
      </c>
      <c r="AK547" t="n">
        <v>5</v>
      </c>
      <c r="AL547" t="n">
        <v>1</v>
      </c>
      <c r="AM547" t="n">
        <v>1</v>
      </c>
      <c r="AN547" t="n">
        <v>0</v>
      </c>
      <c r="AO547" t="n">
        <v>0</v>
      </c>
      <c r="AP547" t="inlineStr">
        <is>
          <t>No</t>
        </is>
      </c>
      <c r="AQ547" t="inlineStr">
        <is>
          <t>No</t>
        </is>
      </c>
      <c r="AS547">
        <f>HYPERLINK("https://creighton-primo.hosted.exlibrisgroup.com/primo-explore/search?tab=default_tab&amp;search_scope=EVERYTHING&amp;vid=01CRU&amp;lang=en_US&amp;offset=0&amp;query=any,contains,991003493009702656","Catalog Record")</f>
        <v/>
      </c>
      <c r="AT547">
        <f>HYPERLINK("http://www.worldcat.org/oclc/45008613","WorldCat Record")</f>
        <v/>
      </c>
      <c r="AU547" t="inlineStr">
        <is>
          <t>9891406:eng</t>
        </is>
      </c>
      <c r="AV547" t="inlineStr">
        <is>
          <t>45008613</t>
        </is>
      </c>
      <c r="AW547" t="inlineStr">
        <is>
          <t>991003493009702656</t>
        </is>
      </c>
      <c r="AX547" t="inlineStr">
        <is>
          <t>991003493009702656</t>
        </is>
      </c>
      <c r="AY547" t="inlineStr">
        <is>
          <t>2267133700002656</t>
        </is>
      </c>
      <c r="AZ547" t="inlineStr">
        <is>
          <t>BOOK</t>
        </is>
      </c>
      <c r="BB547" t="inlineStr">
        <is>
          <t>9780895262813</t>
        </is>
      </c>
      <c r="BC547" t="inlineStr">
        <is>
          <t>32285004309810</t>
        </is>
      </c>
      <c r="BD547" t="inlineStr">
        <is>
          <t>893330348</t>
        </is>
      </c>
    </row>
    <row r="548">
      <c r="A548" t="inlineStr">
        <is>
          <t>No</t>
        </is>
      </c>
      <c r="B548" t="inlineStr">
        <is>
          <t>E183.8.C5 G72 1987</t>
        </is>
      </c>
      <c r="C548" t="inlineStr">
        <is>
          <t>0                      E  0183800C  5                  G  72          1987</t>
        </is>
      </c>
      <c r="D548" t="inlineStr">
        <is>
          <t>Truman's two-China policy, 1948-1950 / June M. Grasso.</t>
        </is>
      </c>
      <c r="F548" t="inlineStr">
        <is>
          <t>No</t>
        </is>
      </c>
      <c r="G548" t="inlineStr">
        <is>
          <t>1</t>
        </is>
      </c>
      <c r="H548" t="inlineStr">
        <is>
          <t>No</t>
        </is>
      </c>
      <c r="I548" t="inlineStr">
        <is>
          <t>No</t>
        </is>
      </c>
      <c r="J548" t="inlineStr">
        <is>
          <t>0</t>
        </is>
      </c>
      <c r="K548" t="inlineStr">
        <is>
          <t>Grasso, June M., 1951-</t>
        </is>
      </c>
      <c r="L548" t="inlineStr">
        <is>
          <t>Armonk, N.Y. : M.E. Sharpe, c1987.</t>
        </is>
      </c>
      <c r="M548" t="inlineStr">
        <is>
          <t>1987</t>
        </is>
      </c>
      <c r="O548" t="inlineStr">
        <is>
          <t>eng</t>
        </is>
      </c>
      <c r="P548" t="inlineStr">
        <is>
          <t>nyu</t>
        </is>
      </c>
      <c r="R548" t="inlineStr">
        <is>
          <t xml:space="preserve">E  </t>
        </is>
      </c>
      <c r="S548" t="n">
        <v>4</v>
      </c>
      <c r="T548" t="n">
        <v>4</v>
      </c>
      <c r="U548" t="inlineStr">
        <is>
          <t>2000-07-24</t>
        </is>
      </c>
      <c r="V548" t="inlineStr">
        <is>
          <t>2000-07-24</t>
        </is>
      </c>
      <c r="W548" t="inlineStr">
        <is>
          <t>1990-06-15</t>
        </is>
      </c>
      <c r="X548" t="inlineStr">
        <is>
          <t>1990-06-15</t>
        </is>
      </c>
      <c r="Y548" t="n">
        <v>510</v>
      </c>
      <c r="Z548" t="n">
        <v>423</v>
      </c>
      <c r="AA548" t="n">
        <v>425</v>
      </c>
      <c r="AB548" t="n">
        <v>4</v>
      </c>
      <c r="AC548" t="n">
        <v>4</v>
      </c>
      <c r="AD548" t="n">
        <v>22</v>
      </c>
      <c r="AE548" t="n">
        <v>22</v>
      </c>
      <c r="AF548" t="n">
        <v>9</v>
      </c>
      <c r="AG548" t="n">
        <v>9</v>
      </c>
      <c r="AH548" t="n">
        <v>4</v>
      </c>
      <c r="AI548" t="n">
        <v>4</v>
      </c>
      <c r="AJ548" t="n">
        <v>12</v>
      </c>
      <c r="AK548" t="n">
        <v>12</v>
      </c>
      <c r="AL548" t="n">
        <v>3</v>
      </c>
      <c r="AM548" t="n">
        <v>3</v>
      </c>
      <c r="AN548" t="n">
        <v>0</v>
      </c>
      <c r="AO548" t="n">
        <v>0</v>
      </c>
      <c r="AP548" t="inlineStr">
        <is>
          <t>No</t>
        </is>
      </c>
      <c r="AQ548" t="inlineStr">
        <is>
          <t>Yes</t>
        </is>
      </c>
      <c r="AR548">
        <f>HYPERLINK("http://catalog.hathitrust.org/Record/000828354","HathiTrust Record")</f>
        <v/>
      </c>
      <c r="AS548">
        <f>HYPERLINK("https://creighton-primo.hosted.exlibrisgroup.com/primo-explore/search?tab=default_tab&amp;search_scope=EVERYTHING&amp;vid=01CRU&amp;lang=en_US&amp;offset=0&amp;query=any,contains,991000968669702656","Catalog Record")</f>
        <v/>
      </c>
      <c r="AT548">
        <f>HYPERLINK("http://www.worldcat.org/oclc/14932407","WorldCat Record")</f>
        <v/>
      </c>
      <c r="AU548" t="inlineStr">
        <is>
          <t>103351696:eng</t>
        </is>
      </c>
      <c r="AV548" t="inlineStr">
        <is>
          <t>14932407</t>
        </is>
      </c>
      <c r="AW548" t="inlineStr">
        <is>
          <t>991000968669702656</t>
        </is>
      </c>
      <c r="AX548" t="inlineStr">
        <is>
          <t>991000968669702656</t>
        </is>
      </c>
      <c r="AY548" t="inlineStr">
        <is>
          <t>2263512220002656</t>
        </is>
      </c>
      <c r="AZ548" t="inlineStr">
        <is>
          <t>BOOK</t>
        </is>
      </c>
      <c r="BB548" t="inlineStr">
        <is>
          <t>9780873324113</t>
        </is>
      </c>
      <c r="BC548" t="inlineStr">
        <is>
          <t>32285000197177</t>
        </is>
      </c>
      <c r="BD548" t="inlineStr">
        <is>
          <t>893225499</t>
        </is>
      </c>
    </row>
    <row r="549">
      <c r="A549" t="inlineStr">
        <is>
          <t>No</t>
        </is>
      </c>
      <c r="B549" t="inlineStr">
        <is>
          <t>E183.8.C5 G73 1986</t>
        </is>
      </c>
      <c r="C549" t="inlineStr">
        <is>
          <t>0                      E  0183800C  5                  G  73          1986</t>
        </is>
      </c>
      <c r="D549" t="inlineStr">
        <is>
          <t>The China connection : U.S. policy and the People's Republic of China / A. James Gregor.</t>
        </is>
      </c>
      <c r="F549" t="inlineStr">
        <is>
          <t>No</t>
        </is>
      </c>
      <c r="G549" t="inlineStr">
        <is>
          <t>1</t>
        </is>
      </c>
      <c r="H549" t="inlineStr">
        <is>
          <t>No</t>
        </is>
      </c>
      <c r="I549" t="inlineStr">
        <is>
          <t>No</t>
        </is>
      </c>
      <c r="J549" t="inlineStr">
        <is>
          <t>0</t>
        </is>
      </c>
      <c r="K549" t="inlineStr">
        <is>
          <t>Gregor, A. James (Anthony James), 1929-</t>
        </is>
      </c>
      <c r="L549" t="inlineStr">
        <is>
          <t>Stanford, Calif. : Hoover Institution Press, Stanford University, 1986.</t>
        </is>
      </c>
      <c r="M549" t="inlineStr">
        <is>
          <t>1986</t>
        </is>
      </c>
      <c r="O549" t="inlineStr">
        <is>
          <t>eng</t>
        </is>
      </c>
      <c r="P549" t="inlineStr">
        <is>
          <t>cau</t>
        </is>
      </c>
      <c r="Q549" t="inlineStr">
        <is>
          <t>Hoover Press publication ; 329</t>
        </is>
      </c>
      <c r="R549" t="inlineStr">
        <is>
          <t xml:space="preserve">E  </t>
        </is>
      </c>
      <c r="S549" t="n">
        <v>7</v>
      </c>
      <c r="T549" t="n">
        <v>7</v>
      </c>
      <c r="U549" t="inlineStr">
        <is>
          <t>1999-11-08</t>
        </is>
      </c>
      <c r="V549" t="inlineStr">
        <is>
          <t>1999-11-08</t>
        </is>
      </c>
      <c r="W549" t="inlineStr">
        <is>
          <t>1991-01-28</t>
        </is>
      </c>
      <c r="X549" t="inlineStr">
        <is>
          <t>1991-01-28</t>
        </is>
      </c>
      <c r="Y549" t="n">
        <v>538</v>
      </c>
      <c r="Z549" t="n">
        <v>454</v>
      </c>
      <c r="AA549" t="n">
        <v>460</v>
      </c>
      <c r="AB549" t="n">
        <v>4</v>
      </c>
      <c r="AC549" t="n">
        <v>4</v>
      </c>
      <c r="AD549" t="n">
        <v>29</v>
      </c>
      <c r="AE549" t="n">
        <v>29</v>
      </c>
      <c r="AF549" t="n">
        <v>12</v>
      </c>
      <c r="AG549" t="n">
        <v>12</v>
      </c>
      <c r="AH549" t="n">
        <v>6</v>
      </c>
      <c r="AI549" t="n">
        <v>6</v>
      </c>
      <c r="AJ549" t="n">
        <v>16</v>
      </c>
      <c r="AK549" t="n">
        <v>16</v>
      </c>
      <c r="AL549" t="n">
        <v>3</v>
      </c>
      <c r="AM549" t="n">
        <v>3</v>
      </c>
      <c r="AN549" t="n">
        <v>1</v>
      </c>
      <c r="AO549" t="n">
        <v>1</v>
      </c>
      <c r="AP549" t="inlineStr">
        <is>
          <t>No</t>
        </is>
      </c>
      <c r="AQ549" t="inlineStr">
        <is>
          <t>Yes</t>
        </is>
      </c>
      <c r="AR549">
        <f>HYPERLINK("http://catalog.hathitrust.org/Record/000398376","HathiTrust Record")</f>
        <v/>
      </c>
      <c r="AS549">
        <f>HYPERLINK("https://creighton-primo.hosted.exlibrisgroup.com/primo-explore/search?tab=default_tab&amp;search_scope=EVERYTHING&amp;vid=01CRU&amp;lang=en_US&amp;offset=0&amp;query=any,contains,991000837179702656","Catalog Record")</f>
        <v/>
      </c>
      <c r="AT549">
        <f>HYPERLINK("http://www.worldcat.org/oclc/13498469","WorldCat Record")</f>
        <v/>
      </c>
      <c r="AU549" t="inlineStr">
        <is>
          <t>7948399:eng</t>
        </is>
      </c>
      <c r="AV549" t="inlineStr">
        <is>
          <t>13498469</t>
        </is>
      </c>
      <c r="AW549" t="inlineStr">
        <is>
          <t>991000837179702656</t>
        </is>
      </c>
      <c r="AX549" t="inlineStr">
        <is>
          <t>991000837179702656</t>
        </is>
      </c>
      <c r="AY549" t="inlineStr">
        <is>
          <t>2263794750002656</t>
        </is>
      </c>
      <c r="AZ549" t="inlineStr">
        <is>
          <t>BOOK</t>
        </is>
      </c>
      <c r="BB549" t="inlineStr">
        <is>
          <t>9780817982928</t>
        </is>
      </c>
      <c r="BC549" t="inlineStr">
        <is>
          <t>32285000480912</t>
        </is>
      </c>
      <c r="BD549" t="inlineStr">
        <is>
          <t>893327638</t>
        </is>
      </c>
    </row>
    <row r="550">
      <c r="A550" t="inlineStr">
        <is>
          <t>No</t>
        </is>
      </c>
      <c r="B550" t="inlineStr">
        <is>
          <t>E183.8.C5 H34 1992</t>
        </is>
      </c>
      <c r="C550" t="inlineStr">
        <is>
          <t>0                      E  0183800C  5                  H  34          1992</t>
        </is>
      </c>
      <c r="D550" t="inlineStr">
        <is>
          <t>A fragile relationship : the United States and China since 1972 / Harry Harding.</t>
        </is>
      </c>
      <c r="F550" t="inlineStr">
        <is>
          <t>No</t>
        </is>
      </c>
      <c r="G550" t="inlineStr">
        <is>
          <t>1</t>
        </is>
      </c>
      <c r="H550" t="inlineStr">
        <is>
          <t>No</t>
        </is>
      </c>
      <c r="I550" t="inlineStr">
        <is>
          <t>No</t>
        </is>
      </c>
      <c r="J550" t="inlineStr">
        <is>
          <t>0</t>
        </is>
      </c>
      <c r="K550" t="inlineStr">
        <is>
          <t>Harding, Harry, 1946-</t>
        </is>
      </c>
      <c r="L550" t="inlineStr">
        <is>
          <t>Washington, D.C. : Brookings Institution, c1992.</t>
        </is>
      </c>
      <c r="M550" t="inlineStr">
        <is>
          <t>1992</t>
        </is>
      </c>
      <c r="O550" t="inlineStr">
        <is>
          <t>eng</t>
        </is>
      </c>
      <c r="P550" t="inlineStr">
        <is>
          <t>dcu</t>
        </is>
      </c>
      <c r="R550" t="inlineStr">
        <is>
          <t xml:space="preserve">E  </t>
        </is>
      </c>
      <c r="S550" t="n">
        <v>4</v>
      </c>
      <c r="T550" t="n">
        <v>4</v>
      </c>
      <c r="U550" t="inlineStr">
        <is>
          <t>1998-10-27</t>
        </is>
      </c>
      <c r="V550" t="inlineStr">
        <is>
          <t>1998-10-27</t>
        </is>
      </c>
      <c r="W550" t="inlineStr">
        <is>
          <t>1992-04-09</t>
        </is>
      </c>
      <c r="X550" t="inlineStr">
        <is>
          <t>1992-04-09</t>
        </is>
      </c>
      <c r="Y550" t="n">
        <v>1051</v>
      </c>
      <c r="Z550" t="n">
        <v>884</v>
      </c>
      <c r="AA550" t="n">
        <v>1561</v>
      </c>
      <c r="AB550" t="n">
        <v>6</v>
      </c>
      <c r="AC550" t="n">
        <v>9</v>
      </c>
      <c r="AD550" t="n">
        <v>42</v>
      </c>
      <c r="AE550" t="n">
        <v>53</v>
      </c>
      <c r="AF550" t="n">
        <v>18</v>
      </c>
      <c r="AG550" t="n">
        <v>24</v>
      </c>
      <c r="AH550" t="n">
        <v>9</v>
      </c>
      <c r="AI550" t="n">
        <v>10</v>
      </c>
      <c r="AJ550" t="n">
        <v>18</v>
      </c>
      <c r="AK550" t="n">
        <v>20</v>
      </c>
      <c r="AL550" t="n">
        <v>5</v>
      </c>
      <c r="AM550" t="n">
        <v>8</v>
      </c>
      <c r="AN550" t="n">
        <v>4</v>
      </c>
      <c r="AO550" t="n">
        <v>4</v>
      </c>
      <c r="AP550" t="inlineStr">
        <is>
          <t>No</t>
        </is>
      </c>
      <c r="AQ550" t="inlineStr">
        <is>
          <t>No</t>
        </is>
      </c>
      <c r="AS550">
        <f>HYPERLINK("https://creighton-primo.hosted.exlibrisgroup.com/primo-explore/search?tab=default_tab&amp;search_scope=EVERYTHING&amp;vid=01CRU&amp;lang=en_US&amp;offset=0&amp;query=any,contains,991001968039702656","Catalog Record")</f>
        <v/>
      </c>
      <c r="AT550">
        <f>HYPERLINK("http://www.worldcat.org/oclc/24952958","WorldCat Record")</f>
        <v/>
      </c>
      <c r="AU550" t="inlineStr">
        <is>
          <t>799560609:eng</t>
        </is>
      </c>
      <c r="AV550" t="inlineStr">
        <is>
          <t>24952958</t>
        </is>
      </c>
      <c r="AW550" t="inlineStr">
        <is>
          <t>991001968039702656</t>
        </is>
      </c>
      <c r="AX550" t="inlineStr">
        <is>
          <t>991001968039702656</t>
        </is>
      </c>
      <c r="AY550" t="inlineStr">
        <is>
          <t>2267168020002656</t>
        </is>
      </c>
      <c r="AZ550" t="inlineStr">
        <is>
          <t>BOOK</t>
        </is>
      </c>
      <c r="BB550" t="inlineStr">
        <is>
          <t>9780815734659</t>
        </is>
      </c>
      <c r="BC550" t="inlineStr">
        <is>
          <t>32285001046902</t>
        </is>
      </c>
      <c r="BD550" t="inlineStr">
        <is>
          <t>893433338</t>
        </is>
      </c>
    </row>
    <row r="551">
      <c r="A551" t="inlineStr">
        <is>
          <t>No</t>
        </is>
      </c>
      <c r="B551" t="inlineStr">
        <is>
          <t>E183.8.C5 H728</t>
        </is>
      </c>
      <c r="C551" t="inlineStr">
        <is>
          <t>0                      E  0183800C  5                  H  728</t>
        </is>
      </c>
      <c r="D551" t="inlineStr">
        <is>
          <t>Sino-American détente and its policy implications / edited by Gene T. Hsiao.</t>
        </is>
      </c>
      <c r="F551" t="inlineStr">
        <is>
          <t>No</t>
        </is>
      </c>
      <c r="G551" t="inlineStr">
        <is>
          <t>1</t>
        </is>
      </c>
      <c r="H551" t="inlineStr">
        <is>
          <t>No</t>
        </is>
      </c>
      <c r="I551" t="inlineStr">
        <is>
          <t>No</t>
        </is>
      </c>
      <c r="J551" t="inlineStr">
        <is>
          <t>0</t>
        </is>
      </c>
      <c r="K551" t="inlineStr">
        <is>
          <t>Hsiao, Gene T.</t>
        </is>
      </c>
      <c r="L551" t="inlineStr">
        <is>
          <t>New York : Praeger, [1974]</t>
        </is>
      </c>
      <c r="M551" t="inlineStr">
        <is>
          <t>1974</t>
        </is>
      </c>
      <c r="O551" t="inlineStr">
        <is>
          <t>eng</t>
        </is>
      </c>
      <c r="P551" t="inlineStr">
        <is>
          <t>nyu</t>
        </is>
      </c>
      <c r="Q551" t="inlineStr">
        <is>
          <t>Praeger special studies in international politics and government</t>
        </is>
      </c>
      <c r="R551" t="inlineStr">
        <is>
          <t xml:space="preserve">E  </t>
        </is>
      </c>
      <c r="S551" t="n">
        <v>2</v>
      </c>
      <c r="T551" t="n">
        <v>2</v>
      </c>
      <c r="U551" t="inlineStr">
        <is>
          <t>1996-10-18</t>
        </is>
      </c>
      <c r="V551" t="inlineStr">
        <is>
          <t>1996-10-18</t>
        </is>
      </c>
      <c r="W551" t="inlineStr">
        <is>
          <t>1993-05-11</t>
        </is>
      </c>
      <c r="X551" t="inlineStr">
        <is>
          <t>1993-05-11</t>
        </is>
      </c>
      <c r="Y551" t="n">
        <v>791</v>
      </c>
      <c r="Z551" t="n">
        <v>656</v>
      </c>
      <c r="AA551" t="n">
        <v>662</v>
      </c>
      <c r="AB551" t="n">
        <v>7</v>
      </c>
      <c r="AC551" t="n">
        <v>7</v>
      </c>
      <c r="AD551" t="n">
        <v>31</v>
      </c>
      <c r="AE551" t="n">
        <v>31</v>
      </c>
      <c r="AF551" t="n">
        <v>11</v>
      </c>
      <c r="AG551" t="n">
        <v>11</v>
      </c>
      <c r="AH551" t="n">
        <v>7</v>
      </c>
      <c r="AI551" t="n">
        <v>7</v>
      </c>
      <c r="AJ551" t="n">
        <v>15</v>
      </c>
      <c r="AK551" t="n">
        <v>15</v>
      </c>
      <c r="AL551" t="n">
        <v>6</v>
      </c>
      <c r="AM551" t="n">
        <v>6</v>
      </c>
      <c r="AN551" t="n">
        <v>0</v>
      </c>
      <c r="AO551" t="n">
        <v>0</v>
      </c>
      <c r="AP551" t="inlineStr">
        <is>
          <t>No</t>
        </is>
      </c>
      <c r="AQ551" t="inlineStr">
        <is>
          <t>Yes</t>
        </is>
      </c>
      <c r="AR551">
        <f>HYPERLINK("http://catalog.hathitrust.org/Record/000334472","HathiTrust Record")</f>
        <v/>
      </c>
      <c r="AS551">
        <f>HYPERLINK("https://creighton-primo.hosted.exlibrisgroup.com/primo-explore/search?tab=default_tab&amp;search_scope=EVERYTHING&amp;vid=01CRU&amp;lang=en_US&amp;offset=0&amp;query=any,contains,991003264099702656","Catalog Record")</f>
        <v/>
      </c>
      <c r="AT551">
        <f>HYPERLINK("http://www.worldcat.org/oclc/790244","WorldCat Record")</f>
        <v/>
      </c>
      <c r="AU551" t="inlineStr">
        <is>
          <t>10568311573:eng</t>
        </is>
      </c>
      <c r="AV551" t="inlineStr">
        <is>
          <t>790244</t>
        </is>
      </c>
      <c r="AW551" t="inlineStr">
        <is>
          <t>991003264099702656</t>
        </is>
      </c>
      <c r="AX551" t="inlineStr">
        <is>
          <t>991003264099702656</t>
        </is>
      </c>
      <c r="AY551" t="inlineStr">
        <is>
          <t>2264047670002656</t>
        </is>
      </c>
      <c r="AZ551" t="inlineStr">
        <is>
          <t>BOOK</t>
        </is>
      </c>
      <c r="BC551" t="inlineStr">
        <is>
          <t>32285001653434</t>
        </is>
      </c>
      <c r="BD551" t="inlineStr">
        <is>
          <t>893610873</t>
        </is>
      </c>
    </row>
    <row r="552">
      <c r="A552" t="inlineStr">
        <is>
          <t>No</t>
        </is>
      </c>
      <c r="B552" t="inlineStr">
        <is>
          <t>E183.8.C5 K565</t>
        </is>
      </c>
      <c r="C552" t="inlineStr">
        <is>
          <t>0                      E  0183800C  5                  K  565</t>
        </is>
      </c>
      <c r="D552" t="inlineStr">
        <is>
          <t>A matter of two Chinas : the China-Taiwan issue in U.S. foreign policy / William R. Kintner &amp; John F. Copper.</t>
        </is>
      </c>
      <c r="F552" t="inlineStr">
        <is>
          <t>No</t>
        </is>
      </c>
      <c r="G552" t="inlineStr">
        <is>
          <t>1</t>
        </is>
      </c>
      <c r="H552" t="inlineStr">
        <is>
          <t>No</t>
        </is>
      </c>
      <c r="I552" t="inlineStr">
        <is>
          <t>No</t>
        </is>
      </c>
      <c r="J552" t="inlineStr">
        <is>
          <t>0</t>
        </is>
      </c>
      <c r="K552" t="inlineStr">
        <is>
          <t>Kintner, William R. (William Roscoe), 1915-1997.</t>
        </is>
      </c>
      <c r="L552" t="inlineStr">
        <is>
          <t>Philadelphia : Foreign Policy Research Institute, c1979.</t>
        </is>
      </c>
      <c r="M552" t="inlineStr">
        <is>
          <t>1979</t>
        </is>
      </c>
      <c r="O552" t="inlineStr">
        <is>
          <t>eng</t>
        </is>
      </c>
      <c r="P552" t="inlineStr">
        <is>
          <t>pau</t>
        </is>
      </c>
      <c r="R552" t="inlineStr">
        <is>
          <t xml:space="preserve">E  </t>
        </is>
      </c>
      <c r="S552" t="n">
        <v>1</v>
      </c>
      <c r="T552" t="n">
        <v>1</v>
      </c>
      <c r="U552" t="inlineStr">
        <is>
          <t>1996-05-05</t>
        </is>
      </c>
      <c r="V552" t="inlineStr">
        <is>
          <t>1996-05-05</t>
        </is>
      </c>
      <c r="W552" t="inlineStr">
        <is>
          <t>1991-01-28</t>
        </is>
      </c>
      <c r="X552" t="inlineStr">
        <is>
          <t>1991-01-28</t>
        </is>
      </c>
      <c r="Y552" t="n">
        <v>463</v>
      </c>
      <c r="Z552" t="n">
        <v>428</v>
      </c>
      <c r="AA552" t="n">
        <v>429</v>
      </c>
      <c r="AB552" t="n">
        <v>5</v>
      </c>
      <c r="AC552" t="n">
        <v>5</v>
      </c>
      <c r="AD552" t="n">
        <v>6</v>
      </c>
      <c r="AE552" t="n">
        <v>6</v>
      </c>
      <c r="AF552" t="n">
        <v>1</v>
      </c>
      <c r="AG552" t="n">
        <v>1</v>
      </c>
      <c r="AH552" t="n">
        <v>2</v>
      </c>
      <c r="AI552" t="n">
        <v>2</v>
      </c>
      <c r="AJ552" t="n">
        <v>3</v>
      </c>
      <c r="AK552" t="n">
        <v>3</v>
      </c>
      <c r="AL552" t="n">
        <v>2</v>
      </c>
      <c r="AM552" t="n">
        <v>2</v>
      </c>
      <c r="AN552" t="n">
        <v>0</v>
      </c>
      <c r="AO552" t="n">
        <v>0</v>
      </c>
      <c r="AP552" t="inlineStr">
        <is>
          <t>No</t>
        </is>
      </c>
      <c r="AQ552" t="inlineStr">
        <is>
          <t>No</t>
        </is>
      </c>
      <c r="AS552">
        <f>HYPERLINK("https://creighton-primo.hosted.exlibrisgroup.com/primo-explore/search?tab=default_tab&amp;search_scope=EVERYTHING&amp;vid=01CRU&amp;lang=en_US&amp;offset=0&amp;query=any,contains,991004722379702656","Catalog Record")</f>
        <v/>
      </c>
      <c r="AT552">
        <f>HYPERLINK("http://www.worldcat.org/oclc/4804758","WorldCat Record")</f>
        <v/>
      </c>
      <c r="AU552" t="inlineStr">
        <is>
          <t>556255:eng</t>
        </is>
      </c>
      <c r="AV552" t="inlineStr">
        <is>
          <t>4804758</t>
        </is>
      </c>
      <c r="AW552" t="inlineStr">
        <is>
          <t>991004722379702656</t>
        </is>
      </c>
      <c r="AX552" t="inlineStr">
        <is>
          <t>991004722379702656</t>
        </is>
      </c>
      <c r="AY552" t="inlineStr">
        <is>
          <t>2270338580002656</t>
        </is>
      </c>
      <c r="AZ552" t="inlineStr">
        <is>
          <t>BOOK</t>
        </is>
      </c>
      <c r="BC552" t="inlineStr">
        <is>
          <t>32285000480938</t>
        </is>
      </c>
      <c r="BD552" t="inlineStr">
        <is>
          <t>893513589</t>
        </is>
      </c>
    </row>
    <row r="553">
      <c r="A553" t="inlineStr">
        <is>
          <t>No</t>
        </is>
      </c>
      <c r="B553" t="inlineStr">
        <is>
          <t>E183.8.C5 L27 1984</t>
        </is>
      </c>
      <c r="C553" t="inlineStr">
        <is>
          <t>0                      E  0183800C  5                  L  27          1984</t>
        </is>
      </c>
      <c r="D553" t="inlineStr">
        <is>
          <t>The Taiwan issue in Sino-American strategic relations / Martin L. Lasater.</t>
        </is>
      </c>
      <c r="F553" t="inlineStr">
        <is>
          <t>No</t>
        </is>
      </c>
      <c r="G553" t="inlineStr">
        <is>
          <t>1</t>
        </is>
      </c>
      <c r="H553" t="inlineStr">
        <is>
          <t>No</t>
        </is>
      </c>
      <c r="I553" t="inlineStr">
        <is>
          <t>No</t>
        </is>
      </c>
      <c r="J553" t="inlineStr">
        <is>
          <t>0</t>
        </is>
      </c>
      <c r="K553" t="inlineStr">
        <is>
          <t>Lasater, Martin L.</t>
        </is>
      </c>
      <c r="L553" t="inlineStr">
        <is>
          <t>Boulder [Colo.] : Westview Press, 1984.</t>
        </is>
      </c>
      <c r="M553" t="inlineStr">
        <is>
          <t>1984</t>
        </is>
      </c>
      <c r="O553" t="inlineStr">
        <is>
          <t>eng</t>
        </is>
      </c>
      <c r="P553" t="inlineStr">
        <is>
          <t>cou</t>
        </is>
      </c>
      <c r="Q553" t="inlineStr">
        <is>
          <t>A Westview replica edition</t>
        </is>
      </c>
      <c r="R553" t="inlineStr">
        <is>
          <t xml:space="preserve">E  </t>
        </is>
      </c>
      <c r="S553" t="n">
        <v>3</v>
      </c>
      <c r="T553" t="n">
        <v>3</v>
      </c>
      <c r="U553" t="inlineStr">
        <is>
          <t>1996-10-18</t>
        </is>
      </c>
      <c r="V553" t="inlineStr">
        <is>
          <t>1996-10-18</t>
        </is>
      </c>
      <c r="W553" t="inlineStr">
        <is>
          <t>1991-01-28</t>
        </is>
      </c>
      <c r="X553" t="inlineStr">
        <is>
          <t>1991-01-28</t>
        </is>
      </c>
      <c r="Y553" t="n">
        <v>326</v>
      </c>
      <c r="Z553" t="n">
        <v>245</v>
      </c>
      <c r="AA553" t="n">
        <v>270</v>
      </c>
      <c r="AB553" t="n">
        <v>4</v>
      </c>
      <c r="AC553" t="n">
        <v>4</v>
      </c>
      <c r="AD553" t="n">
        <v>10</v>
      </c>
      <c r="AE553" t="n">
        <v>10</v>
      </c>
      <c r="AF553" t="n">
        <v>3</v>
      </c>
      <c r="AG553" t="n">
        <v>3</v>
      </c>
      <c r="AH553" t="n">
        <v>3</v>
      </c>
      <c r="AI553" t="n">
        <v>3</v>
      </c>
      <c r="AJ553" t="n">
        <v>4</v>
      </c>
      <c r="AK553" t="n">
        <v>4</v>
      </c>
      <c r="AL553" t="n">
        <v>3</v>
      </c>
      <c r="AM553" t="n">
        <v>3</v>
      </c>
      <c r="AN553" t="n">
        <v>0</v>
      </c>
      <c r="AO553" t="n">
        <v>0</v>
      </c>
      <c r="AP553" t="inlineStr">
        <is>
          <t>No</t>
        </is>
      </c>
      <c r="AQ553" t="inlineStr">
        <is>
          <t>Yes</t>
        </is>
      </c>
      <c r="AR553">
        <f>HYPERLINK("http://catalog.hathitrust.org/Record/000363917","HathiTrust Record")</f>
        <v/>
      </c>
      <c r="AS553">
        <f>HYPERLINK("https://creighton-primo.hosted.exlibrisgroup.com/primo-explore/search?tab=default_tab&amp;search_scope=EVERYTHING&amp;vid=01CRU&amp;lang=en_US&amp;offset=0&amp;query=any,contains,991000422579702656","Catalog Record")</f>
        <v/>
      </c>
      <c r="AT553">
        <f>HYPERLINK("http://www.worldcat.org/oclc/10751324","WorldCat Record")</f>
        <v/>
      </c>
      <c r="AU553" t="inlineStr">
        <is>
          <t>2816348:eng</t>
        </is>
      </c>
      <c r="AV553" t="inlineStr">
        <is>
          <t>10751324</t>
        </is>
      </c>
      <c r="AW553" t="inlineStr">
        <is>
          <t>991000422579702656</t>
        </is>
      </c>
      <c r="AX553" t="inlineStr">
        <is>
          <t>991000422579702656</t>
        </is>
      </c>
      <c r="AY553" t="inlineStr">
        <is>
          <t>2266218130002656</t>
        </is>
      </c>
      <c r="AZ553" t="inlineStr">
        <is>
          <t>BOOK</t>
        </is>
      </c>
      <c r="BB553" t="inlineStr">
        <is>
          <t>9780865318427</t>
        </is>
      </c>
      <c r="BC553" t="inlineStr">
        <is>
          <t>32285000480953</t>
        </is>
      </c>
      <c r="BD553" t="inlineStr">
        <is>
          <t>893802758</t>
        </is>
      </c>
    </row>
    <row r="554">
      <c r="A554" t="inlineStr">
        <is>
          <t>No</t>
        </is>
      </c>
      <c r="B554" t="inlineStr">
        <is>
          <t>E183.8.C5 L58 1997</t>
        </is>
      </c>
      <c r="C554" t="inlineStr">
        <is>
          <t>0                      E  0183800C  5                  L  58          1997</t>
        </is>
      </c>
      <c r="D554" t="inlineStr">
        <is>
          <t>Living with China : U.S./China relations in the twenty-first century / Ezra F. Vogel, editor.</t>
        </is>
      </c>
      <c r="F554" t="inlineStr">
        <is>
          <t>No</t>
        </is>
      </c>
      <c r="G554" t="inlineStr">
        <is>
          <t>1</t>
        </is>
      </c>
      <c r="H554" t="inlineStr">
        <is>
          <t>No</t>
        </is>
      </c>
      <c r="I554" t="inlineStr">
        <is>
          <t>No</t>
        </is>
      </c>
      <c r="J554" t="inlineStr">
        <is>
          <t>0</t>
        </is>
      </c>
      <c r="L554" t="inlineStr">
        <is>
          <t>New York : W.W. Norton, c1997.</t>
        </is>
      </c>
      <c r="M554" t="inlineStr">
        <is>
          <t>1997</t>
        </is>
      </c>
      <c r="N554" t="inlineStr">
        <is>
          <t>1st ed.</t>
        </is>
      </c>
      <c r="O554" t="inlineStr">
        <is>
          <t>eng</t>
        </is>
      </c>
      <c r="P554" t="inlineStr">
        <is>
          <t>nyu</t>
        </is>
      </c>
      <c r="R554" t="inlineStr">
        <is>
          <t xml:space="preserve">E  </t>
        </is>
      </c>
      <c r="S554" t="n">
        <v>1</v>
      </c>
      <c r="T554" t="n">
        <v>1</v>
      </c>
      <c r="U554" t="inlineStr">
        <is>
          <t>1998-10-27</t>
        </is>
      </c>
      <c r="V554" t="inlineStr">
        <is>
          <t>1998-10-27</t>
        </is>
      </c>
      <c r="W554" t="inlineStr">
        <is>
          <t>1997-12-22</t>
        </is>
      </c>
      <c r="X554" t="inlineStr">
        <is>
          <t>1997-12-22</t>
        </is>
      </c>
      <c r="Y554" t="n">
        <v>637</v>
      </c>
      <c r="Z554" t="n">
        <v>551</v>
      </c>
      <c r="AA554" t="n">
        <v>552</v>
      </c>
      <c r="AB554" t="n">
        <v>2</v>
      </c>
      <c r="AC554" t="n">
        <v>2</v>
      </c>
      <c r="AD554" t="n">
        <v>20</v>
      </c>
      <c r="AE554" t="n">
        <v>20</v>
      </c>
      <c r="AF554" t="n">
        <v>8</v>
      </c>
      <c r="AG554" t="n">
        <v>8</v>
      </c>
      <c r="AH554" t="n">
        <v>6</v>
      </c>
      <c r="AI554" t="n">
        <v>6</v>
      </c>
      <c r="AJ554" t="n">
        <v>10</v>
      </c>
      <c r="AK554" t="n">
        <v>10</v>
      </c>
      <c r="AL554" t="n">
        <v>1</v>
      </c>
      <c r="AM554" t="n">
        <v>1</v>
      </c>
      <c r="AN554" t="n">
        <v>0</v>
      </c>
      <c r="AO554" t="n">
        <v>0</v>
      </c>
      <c r="AP554" t="inlineStr">
        <is>
          <t>No</t>
        </is>
      </c>
      <c r="AQ554" t="inlineStr">
        <is>
          <t>No</t>
        </is>
      </c>
      <c r="AS554">
        <f>HYPERLINK("https://creighton-primo.hosted.exlibrisgroup.com/primo-explore/search?tab=default_tab&amp;search_scope=EVERYTHING&amp;vid=01CRU&amp;lang=en_US&amp;offset=0&amp;query=any,contains,991002769709702656","Catalog Record")</f>
        <v/>
      </c>
      <c r="AT554">
        <f>HYPERLINK("http://www.worldcat.org/oclc/36352427","WorldCat Record")</f>
        <v/>
      </c>
      <c r="AU554" t="inlineStr">
        <is>
          <t>369407787:eng</t>
        </is>
      </c>
      <c r="AV554" t="inlineStr">
        <is>
          <t>36352427</t>
        </is>
      </c>
      <c r="AW554" t="inlineStr">
        <is>
          <t>991002769709702656</t>
        </is>
      </c>
      <c r="AX554" t="inlineStr">
        <is>
          <t>991002769709702656</t>
        </is>
      </c>
      <c r="AY554" t="inlineStr">
        <is>
          <t>2266952770002656</t>
        </is>
      </c>
      <c r="AZ554" t="inlineStr">
        <is>
          <t>BOOK</t>
        </is>
      </c>
      <c r="BB554" t="inlineStr">
        <is>
          <t>9780393045406</t>
        </is>
      </c>
      <c r="BC554" t="inlineStr">
        <is>
          <t>32285003260642</t>
        </is>
      </c>
      <c r="BD554" t="inlineStr">
        <is>
          <t>893530446</t>
        </is>
      </c>
    </row>
    <row r="555">
      <c r="A555" t="inlineStr">
        <is>
          <t>No</t>
        </is>
      </c>
      <c r="B555" t="inlineStr">
        <is>
          <t>E183.8.C5 M316 1983</t>
        </is>
      </c>
      <c r="C555" t="inlineStr">
        <is>
          <t>0                      E  0183800C  5                  M  316         1983</t>
        </is>
      </c>
      <c r="D555" t="inlineStr">
        <is>
          <t>Mainland China, Taiwan, and U.S. policy / edited by Hung-mao Tien.</t>
        </is>
      </c>
      <c r="F555" t="inlineStr">
        <is>
          <t>No</t>
        </is>
      </c>
      <c r="G555" t="inlineStr">
        <is>
          <t>1</t>
        </is>
      </c>
      <c r="H555" t="inlineStr">
        <is>
          <t>No</t>
        </is>
      </c>
      <c r="I555" t="inlineStr">
        <is>
          <t>No</t>
        </is>
      </c>
      <c r="J555" t="inlineStr">
        <is>
          <t>0</t>
        </is>
      </c>
      <c r="L555" t="inlineStr">
        <is>
          <t>Cambridge, Mass. : Oelgeschlager, Gunn &amp; Hain, 1983.</t>
        </is>
      </c>
      <c r="M555" t="inlineStr">
        <is>
          <t>1983</t>
        </is>
      </c>
      <c r="O555" t="inlineStr">
        <is>
          <t>eng</t>
        </is>
      </c>
      <c r="P555" t="inlineStr">
        <is>
          <t>mau</t>
        </is>
      </c>
      <c r="R555" t="inlineStr">
        <is>
          <t xml:space="preserve">E  </t>
        </is>
      </c>
      <c r="S555" t="n">
        <v>5</v>
      </c>
      <c r="T555" t="n">
        <v>5</v>
      </c>
      <c r="U555" t="inlineStr">
        <is>
          <t>1996-05-05</t>
        </is>
      </c>
      <c r="V555" t="inlineStr">
        <is>
          <t>1996-05-05</t>
        </is>
      </c>
      <c r="W555" t="inlineStr">
        <is>
          <t>1991-01-28</t>
        </is>
      </c>
      <c r="X555" t="inlineStr">
        <is>
          <t>1991-01-28</t>
        </is>
      </c>
      <c r="Y555" t="n">
        <v>244</v>
      </c>
      <c r="Z555" t="n">
        <v>191</v>
      </c>
      <c r="AA555" t="n">
        <v>198</v>
      </c>
      <c r="AB555" t="n">
        <v>2</v>
      </c>
      <c r="AC555" t="n">
        <v>2</v>
      </c>
      <c r="AD555" t="n">
        <v>4</v>
      </c>
      <c r="AE555" t="n">
        <v>4</v>
      </c>
      <c r="AF555" t="n">
        <v>0</v>
      </c>
      <c r="AG555" t="n">
        <v>0</v>
      </c>
      <c r="AH555" t="n">
        <v>2</v>
      </c>
      <c r="AI555" t="n">
        <v>2</v>
      </c>
      <c r="AJ555" t="n">
        <v>2</v>
      </c>
      <c r="AK555" t="n">
        <v>2</v>
      </c>
      <c r="AL555" t="n">
        <v>1</v>
      </c>
      <c r="AM555" t="n">
        <v>1</v>
      </c>
      <c r="AN555" t="n">
        <v>0</v>
      </c>
      <c r="AO555" t="n">
        <v>0</v>
      </c>
      <c r="AP555" t="inlineStr">
        <is>
          <t>No</t>
        </is>
      </c>
      <c r="AQ555" t="inlineStr">
        <is>
          <t>Yes</t>
        </is>
      </c>
      <c r="AR555">
        <f>HYPERLINK("http://catalog.hathitrust.org/Record/000275299","HathiTrust Record")</f>
        <v/>
      </c>
      <c r="AS555">
        <f>HYPERLINK("https://creighton-primo.hosted.exlibrisgroup.com/primo-explore/search?tab=default_tab&amp;search_scope=EVERYTHING&amp;vid=01CRU&amp;lang=en_US&amp;offset=0&amp;query=any,contains,991000052309702656","Catalog Record")</f>
        <v/>
      </c>
      <c r="AT555">
        <f>HYPERLINK("http://www.worldcat.org/oclc/8689445","WorldCat Record")</f>
        <v/>
      </c>
      <c r="AU555" t="inlineStr">
        <is>
          <t>43591597:eng</t>
        </is>
      </c>
      <c r="AV555" t="inlineStr">
        <is>
          <t>8689445</t>
        </is>
      </c>
      <c r="AW555" t="inlineStr">
        <is>
          <t>991000052309702656</t>
        </is>
      </c>
      <c r="AX555" t="inlineStr">
        <is>
          <t>991000052309702656</t>
        </is>
      </c>
      <c r="AY555" t="inlineStr">
        <is>
          <t>2272005360002656</t>
        </is>
      </c>
      <c r="AZ555" t="inlineStr">
        <is>
          <t>BOOK</t>
        </is>
      </c>
      <c r="BB555" t="inlineStr">
        <is>
          <t>9780899461519</t>
        </is>
      </c>
      <c r="BC555" t="inlineStr">
        <is>
          <t>32285000480961</t>
        </is>
      </c>
      <c r="BD555" t="inlineStr">
        <is>
          <t>893534022</t>
        </is>
      </c>
    </row>
    <row r="556">
      <c r="A556" t="inlineStr">
        <is>
          <t>No</t>
        </is>
      </c>
      <c r="B556" t="inlineStr">
        <is>
          <t>E183.8.C5 M317 2001</t>
        </is>
      </c>
      <c r="C556" t="inlineStr">
        <is>
          <t>0                      E  0183800C  5                  M  317         2001</t>
        </is>
      </c>
      <c r="D556" t="inlineStr">
        <is>
          <t>Making China policy : lessons from the Bush and Clinton administrations / edited by Ramon H. Myers, Michel C. Oksenberg, and David Shambaugh.</t>
        </is>
      </c>
      <c r="F556" t="inlineStr">
        <is>
          <t>No</t>
        </is>
      </c>
      <c r="G556" t="inlineStr">
        <is>
          <t>1</t>
        </is>
      </c>
      <c r="H556" t="inlineStr">
        <is>
          <t>No</t>
        </is>
      </c>
      <c r="I556" t="inlineStr">
        <is>
          <t>No</t>
        </is>
      </c>
      <c r="J556" t="inlineStr">
        <is>
          <t>0</t>
        </is>
      </c>
      <c r="L556" t="inlineStr">
        <is>
          <t>Lanham, Md. : Rowman &amp; Littlefield Publishers, c2001.</t>
        </is>
      </c>
      <c r="M556" t="inlineStr">
        <is>
          <t>2001</t>
        </is>
      </c>
      <c r="O556" t="inlineStr">
        <is>
          <t>eng</t>
        </is>
      </c>
      <c r="P556" t="inlineStr">
        <is>
          <t>mdu</t>
        </is>
      </c>
      <c r="R556" t="inlineStr">
        <is>
          <t xml:space="preserve">E  </t>
        </is>
      </c>
      <c r="S556" t="n">
        <v>1</v>
      </c>
      <c r="T556" t="n">
        <v>1</v>
      </c>
      <c r="U556" t="inlineStr">
        <is>
          <t>2002-04-10</t>
        </is>
      </c>
      <c r="V556" t="inlineStr">
        <is>
          <t>2002-04-10</t>
        </is>
      </c>
      <c r="W556" t="inlineStr">
        <is>
          <t>2002-03-20</t>
        </is>
      </c>
      <c r="X556" t="inlineStr">
        <is>
          <t>2002-03-20</t>
        </is>
      </c>
      <c r="Y556" t="n">
        <v>267</v>
      </c>
      <c r="Z556" t="n">
        <v>203</v>
      </c>
      <c r="AA556" t="n">
        <v>205</v>
      </c>
      <c r="AB556" t="n">
        <v>3</v>
      </c>
      <c r="AC556" t="n">
        <v>3</v>
      </c>
      <c r="AD556" t="n">
        <v>10</v>
      </c>
      <c r="AE556" t="n">
        <v>10</v>
      </c>
      <c r="AF556" t="n">
        <v>3</v>
      </c>
      <c r="AG556" t="n">
        <v>3</v>
      </c>
      <c r="AH556" t="n">
        <v>4</v>
      </c>
      <c r="AI556" t="n">
        <v>4</v>
      </c>
      <c r="AJ556" t="n">
        <v>5</v>
      </c>
      <c r="AK556" t="n">
        <v>5</v>
      </c>
      <c r="AL556" t="n">
        <v>2</v>
      </c>
      <c r="AM556" t="n">
        <v>2</v>
      </c>
      <c r="AN556" t="n">
        <v>0</v>
      </c>
      <c r="AO556" t="n">
        <v>0</v>
      </c>
      <c r="AP556" t="inlineStr">
        <is>
          <t>No</t>
        </is>
      </c>
      <c r="AQ556" t="inlineStr">
        <is>
          <t>Yes</t>
        </is>
      </c>
      <c r="AR556">
        <f>HYPERLINK("http://catalog.hathitrust.org/Record/004219538","HathiTrust Record")</f>
        <v/>
      </c>
      <c r="AS556">
        <f>HYPERLINK("https://creighton-primo.hosted.exlibrisgroup.com/primo-explore/search?tab=default_tab&amp;search_scope=EVERYTHING&amp;vid=01CRU&amp;lang=en_US&amp;offset=0&amp;query=any,contains,991003742639702656","Catalog Record")</f>
        <v/>
      </c>
      <c r="AT556">
        <f>HYPERLINK("http://www.worldcat.org/oclc/46959513","WorldCat Record")</f>
        <v/>
      </c>
      <c r="AU556" t="inlineStr">
        <is>
          <t>890723960:eng</t>
        </is>
      </c>
      <c r="AV556" t="inlineStr">
        <is>
          <t>46959513</t>
        </is>
      </c>
      <c r="AW556" t="inlineStr">
        <is>
          <t>991003742639702656</t>
        </is>
      </c>
      <c r="AX556" t="inlineStr">
        <is>
          <t>991003742639702656</t>
        </is>
      </c>
      <c r="AY556" t="inlineStr">
        <is>
          <t>2266059980002656</t>
        </is>
      </c>
      <c r="AZ556" t="inlineStr">
        <is>
          <t>BOOK</t>
        </is>
      </c>
      <c r="BB556" t="inlineStr">
        <is>
          <t>9780742509634</t>
        </is>
      </c>
      <c r="BC556" t="inlineStr">
        <is>
          <t>32285004463161</t>
        </is>
      </c>
      <c r="BD556" t="inlineStr">
        <is>
          <t>893342946</t>
        </is>
      </c>
    </row>
    <row r="557">
      <c r="A557" t="inlineStr">
        <is>
          <t>No</t>
        </is>
      </c>
      <c r="B557" t="inlineStr">
        <is>
          <t>E183.8.C5 M38</t>
        </is>
      </c>
      <c r="C557" t="inlineStr">
        <is>
          <t>0                      E  0183800C  5                  M  38</t>
        </is>
      </c>
      <c r="D557" t="inlineStr">
        <is>
          <t>The Truman administration and China, 1945-1949 / Ernest R. May.</t>
        </is>
      </c>
      <c r="F557" t="inlineStr">
        <is>
          <t>No</t>
        </is>
      </c>
      <c r="G557" t="inlineStr">
        <is>
          <t>1</t>
        </is>
      </c>
      <c r="H557" t="inlineStr">
        <is>
          <t>No</t>
        </is>
      </c>
      <c r="I557" t="inlineStr">
        <is>
          <t>No</t>
        </is>
      </c>
      <c r="J557" t="inlineStr">
        <is>
          <t>0</t>
        </is>
      </c>
      <c r="K557" t="inlineStr">
        <is>
          <t>May, Ernest R.</t>
        </is>
      </c>
      <c r="L557" t="inlineStr">
        <is>
          <t>Philadelphia : Lippincott, [1975]</t>
        </is>
      </c>
      <c r="M557" t="inlineStr">
        <is>
          <t>1975</t>
        </is>
      </c>
      <c r="O557" t="inlineStr">
        <is>
          <t>eng</t>
        </is>
      </c>
      <c r="P557" t="inlineStr">
        <is>
          <t>pau</t>
        </is>
      </c>
      <c r="Q557" t="inlineStr">
        <is>
          <t>The America's alternatives series</t>
        </is>
      </c>
      <c r="R557" t="inlineStr">
        <is>
          <t xml:space="preserve">E  </t>
        </is>
      </c>
      <c r="S557" t="n">
        <v>1</v>
      </c>
      <c r="T557" t="n">
        <v>1</v>
      </c>
      <c r="U557" t="inlineStr">
        <is>
          <t>2000-07-22</t>
        </is>
      </c>
      <c r="V557" t="inlineStr">
        <is>
          <t>2000-07-22</t>
        </is>
      </c>
      <c r="W557" t="inlineStr">
        <is>
          <t>1997-04-08</t>
        </is>
      </c>
      <c r="X557" t="inlineStr">
        <is>
          <t>1997-04-08</t>
        </is>
      </c>
      <c r="Y557" t="n">
        <v>461</v>
      </c>
      <c r="Z557" t="n">
        <v>413</v>
      </c>
      <c r="AA557" t="n">
        <v>419</v>
      </c>
      <c r="AB557" t="n">
        <v>4</v>
      </c>
      <c r="AC557" t="n">
        <v>4</v>
      </c>
      <c r="AD557" t="n">
        <v>19</v>
      </c>
      <c r="AE557" t="n">
        <v>19</v>
      </c>
      <c r="AF557" t="n">
        <v>8</v>
      </c>
      <c r="AG557" t="n">
        <v>8</v>
      </c>
      <c r="AH557" t="n">
        <v>6</v>
      </c>
      <c r="AI557" t="n">
        <v>6</v>
      </c>
      <c r="AJ557" t="n">
        <v>7</v>
      </c>
      <c r="AK557" t="n">
        <v>7</v>
      </c>
      <c r="AL557" t="n">
        <v>3</v>
      </c>
      <c r="AM557" t="n">
        <v>3</v>
      </c>
      <c r="AN557" t="n">
        <v>0</v>
      </c>
      <c r="AO557" t="n">
        <v>0</v>
      </c>
      <c r="AP557" t="inlineStr">
        <is>
          <t>No</t>
        </is>
      </c>
      <c r="AQ557" t="inlineStr">
        <is>
          <t>No</t>
        </is>
      </c>
      <c r="AS557">
        <f>HYPERLINK("https://creighton-primo.hosted.exlibrisgroup.com/primo-explore/search?tab=default_tab&amp;search_scope=EVERYTHING&amp;vid=01CRU&amp;lang=en_US&amp;offset=0&amp;query=any,contains,991003553809702656","Catalog Record")</f>
        <v/>
      </c>
      <c r="AT557">
        <f>HYPERLINK("http://www.worldcat.org/oclc/1121165","WorldCat Record")</f>
        <v/>
      </c>
      <c r="AU557" t="inlineStr">
        <is>
          <t>2025230:eng</t>
        </is>
      </c>
      <c r="AV557" t="inlineStr">
        <is>
          <t>1121165</t>
        </is>
      </c>
      <c r="AW557" t="inlineStr">
        <is>
          <t>991003553809702656</t>
        </is>
      </c>
      <c r="AX557" t="inlineStr">
        <is>
          <t>991003553809702656</t>
        </is>
      </c>
      <c r="AY557" t="inlineStr">
        <is>
          <t>2268374120002656</t>
        </is>
      </c>
      <c r="AZ557" t="inlineStr">
        <is>
          <t>BOOK</t>
        </is>
      </c>
      <c r="BB557" t="inlineStr">
        <is>
          <t>9780397473281</t>
        </is>
      </c>
      <c r="BC557" t="inlineStr">
        <is>
          <t>32285002506755</t>
        </is>
      </c>
      <c r="BD557" t="inlineStr">
        <is>
          <t>893805905</t>
        </is>
      </c>
    </row>
    <row r="558">
      <c r="A558" t="inlineStr">
        <is>
          <t>No</t>
        </is>
      </c>
      <c r="B558" t="inlineStr">
        <is>
          <t>E183.8.C5 S323</t>
        </is>
      </c>
      <c r="C558" t="inlineStr">
        <is>
          <t>0                      E  0183800C  5                  S  323</t>
        </is>
      </c>
      <c r="D558" t="inlineStr">
        <is>
          <t>The United States and China in the twentieth century / Michael Schaller.</t>
        </is>
      </c>
      <c r="F558" t="inlineStr">
        <is>
          <t>No</t>
        </is>
      </c>
      <c r="G558" t="inlineStr">
        <is>
          <t>1</t>
        </is>
      </c>
      <c r="H558" t="inlineStr">
        <is>
          <t>No</t>
        </is>
      </c>
      <c r="I558" t="inlineStr">
        <is>
          <t>No</t>
        </is>
      </c>
      <c r="J558" t="inlineStr">
        <is>
          <t>0</t>
        </is>
      </c>
      <c r="K558" t="inlineStr">
        <is>
          <t>Schaller, Michael, 1947-</t>
        </is>
      </c>
      <c r="L558" t="inlineStr">
        <is>
          <t>New York : Oxford University Press, 1979.</t>
        </is>
      </c>
      <c r="M558" t="inlineStr">
        <is>
          <t>1979</t>
        </is>
      </c>
      <c r="O558" t="inlineStr">
        <is>
          <t>eng</t>
        </is>
      </c>
      <c r="P558" t="inlineStr">
        <is>
          <t>nyu</t>
        </is>
      </c>
      <c r="R558" t="inlineStr">
        <is>
          <t xml:space="preserve">E  </t>
        </is>
      </c>
      <c r="S558" t="n">
        <v>2</v>
      </c>
      <c r="T558" t="n">
        <v>2</v>
      </c>
      <c r="U558" t="inlineStr">
        <is>
          <t>1993-10-12</t>
        </is>
      </c>
      <c r="V558" t="inlineStr">
        <is>
          <t>1993-10-12</t>
        </is>
      </c>
      <c r="W558" t="inlineStr">
        <is>
          <t>1991-01-28</t>
        </is>
      </c>
      <c r="X558" t="inlineStr">
        <is>
          <t>1991-01-28</t>
        </is>
      </c>
      <c r="Y558" t="n">
        <v>899</v>
      </c>
      <c r="Z558" t="n">
        <v>733</v>
      </c>
      <c r="AA558" t="n">
        <v>958</v>
      </c>
      <c r="AB558" t="n">
        <v>5</v>
      </c>
      <c r="AC558" t="n">
        <v>7</v>
      </c>
      <c r="AD558" t="n">
        <v>24</v>
      </c>
      <c r="AE558" t="n">
        <v>31</v>
      </c>
      <c r="AF558" t="n">
        <v>6</v>
      </c>
      <c r="AG558" t="n">
        <v>9</v>
      </c>
      <c r="AH558" t="n">
        <v>5</v>
      </c>
      <c r="AI558" t="n">
        <v>5</v>
      </c>
      <c r="AJ558" t="n">
        <v>12</v>
      </c>
      <c r="AK558" t="n">
        <v>14</v>
      </c>
      <c r="AL558" t="n">
        <v>4</v>
      </c>
      <c r="AM558" t="n">
        <v>6</v>
      </c>
      <c r="AN558" t="n">
        <v>0</v>
      </c>
      <c r="AO558" t="n">
        <v>1</v>
      </c>
      <c r="AP558" t="inlineStr">
        <is>
          <t>No</t>
        </is>
      </c>
      <c r="AQ558" t="inlineStr">
        <is>
          <t>Yes</t>
        </is>
      </c>
      <c r="AR558">
        <f>HYPERLINK("http://catalog.hathitrust.org/Record/000298908","HathiTrust Record")</f>
        <v/>
      </c>
      <c r="AS558">
        <f>HYPERLINK("https://creighton-primo.hosted.exlibrisgroup.com/primo-explore/search?tab=default_tab&amp;search_scope=EVERYTHING&amp;vid=01CRU&amp;lang=en_US&amp;offset=0&amp;query=any,contains,991004728659702656","Catalog Record")</f>
        <v/>
      </c>
      <c r="AT558">
        <f>HYPERLINK("http://www.worldcat.org/oclc/4832149","WorldCat Record")</f>
        <v/>
      </c>
      <c r="AU558" t="inlineStr">
        <is>
          <t>12602600:eng</t>
        </is>
      </c>
      <c r="AV558" t="inlineStr">
        <is>
          <t>4832149</t>
        </is>
      </c>
      <c r="AW558" t="inlineStr">
        <is>
          <t>991004728659702656</t>
        </is>
      </c>
      <c r="AX558" t="inlineStr">
        <is>
          <t>991004728659702656</t>
        </is>
      </c>
      <c r="AY558" t="inlineStr">
        <is>
          <t>2268642860002656</t>
        </is>
      </c>
      <c r="AZ558" t="inlineStr">
        <is>
          <t>BOOK</t>
        </is>
      </c>
      <c r="BB558" t="inlineStr">
        <is>
          <t>9780195025989</t>
        </is>
      </c>
      <c r="BC558" t="inlineStr">
        <is>
          <t>32285000481019</t>
        </is>
      </c>
      <c r="BD558" t="inlineStr">
        <is>
          <t>893519984</t>
        </is>
      </c>
    </row>
    <row r="559">
      <c r="A559" t="inlineStr">
        <is>
          <t>No</t>
        </is>
      </c>
      <c r="B559" t="inlineStr">
        <is>
          <t>E183.8.C5 S46 1991</t>
        </is>
      </c>
      <c r="C559" t="inlineStr">
        <is>
          <t>0                      E  0183800C  5                  S  46          1991</t>
        </is>
      </c>
      <c r="D559" t="inlineStr">
        <is>
          <t>Beautiful imperialist : China perceives America, 1972-1990 / David Shambaugh.</t>
        </is>
      </c>
      <c r="F559" t="inlineStr">
        <is>
          <t>No</t>
        </is>
      </c>
      <c r="G559" t="inlineStr">
        <is>
          <t>1</t>
        </is>
      </c>
      <c r="H559" t="inlineStr">
        <is>
          <t>No</t>
        </is>
      </c>
      <c r="I559" t="inlineStr">
        <is>
          <t>No</t>
        </is>
      </c>
      <c r="J559" t="inlineStr">
        <is>
          <t>0</t>
        </is>
      </c>
      <c r="K559" t="inlineStr">
        <is>
          <t>Shambaugh, David L.</t>
        </is>
      </c>
      <c r="L559" t="inlineStr">
        <is>
          <t>Princeton, N.J. : Princeton University Press, c1991, 1993 printing.</t>
        </is>
      </c>
      <c r="M559" t="inlineStr">
        <is>
          <t>1991</t>
        </is>
      </c>
      <c r="O559" t="inlineStr">
        <is>
          <t>eng</t>
        </is>
      </c>
      <c r="P559" t="inlineStr">
        <is>
          <t>nju</t>
        </is>
      </c>
      <c r="R559" t="inlineStr">
        <is>
          <t xml:space="preserve">E  </t>
        </is>
      </c>
      <c r="S559" t="n">
        <v>4</v>
      </c>
      <c r="T559" t="n">
        <v>4</v>
      </c>
      <c r="U559" t="inlineStr">
        <is>
          <t>1998-10-27</t>
        </is>
      </c>
      <c r="V559" t="inlineStr">
        <is>
          <t>1998-10-27</t>
        </is>
      </c>
      <c r="W559" t="inlineStr">
        <is>
          <t>1994-01-20</t>
        </is>
      </c>
      <c r="X559" t="inlineStr">
        <is>
          <t>1994-01-20</t>
        </is>
      </c>
      <c r="Y559" t="n">
        <v>535</v>
      </c>
      <c r="Z559" t="n">
        <v>422</v>
      </c>
      <c r="AA559" t="n">
        <v>430</v>
      </c>
      <c r="AB559" t="n">
        <v>4</v>
      </c>
      <c r="AC559" t="n">
        <v>4</v>
      </c>
      <c r="AD559" t="n">
        <v>30</v>
      </c>
      <c r="AE559" t="n">
        <v>30</v>
      </c>
      <c r="AF559" t="n">
        <v>13</v>
      </c>
      <c r="AG559" t="n">
        <v>13</v>
      </c>
      <c r="AH559" t="n">
        <v>7</v>
      </c>
      <c r="AI559" t="n">
        <v>7</v>
      </c>
      <c r="AJ559" t="n">
        <v>16</v>
      </c>
      <c r="AK559" t="n">
        <v>16</v>
      </c>
      <c r="AL559" t="n">
        <v>3</v>
      </c>
      <c r="AM559" t="n">
        <v>3</v>
      </c>
      <c r="AN559" t="n">
        <v>0</v>
      </c>
      <c r="AO559" t="n">
        <v>0</v>
      </c>
      <c r="AP559" t="inlineStr">
        <is>
          <t>No</t>
        </is>
      </c>
      <c r="AQ559" t="inlineStr">
        <is>
          <t>No</t>
        </is>
      </c>
      <c r="AS559">
        <f>HYPERLINK("https://creighton-primo.hosted.exlibrisgroup.com/primo-explore/search?tab=default_tab&amp;search_scope=EVERYTHING&amp;vid=01CRU&amp;lang=en_US&amp;offset=0&amp;query=any,contains,991001843199702656","Catalog Record")</f>
        <v/>
      </c>
      <c r="AT559">
        <f>HYPERLINK("http://www.worldcat.org/oclc/23144356","WorldCat Record")</f>
        <v/>
      </c>
      <c r="AU559" t="inlineStr">
        <is>
          <t>476018880:eng</t>
        </is>
      </c>
      <c r="AV559" t="inlineStr">
        <is>
          <t>23144356</t>
        </is>
      </c>
      <c r="AW559" t="inlineStr">
        <is>
          <t>991001843199702656</t>
        </is>
      </c>
      <c r="AX559" t="inlineStr">
        <is>
          <t>991001843199702656</t>
        </is>
      </c>
      <c r="AY559" t="inlineStr">
        <is>
          <t>2264302100002656</t>
        </is>
      </c>
      <c r="AZ559" t="inlineStr">
        <is>
          <t>BOOK</t>
        </is>
      </c>
      <c r="BB559" t="inlineStr">
        <is>
          <t>9780691078649</t>
        </is>
      </c>
      <c r="BC559" t="inlineStr">
        <is>
          <t>32285001832376</t>
        </is>
      </c>
      <c r="BD559" t="inlineStr">
        <is>
          <t>893602935</t>
        </is>
      </c>
    </row>
    <row r="560">
      <c r="A560" t="inlineStr">
        <is>
          <t>No</t>
        </is>
      </c>
      <c r="B560" t="inlineStr">
        <is>
          <t>E183.8.C5 S87 1991</t>
        </is>
      </c>
      <c r="C560" t="inlineStr">
        <is>
          <t>0                      E  0183800C  5                  S  87          1991</t>
        </is>
      </c>
      <c r="D560" t="inlineStr">
        <is>
          <t>Deadlock over China policy : is a new consensus possible? : report of the thirty-second Strategy for Peace, US foreign policy conference / sponsored by the Stanley Foundation, October 24-26, 1991 ; convened at Airlie House Conference Center, Warrenton, Virginia.</t>
        </is>
      </c>
      <c r="F560" t="inlineStr">
        <is>
          <t>No</t>
        </is>
      </c>
      <c r="G560" t="inlineStr">
        <is>
          <t>1</t>
        </is>
      </c>
      <c r="H560" t="inlineStr">
        <is>
          <t>No</t>
        </is>
      </c>
      <c r="I560" t="inlineStr">
        <is>
          <t>No</t>
        </is>
      </c>
      <c r="J560" t="inlineStr">
        <is>
          <t>0</t>
        </is>
      </c>
      <c r="K560" t="inlineStr">
        <is>
          <t>Strategy for Peace Conference (32nd : 1991 : Warrenton, Va.)</t>
        </is>
      </c>
      <c r="L560" t="inlineStr">
        <is>
          <t>Muscatine, Iowa : Stanley Foundation, [1991]</t>
        </is>
      </c>
      <c r="M560" t="inlineStr">
        <is>
          <t>1991</t>
        </is>
      </c>
      <c r="O560" t="inlineStr">
        <is>
          <t>eng</t>
        </is>
      </c>
      <c r="P560" t="inlineStr">
        <is>
          <t>iau</t>
        </is>
      </c>
      <c r="R560" t="inlineStr">
        <is>
          <t xml:space="preserve">E  </t>
        </is>
      </c>
      <c r="S560" t="n">
        <v>1</v>
      </c>
      <c r="T560" t="n">
        <v>1</v>
      </c>
      <c r="U560" t="inlineStr">
        <is>
          <t>1993-02-11</t>
        </is>
      </c>
      <c r="V560" t="inlineStr">
        <is>
          <t>1993-02-11</t>
        </is>
      </c>
      <c r="W560" t="inlineStr">
        <is>
          <t>1992-02-04</t>
        </is>
      </c>
      <c r="X560" t="inlineStr">
        <is>
          <t>1992-02-04</t>
        </is>
      </c>
      <c r="Y560" t="n">
        <v>202</v>
      </c>
      <c r="Z560" t="n">
        <v>190</v>
      </c>
      <c r="AA560" t="n">
        <v>193</v>
      </c>
      <c r="AB560" t="n">
        <v>3</v>
      </c>
      <c r="AC560" t="n">
        <v>3</v>
      </c>
      <c r="AD560" t="n">
        <v>7</v>
      </c>
      <c r="AE560" t="n">
        <v>7</v>
      </c>
      <c r="AF560" t="n">
        <v>2</v>
      </c>
      <c r="AG560" t="n">
        <v>2</v>
      </c>
      <c r="AH560" t="n">
        <v>1</v>
      </c>
      <c r="AI560" t="n">
        <v>1</v>
      </c>
      <c r="AJ560" t="n">
        <v>2</v>
      </c>
      <c r="AK560" t="n">
        <v>2</v>
      </c>
      <c r="AL560" t="n">
        <v>2</v>
      </c>
      <c r="AM560" t="n">
        <v>2</v>
      </c>
      <c r="AN560" t="n">
        <v>1</v>
      </c>
      <c r="AO560" t="n">
        <v>1</v>
      </c>
      <c r="AP560" t="inlineStr">
        <is>
          <t>No</t>
        </is>
      </c>
      <c r="AQ560" t="inlineStr">
        <is>
          <t>Yes</t>
        </is>
      </c>
      <c r="AR560">
        <f>HYPERLINK("http://catalog.hathitrust.org/Record/007191845","HathiTrust Record")</f>
        <v/>
      </c>
      <c r="AS560">
        <f>HYPERLINK("https://creighton-primo.hosted.exlibrisgroup.com/primo-explore/search?tab=default_tab&amp;search_scope=EVERYTHING&amp;vid=01CRU&amp;lang=en_US&amp;offset=0&amp;query=any,contains,991001979429702656","Catalog Record")</f>
        <v/>
      </c>
      <c r="AT560">
        <f>HYPERLINK("http://www.worldcat.org/oclc/25130361","WorldCat Record")</f>
        <v/>
      </c>
      <c r="AU560" t="inlineStr">
        <is>
          <t>27467354:eng</t>
        </is>
      </c>
      <c r="AV560" t="inlineStr">
        <is>
          <t>25130361</t>
        </is>
      </c>
      <c r="AW560" t="inlineStr">
        <is>
          <t>991001979429702656</t>
        </is>
      </c>
      <c r="AX560" t="inlineStr">
        <is>
          <t>991001979429702656</t>
        </is>
      </c>
      <c r="AY560" t="inlineStr">
        <is>
          <t>2263027100002656</t>
        </is>
      </c>
      <c r="AZ560" t="inlineStr">
        <is>
          <t>BOOK</t>
        </is>
      </c>
      <c r="BC560" t="inlineStr">
        <is>
          <t>32285000868488</t>
        </is>
      </c>
      <c r="BD560" t="inlineStr">
        <is>
          <t>893534776</t>
        </is>
      </c>
    </row>
    <row r="561">
      <c r="A561" t="inlineStr">
        <is>
          <t>No</t>
        </is>
      </c>
      <c r="B561" t="inlineStr">
        <is>
          <t>E183.8.C5 S878 1983</t>
        </is>
      </c>
      <c r="C561" t="inlineStr">
        <is>
          <t>0                      E  0183800C  5                  S  878         1983</t>
        </is>
      </c>
      <c r="D561" t="inlineStr">
        <is>
          <t>The China quandary : domestic determinants of U.S. China policy, 1972-1982 / Robert G. Sutter.</t>
        </is>
      </c>
      <c r="F561" t="inlineStr">
        <is>
          <t>No</t>
        </is>
      </c>
      <c r="G561" t="inlineStr">
        <is>
          <t>1</t>
        </is>
      </c>
      <c r="H561" t="inlineStr">
        <is>
          <t>No</t>
        </is>
      </c>
      <c r="I561" t="inlineStr">
        <is>
          <t>No</t>
        </is>
      </c>
      <c r="J561" t="inlineStr">
        <is>
          <t>0</t>
        </is>
      </c>
      <c r="K561" t="inlineStr">
        <is>
          <t>Sutter, Robert G.</t>
        </is>
      </c>
      <c r="L561" t="inlineStr">
        <is>
          <t>Boulder, Colo. : Westview Press, 1983.</t>
        </is>
      </c>
      <c r="M561" t="inlineStr">
        <is>
          <t>1983</t>
        </is>
      </c>
      <c r="O561" t="inlineStr">
        <is>
          <t>eng</t>
        </is>
      </c>
      <c r="P561" t="inlineStr">
        <is>
          <t>cou</t>
        </is>
      </c>
      <c r="Q561" t="inlineStr">
        <is>
          <t>Westview special studies in international relations</t>
        </is>
      </c>
      <c r="R561" t="inlineStr">
        <is>
          <t xml:space="preserve">E  </t>
        </is>
      </c>
      <c r="S561" t="n">
        <v>2</v>
      </c>
      <c r="T561" t="n">
        <v>2</v>
      </c>
      <c r="U561" t="inlineStr">
        <is>
          <t>1996-10-18</t>
        </is>
      </c>
      <c r="V561" t="inlineStr">
        <is>
          <t>1996-10-18</t>
        </is>
      </c>
      <c r="W561" t="inlineStr">
        <is>
          <t>1990-05-08</t>
        </is>
      </c>
      <c r="X561" t="inlineStr">
        <is>
          <t>1990-05-08</t>
        </is>
      </c>
      <c r="Y561" t="n">
        <v>314</v>
      </c>
      <c r="Z561" t="n">
        <v>254</v>
      </c>
      <c r="AA561" t="n">
        <v>273</v>
      </c>
      <c r="AB561" t="n">
        <v>3</v>
      </c>
      <c r="AC561" t="n">
        <v>3</v>
      </c>
      <c r="AD561" t="n">
        <v>6</v>
      </c>
      <c r="AE561" t="n">
        <v>6</v>
      </c>
      <c r="AF561" t="n">
        <v>1</v>
      </c>
      <c r="AG561" t="n">
        <v>1</v>
      </c>
      <c r="AH561" t="n">
        <v>2</v>
      </c>
      <c r="AI561" t="n">
        <v>2</v>
      </c>
      <c r="AJ561" t="n">
        <v>3</v>
      </c>
      <c r="AK561" t="n">
        <v>3</v>
      </c>
      <c r="AL561" t="n">
        <v>2</v>
      </c>
      <c r="AM561" t="n">
        <v>2</v>
      </c>
      <c r="AN561" t="n">
        <v>0</v>
      </c>
      <c r="AO561" t="n">
        <v>0</v>
      </c>
      <c r="AP561" t="inlineStr">
        <is>
          <t>No</t>
        </is>
      </c>
      <c r="AQ561" t="inlineStr">
        <is>
          <t>Yes</t>
        </is>
      </c>
      <c r="AR561">
        <f>HYPERLINK("http://catalog.hathitrust.org/Record/000161558","HathiTrust Record")</f>
        <v/>
      </c>
      <c r="AS561">
        <f>HYPERLINK("https://creighton-primo.hosted.exlibrisgroup.com/primo-explore/search?tab=default_tab&amp;search_scope=EVERYTHING&amp;vid=01CRU&amp;lang=en_US&amp;offset=0&amp;query=any,contains,991000125049702656","Catalog Record")</f>
        <v/>
      </c>
      <c r="AT561">
        <f>HYPERLINK("http://www.worldcat.org/oclc/9082604","WorldCat Record")</f>
        <v/>
      </c>
      <c r="AU561" t="inlineStr">
        <is>
          <t>4877773:eng</t>
        </is>
      </c>
      <c r="AV561" t="inlineStr">
        <is>
          <t>9082604</t>
        </is>
      </c>
      <c r="AW561" t="inlineStr">
        <is>
          <t>991000125049702656</t>
        </is>
      </c>
      <c r="AX561" t="inlineStr">
        <is>
          <t>991000125049702656</t>
        </is>
      </c>
      <c r="AY561" t="inlineStr">
        <is>
          <t>2255018790002656</t>
        </is>
      </c>
      <c r="AZ561" t="inlineStr">
        <is>
          <t>BOOK</t>
        </is>
      </c>
      <c r="BB561" t="inlineStr">
        <is>
          <t>9780865315792</t>
        </is>
      </c>
      <c r="BC561" t="inlineStr">
        <is>
          <t>32285000150762</t>
        </is>
      </c>
      <c r="BD561" t="inlineStr">
        <is>
          <t>893902904</t>
        </is>
      </c>
    </row>
    <row r="562">
      <c r="A562" t="inlineStr">
        <is>
          <t>No</t>
        </is>
      </c>
      <c r="B562" t="inlineStr">
        <is>
          <t>E183.8.C5 S88</t>
        </is>
      </c>
      <c r="C562" t="inlineStr">
        <is>
          <t>0                      E  0183800C  5                  S  88</t>
        </is>
      </c>
      <c r="D562" t="inlineStr">
        <is>
          <t>China-watch : toward Sino-American reconciliation / Robert G. Sutter ; with a foreword by Allen S. Whiting. --</t>
        </is>
      </c>
      <c r="F562" t="inlineStr">
        <is>
          <t>No</t>
        </is>
      </c>
      <c r="G562" t="inlineStr">
        <is>
          <t>1</t>
        </is>
      </c>
      <c r="H562" t="inlineStr">
        <is>
          <t>No</t>
        </is>
      </c>
      <c r="I562" t="inlineStr">
        <is>
          <t>No</t>
        </is>
      </c>
      <c r="J562" t="inlineStr">
        <is>
          <t>0</t>
        </is>
      </c>
      <c r="K562" t="inlineStr">
        <is>
          <t>Sutter, Robert G.</t>
        </is>
      </c>
      <c r="L562" t="inlineStr">
        <is>
          <t>Baltimore : Johns Hopkins University Press, c1978.</t>
        </is>
      </c>
      <c r="M562" t="inlineStr">
        <is>
          <t>1978</t>
        </is>
      </c>
      <c r="O562" t="inlineStr">
        <is>
          <t>eng</t>
        </is>
      </c>
      <c r="P562" t="inlineStr">
        <is>
          <t>mdu</t>
        </is>
      </c>
      <c r="R562" t="inlineStr">
        <is>
          <t xml:space="preserve">E  </t>
        </is>
      </c>
      <c r="S562" t="n">
        <v>8</v>
      </c>
      <c r="T562" t="n">
        <v>8</v>
      </c>
      <c r="U562" t="inlineStr">
        <is>
          <t>1999-11-08</t>
        </is>
      </c>
      <c r="V562" t="inlineStr">
        <is>
          <t>1999-11-08</t>
        </is>
      </c>
      <c r="W562" t="inlineStr">
        <is>
          <t>1991-02-01</t>
        </is>
      </c>
      <c r="X562" t="inlineStr">
        <is>
          <t>1991-02-01</t>
        </is>
      </c>
      <c r="Y562" t="n">
        <v>671</v>
      </c>
      <c r="Z562" t="n">
        <v>556</v>
      </c>
      <c r="AA562" t="n">
        <v>559</v>
      </c>
      <c r="AB562" t="n">
        <v>6</v>
      </c>
      <c r="AC562" t="n">
        <v>6</v>
      </c>
      <c r="AD562" t="n">
        <v>27</v>
      </c>
      <c r="AE562" t="n">
        <v>27</v>
      </c>
      <c r="AF562" t="n">
        <v>10</v>
      </c>
      <c r="AG562" t="n">
        <v>10</v>
      </c>
      <c r="AH562" t="n">
        <v>7</v>
      </c>
      <c r="AI562" t="n">
        <v>7</v>
      </c>
      <c r="AJ562" t="n">
        <v>14</v>
      </c>
      <c r="AK562" t="n">
        <v>14</v>
      </c>
      <c r="AL562" t="n">
        <v>5</v>
      </c>
      <c r="AM562" t="n">
        <v>5</v>
      </c>
      <c r="AN562" t="n">
        <v>0</v>
      </c>
      <c r="AO562" t="n">
        <v>0</v>
      </c>
      <c r="AP562" t="inlineStr">
        <is>
          <t>No</t>
        </is>
      </c>
      <c r="AQ562" t="inlineStr">
        <is>
          <t>Yes</t>
        </is>
      </c>
      <c r="AR562">
        <f>HYPERLINK("http://catalog.hathitrust.org/Record/000295076","HathiTrust Record")</f>
        <v/>
      </c>
      <c r="AS562">
        <f>HYPERLINK("https://creighton-primo.hosted.exlibrisgroup.com/primo-explore/search?tab=default_tab&amp;search_scope=EVERYTHING&amp;vid=01CRU&amp;lang=en_US&amp;offset=0&amp;query=any,contains,991004377359702656","Catalog Record")</f>
        <v/>
      </c>
      <c r="AT562">
        <f>HYPERLINK("http://www.worldcat.org/oclc/3205616","WorldCat Record")</f>
        <v/>
      </c>
      <c r="AU562" t="inlineStr">
        <is>
          <t>292401512:eng</t>
        </is>
      </c>
      <c r="AV562" t="inlineStr">
        <is>
          <t>3205616</t>
        </is>
      </c>
      <c r="AW562" t="inlineStr">
        <is>
          <t>991004377359702656</t>
        </is>
      </c>
      <c r="AX562" t="inlineStr">
        <is>
          <t>991004377359702656</t>
        </is>
      </c>
      <c r="AY562" t="inlineStr">
        <is>
          <t>2269227570002656</t>
        </is>
      </c>
      <c r="AZ562" t="inlineStr">
        <is>
          <t>BOOK</t>
        </is>
      </c>
      <c r="BB562" t="inlineStr">
        <is>
          <t>9780801820076</t>
        </is>
      </c>
      <c r="BC562" t="inlineStr">
        <is>
          <t>32285000481050</t>
        </is>
      </c>
      <c r="BD562" t="inlineStr">
        <is>
          <t>893506779</t>
        </is>
      </c>
    </row>
    <row r="563">
      <c r="A563" t="inlineStr">
        <is>
          <t>No</t>
        </is>
      </c>
      <c r="B563" t="inlineStr">
        <is>
          <t>E183.8.C5 S89 2000</t>
        </is>
      </c>
      <c r="C563" t="inlineStr">
        <is>
          <t>0                      E  0183800C  5                  S  89          2000</t>
        </is>
      </c>
      <c r="D563" t="inlineStr">
        <is>
          <t>Chinese policy priorities and their implications for the United States / Robert G. Sutter.</t>
        </is>
      </c>
      <c r="F563" t="inlineStr">
        <is>
          <t>No</t>
        </is>
      </c>
      <c r="G563" t="inlineStr">
        <is>
          <t>1</t>
        </is>
      </c>
      <c r="H563" t="inlineStr">
        <is>
          <t>No</t>
        </is>
      </c>
      <c r="I563" t="inlineStr">
        <is>
          <t>No</t>
        </is>
      </c>
      <c r="J563" t="inlineStr">
        <is>
          <t>0</t>
        </is>
      </c>
      <c r="K563" t="inlineStr">
        <is>
          <t>Sutter, Robert G.</t>
        </is>
      </c>
      <c r="L563" t="inlineStr">
        <is>
          <t>Lanham, Md. : Rowman &amp; Littlefield Publishers, c2000.</t>
        </is>
      </c>
      <c r="M563" t="inlineStr">
        <is>
          <t>2000</t>
        </is>
      </c>
      <c r="O563" t="inlineStr">
        <is>
          <t>eng</t>
        </is>
      </c>
      <c r="P563" t="inlineStr">
        <is>
          <t>mdu</t>
        </is>
      </c>
      <c r="R563" t="inlineStr">
        <is>
          <t xml:space="preserve">E  </t>
        </is>
      </c>
      <c r="S563" t="n">
        <v>1</v>
      </c>
      <c r="T563" t="n">
        <v>1</v>
      </c>
      <c r="U563" t="inlineStr">
        <is>
          <t>2001-01-08</t>
        </is>
      </c>
      <c r="V563" t="inlineStr">
        <is>
          <t>2001-01-08</t>
        </is>
      </c>
      <c r="W563" t="inlineStr">
        <is>
          <t>2001-01-08</t>
        </is>
      </c>
      <c r="X563" t="inlineStr">
        <is>
          <t>2001-01-08</t>
        </is>
      </c>
      <c r="Y563" t="n">
        <v>397</v>
      </c>
      <c r="Z563" t="n">
        <v>339</v>
      </c>
      <c r="AA563" t="n">
        <v>347</v>
      </c>
      <c r="AB563" t="n">
        <v>5</v>
      </c>
      <c r="AC563" t="n">
        <v>5</v>
      </c>
      <c r="AD563" t="n">
        <v>18</v>
      </c>
      <c r="AE563" t="n">
        <v>18</v>
      </c>
      <c r="AF563" t="n">
        <v>6</v>
      </c>
      <c r="AG563" t="n">
        <v>6</v>
      </c>
      <c r="AH563" t="n">
        <v>6</v>
      </c>
      <c r="AI563" t="n">
        <v>6</v>
      </c>
      <c r="AJ563" t="n">
        <v>7</v>
      </c>
      <c r="AK563" t="n">
        <v>7</v>
      </c>
      <c r="AL563" t="n">
        <v>4</v>
      </c>
      <c r="AM563" t="n">
        <v>4</v>
      </c>
      <c r="AN563" t="n">
        <v>0</v>
      </c>
      <c r="AO563" t="n">
        <v>0</v>
      </c>
      <c r="AP563" t="inlineStr">
        <is>
          <t>No</t>
        </is>
      </c>
      <c r="AQ563" t="inlineStr">
        <is>
          <t>Yes</t>
        </is>
      </c>
      <c r="AR563">
        <f>HYPERLINK("http://catalog.hathitrust.org/Record/004076725","HathiTrust Record")</f>
        <v/>
      </c>
      <c r="AS563">
        <f>HYPERLINK("https://creighton-primo.hosted.exlibrisgroup.com/primo-explore/search?tab=default_tab&amp;search_scope=EVERYTHING&amp;vid=01CRU&amp;lang=en_US&amp;offset=0&amp;query=any,contains,991003335039702656","Catalog Record")</f>
        <v/>
      </c>
      <c r="AT563">
        <f>HYPERLINK("http://www.worldcat.org/oclc/42393539","WorldCat Record")</f>
        <v/>
      </c>
      <c r="AU563" t="inlineStr">
        <is>
          <t>5218438115:eng</t>
        </is>
      </c>
      <c r="AV563" t="inlineStr">
        <is>
          <t>42393539</t>
        </is>
      </c>
      <c r="AW563" t="inlineStr">
        <is>
          <t>991003335039702656</t>
        </is>
      </c>
      <c r="AX563" t="inlineStr">
        <is>
          <t>991003335039702656</t>
        </is>
      </c>
      <c r="AY563" t="inlineStr">
        <is>
          <t>2269181090002656</t>
        </is>
      </c>
      <c r="AZ563" t="inlineStr">
        <is>
          <t>BOOK</t>
        </is>
      </c>
      <c r="BB563" t="inlineStr">
        <is>
          <t>9780847698523</t>
        </is>
      </c>
      <c r="BC563" t="inlineStr">
        <is>
          <t>32285004280268</t>
        </is>
      </c>
      <c r="BD563" t="inlineStr">
        <is>
          <t>893805682</t>
        </is>
      </c>
    </row>
    <row r="564">
      <c r="A564" t="inlineStr">
        <is>
          <t>No</t>
        </is>
      </c>
      <c r="B564" t="inlineStr">
        <is>
          <t>E183.8.C5 T286 1992</t>
        </is>
      </c>
      <c r="C564" t="inlineStr">
        <is>
          <t>0                      E  0183800C  5                  T  286         1992</t>
        </is>
      </c>
      <c r="D564" t="inlineStr">
        <is>
          <t>The making of U.S. China policy : from normalization to the post-cold war era / Tan Qingshan.</t>
        </is>
      </c>
      <c r="F564" t="inlineStr">
        <is>
          <t>No</t>
        </is>
      </c>
      <c r="G564" t="inlineStr">
        <is>
          <t>1</t>
        </is>
      </c>
      <c r="H564" t="inlineStr">
        <is>
          <t>No</t>
        </is>
      </c>
      <c r="I564" t="inlineStr">
        <is>
          <t>No</t>
        </is>
      </c>
      <c r="J564" t="inlineStr">
        <is>
          <t>0</t>
        </is>
      </c>
      <c r="K564" t="inlineStr">
        <is>
          <t>Tan, Qingshan, 1957-</t>
        </is>
      </c>
      <c r="L564" t="inlineStr">
        <is>
          <t>Boulder, Colo. : Lynne Rienner Publishers, 1992.</t>
        </is>
      </c>
      <c r="M564" t="inlineStr">
        <is>
          <t>1992</t>
        </is>
      </c>
      <c r="O564" t="inlineStr">
        <is>
          <t>eng</t>
        </is>
      </c>
      <c r="P564" t="inlineStr">
        <is>
          <t>cou</t>
        </is>
      </c>
      <c r="R564" t="inlineStr">
        <is>
          <t xml:space="preserve">E  </t>
        </is>
      </c>
      <c r="S564" t="n">
        <v>11</v>
      </c>
      <c r="T564" t="n">
        <v>11</v>
      </c>
      <c r="U564" t="inlineStr">
        <is>
          <t>1999-09-02</t>
        </is>
      </c>
      <c r="V564" t="inlineStr">
        <is>
          <t>1999-09-02</t>
        </is>
      </c>
      <c r="W564" t="inlineStr">
        <is>
          <t>1995-05-31</t>
        </is>
      </c>
      <c r="X564" t="inlineStr">
        <is>
          <t>1995-05-31</t>
        </is>
      </c>
      <c r="Y564" t="n">
        <v>446</v>
      </c>
      <c r="Z564" t="n">
        <v>350</v>
      </c>
      <c r="AA564" t="n">
        <v>354</v>
      </c>
      <c r="AB564" t="n">
        <v>3</v>
      </c>
      <c r="AC564" t="n">
        <v>3</v>
      </c>
      <c r="AD564" t="n">
        <v>21</v>
      </c>
      <c r="AE564" t="n">
        <v>21</v>
      </c>
      <c r="AF564" t="n">
        <v>6</v>
      </c>
      <c r="AG564" t="n">
        <v>6</v>
      </c>
      <c r="AH564" t="n">
        <v>7</v>
      </c>
      <c r="AI564" t="n">
        <v>7</v>
      </c>
      <c r="AJ564" t="n">
        <v>11</v>
      </c>
      <c r="AK564" t="n">
        <v>11</v>
      </c>
      <c r="AL564" t="n">
        <v>2</v>
      </c>
      <c r="AM564" t="n">
        <v>2</v>
      </c>
      <c r="AN564" t="n">
        <v>0</v>
      </c>
      <c r="AO564" t="n">
        <v>0</v>
      </c>
      <c r="AP564" t="inlineStr">
        <is>
          <t>No</t>
        </is>
      </c>
      <c r="AQ564" t="inlineStr">
        <is>
          <t>No</t>
        </is>
      </c>
      <c r="AS564">
        <f>HYPERLINK("https://creighton-primo.hosted.exlibrisgroup.com/primo-explore/search?tab=default_tab&amp;search_scope=EVERYTHING&amp;vid=01CRU&amp;lang=en_US&amp;offset=0&amp;query=any,contains,991002020129702656","Catalog Record")</f>
        <v/>
      </c>
      <c r="AT564">
        <f>HYPERLINK("http://www.worldcat.org/oclc/25706443","WorldCat Record")</f>
        <v/>
      </c>
      <c r="AU564" t="inlineStr">
        <is>
          <t>836894838:eng</t>
        </is>
      </c>
      <c r="AV564" t="inlineStr">
        <is>
          <t>25706443</t>
        </is>
      </c>
      <c r="AW564" t="inlineStr">
        <is>
          <t>991002020129702656</t>
        </is>
      </c>
      <c r="AX564" t="inlineStr">
        <is>
          <t>991002020129702656</t>
        </is>
      </c>
      <c r="AY564" t="inlineStr">
        <is>
          <t>2263602810002656</t>
        </is>
      </c>
      <c r="AZ564" t="inlineStr">
        <is>
          <t>BOOK</t>
        </is>
      </c>
      <c r="BB564" t="inlineStr">
        <is>
          <t>9781555873141</t>
        </is>
      </c>
      <c r="BC564" t="inlineStr">
        <is>
          <t>32285002048725</t>
        </is>
      </c>
      <c r="BD564" t="inlineStr">
        <is>
          <t>893609369</t>
        </is>
      </c>
    </row>
    <row r="565">
      <c r="A565" t="inlineStr">
        <is>
          <t>No</t>
        </is>
      </c>
      <c r="B565" t="inlineStr">
        <is>
          <t>E183.8.C5 T836 1983</t>
        </is>
      </c>
      <c r="C565" t="inlineStr">
        <is>
          <t>0                      E  0183800C  5                  T  836         1983</t>
        </is>
      </c>
      <c r="D565" t="inlineStr">
        <is>
          <t>Patterns in the dust : Chinese-American relations and the recognition controversy, 1949-1950 / Nancy Bernkopf Tucker.</t>
        </is>
      </c>
      <c r="F565" t="inlineStr">
        <is>
          <t>No</t>
        </is>
      </c>
      <c r="G565" t="inlineStr">
        <is>
          <t>1</t>
        </is>
      </c>
      <c r="H565" t="inlineStr">
        <is>
          <t>No</t>
        </is>
      </c>
      <c r="I565" t="inlineStr">
        <is>
          <t>No</t>
        </is>
      </c>
      <c r="J565" t="inlineStr">
        <is>
          <t>0</t>
        </is>
      </c>
      <c r="K565" t="inlineStr">
        <is>
          <t>Tucker, Nancy Bernkopf.</t>
        </is>
      </c>
      <c r="L565" t="inlineStr">
        <is>
          <t>New York : Columbia University Press, 1983.</t>
        </is>
      </c>
      <c r="M565" t="inlineStr">
        <is>
          <t>1983</t>
        </is>
      </c>
      <c r="O565" t="inlineStr">
        <is>
          <t>eng</t>
        </is>
      </c>
      <c r="P565" t="inlineStr">
        <is>
          <t>nyu</t>
        </is>
      </c>
      <c r="Q565" t="inlineStr">
        <is>
          <t>Contemporary American history series</t>
        </is>
      </c>
      <c r="R565" t="inlineStr">
        <is>
          <t xml:space="preserve">E  </t>
        </is>
      </c>
      <c r="S565" t="n">
        <v>3</v>
      </c>
      <c r="T565" t="n">
        <v>3</v>
      </c>
      <c r="U565" t="inlineStr">
        <is>
          <t>1996-02-27</t>
        </is>
      </c>
      <c r="V565" t="inlineStr">
        <is>
          <t>1996-02-27</t>
        </is>
      </c>
      <c r="W565" t="inlineStr">
        <is>
          <t>1991-02-01</t>
        </is>
      </c>
      <c r="X565" t="inlineStr">
        <is>
          <t>1991-02-01</t>
        </is>
      </c>
      <c r="Y565" t="n">
        <v>594</v>
      </c>
      <c r="Z565" t="n">
        <v>484</v>
      </c>
      <c r="AA565" t="n">
        <v>649</v>
      </c>
      <c r="AB565" t="n">
        <v>3</v>
      </c>
      <c r="AC565" t="n">
        <v>3</v>
      </c>
      <c r="AD565" t="n">
        <v>30</v>
      </c>
      <c r="AE565" t="n">
        <v>31</v>
      </c>
      <c r="AF565" t="n">
        <v>15</v>
      </c>
      <c r="AG565" t="n">
        <v>16</v>
      </c>
      <c r="AH565" t="n">
        <v>8</v>
      </c>
      <c r="AI565" t="n">
        <v>8</v>
      </c>
      <c r="AJ565" t="n">
        <v>15</v>
      </c>
      <c r="AK565" t="n">
        <v>15</v>
      </c>
      <c r="AL565" t="n">
        <v>2</v>
      </c>
      <c r="AM565" t="n">
        <v>2</v>
      </c>
      <c r="AN565" t="n">
        <v>0</v>
      </c>
      <c r="AO565" t="n">
        <v>0</v>
      </c>
      <c r="AP565" t="inlineStr">
        <is>
          <t>No</t>
        </is>
      </c>
      <c r="AQ565" t="inlineStr">
        <is>
          <t>No</t>
        </is>
      </c>
      <c r="AS565">
        <f>HYPERLINK("https://creighton-primo.hosted.exlibrisgroup.com/primo-explore/search?tab=default_tab&amp;search_scope=EVERYTHING&amp;vid=01CRU&amp;lang=en_US&amp;offset=0&amp;query=any,contains,991000066279702656","Catalog Record")</f>
        <v/>
      </c>
      <c r="AT565">
        <f>HYPERLINK("http://www.worldcat.org/oclc/8763813","WorldCat Record")</f>
        <v/>
      </c>
      <c r="AU565" t="inlineStr">
        <is>
          <t>991283:eng</t>
        </is>
      </c>
      <c r="AV565" t="inlineStr">
        <is>
          <t>8763813</t>
        </is>
      </c>
      <c r="AW565" t="inlineStr">
        <is>
          <t>991000066279702656</t>
        </is>
      </c>
      <c r="AX565" t="inlineStr">
        <is>
          <t>991000066279702656</t>
        </is>
      </c>
      <c r="AY565" t="inlineStr">
        <is>
          <t>2265507020002656</t>
        </is>
      </c>
      <c r="AZ565" t="inlineStr">
        <is>
          <t>BOOK</t>
        </is>
      </c>
      <c r="BB565" t="inlineStr">
        <is>
          <t>9780231053631</t>
        </is>
      </c>
      <c r="BC565" t="inlineStr">
        <is>
          <t>32285000481068</t>
        </is>
      </c>
      <c r="BD565" t="inlineStr">
        <is>
          <t>893333177</t>
        </is>
      </c>
    </row>
    <row r="566">
      <c r="A566" t="inlineStr">
        <is>
          <t>No</t>
        </is>
      </c>
      <c r="B566" t="inlineStr">
        <is>
          <t>E183.8.C5 Y56 1964-72</t>
        </is>
      </c>
      <c r="C566" t="inlineStr">
        <is>
          <t>0                      E  0183800C  5                  Y  56          1964                  -72</t>
        </is>
      </c>
      <c r="D566" t="inlineStr">
        <is>
          <t>China &amp; the U.S., 1964-72 / edited by Kwan Ha Yim.</t>
        </is>
      </c>
      <c r="F566" t="inlineStr">
        <is>
          <t>No</t>
        </is>
      </c>
      <c r="G566" t="inlineStr">
        <is>
          <t>1</t>
        </is>
      </c>
      <c r="H566" t="inlineStr">
        <is>
          <t>No</t>
        </is>
      </c>
      <c r="I566" t="inlineStr">
        <is>
          <t>No</t>
        </is>
      </c>
      <c r="J566" t="inlineStr">
        <is>
          <t>0</t>
        </is>
      </c>
      <c r="K566" t="inlineStr">
        <is>
          <t>Yim, Kwan Ha.</t>
        </is>
      </c>
      <c r="L566" t="inlineStr">
        <is>
          <t>New York : Facts on File, c1975.</t>
        </is>
      </c>
      <c r="M566" t="inlineStr">
        <is>
          <t>1975</t>
        </is>
      </c>
      <c r="O566" t="inlineStr">
        <is>
          <t>eng</t>
        </is>
      </c>
      <c r="P566" t="inlineStr">
        <is>
          <t>nyu</t>
        </is>
      </c>
      <c r="Q566" t="inlineStr">
        <is>
          <t>A Facts on File publication</t>
        </is>
      </c>
      <c r="R566" t="inlineStr">
        <is>
          <t xml:space="preserve">E  </t>
        </is>
      </c>
      <c r="S566" t="n">
        <v>6</v>
      </c>
      <c r="T566" t="n">
        <v>6</v>
      </c>
      <c r="U566" t="inlineStr">
        <is>
          <t>1999-10-25</t>
        </is>
      </c>
      <c r="V566" t="inlineStr">
        <is>
          <t>1999-10-25</t>
        </is>
      </c>
      <c r="W566" t="inlineStr">
        <is>
          <t>1993-05-10</t>
        </is>
      </c>
      <c r="X566" t="inlineStr">
        <is>
          <t>1993-05-10</t>
        </is>
      </c>
      <c r="Y566" t="n">
        <v>347</v>
      </c>
      <c r="Z566" t="n">
        <v>305</v>
      </c>
      <c r="AA566" t="n">
        <v>315</v>
      </c>
      <c r="AB566" t="n">
        <v>3</v>
      </c>
      <c r="AC566" t="n">
        <v>3</v>
      </c>
      <c r="AD566" t="n">
        <v>9</v>
      </c>
      <c r="AE566" t="n">
        <v>9</v>
      </c>
      <c r="AF566" t="n">
        <v>5</v>
      </c>
      <c r="AG566" t="n">
        <v>5</v>
      </c>
      <c r="AH566" t="n">
        <v>2</v>
      </c>
      <c r="AI566" t="n">
        <v>2</v>
      </c>
      <c r="AJ566" t="n">
        <v>4</v>
      </c>
      <c r="AK566" t="n">
        <v>4</v>
      </c>
      <c r="AL566" t="n">
        <v>1</v>
      </c>
      <c r="AM566" t="n">
        <v>1</v>
      </c>
      <c r="AN566" t="n">
        <v>0</v>
      </c>
      <c r="AO566" t="n">
        <v>0</v>
      </c>
      <c r="AP566" t="inlineStr">
        <is>
          <t>No</t>
        </is>
      </c>
      <c r="AQ566" t="inlineStr">
        <is>
          <t>Yes</t>
        </is>
      </c>
      <c r="AR566">
        <f>HYPERLINK("http://catalog.hathitrust.org/Record/000028927","HathiTrust Record")</f>
        <v/>
      </c>
      <c r="AS566">
        <f>HYPERLINK("https://creighton-primo.hosted.exlibrisgroup.com/primo-explore/search?tab=default_tab&amp;search_scope=EVERYTHING&amp;vid=01CRU&amp;lang=en_US&amp;offset=0&amp;query=any,contains,991003764239702656","Catalog Record")</f>
        <v/>
      </c>
      <c r="AT566">
        <f>HYPERLINK("http://www.worldcat.org/oclc/1455570","WorldCat Record")</f>
        <v/>
      </c>
      <c r="AU566" t="inlineStr">
        <is>
          <t>2304562:eng</t>
        </is>
      </c>
      <c r="AV566" t="inlineStr">
        <is>
          <t>1455570</t>
        </is>
      </c>
      <c r="AW566" t="inlineStr">
        <is>
          <t>991003764239702656</t>
        </is>
      </c>
      <c r="AX566" t="inlineStr">
        <is>
          <t>991003764239702656</t>
        </is>
      </c>
      <c r="AY566" t="inlineStr">
        <is>
          <t>2258611140002656</t>
        </is>
      </c>
      <c r="AZ566" t="inlineStr">
        <is>
          <t>BOOK</t>
        </is>
      </c>
      <c r="BB566" t="inlineStr">
        <is>
          <t>9780871962072</t>
        </is>
      </c>
      <c r="BC566" t="inlineStr">
        <is>
          <t>32285001652691</t>
        </is>
      </c>
      <c r="BD566" t="inlineStr">
        <is>
          <t>893416758</t>
        </is>
      </c>
    </row>
    <row r="567">
      <c r="A567" t="inlineStr">
        <is>
          <t>No</t>
        </is>
      </c>
      <c r="B567" t="inlineStr">
        <is>
          <t>E183.8.C6 H65 1997</t>
        </is>
      </c>
      <c r="C567" t="inlineStr">
        <is>
          <t>0                      E  0183800C  6                  H  65          1997</t>
        </is>
      </c>
      <c r="D567" t="inlineStr">
        <is>
          <t>Crossing the divide : an insider's account of normalization of U.S.--China relations / John H. Holdridge.</t>
        </is>
      </c>
      <c r="F567" t="inlineStr">
        <is>
          <t>No</t>
        </is>
      </c>
      <c r="G567" t="inlineStr">
        <is>
          <t>1</t>
        </is>
      </c>
      <c r="H567" t="inlineStr">
        <is>
          <t>No</t>
        </is>
      </c>
      <c r="I567" t="inlineStr">
        <is>
          <t>No</t>
        </is>
      </c>
      <c r="J567" t="inlineStr">
        <is>
          <t>0</t>
        </is>
      </c>
      <c r="K567" t="inlineStr">
        <is>
          <t>Holdridge, John H., 1924-</t>
        </is>
      </c>
      <c r="L567" t="inlineStr">
        <is>
          <t>Lanham, Md. : Rowman &amp; Littlefield Publishers, c1997.</t>
        </is>
      </c>
      <c r="M567" t="inlineStr">
        <is>
          <t>1997</t>
        </is>
      </c>
      <c r="O567" t="inlineStr">
        <is>
          <t>eng</t>
        </is>
      </c>
      <c r="P567" t="inlineStr">
        <is>
          <t>mdu</t>
        </is>
      </c>
      <c r="Q567" t="inlineStr">
        <is>
          <t>The ADST-DACOR diplomats and diplomacy series</t>
        </is>
      </c>
      <c r="R567" t="inlineStr">
        <is>
          <t xml:space="preserve">E  </t>
        </is>
      </c>
      <c r="S567" t="n">
        <v>5</v>
      </c>
      <c r="T567" t="n">
        <v>5</v>
      </c>
      <c r="U567" t="inlineStr">
        <is>
          <t>1999-10-25</t>
        </is>
      </c>
      <c r="V567" t="inlineStr">
        <is>
          <t>1999-10-25</t>
        </is>
      </c>
      <c r="W567" t="inlineStr">
        <is>
          <t>1998-05-11</t>
        </is>
      </c>
      <c r="X567" t="inlineStr">
        <is>
          <t>1998-05-11</t>
        </is>
      </c>
      <c r="Y567" t="n">
        <v>341</v>
      </c>
      <c r="Z567" t="n">
        <v>281</v>
      </c>
      <c r="AA567" t="n">
        <v>284</v>
      </c>
      <c r="AB567" t="n">
        <v>3</v>
      </c>
      <c r="AC567" t="n">
        <v>3</v>
      </c>
      <c r="AD567" t="n">
        <v>14</v>
      </c>
      <c r="AE567" t="n">
        <v>14</v>
      </c>
      <c r="AF567" t="n">
        <v>2</v>
      </c>
      <c r="AG567" t="n">
        <v>2</v>
      </c>
      <c r="AH567" t="n">
        <v>6</v>
      </c>
      <c r="AI567" t="n">
        <v>6</v>
      </c>
      <c r="AJ567" t="n">
        <v>7</v>
      </c>
      <c r="AK567" t="n">
        <v>7</v>
      </c>
      <c r="AL567" t="n">
        <v>2</v>
      </c>
      <c r="AM567" t="n">
        <v>2</v>
      </c>
      <c r="AN567" t="n">
        <v>0</v>
      </c>
      <c r="AO567" t="n">
        <v>0</v>
      </c>
      <c r="AP567" t="inlineStr">
        <is>
          <t>No</t>
        </is>
      </c>
      <c r="AQ567" t="inlineStr">
        <is>
          <t>Yes</t>
        </is>
      </c>
      <c r="AR567">
        <f>HYPERLINK("http://catalog.hathitrust.org/Record/003159397","HathiTrust Record")</f>
        <v/>
      </c>
      <c r="AS567">
        <f>HYPERLINK("https://creighton-primo.hosted.exlibrisgroup.com/primo-explore/search?tab=default_tab&amp;search_scope=EVERYTHING&amp;vid=01CRU&amp;lang=en_US&amp;offset=0&amp;query=any,contains,991002751999702656","Catalog Record")</f>
        <v/>
      </c>
      <c r="AT567">
        <f>HYPERLINK("http://www.worldcat.org/oclc/36112179","WorldCat Record")</f>
        <v/>
      </c>
      <c r="AU567" t="inlineStr">
        <is>
          <t>634539:eng</t>
        </is>
      </c>
      <c r="AV567" t="inlineStr">
        <is>
          <t>36112179</t>
        </is>
      </c>
      <c r="AW567" t="inlineStr">
        <is>
          <t>991002751999702656</t>
        </is>
      </c>
      <c r="AX567" t="inlineStr">
        <is>
          <t>991002751999702656</t>
        </is>
      </c>
      <c r="AY567" t="inlineStr">
        <is>
          <t>2268126970002656</t>
        </is>
      </c>
      <c r="AZ567" t="inlineStr">
        <is>
          <t>BOOK</t>
        </is>
      </c>
      <c r="BB567" t="inlineStr">
        <is>
          <t>9780847685042</t>
        </is>
      </c>
      <c r="BC567" t="inlineStr">
        <is>
          <t>32285003407326</t>
        </is>
      </c>
      <c r="BD567" t="inlineStr">
        <is>
          <t>893798984</t>
        </is>
      </c>
    </row>
    <row r="568">
      <c r="A568" t="inlineStr">
        <is>
          <t>No</t>
        </is>
      </c>
      <c r="B568" t="inlineStr">
        <is>
          <t>E183.8.C6 L37 1989</t>
        </is>
      </c>
      <c r="C568" t="inlineStr">
        <is>
          <t>0                      E  0183800C  6                  L  37          1989</t>
        </is>
      </c>
      <c r="D568" t="inlineStr">
        <is>
          <t>Policy in evolution : the U.S. role in China's reunification / Martin L. Lasater.</t>
        </is>
      </c>
      <c r="F568" t="inlineStr">
        <is>
          <t>No</t>
        </is>
      </c>
      <c r="G568" t="inlineStr">
        <is>
          <t>1</t>
        </is>
      </c>
      <c r="H568" t="inlineStr">
        <is>
          <t>No</t>
        </is>
      </c>
      <c r="I568" t="inlineStr">
        <is>
          <t>No</t>
        </is>
      </c>
      <c r="J568" t="inlineStr">
        <is>
          <t>0</t>
        </is>
      </c>
      <c r="K568" t="inlineStr">
        <is>
          <t>Lasater, Martin L.</t>
        </is>
      </c>
      <c r="L568" t="inlineStr">
        <is>
          <t>Boulder : Westview Press, 1989.</t>
        </is>
      </c>
      <c r="M568" t="inlineStr">
        <is>
          <t>1989</t>
        </is>
      </c>
      <c r="O568" t="inlineStr">
        <is>
          <t>eng</t>
        </is>
      </c>
      <c r="P568" t="inlineStr">
        <is>
          <t>cou</t>
        </is>
      </c>
      <c r="Q568" t="inlineStr">
        <is>
          <t>Westview special studies on China and East Asia</t>
        </is>
      </c>
      <c r="R568" t="inlineStr">
        <is>
          <t xml:space="preserve">E  </t>
        </is>
      </c>
      <c r="S568" t="n">
        <v>8</v>
      </c>
      <c r="T568" t="n">
        <v>8</v>
      </c>
      <c r="U568" t="inlineStr">
        <is>
          <t>1999-10-25</t>
        </is>
      </c>
      <c r="V568" t="inlineStr">
        <is>
          <t>1999-10-25</t>
        </is>
      </c>
      <c r="W568" t="inlineStr">
        <is>
          <t>1990-05-03</t>
        </is>
      </c>
      <c r="X568" t="inlineStr">
        <is>
          <t>1990-05-03</t>
        </is>
      </c>
      <c r="Y568" t="n">
        <v>340</v>
      </c>
      <c r="Z568" t="n">
        <v>277</v>
      </c>
      <c r="AA568" t="n">
        <v>300</v>
      </c>
      <c r="AB568" t="n">
        <v>3</v>
      </c>
      <c r="AC568" t="n">
        <v>3</v>
      </c>
      <c r="AD568" t="n">
        <v>12</v>
      </c>
      <c r="AE568" t="n">
        <v>12</v>
      </c>
      <c r="AF568" t="n">
        <v>3</v>
      </c>
      <c r="AG568" t="n">
        <v>3</v>
      </c>
      <c r="AH568" t="n">
        <v>5</v>
      </c>
      <c r="AI568" t="n">
        <v>5</v>
      </c>
      <c r="AJ568" t="n">
        <v>6</v>
      </c>
      <c r="AK568" t="n">
        <v>6</v>
      </c>
      <c r="AL568" t="n">
        <v>2</v>
      </c>
      <c r="AM568" t="n">
        <v>2</v>
      </c>
      <c r="AN568" t="n">
        <v>0</v>
      </c>
      <c r="AO568" t="n">
        <v>0</v>
      </c>
      <c r="AP568" t="inlineStr">
        <is>
          <t>No</t>
        </is>
      </c>
      <c r="AQ568" t="inlineStr">
        <is>
          <t>Yes</t>
        </is>
      </c>
      <c r="AR568">
        <f>HYPERLINK("http://catalog.hathitrust.org/Record/001097068","HathiTrust Record")</f>
        <v/>
      </c>
      <c r="AS568">
        <f>HYPERLINK("https://creighton-primo.hosted.exlibrisgroup.com/primo-explore/search?tab=default_tab&amp;search_scope=EVERYTHING&amp;vid=01CRU&amp;lang=en_US&amp;offset=0&amp;query=any,contains,991001267049702656","Catalog Record")</f>
        <v/>
      </c>
      <c r="AT568">
        <f>HYPERLINK("http://www.worldcat.org/oclc/17807438","WorldCat Record")</f>
        <v/>
      </c>
      <c r="AU568" t="inlineStr">
        <is>
          <t>289939456:eng</t>
        </is>
      </c>
      <c r="AV568" t="inlineStr">
        <is>
          <t>17807438</t>
        </is>
      </c>
      <c r="AW568" t="inlineStr">
        <is>
          <t>991001267049702656</t>
        </is>
      </c>
      <c r="AX568" t="inlineStr">
        <is>
          <t>991001267049702656</t>
        </is>
      </c>
      <c r="AY568" t="inlineStr">
        <is>
          <t>2266953850002656</t>
        </is>
      </c>
      <c r="AZ568" t="inlineStr">
        <is>
          <t>BOOK</t>
        </is>
      </c>
      <c r="BC568" t="inlineStr">
        <is>
          <t>32285000148402</t>
        </is>
      </c>
      <c r="BD568" t="inlineStr">
        <is>
          <t>893791337</t>
        </is>
      </c>
    </row>
    <row r="569">
      <c r="A569" t="inlineStr">
        <is>
          <t>No</t>
        </is>
      </c>
      <c r="B569" t="inlineStr">
        <is>
          <t>E183.8.C7 R35 1992</t>
        </is>
      </c>
      <c r="C569" t="inlineStr">
        <is>
          <t>0                      E  0183800C  7                  R  35          1992</t>
        </is>
      </c>
      <c r="D569" t="inlineStr">
        <is>
          <t>Colombia and the United States : hegemony and interdependence / Stephen J. Randall.</t>
        </is>
      </c>
      <c r="F569" t="inlineStr">
        <is>
          <t>No</t>
        </is>
      </c>
      <c r="G569" t="inlineStr">
        <is>
          <t>1</t>
        </is>
      </c>
      <c r="H569" t="inlineStr">
        <is>
          <t>No</t>
        </is>
      </c>
      <c r="I569" t="inlineStr">
        <is>
          <t>No</t>
        </is>
      </c>
      <c r="J569" t="inlineStr">
        <is>
          <t>0</t>
        </is>
      </c>
      <c r="K569" t="inlineStr">
        <is>
          <t>Randall, Stephen J., 1944-</t>
        </is>
      </c>
      <c r="L569" t="inlineStr">
        <is>
          <t>Athens : University of Georgia Press, c1992.</t>
        </is>
      </c>
      <c r="M569" t="inlineStr">
        <is>
          <t>1992</t>
        </is>
      </c>
      <c r="O569" t="inlineStr">
        <is>
          <t>eng</t>
        </is>
      </c>
      <c r="P569" t="inlineStr">
        <is>
          <t>gau</t>
        </is>
      </c>
      <c r="Q569" t="inlineStr">
        <is>
          <t>The United States and the Americas</t>
        </is>
      </c>
      <c r="R569" t="inlineStr">
        <is>
          <t xml:space="preserve">E  </t>
        </is>
      </c>
      <c r="S569" t="n">
        <v>7</v>
      </c>
      <c r="T569" t="n">
        <v>7</v>
      </c>
      <c r="U569" t="inlineStr">
        <is>
          <t>2003-05-02</t>
        </is>
      </c>
      <c r="V569" t="inlineStr">
        <is>
          <t>2003-05-02</t>
        </is>
      </c>
      <c r="W569" t="inlineStr">
        <is>
          <t>1993-12-10</t>
        </is>
      </c>
      <c r="X569" t="inlineStr">
        <is>
          <t>1993-12-10</t>
        </is>
      </c>
      <c r="Y569" t="n">
        <v>460</v>
      </c>
      <c r="Z569" t="n">
        <v>386</v>
      </c>
      <c r="AA569" t="n">
        <v>386</v>
      </c>
      <c r="AB569" t="n">
        <v>4</v>
      </c>
      <c r="AC569" t="n">
        <v>4</v>
      </c>
      <c r="AD569" t="n">
        <v>24</v>
      </c>
      <c r="AE569" t="n">
        <v>24</v>
      </c>
      <c r="AF569" t="n">
        <v>11</v>
      </c>
      <c r="AG569" t="n">
        <v>11</v>
      </c>
      <c r="AH569" t="n">
        <v>6</v>
      </c>
      <c r="AI569" t="n">
        <v>6</v>
      </c>
      <c r="AJ569" t="n">
        <v>12</v>
      </c>
      <c r="AK569" t="n">
        <v>12</v>
      </c>
      <c r="AL569" t="n">
        <v>3</v>
      </c>
      <c r="AM569" t="n">
        <v>3</v>
      </c>
      <c r="AN569" t="n">
        <v>0</v>
      </c>
      <c r="AO569" t="n">
        <v>0</v>
      </c>
      <c r="AP569" t="inlineStr">
        <is>
          <t>No</t>
        </is>
      </c>
      <c r="AQ569" t="inlineStr">
        <is>
          <t>No</t>
        </is>
      </c>
      <c r="AS569">
        <f>HYPERLINK("https://creighton-primo.hosted.exlibrisgroup.com/primo-explore/search?tab=default_tab&amp;search_scope=EVERYTHING&amp;vid=01CRU&amp;lang=en_US&amp;offset=0&amp;query=any,contains,991005413489702656","Catalog Record")</f>
        <v/>
      </c>
      <c r="AT569">
        <f>HYPERLINK("http://www.worldcat.org/oclc/23690375","WorldCat Record")</f>
        <v/>
      </c>
      <c r="AU569" t="inlineStr">
        <is>
          <t>25718698:eng</t>
        </is>
      </c>
      <c r="AV569" t="inlineStr">
        <is>
          <t>23690375</t>
        </is>
      </c>
      <c r="AW569" t="inlineStr">
        <is>
          <t>991005413489702656</t>
        </is>
      </c>
      <c r="AX569" t="inlineStr">
        <is>
          <t>991005413489702656</t>
        </is>
      </c>
      <c r="AY569" t="inlineStr">
        <is>
          <t>2258229670002656</t>
        </is>
      </c>
      <c r="AZ569" t="inlineStr">
        <is>
          <t>BOOK</t>
        </is>
      </c>
      <c r="BB569" t="inlineStr">
        <is>
          <t>9780820314013</t>
        </is>
      </c>
      <c r="BC569" t="inlineStr">
        <is>
          <t>32285001815173</t>
        </is>
      </c>
      <c r="BD569" t="inlineStr">
        <is>
          <t>893714053</t>
        </is>
      </c>
    </row>
    <row r="570">
      <c r="A570" t="inlineStr">
        <is>
          <t>No</t>
        </is>
      </c>
      <c r="B570" t="inlineStr">
        <is>
          <t>E183.8.C8 L66 1997</t>
        </is>
      </c>
      <c r="C570" t="inlineStr">
        <is>
          <t>0                      E  0183800C  8                  L  66          1997</t>
        </is>
      </c>
      <c r="D570" t="inlineStr">
        <is>
          <t>The sparrow and the hawk : Costa Rica and the United States during the rise of José Figueres / Kyle Longley.</t>
        </is>
      </c>
      <c r="F570" t="inlineStr">
        <is>
          <t>No</t>
        </is>
      </c>
      <c r="G570" t="inlineStr">
        <is>
          <t>1</t>
        </is>
      </c>
      <c r="H570" t="inlineStr">
        <is>
          <t>No</t>
        </is>
      </c>
      <c r="I570" t="inlineStr">
        <is>
          <t>No</t>
        </is>
      </c>
      <c r="J570" t="inlineStr">
        <is>
          <t>0</t>
        </is>
      </c>
      <c r="K570" t="inlineStr">
        <is>
          <t>Longley, Kyle.</t>
        </is>
      </c>
      <c r="L570" t="inlineStr">
        <is>
          <t>Tuscaloosa : University of Alabama Press, c1997.</t>
        </is>
      </c>
      <c r="M570" t="inlineStr">
        <is>
          <t>1997</t>
        </is>
      </c>
      <c r="O570" t="inlineStr">
        <is>
          <t>eng</t>
        </is>
      </c>
      <c r="P570" t="inlineStr">
        <is>
          <t>alu</t>
        </is>
      </c>
      <c r="R570" t="inlineStr">
        <is>
          <t xml:space="preserve">E  </t>
        </is>
      </c>
      <c r="S570" t="n">
        <v>10</v>
      </c>
      <c r="T570" t="n">
        <v>10</v>
      </c>
      <c r="U570" t="inlineStr">
        <is>
          <t>2004-12-03</t>
        </is>
      </c>
      <c r="V570" t="inlineStr">
        <is>
          <t>2004-12-03</t>
        </is>
      </c>
      <c r="W570" t="inlineStr">
        <is>
          <t>1997-04-15</t>
        </is>
      </c>
      <c r="X570" t="inlineStr">
        <is>
          <t>1997-04-15</t>
        </is>
      </c>
      <c r="Y570" t="n">
        <v>373</v>
      </c>
      <c r="Z570" t="n">
        <v>333</v>
      </c>
      <c r="AA570" t="n">
        <v>461</v>
      </c>
      <c r="AB570" t="n">
        <v>2</v>
      </c>
      <c r="AC570" t="n">
        <v>5</v>
      </c>
      <c r="AD570" t="n">
        <v>19</v>
      </c>
      <c r="AE570" t="n">
        <v>25</v>
      </c>
      <c r="AF570" t="n">
        <v>7</v>
      </c>
      <c r="AG570" t="n">
        <v>8</v>
      </c>
      <c r="AH570" t="n">
        <v>5</v>
      </c>
      <c r="AI570" t="n">
        <v>9</v>
      </c>
      <c r="AJ570" t="n">
        <v>11</v>
      </c>
      <c r="AK570" t="n">
        <v>12</v>
      </c>
      <c r="AL570" t="n">
        <v>1</v>
      </c>
      <c r="AM570" t="n">
        <v>3</v>
      </c>
      <c r="AN570" t="n">
        <v>0</v>
      </c>
      <c r="AO570" t="n">
        <v>0</v>
      </c>
      <c r="AP570" t="inlineStr">
        <is>
          <t>No</t>
        </is>
      </c>
      <c r="AQ570" t="inlineStr">
        <is>
          <t>Yes</t>
        </is>
      </c>
      <c r="AR570">
        <f>HYPERLINK("http://catalog.hathitrust.org/Record/003135414","HathiTrust Record")</f>
        <v/>
      </c>
      <c r="AS570">
        <f>HYPERLINK("https://creighton-primo.hosted.exlibrisgroup.com/primo-explore/search?tab=default_tab&amp;search_scope=EVERYTHING&amp;vid=01CRU&amp;lang=en_US&amp;offset=0&amp;query=any,contains,991002652689702656","Catalog Record")</f>
        <v/>
      </c>
      <c r="AT570">
        <f>HYPERLINK("http://www.worldcat.org/oclc/34690926","WorldCat Record")</f>
        <v/>
      </c>
      <c r="AU570" t="inlineStr">
        <is>
          <t>322179649:eng</t>
        </is>
      </c>
      <c r="AV570" t="inlineStr">
        <is>
          <t>34690926</t>
        </is>
      </c>
      <c r="AW570" t="inlineStr">
        <is>
          <t>991002652689702656</t>
        </is>
      </c>
      <c r="AX570" t="inlineStr">
        <is>
          <t>991002652689702656</t>
        </is>
      </c>
      <c r="AY570" t="inlineStr">
        <is>
          <t>2258069870002656</t>
        </is>
      </c>
      <c r="AZ570" t="inlineStr">
        <is>
          <t>BOOK</t>
        </is>
      </c>
      <c r="BB570" t="inlineStr">
        <is>
          <t>9780817308315</t>
        </is>
      </c>
      <c r="BC570" t="inlineStr">
        <is>
          <t>32285002497336</t>
        </is>
      </c>
      <c r="BD570" t="inlineStr">
        <is>
          <t>893716726</t>
        </is>
      </c>
    </row>
    <row r="571">
      <c r="A571" t="inlineStr">
        <is>
          <t>No</t>
        </is>
      </c>
      <c r="B571" t="inlineStr">
        <is>
          <t>E183.8.C9 C82</t>
        </is>
      </c>
      <c r="C571" t="inlineStr">
        <is>
          <t>0                      E  0183800C  9                  C  82</t>
        </is>
      </c>
      <c r="D571" t="inlineStr">
        <is>
          <t>Cuba and the United States : long range perspectives / essays by Henry Wriston [and others] ; John Plank, editor.</t>
        </is>
      </c>
      <c r="F571" t="inlineStr">
        <is>
          <t>No</t>
        </is>
      </c>
      <c r="G571" t="inlineStr">
        <is>
          <t>1</t>
        </is>
      </c>
      <c r="H571" t="inlineStr">
        <is>
          <t>No</t>
        </is>
      </c>
      <c r="I571" t="inlineStr">
        <is>
          <t>No</t>
        </is>
      </c>
      <c r="J571" t="inlineStr">
        <is>
          <t>0</t>
        </is>
      </c>
      <c r="L571" t="inlineStr">
        <is>
          <t>Washington : Brookings Institution, [1967]</t>
        </is>
      </c>
      <c r="M571" t="inlineStr">
        <is>
          <t>1967</t>
        </is>
      </c>
      <c r="O571" t="inlineStr">
        <is>
          <t>eng</t>
        </is>
      </c>
      <c r="P571" t="inlineStr">
        <is>
          <t>dcu</t>
        </is>
      </c>
      <c r="R571" t="inlineStr">
        <is>
          <t xml:space="preserve">E  </t>
        </is>
      </c>
      <c r="S571" t="n">
        <v>4</v>
      </c>
      <c r="T571" t="n">
        <v>4</v>
      </c>
      <c r="U571" t="inlineStr">
        <is>
          <t>1992-11-11</t>
        </is>
      </c>
      <c r="V571" t="inlineStr">
        <is>
          <t>1992-11-11</t>
        </is>
      </c>
      <c r="W571" t="inlineStr">
        <is>
          <t>1990-04-18</t>
        </is>
      </c>
      <c r="X571" t="inlineStr">
        <is>
          <t>1990-04-18</t>
        </is>
      </c>
      <c r="Y571" t="n">
        <v>994</v>
      </c>
      <c r="Z571" t="n">
        <v>894</v>
      </c>
      <c r="AA571" t="n">
        <v>906</v>
      </c>
      <c r="AB571" t="n">
        <v>8</v>
      </c>
      <c r="AC571" t="n">
        <v>8</v>
      </c>
      <c r="AD571" t="n">
        <v>33</v>
      </c>
      <c r="AE571" t="n">
        <v>33</v>
      </c>
      <c r="AF571" t="n">
        <v>10</v>
      </c>
      <c r="AG571" t="n">
        <v>10</v>
      </c>
      <c r="AH571" t="n">
        <v>7</v>
      </c>
      <c r="AI571" t="n">
        <v>7</v>
      </c>
      <c r="AJ571" t="n">
        <v>14</v>
      </c>
      <c r="AK571" t="n">
        <v>14</v>
      </c>
      <c r="AL571" t="n">
        <v>7</v>
      </c>
      <c r="AM571" t="n">
        <v>7</v>
      </c>
      <c r="AN571" t="n">
        <v>0</v>
      </c>
      <c r="AO571" t="n">
        <v>0</v>
      </c>
      <c r="AP571" t="inlineStr">
        <is>
          <t>No</t>
        </is>
      </c>
      <c r="AQ571" t="inlineStr">
        <is>
          <t>Yes</t>
        </is>
      </c>
      <c r="AR571">
        <f>HYPERLINK("http://catalog.hathitrust.org/Record/000334639","HathiTrust Record")</f>
        <v/>
      </c>
      <c r="AS571">
        <f>HYPERLINK("https://creighton-primo.hosted.exlibrisgroup.com/primo-explore/search?tab=default_tab&amp;search_scope=EVERYTHING&amp;vid=01CRU&amp;lang=en_US&amp;offset=0&amp;query=any,contains,991002742199702656","Catalog Record")</f>
        <v/>
      </c>
      <c r="AT571">
        <f>HYPERLINK("http://www.worldcat.org/oclc/421502","WorldCat Record")</f>
        <v/>
      </c>
      <c r="AU571" t="inlineStr">
        <is>
          <t>863355172:eng</t>
        </is>
      </c>
      <c r="AV571" t="inlineStr">
        <is>
          <t>421502</t>
        </is>
      </c>
      <c r="AW571" t="inlineStr">
        <is>
          <t>991002742199702656</t>
        </is>
      </c>
      <c r="AX571" t="inlineStr">
        <is>
          <t>991002742199702656</t>
        </is>
      </c>
      <c r="AY571" t="inlineStr">
        <is>
          <t>2267533340002656</t>
        </is>
      </c>
      <c r="AZ571" t="inlineStr">
        <is>
          <t>BOOK</t>
        </is>
      </c>
      <c r="BC571" t="inlineStr">
        <is>
          <t>32285000118496</t>
        </is>
      </c>
      <c r="BD571" t="inlineStr">
        <is>
          <t>893591710</t>
        </is>
      </c>
    </row>
    <row r="572">
      <c r="A572" t="inlineStr">
        <is>
          <t>No</t>
        </is>
      </c>
      <c r="B572" t="inlineStr">
        <is>
          <t>E183.8.C9 K46 1999</t>
        </is>
      </c>
      <c r="C572" t="inlineStr">
        <is>
          <t>0                      E  0183800C  9                  K  46          1999</t>
        </is>
      </c>
      <c r="D572" t="inlineStr">
        <is>
          <t>The Kennedys and Cuba : the declassified documentary history / edited with commentary by Mark J. White.</t>
        </is>
      </c>
      <c r="F572" t="inlineStr">
        <is>
          <t>No</t>
        </is>
      </c>
      <c r="G572" t="inlineStr">
        <is>
          <t>1</t>
        </is>
      </c>
      <c r="H572" t="inlineStr">
        <is>
          <t>No</t>
        </is>
      </c>
      <c r="I572" t="inlineStr">
        <is>
          <t>Yes</t>
        </is>
      </c>
      <c r="J572" t="inlineStr">
        <is>
          <t>0</t>
        </is>
      </c>
      <c r="L572" t="inlineStr">
        <is>
          <t>Chicago : Ivan R. Dee, 1999.</t>
        </is>
      </c>
      <c r="M572" t="inlineStr">
        <is>
          <t>1999</t>
        </is>
      </c>
      <c r="O572" t="inlineStr">
        <is>
          <t>eng</t>
        </is>
      </c>
      <c r="P572" t="inlineStr">
        <is>
          <t>ilu</t>
        </is>
      </c>
      <c r="R572" t="inlineStr">
        <is>
          <t xml:space="preserve">E  </t>
        </is>
      </c>
      <c r="S572" t="n">
        <v>1</v>
      </c>
      <c r="T572" t="n">
        <v>1</v>
      </c>
      <c r="U572" t="inlineStr">
        <is>
          <t>2004-02-07</t>
        </is>
      </c>
      <c r="V572" t="inlineStr">
        <is>
          <t>2004-02-07</t>
        </is>
      </c>
      <c r="W572" t="inlineStr">
        <is>
          <t>1999-11-09</t>
        </is>
      </c>
      <c r="X572" t="inlineStr">
        <is>
          <t>1999-11-09</t>
        </is>
      </c>
      <c r="Y572" t="n">
        <v>721</v>
      </c>
      <c r="Z572" t="n">
        <v>651</v>
      </c>
      <c r="AA572" t="n">
        <v>736</v>
      </c>
      <c r="AB572" t="n">
        <v>6</v>
      </c>
      <c r="AC572" t="n">
        <v>6</v>
      </c>
      <c r="AD572" t="n">
        <v>33</v>
      </c>
      <c r="AE572" t="n">
        <v>35</v>
      </c>
      <c r="AF572" t="n">
        <v>14</v>
      </c>
      <c r="AG572" t="n">
        <v>16</v>
      </c>
      <c r="AH572" t="n">
        <v>5</v>
      </c>
      <c r="AI572" t="n">
        <v>5</v>
      </c>
      <c r="AJ572" t="n">
        <v>17</v>
      </c>
      <c r="AK572" t="n">
        <v>17</v>
      </c>
      <c r="AL572" t="n">
        <v>5</v>
      </c>
      <c r="AM572" t="n">
        <v>5</v>
      </c>
      <c r="AN572" t="n">
        <v>0</v>
      </c>
      <c r="AO572" t="n">
        <v>0</v>
      </c>
      <c r="AP572" t="inlineStr">
        <is>
          <t>No</t>
        </is>
      </c>
      <c r="AQ572" t="inlineStr">
        <is>
          <t>Yes</t>
        </is>
      </c>
      <c r="AR572">
        <f>HYPERLINK("http://catalog.hathitrust.org/Record/004064868","HathiTrust Record")</f>
        <v/>
      </c>
      <c r="AS572">
        <f>HYPERLINK("https://creighton-primo.hosted.exlibrisgroup.com/primo-explore/search?tab=default_tab&amp;search_scope=EVERYTHING&amp;vid=01CRU&amp;lang=en_US&amp;offset=0&amp;query=any,contains,991003029709702656","Catalog Record")</f>
        <v/>
      </c>
      <c r="AT572">
        <f>HYPERLINK("http://www.worldcat.org/oclc/41476741","WorldCat Record")</f>
        <v/>
      </c>
      <c r="AU572" t="inlineStr">
        <is>
          <t>837004105:eng</t>
        </is>
      </c>
      <c r="AV572" t="inlineStr">
        <is>
          <t>41476741</t>
        </is>
      </c>
      <c r="AW572" t="inlineStr">
        <is>
          <t>991003029709702656</t>
        </is>
      </c>
      <c r="AX572" t="inlineStr">
        <is>
          <t>991003029709702656</t>
        </is>
      </c>
      <c r="AY572" t="inlineStr">
        <is>
          <t>2256041900002656</t>
        </is>
      </c>
      <c r="AZ572" t="inlineStr">
        <is>
          <t>BOOK</t>
        </is>
      </c>
      <c r="BB572" t="inlineStr">
        <is>
          <t>9781566632652</t>
        </is>
      </c>
      <c r="BC572" t="inlineStr">
        <is>
          <t>32285003619664</t>
        </is>
      </c>
      <c r="BD572" t="inlineStr">
        <is>
          <t>893616913</t>
        </is>
      </c>
    </row>
    <row r="573">
      <c r="A573" t="inlineStr">
        <is>
          <t>No</t>
        </is>
      </c>
      <c r="B573" t="inlineStr">
        <is>
          <t>E183.8.C9 L3</t>
        </is>
      </c>
      <c r="C573" t="inlineStr">
        <is>
          <t>0                      E  0183800C  9                  L  3</t>
        </is>
      </c>
      <c r="D573" t="inlineStr">
        <is>
          <t>The Cuban policy of the United States : a brief history / [by] Lester D. Langley.</t>
        </is>
      </c>
      <c r="F573" t="inlineStr">
        <is>
          <t>No</t>
        </is>
      </c>
      <c r="G573" t="inlineStr">
        <is>
          <t>1</t>
        </is>
      </c>
      <c r="H573" t="inlineStr">
        <is>
          <t>No</t>
        </is>
      </c>
      <c r="I573" t="inlineStr">
        <is>
          <t>No</t>
        </is>
      </c>
      <c r="J573" t="inlineStr">
        <is>
          <t>0</t>
        </is>
      </c>
      <c r="K573" t="inlineStr">
        <is>
          <t>Langley, Lester D.</t>
        </is>
      </c>
      <c r="L573" t="inlineStr">
        <is>
          <t>New York : Wiley, [1968]</t>
        </is>
      </c>
      <c r="M573" t="inlineStr">
        <is>
          <t>1968</t>
        </is>
      </c>
      <c r="O573" t="inlineStr">
        <is>
          <t>eng</t>
        </is>
      </c>
      <c r="P573" t="inlineStr">
        <is>
          <t>nyu</t>
        </is>
      </c>
      <c r="Q573" t="inlineStr">
        <is>
          <t>America and the world</t>
        </is>
      </c>
      <c r="R573" t="inlineStr">
        <is>
          <t xml:space="preserve">E  </t>
        </is>
      </c>
      <c r="S573" t="n">
        <v>3</v>
      </c>
      <c r="T573" t="n">
        <v>3</v>
      </c>
      <c r="U573" t="inlineStr">
        <is>
          <t>2001-01-25</t>
        </is>
      </c>
      <c r="V573" t="inlineStr">
        <is>
          <t>2001-01-25</t>
        </is>
      </c>
      <c r="W573" t="inlineStr">
        <is>
          <t>1993-10-07</t>
        </is>
      </c>
      <c r="X573" t="inlineStr">
        <is>
          <t>1993-10-07</t>
        </is>
      </c>
      <c r="Y573" t="n">
        <v>846</v>
      </c>
      <c r="Z573" t="n">
        <v>728</v>
      </c>
      <c r="AA573" t="n">
        <v>736</v>
      </c>
      <c r="AB573" t="n">
        <v>5</v>
      </c>
      <c r="AC573" t="n">
        <v>5</v>
      </c>
      <c r="AD573" t="n">
        <v>29</v>
      </c>
      <c r="AE573" t="n">
        <v>29</v>
      </c>
      <c r="AF573" t="n">
        <v>10</v>
      </c>
      <c r="AG573" t="n">
        <v>10</v>
      </c>
      <c r="AH573" t="n">
        <v>7</v>
      </c>
      <c r="AI573" t="n">
        <v>7</v>
      </c>
      <c r="AJ573" t="n">
        <v>16</v>
      </c>
      <c r="AK573" t="n">
        <v>16</v>
      </c>
      <c r="AL573" t="n">
        <v>4</v>
      </c>
      <c r="AM573" t="n">
        <v>4</v>
      </c>
      <c r="AN573" t="n">
        <v>0</v>
      </c>
      <c r="AO573" t="n">
        <v>0</v>
      </c>
      <c r="AP573" t="inlineStr">
        <is>
          <t>No</t>
        </is>
      </c>
      <c r="AQ573" t="inlineStr">
        <is>
          <t>Yes</t>
        </is>
      </c>
      <c r="AR573">
        <f>HYPERLINK("http://catalog.hathitrust.org/Record/000334500","HathiTrust Record")</f>
        <v/>
      </c>
      <c r="AS573">
        <f>HYPERLINK("https://creighton-primo.hosted.exlibrisgroup.com/primo-explore/search?tab=default_tab&amp;search_scope=EVERYTHING&amp;vid=01CRU&amp;lang=en_US&amp;offset=0&amp;query=any,contains,991002750329702656","Catalog Record")</f>
        <v/>
      </c>
      <c r="AT573">
        <f>HYPERLINK("http://www.worldcat.org/oclc/424474","WorldCat Record")</f>
        <v/>
      </c>
      <c r="AU573" t="inlineStr">
        <is>
          <t>196505384:eng</t>
        </is>
      </c>
      <c r="AV573" t="inlineStr">
        <is>
          <t>424474</t>
        </is>
      </c>
      <c r="AW573" t="inlineStr">
        <is>
          <t>991002750329702656</t>
        </is>
      </c>
      <c r="AX573" t="inlineStr">
        <is>
          <t>991002750329702656</t>
        </is>
      </c>
      <c r="AY573" t="inlineStr">
        <is>
          <t>2268369980002656</t>
        </is>
      </c>
      <c r="AZ573" t="inlineStr">
        <is>
          <t>BOOK</t>
        </is>
      </c>
      <c r="BC573" t="inlineStr">
        <is>
          <t>32285001790301</t>
        </is>
      </c>
      <c r="BD573" t="inlineStr">
        <is>
          <t>893792861</t>
        </is>
      </c>
    </row>
    <row r="574">
      <c r="A574" t="inlineStr">
        <is>
          <t>No</t>
        </is>
      </c>
      <c r="B574" t="inlineStr">
        <is>
          <t>E183.8.C9 R618 1983</t>
        </is>
      </c>
      <c r="C574" t="inlineStr">
        <is>
          <t>0                      E  0183800C  9                  R  618         1983</t>
        </is>
      </c>
      <c r="D574" t="inlineStr">
        <is>
          <t>The Cuban threat / Carla Anne Robbins.</t>
        </is>
      </c>
      <c r="F574" t="inlineStr">
        <is>
          <t>No</t>
        </is>
      </c>
      <c r="G574" t="inlineStr">
        <is>
          <t>1</t>
        </is>
      </c>
      <c r="H574" t="inlineStr">
        <is>
          <t>No</t>
        </is>
      </c>
      <c r="I574" t="inlineStr">
        <is>
          <t>No</t>
        </is>
      </c>
      <c r="J574" t="inlineStr">
        <is>
          <t>0</t>
        </is>
      </c>
      <c r="K574" t="inlineStr">
        <is>
          <t>Robbins, Carla Anne.</t>
        </is>
      </c>
      <c r="L574" t="inlineStr">
        <is>
          <t>New York : McGraw-Hill, c1983.</t>
        </is>
      </c>
      <c r="M574" t="inlineStr">
        <is>
          <t>1983</t>
        </is>
      </c>
      <c r="O574" t="inlineStr">
        <is>
          <t>eng</t>
        </is>
      </c>
      <c r="P574" t="inlineStr">
        <is>
          <t>nyu</t>
        </is>
      </c>
      <c r="R574" t="inlineStr">
        <is>
          <t xml:space="preserve">E  </t>
        </is>
      </c>
      <c r="S574" t="n">
        <v>3</v>
      </c>
      <c r="T574" t="n">
        <v>3</v>
      </c>
      <c r="U574" t="inlineStr">
        <is>
          <t>1992-12-02</t>
        </is>
      </c>
      <c r="V574" t="inlineStr">
        <is>
          <t>1992-12-02</t>
        </is>
      </c>
      <c r="W574" t="inlineStr">
        <is>
          <t>1990-06-15</t>
        </is>
      </c>
      <c r="X574" t="inlineStr">
        <is>
          <t>1990-06-15</t>
        </is>
      </c>
      <c r="Y574" t="n">
        <v>719</v>
      </c>
      <c r="Z574" t="n">
        <v>659</v>
      </c>
      <c r="AA574" t="n">
        <v>746</v>
      </c>
      <c r="AB574" t="n">
        <v>4</v>
      </c>
      <c r="AC574" t="n">
        <v>5</v>
      </c>
      <c r="AD574" t="n">
        <v>22</v>
      </c>
      <c r="AE574" t="n">
        <v>31</v>
      </c>
      <c r="AF574" t="n">
        <v>13</v>
      </c>
      <c r="AG574" t="n">
        <v>15</v>
      </c>
      <c r="AH574" t="n">
        <v>6</v>
      </c>
      <c r="AI574" t="n">
        <v>8</v>
      </c>
      <c r="AJ574" t="n">
        <v>6</v>
      </c>
      <c r="AK574" t="n">
        <v>11</v>
      </c>
      <c r="AL574" t="n">
        <v>3</v>
      </c>
      <c r="AM574" t="n">
        <v>4</v>
      </c>
      <c r="AN574" t="n">
        <v>0</v>
      </c>
      <c r="AO574" t="n">
        <v>1</v>
      </c>
      <c r="AP574" t="inlineStr">
        <is>
          <t>No</t>
        </is>
      </c>
      <c r="AQ574" t="inlineStr">
        <is>
          <t>Yes</t>
        </is>
      </c>
      <c r="AR574">
        <f>HYPERLINK("http://catalog.hathitrust.org/Record/000197677","HathiTrust Record")</f>
        <v/>
      </c>
      <c r="AS574">
        <f>HYPERLINK("https://creighton-primo.hosted.exlibrisgroup.com/primo-explore/search?tab=default_tab&amp;search_scope=EVERYTHING&amp;vid=01CRU&amp;lang=en_US&amp;offset=0&amp;query=any,contains,991005246779702656","Catalog Record")</f>
        <v/>
      </c>
      <c r="AT574">
        <f>HYPERLINK("http://www.worldcat.org/oclc/8473576","WorldCat Record")</f>
        <v/>
      </c>
      <c r="AU574" t="inlineStr">
        <is>
          <t>2852486:eng</t>
        </is>
      </c>
      <c r="AV574" t="inlineStr">
        <is>
          <t>8473576</t>
        </is>
      </c>
      <c r="AW574" t="inlineStr">
        <is>
          <t>991005246779702656</t>
        </is>
      </c>
      <c r="AX574" t="inlineStr">
        <is>
          <t>991005246779702656</t>
        </is>
      </c>
      <c r="AY574" t="inlineStr">
        <is>
          <t>2259406950002656</t>
        </is>
      </c>
      <c r="AZ574" t="inlineStr">
        <is>
          <t>BOOK</t>
        </is>
      </c>
      <c r="BB574" t="inlineStr">
        <is>
          <t>9780070530805</t>
        </is>
      </c>
      <c r="BC574" t="inlineStr">
        <is>
          <t>32285000197185</t>
        </is>
      </c>
      <c r="BD574" t="inlineStr">
        <is>
          <t>893536495</t>
        </is>
      </c>
    </row>
    <row r="575">
      <c r="A575" t="inlineStr">
        <is>
          <t>No</t>
        </is>
      </c>
      <c r="B575" t="inlineStr">
        <is>
          <t>E183.8.D6 A85 1972</t>
        </is>
      </c>
      <c r="C575" t="inlineStr">
        <is>
          <t>0                      E  0183800D  6                  A  85          1972</t>
        </is>
      </c>
      <c r="D575" t="inlineStr">
        <is>
          <t>The United States and the Trujillo regime / by G. Pope Atkins and Larman C. Wilson.</t>
        </is>
      </c>
      <c r="F575" t="inlineStr">
        <is>
          <t>No</t>
        </is>
      </c>
      <c r="G575" t="inlineStr">
        <is>
          <t>1</t>
        </is>
      </c>
      <c r="H575" t="inlineStr">
        <is>
          <t>No</t>
        </is>
      </c>
      <c r="I575" t="inlineStr">
        <is>
          <t>No</t>
        </is>
      </c>
      <c r="J575" t="inlineStr">
        <is>
          <t>0</t>
        </is>
      </c>
      <c r="K575" t="inlineStr">
        <is>
          <t>Atkins, G. Pope, 1934-</t>
        </is>
      </c>
      <c r="L575" t="inlineStr">
        <is>
          <t>New Brunswick, N.J. : Rutgers University Press, c1972.</t>
        </is>
      </c>
      <c r="M575" t="inlineStr">
        <is>
          <t>1972</t>
        </is>
      </c>
      <c r="O575" t="inlineStr">
        <is>
          <t>eng</t>
        </is>
      </c>
      <c r="P575" t="inlineStr">
        <is>
          <t>miu</t>
        </is>
      </c>
      <c r="R575" t="inlineStr">
        <is>
          <t xml:space="preserve">E  </t>
        </is>
      </c>
      <c r="S575" t="n">
        <v>8</v>
      </c>
      <c r="T575" t="n">
        <v>8</v>
      </c>
      <c r="U575" t="inlineStr">
        <is>
          <t>2004-11-11</t>
        </is>
      </c>
      <c r="V575" t="inlineStr">
        <is>
          <t>2004-11-11</t>
        </is>
      </c>
      <c r="W575" t="inlineStr">
        <is>
          <t>1996-04-02</t>
        </is>
      </c>
      <c r="X575" t="inlineStr">
        <is>
          <t>1996-04-02</t>
        </is>
      </c>
      <c r="Y575" t="n">
        <v>6</v>
      </c>
      <c r="Z575" t="n">
        <v>6</v>
      </c>
      <c r="AA575" t="n">
        <v>650</v>
      </c>
      <c r="AB575" t="n">
        <v>1</v>
      </c>
      <c r="AC575" t="n">
        <v>7</v>
      </c>
      <c r="AD575" t="n">
        <v>1</v>
      </c>
      <c r="AE575" t="n">
        <v>35</v>
      </c>
      <c r="AF575" t="n">
        <v>1</v>
      </c>
      <c r="AG575" t="n">
        <v>15</v>
      </c>
      <c r="AH575" t="n">
        <v>0</v>
      </c>
      <c r="AI575" t="n">
        <v>8</v>
      </c>
      <c r="AJ575" t="n">
        <v>1</v>
      </c>
      <c r="AK575" t="n">
        <v>16</v>
      </c>
      <c r="AL575" t="n">
        <v>0</v>
      </c>
      <c r="AM575" t="n">
        <v>6</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HYPERLINK("https://creighton-primo.hosted.exlibrisgroup.com/primo-explore/search?tab=default_tab&amp;search_scope=EVERYTHING&amp;vid=01CRU&amp;lang=en_US&amp;offset=0&amp;query=any,contains,991005006659702656","Catalog Record")</f>
        <v/>
      </c>
      <c r="AT575">
        <f>HYPERLINK("http://www.worldcat.org/oclc/6576147","WorldCat Record")</f>
        <v/>
      </c>
      <c r="AU575" t="inlineStr">
        <is>
          <t>1355743:eng</t>
        </is>
      </c>
      <c r="AV575" t="inlineStr">
        <is>
          <t>6576147</t>
        </is>
      </c>
      <c r="AW575" t="inlineStr">
        <is>
          <t>991005006659702656</t>
        </is>
      </c>
      <c r="AX575" t="inlineStr">
        <is>
          <t>991005006659702656</t>
        </is>
      </c>
      <c r="AY575" t="inlineStr">
        <is>
          <t>2263618230002656</t>
        </is>
      </c>
      <c r="AZ575" t="inlineStr">
        <is>
          <t>BOOK</t>
        </is>
      </c>
      <c r="BC575" t="inlineStr">
        <is>
          <t>32285002149259</t>
        </is>
      </c>
      <c r="BD575" t="inlineStr">
        <is>
          <t>893520280</t>
        </is>
      </c>
    </row>
    <row r="576">
      <c r="A576" t="inlineStr">
        <is>
          <t>No</t>
        </is>
      </c>
      <c r="B576" t="inlineStr">
        <is>
          <t>E183.8.D6 C87</t>
        </is>
      </c>
      <c r="C576" t="inlineStr">
        <is>
          <t>0                      E  0183800D  6                  C  87</t>
        </is>
      </c>
      <c r="D576" t="inlineStr">
        <is>
          <t>Hoover's Dominican diplomacy and the origins of the Good Neighbor Policy / E. R. Curry.</t>
        </is>
      </c>
      <c r="F576" t="inlineStr">
        <is>
          <t>No</t>
        </is>
      </c>
      <c r="G576" t="inlineStr">
        <is>
          <t>1</t>
        </is>
      </c>
      <c r="H576" t="inlineStr">
        <is>
          <t>No</t>
        </is>
      </c>
      <c r="I576" t="inlineStr">
        <is>
          <t>No</t>
        </is>
      </c>
      <c r="J576" t="inlineStr">
        <is>
          <t>0</t>
        </is>
      </c>
      <c r="K576" t="inlineStr">
        <is>
          <t>Curry, Earl R., 1933-</t>
        </is>
      </c>
      <c r="L576" t="inlineStr">
        <is>
          <t>New York : Garland Pub., 1979.</t>
        </is>
      </c>
      <c r="M576" t="inlineStr">
        <is>
          <t>1979</t>
        </is>
      </c>
      <c r="O576" t="inlineStr">
        <is>
          <t>eng</t>
        </is>
      </c>
      <c r="P576" t="inlineStr">
        <is>
          <t>nyu</t>
        </is>
      </c>
      <c r="Q576" t="inlineStr">
        <is>
          <t>Modern American history</t>
        </is>
      </c>
      <c r="R576" t="inlineStr">
        <is>
          <t xml:space="preserve">E  </t>
        </is>
      </c>
      <c r="S576" t="n">
        <v>7</v>
      </c>
      <c r="T576" t="n">
        <v>7</v>
      </c>
      <c r="U576" t="inlineStr">
        <is>
          <t>2001-01-30</t>
        </is>
      </c>
      <c r="V576" t="inlineStr">
        <is>
          <t>2001-01-30</t>
        </is>
      </c>
      <c r="W576" t="inlineStr">
        <is>
          <t>1990-02-14</t>
        </is>
      </c>
      <c r="X576" t="inlineStr">
        <is>
          <t>1990-02-14</t>
        </is>
      </c>
      <c r="Y576" t="n">
        <v>278</v>
      </c>
      <c r="Z576" t="n">
        <v>238</v>
      </c>
      <c r="AA576" t="n">
        <v>240</v>
      </c>
      <c r="AB576" t="n">
        <v>3</v>
      </c>
      <c r="AC576" t="n">
        <v>3</v>
      </c>
      <c r="AD576" t="n">
        <v>12</v>
      </c>
      <c r="AE576" t="n">
        <v>12</v>
      </c>
      <c r="AF576" t="n">
        <v>3</v>
      </c>
      <c r="AG576" t="n">
        <v>3</v>
      </c>
      <c r="AH576" t="n">
        <v>5</v>
      </c>
      <c r="AI576" t="n">
        <v>5</v>
      </c>
      <c r="AJ576" t="n">
        <v>8</v>
      </c>
      <c r="AK576" t="n">
        <v>8</v>
      </c>
      <c r="AL576" t="n">
        <v>2</v>
      </c>
      <c r="AM576" t="n">
        <v>2</v>
      </c>
      <c r="AN576" t="n">
        <v>0</v>
      </c>
      <c r="AO576" t="n">
        <v>0</v>
      </c>
      <c r="AP576" t="inlineStr">
        <is>
          <t>No</t>
        </is>
      </c>
      <c r="AQ576" t="inlineStr">
        <is>
          <t>Yes</t>
        </is>
      </c>
      <c r="AR576">
        <f>HYPERLINK("http://catalog.hathitrust.org/Record/000746730","HathiTrust Record")</f>
        <v/>
      </c>
      <c r="AS576">
        <f>HYPERLINK("https://creighton-primo.hosted.exlibrisgroup.com/primo-explore/search?tab=default_tab&amp;search_scope=EVERYTHING&amp;vid=01CRU&amp;lang=en_US&amp;offset=0&amp;query=any,contains,991004645189702656","Catalog Record")</f>
        <v/>
      </c>
      <c r="AT576">
        <f>HYPERLINK("http://www.worldcat.org/oclc/4491012","WorldCat Record")</f>
        <v/>
      </c>
      <c r="AU576" t="inlineStr">
        <is>
          <t>14756248:eng</t>
        </is>
      </c>
      <c r="AV576" t="inlineStr">
        <is>
          <t>4491012</t>
        </is>
      </c>
      <c r="AW576" t="inlineStr">
        <is>
          <t>991004645189702656</t>
        </is>
      </c>
      <c r="AX576" t="inlineStr">
        <is>
          <t>991004645189702656</t>
        </is>
      </c>
      <c r="AY576" t="inlineStr">
        <is>
          <t>2264002060002656</t>
        </is>
      </c>
      <c r="AZ576" t="inlineStr">
        <is>
          <t>BOOK</t>
        </is>
      </c>
      <c r="BB576" t="inlineStr">
        <is>
          <t>9780824036294</t>
        </is>
      </c>
      <c r="BC576" t="inlineStr">
        <is>
          <t>32285000053016</t>
        </is>
      </c>
      <c r="BD576" t="inlineStr">
        <is>
          <t>893700484</t>
        </is>
      </c>
    </row>
    <row r="577">
      <c r="A577" t="inlineStr">
        <is>
          <t>No</t>
        </is>
      </c>
      <c r="B577" t="inlineStr">
        <is>
          <t>E183.8.D6 L6</t>
        </is>
      </c>
      <c r="C577" t="inlineStr">
        <is>
          <t>0                      E  0183800D  6                  L  6</t>
        </is>
      </c>
      <c r="D577" t="inlineStr">
        <is>
          <t>The Dominican intervention / [by] Abraham F. Lowenthal.</t>
        </is>
      </c>
      <c r="F577" t="inlineStr">
        <is>
          <t>No</t>
        </is>
      </c>
      <c r="G577" t="inlineStr">
        <is>
          <t>1</t>
        </is>
      </c>
      <c r="H577" t="inlineStr">
        <is>
          <t>Yes</t>
        </is>
      </c>
      <c r="I577" t="inlineStr">
        <is>
          <t>No</t>
        </is>
      </c>
      <c r="J577" t="inlineStr">
        <is>
          <t>0</t>
        </is>
      </c>
      <c r="K577" t="inlineStr">
        <is>
          <t>Lowenthal, Abraham F.</t>
        </is>
      </c>
      <c r="L577" t="inlineStr">
        <is>
          <t>Cambridge, Mass. : Harvard University Press, 1972.</t>
        </is>
      </c>
      <c r="M577" t="inlineStr">
        <is>
          <t>1972</t>
        </is>
      </c>
      <c r="O577" t="inlineStr">
        <is>
          <t>eng</t>
        </is>
      </c>
      <c r="P577" t="inlineStr">
        <is>
          <t>mau</t>
        </is>
      </c>
      <c r="R577" t="inlineStr">
        <is>
          <t xml:space="preserve">E  </t>
        </is>
      </c>
      <c r="S577" t="n">
        <v>14</v>
      </c>
      <c r="T577" t="n">
        <v>35</v>
      </c>
      <c r="U577" t="inlineStr">
        <is>
          <t>2003-04-15</t>
        </is>
      </c>
      <c r="V577" t="inlineStr">
        <is>
          <t>2007-03-28</t>
        </is>
      </c>
      <c r="W577" t="inlineStr">
        <is>
          <t>1990-07-19</t>
        </is>
      </c>
      <c r="X577" t="inlineStr">
        <is>
          <t>1990-07-19</t>
        </is>
      </c>
      <c r="Y577" t="n">
        <v>870</v>
      </c>
      <c r="Z577" t="n">
        <v>745</v>
      </c>
      <c r="AA577" t="n">
        <v>801</v>
      </c>
      <c r="AB577" t="n">
        <v>6</v>
      </c>
      <c r="AC577" t="n">
        <v>6</v>
      </c>
      <c r="AD577" t="n">
        <v>33</v>
      </c>
      <c r="AE577" t="n">
        <v>37</v>
      </c>
      <c r="AF577" t="n">
        <v>13</v>
      </c>
      <c r="AG577" t="n">
        <v>15</v>
      </c>
      <c r="AH577" t="n">
        <v>7</v>
      </c>
      <c r="AI577" t="n">
        <v>8</v>
      </c>
      <c r="AJ577" t="n">
        <v>17</v>
      </c>
      <c r="AK577" t="n">
        <v>18</v>
      </c>
      <c r="AL577" t="n">
        <v>5</v>
      </c>
      <c r="AM577" t="n">
        <v>5</v>
      </c>
      <c r="AN577" t="n">
        <v>1</v>
      </c>
      <c r="AO577" t="n">
        <v>2</v>
      </c>
      <c r="AP577" t="inlineStr">
        <is>
          <t>No</t>
        </is>
      </c>
      <c r="AQ577" t="inlineStr">
        <is>
          <t>Yes</t>
        </is>
      </c>
      <c r="AR577">
        <f>HYPERLINK("http://catalog.hathitrust.org/Record/000335363","HathiTrust Record")</f>
        <v/>
      </c>
      <c r="AS577">
        <f>HYPERLINK("https://creighton-primo.hosted.exlibrisgroup.com/primo-explore/search?tab=default_tab&amp;search_scope=EVERYTHING&amp;vid=01CRU&amp;lang=en_US&amp;offset=0&amp;query=any,contains,991002260779702656","Catalog Record")</f>
        <v/>
      </c>
      <c r="AT577">
        <f>HYPERLINK("http://www.worldcat.org/oclc/304044","WorldCat Record")</f>
        <v/>
      </c>
      <c r="AU577" t="inlineStr">
        <is>
          <t>1352197:eng</t>
        </is>
      </c>
      <c r="AV577" t="inlineStr">
        <is>
          <t>304044</t>
        </is>
      </c>
      <c r="AW577" t="inlineStr">
        <is>
          <t>991002260779702656</t>
        </is>
      </c>
      <c r="AX577" t="inlineStr">
        <is>
          <t>991002260779702656</t>
        </is>
      </c>
      <c r="AY577" t="inlineStr">
        <is>
          <t>2271114270002656</t>
        </is>
      </c>
      <c r="AZ577" t="inlineStr">
        <is>
          <t>BOOK</t>
        </is>
      </c>
      <c r="BB577" t="inlineStr">
        <is>
          <t>9780674214804</t>
        </is>
      </c>
      <c r="BC577" t="inlineStr">
        <is>
          <t>32285000234194</t>
        </is>
      </c>
      <c r="BD577" t="inlineStr">
        <is>
          <t>893892334</t>
        </is>
      </c>
    </row>
    <row r="578">
      <c r="A578" t="inlineStr">
        <is>
          <t>No</t>
        </is>
      </c>
      <c r="B578" t="inlineStr">
        <is>
          <t>E183.8.E35 M49</t>
        </is>
      </c>
      <c r="C578" t="inlineStr">
        <is>
          <t>0                      E  0183800E  35                 M  49</t>
        </is>
      </c>
      <c r="D578" t="inlineStr">
        <is>
          <t>Egypt and the United States : the formative years / Gail E. Meyer.</t>
        </is>
      </c>
      <c r="F578" t="inlineStr">
        <is>
          <t>No</t>
        </is>
      </c>
      <c r="G578" t="inlineStr">
        <is>
          <t>1</t>
        </is>
      </c>
      <c r="H578" t="inlineStr">
        <is>
          <t>No</t>
        </is>
      </c>
      <c r="I578" t="inlineStr">
        <is>
          <t>No</t>
        </is>
      </c>
      <c r="J578" t="inlineStr">
        <is>
          <t>0</t>
        </is>
      </c>
      <c r="K578" t="inlineStr">
        <is>
          <t>Meyer, Gail E., 1942-</t>
        </is>
      </c>
      <c r="L578" t="inlineStr">
        <is>
          <t>Rutherford, [N.J.] : Fairleigh Dickinson University Press, c1980.</t>
        </is>
      </c>
      <c r="M578" t="inlineStr">
        <is>
          <t>1980</t>
        </is>
      </c>
      <c r="O578" t="inlineStr">
        <is>
          <t>eng</t>
        </is>
      </c>
      <c r="P578" t="inlineStr">
        <is>
          <t>nju</t>
        </is>
      </c>
      <c r="R578" t="inlineStr">
        <is>
          <t xml:space="preserve">E  </t>
        </is>
      </c>
      <c r="S578" t="n">
        <v>1</v>
      </c>
      <c r="T578" t="n">
        <v>1</v>
      </c>
      <c r="U578" t="inlineStr">
        <is>
          <t>2002-03-24</t>
        </is>
      </c>
      <c r="V578" t="inlineStr">
        <is>
          <t>2002-03-24</t>
        </is>
      </c>
      <c r="W578" t="inlineStr">
        <is>
          <t>1991-07-03</t>
        </is>
      </c>
      <c r="X578" t="inlineStr">
        <is>
          <t>1991-07-03</t>
        </is>
      </c>
      <c r="Y578" t="n">
        <v>583</v>
      </c>
      <c r="Z578" t="n">
        <v>494</v>
      </c>
      <c r="AA578" t="n">
        <v>504</v>
      </c>
      <c r="AB578" t="n">
        <v>3</v>
      </c>
      <c r="AC578" t="n">
        <v>3</v>
      </c>
      <c r="AD578" t="n">
        <v>24</v>
      </c>
      <c r="AE578" t="n">
        <v>24</v>
      </c>
      <c r="AF578" t="n">
        <v>9</v>
      </c>
      <c r="AG578" t="n">
        <v>9</v>
      </c>
      <c r="AH578" t="n">
        <v>9</v>
      </c>
      <c r="AI578" t="n">
        <v>9</v>
      </c>
      <c r="AJ578" t="n">
        <v>10</v>
      </c>
      <c r="AK578" t="n">
        <v>10</v>
      </c>
      <c r="AL578" t="n">
        <v>2</v>
      </c>
      <c r="AM578" t="n">
        <v>2</v>
      </c>
      <c r="AN578" t="n">
        <v>0</v>
      </c>
      <c r="AO578" t="n">
        <v>0</v>
      </c>
      <c r="AP578" t="inlineStr">
        <is>
          <t>No</t>
        </is>
      </c>
      <c r="AQ578" t="inlineStr">
        <is>
          <t>Yes</t>
        </is>
      </c>
      <c r="AR578">
        <f>HYPERLINK("http://catalog.hathitrust.org/Record/000703824","HathiTrust Record")</f>
        <v/>
      </c>
      <c r="AS578">
        <f>HYPERLINK("https://creighton-primo.hosted.exlibrisgroup.com/primo-explore/search?tab=default_tab&amp;search_scope=EVERYTHING&amp;vid=01CRU&amp;lang=en_US&amp;offset=0&amp;query=any,contains,991004664149702656","Catalog Record")</f>
        <v/>
      </c>
      <c r="AT578">
        <f>HYPERLINK("http://www.worldcat.org/oclc/4499800","WorldCat Record")</f>
        <v/>
      </c>
      <c r="AU578" t="inlineStr">
        <is>
          <t>836617929:eng</t>
        </is>
      </c>
      <c r="AV578" t="inlineStr">
        <is>
          <t>4499800</t>
        </is>
      </c>
      <c r="AW578" t="inlineStr">
        <is>
          <t>991004664149702656</t>
        </is>
      </c>
      <c r="AX578" t="inlineStr">
        <is>
          <t>991004664149702656</t>
        </is>
      </c>
      <c r="AY578" t="inlineStr">
        <is>
          <t>2265917420002656</t>
        </is>
      </c>
      <c r="AZ578" t="inlineStr">
        <is>
          <t>BOOK</t>
        </is>
      </c>
      <c r="BB578" t="inlineStr">
        <is>
          <t>9780838620182</t>
        </is>
      </c>
      <c r="BC578" t="inlineStr">
        <is>
          <t>32285000672963</t>
        </is>
      </c>
      <c r="BD578" t="inlineStr">
        <is>
          <t>893263372</t>
        </is>
      </c>
    </row>
    <row r="579">
      <c r="A579" t="inlineStr">
        <is>
          <t>No</t>
        </is>
      </c>
      <c r="B579" t="inlineStr">
        <is>
          <t>E183.8.E35 Q36 1990</t>
        </is>
      </c>
      <c r="C579" t="inlineStr">
        <is>
          <t>0                      E  0183800E  35                 Q  36          1990</t>
        </is>
      </c>
      <c r="D579" t="inlineStr">
        <is>
          <t>The United States and Egypt : an essay on policy for the 1990s / William B. Quandt.</t>
        </is>
      </c>
      <c r="F579" t="inlineStr">
        <is>
          <t>No</t>
        </is>
      </c>
      <c r="G579" t="inlineStr">
        <is>
          <t>1</t>
        </is>
      </c>
      <c r="H579" t="inlineStr">
        <is>
          <t>No</t>
        </is>
      </c>
      <c r="I579" t="inlineStr">
        <is>
          <t>No</t>
        </is>
      </c>
      <c r="J579" t="inlineStr">
        <is>
          <t>0</t>
        </is>
      </c>
      <c r="K579" t="inlineStr">
        <is>
          <t>Quandt, William B.</t>
        </is>
      </c>
      <c r="L579" t="inlineStr">
        <is>
          <t>Washington, D.C. : Brookings Institution, c1990.</t>
        </is>
      </c>
      <c r="M579" t="inlineStr">
        <is>
          <t>1990</t>
        </is>
      </c>
      <c r="O579" t="inlineStr">
        <is>
          <t>eng</t>
        </is>
      </c>
      <c r="P579" t="inlineStr">
        <is>
          <t>dcu</t>
        </is>
      </c>
      <c r="R579" t="inlineStr">
        <is>
          <t xml:space="preserve">E  </t>
        </is>
      </c>
      <c r="S579" t="n">
        <v>2</v>
      </c>
      <c r="T579" t="n">
        <v>2</v>
      </c>
      <c r="U579" t="inlineStr">
        <is>
          <t>1996-05-15</t>
        </is>
      </c>
      <c r="V579" t="inlineStr">
        <is>
          <t>1996-05-15</t>
        </is>
      </c>
      <c r="W579" t="inlineStr">
        <is>
          <t>1990-07-05</t>
        </is>
      </c>
      <c r="X579" t="inlineStr">
        <is>
          <t>1990-07-05</t>
        </is>
      </c>
      <c r="Y579" t="n">
        <v>538</v>
      </c>
      <c r="Z579" t="n">
        <v>464</v>
      </c>
      <c r="AA579" t="n">
        <v>466</v>
      </c>
      <c r="AB579" t="n">
        <v>4</v>
      </c>
      <c r="AC579" t="n">
        <v>4</v>
      </c>
      <c r="AD579" t="n">
        <v>23</v>
      </c>
      <c r="AE579" t="n">
        <v>23</v>
      </c>
      <c r="AF579" t="n">
        <v>6</v>
      </c>
      <c r="AG579" t="n">
        <v>6</v>
      </c>
      <c r="AH579" t="n">
        <v>6</v>
      </c>
      <c r="AI579" t="n">
        <v>6</v>
      </c>
      <c r="AJ579" t="n">
        <v>12</v>
      </c>
      <c r="AK579" t="n">
        <v>12</v>
      </c>
      <c r="AL579" t="n">
        <v>3</v>
      </c>
      <c r="AM579" t="n">
        <v>3</v>
      </c>
      <c r="AN579" t="n">
        <v>2</v>
      </c>
      <c r="AO579" t="n">
        <v>2</v>
      </c>
      <c r="AP579" t="inlineStr">
        <is>
          <t>No</t>
        </is>
      </c>
      <c r="AQ579" t="inlineStr">
        <is>
          <t>Yes</t>
        </is>
      </c>
      <c r="AR579">
        <f>HYPERLINK("http://catalog.hathitrust.org/Record/002055937","HathiTrust Record")</f>
        <v/>
      </c>
      <c r="AS579">
        <f>HYPERLINK("https://creighton-primo.hosted.exlibrisgroup.com/primo-explore/search?tab=default_tab&amp;search_scope=EVERYTHING&amp;vid=01CRU&amp;lang=en_US&amp;offset=0&amp;query=any,contains,991001677849702656","Catalog Record")</f>
        <v/>
      </c>
      <c r="AT579">
        <f>HYPERLINK("http://www.worldcat.org/oclc/21334390","WorldCat Record")</f>
        <v/>
      </c>
      <c r="AU579" t="inlineStr">
        <is>
          <t>198288583:eng</t>
        </is>
      </c>
      <c r="AV579" t="inlineStr">
        <is>
          <t>21334390</t>
        </is>
      </c>
      <c r="AW579" t="inlineStr">
        <is>
          <t>991001677849702656</t>
        </is>
      </c>
      <c r="AX579" t="inlineStr">
        <is>
          <t>991001677849702656</t>
        </is>
      </c>
      <c r="AY579" t="inlineStr">
        <is>
          <t>2261976550002656</t>
        </is>
      </c>
      <c r="AZ579" t="inlineStr">
        <is>
          <t>BOOK</t>
        </is>
      </c>
      <c r="BB579" t="inlineStr">
        <is>
          <t>9780815772958</t>
        </is>
      </c>
      <c r="BC579" t="inlineStr">
        <is>
          <t>32285000023225</t>
        </is>
      </c>
      <c r="BD579" t="inlineStr">
        <is>
          <t>893351961</t>
        </is>
      </c>
    </row>
    <row r="580">
      <c r="A580" t="inlineStr">
        <is>
          <t>No</t>
        </is>
      </c>
      <c r="B580" t="inlineStr">
        <is>
          <t>E183.8.F8 B74 2002</t>
        </is>
      </c>
      <c r="C580" t="inlineStr">
        <is>
          <t>0                      E  0183800F  8                  B  74          2002</t>
        </is>
      </c>
      <c r="D580" t="inlineStr">
        <is>
          <t>Reconcilable differences : U.S.-French relations in the new era / Michael Brenner, Guillaume Parmentier.</t>
        </is>
      </c>
      <c r="F580" t="inlineStr">
        <is>
          <t>No</t>
        </is>
      </c>
      <c r="G580" t="inlineStr">
        <is>
          <t>1</t>
        </is>
      </c>
      <c r="H580" t="inlineStr">
        <is>
          <t>No</t>
        </is>
      </c>
      <c r="I580" t="inlineStr">
        <is>
          <t>No</t>
        </is>
      </c>
      <c r="J580" t="inlineStr">
        <is>
          <t>0</t>
        </is>
      </c>
      <c r="K580" t="inlineStr">
        <is>
          <t>Brenner, Michael J.</t>
        </is>
      </c>
      <c r="L580" t="inlineStr">
        <is>
          <t>Washington, D.C. : Brookings Institution Press, c2002.</t>
        </is>
      </c>
      <c r="M580" t="inlineStr">
        <is>
          <t>2002</t>
        </is>
      </c>
      <c r="O580" t="inlineStr">
        <is>
          <t>eng</t>
        </is>
      </c>
      <c r="P580" t="inlineStr">
        <is>
          <t>dcu</t>
        </is>
      </c>
      <c r="R580" t="inlineStr">
        <is>
          <t xml:space="preserve">E  </t>
        </is>
      </c>
      <c r="S580" t="n">
        <v>1</v>
      </c>
      <c r="T580" t="n">
        <v>1</v>
      </c>
      <c r="U580" t="inlineStr">
        <is>
          <t>2002-05-20</t>
        </is>
      </c>
      <c r="V580" t="inlineStr">
        <is>
          <t>2002-05-20</t>
        </is>
      </c>
      <c r="W580" t="inlineStr">
        <is>
          <t>2002-05-09</t>
        </is>
      </c>
      <c r="X580" t="inlineStr">
        <is>
          <t>2002-05-09</t>
        </is>
      </c>
      <c r="Y580" t="n">
        <v>534</v>
      </c>
      <c r="Z580" t="n">
        <v>459</v>
      </c>
      <c r="AA580" t="n">
        <v>1105</v>
      </c>
      <c r="AB580" t="n">
        <v>3</v>
      </c>
      <c r="AC580" t="n">
        <v>7</v>
      </c>
      <c r="AD580" t="n">
        <v>27</v>
      </c>
      <c r="AE580" t="n">
        <v>40</v>
      </c>
      <c r="AF580" t="n">
        <v>12</v>
      </c>
      <c r="AG580" t="n">
        <v>16</v>
      </c>
      <c r="AH580" t="n">
        <v>7</v>
      </c>
      <c r="AI580" t="n">
        <v>9</v>
      </c>
      <c r="AJ580" t="n">
        <v>16</v>
      </c>
      <c r="AK580" t="n">
        <v>19</v>
      </c>
      <c r="AL580" t="n">
        <v>2</v>
      </c>
      <c r="AM580" t="n">
        <v>6</v>
      </c>
      <c r="AN580" t="n">
        <v>0</v>
      </c>
      <c r="AO580" t="n">
        <v>1</v>
      </c>
      <c r="AP580" t="inlineStr">
        <is>
          <t>No</t>
        </is>
      </c>
      <c r="AQ580" t="inlineStr">
        <is>
          <t>No</t>
        </is>
      </c>
      <c r="AS580">
        <f>HYPERLINK("https://creighton-primo.hosted.exlibrisgroup.com/primo-explore/search?tab=default_tab&amp;search_scope=EVERYTHING&amp;vid=01CRU&amp;lang=en_US&amp;offset=0&amp;query=any,contains,991003808869702656","Catalog Record")</f>
        <v/>
      </c>
      <c r="AT580">
        <f>HYPERLINK("http://www.worldcat.org/oclc/48579199","WorldCat Record")</f>
        <v/>
      </c>
      <c r="AU580" t="inlineStr">
        <is>
          <t>800596990:eng</t>
        </is>
      </c>
      <c r="AV580" t="inlineStr">
        <is>
          <t>48579199</t>
        </is>
      </c>
      <c r="AW580" t="inlineStr">
        <is>
          <t>991003808869702656</t>
        </is>
      </c>
      <c r="AX580" t="inlineStr">
        <is>
          <t>991003808869702656</t>
        </is>
      </c>
      <c r="AY580" t="inlineStr">
        <is>
          <t>2271956620002656</t>
        </is>
      </c>
      <c r="AZ580" t="inlineStr">
        <is>
          <t>BOOK</t>
        </is>
      </c>
      <c r="BB580" t="inlineStr">
        <is>
          <t>9780815712534</t>
        </is>
      </c>
      <c r="BC580" t="inlineStr">
        <is>
          <t>32285004487236</t>
        </is>
      </c>
      <c r="BD580" t="inlineStr">
        <is>
          <t>893592911</t>
        </is>
      </c>
    </row>
    <row r="581">
      <c r="A581" t="inlineStr">
        <is>
          <t>No</t>
        </is>
      </c>
      <c r="B581" t="inlineStr">
        <is>
          <t>E183.8.F8 C26 1988</t>
        </is>
      </c>
      <c r="C581" t="inlineStr">
        <is>
          <t>0                      E  0183800F  8                  C  26          1988</t>
        </is>
      </c>
      <c r="D581" t="inlineStr">
        <is>
          <t>Cultural misunderstandings : the French-American experience / Raymonde Carroll ; translated by Carol Volk.</t>
        </is>
      </c>
      <c r="F581" t="inlineStr">
        <is>
          <t>No</t>
        </is>
      </c>
      <c r="G581" t="inlineStr">
        <is>
          <t>1</t>
        </is>
      </c>
      <c r="H581" t="inlineStr">
        <is>
          <t>No</t>
        </is>
      </c>
      <c r="I581" t="inlineStr">
        <is>
          <t>No</t>
        </is>
      </c>
      <c r="J581" t="inlineStr">
        <is>
          <t>0</t>
        </is>
      </c>
      <c r="K581" t="inlineStr">
        <is>
          <t>Carroll, Raymonde.</t>
        </is>
      </c>
      <c r="L581" t="inlineStr">
        <is>
          <t>Chicago : University of Chicago Press, 1988.</t>
        </is>
      </c>
      <c r="M581" t="inlineStr">
        <is>
          <t>1988</t>
        </is>
      </c>
      <c r="O581" t="inlineStr">
        <is>
          <t>eng</t>
        </is>
      </c>
      <c r="P581" t="inlineStr">
        <is>
          <t>ilu</t>
        </is>
      </c>
      <c r="R581" t="inlineStr">
        <is>
          <t xml:space="preserve">E  </t>
        </is>
      </c>
      <c r="S581" t="n">
        <v>1</v>
      </c>
      <c r="T581" t="n">
        <v>1</v>
      </c>
      <c r="U581" t="inlineStr">
        <is>
          <t>1993-07-15</t>
        </is>
      </c>
      <c r="V581" t="inlineStr">
        <is>
          <t>1993-07-15</t>
        </is>
      </c>
      <c r="W581" t="inlineStr">
        <is>
          <t>1990-06-06</t>
        </is>
      </c>
      <c r="X581" t="inlineStr">
        <is>
          <t>1990-06-06</t>
        </is>
      </c>
      <c r="Y581" t="n">
        <v>785</v>
      </c>
      <c r="Z581" t="n">
        <v>692</v>
      </c>
      <c r="AA581" t="n">
        <v>812</v>
      </c>
      <c r="AB581" t="n">
        <v>5</v>
      </c>
      <c r="AC581" t="n">
        <v>5</v>
      </c>
      <c r="AD581" t="n">
        <v>26</v>
      </c>
      <c r="AE581" t="n">
        <v>30</v>
      </c>
      <c r="AF581" t="n">
        <v>8</v>
      </c>
      <c r="AG581" t="n">
        <v>11</v>
      </c>
      <c r="AH581" t="n">
        <v>6</v>
      </c>
      <c r="AI581" t="n">
        <v>6</v>
      </c>
      <c r="AJ581" t="n">
        <v>13</v>
      </c>
      <c r="AK581" t="n">
        <v>15</v>
      </c>
      <c r="AL581" t="n">
        <v>4</v>
      </c>
      <c r="AM581" t="n">
        <v>4</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HYPERLINK("https://creighton-primo.hosted.exlibrisgroup.com/primo-explore/search?tab=default_tab&amp;search_scope=EVERYTHING&amp;vid=01CRU&amp;lang=en_US&amp;offset=0&amp;query=any,contains,991001270469702656","Catalog Record")</f>
        <v/>
      </c>
      <c r="AT581">
        <f>HYPERLINK("http://www.worldcat.org/oclc/17841163","WorldCat Record")</f>
        <v/>
      </c>
      <c r="AU581" t="inlineStr">
        <is>
          <t>16968824:eng</t>
        </is>
      </c>
      <c r="AV581" t="inlineStr">
        <is>
          <t>17841163</t>
        </is>
      </c>
      <c r="AW581" t="inlineStr">
        <is>
          <t>991001270469702656</t>
        </is>
      </c>
      <c r="AX581" t="inlineStr">
        <is>
          <t>991001270469702656</t>
        </is>
      </c>
      <c r="AY581" t="inlineStr">
        <is>
          <t>2268952430002656</t>
        </is>
      </c>
      <c r="AZ581" t="inlineStr">
        <is>
          <t>BOOK</t>
        </is>
      </c>
      <c r="BB581" t="inlineStr">
        <is>
          <t>9780226094977</t>
        </is>
      </c>
      <c r="BC581" t="inlineStr">
        <is>
          <t>32285000182823</t>
        </is>
      </c>
      <c r="BD581" t="inlineStr">
        <is>
          <t>893231854</t>
        </is>
      </c>
    </row>
    <row r="582">
      <c r="A582" t="inlineStr">
        <is>
          <t>No</t>
        </is>
      </c>
      <c r="B582" t="inlineStr">
        <is>
          <t>E183.8.F8 C655 2004</t>
        </is>
      </c>
      <c r="C582" t="inlineStr">
        <is>
          <t>0                      E  0183800F  8                  C  655         2004</t>
        </is>
      </c>
      <c r="D582" t="inlineStr">
        <is>
          <t>Dangerous de-liaisons : what's really behind the war between France and the U.S. / Jean-Marie Colombani &amp; Walter Wells ; edited by Luc Jacob-Duvernet.</t>
        </is>
      </c>
      <c r="F582" t="inlineStr">
        <is>
          <t>No</t>
        </is>
      </c>
      <c r="G582" t="inlineStr">
        <is>
          <t>1</t>
        </is>
      </c>
      <c r="H582" t="inlineStr">
        <is>
          <t>No</t>
        </is>
      </c>
      <c r="I582" t="inlineStr">
        <is>
          <t>No</t>
        </is>
      </c>
      <c r="J582" t="inlineStr">
        <is>
          <t>0</t>
        </is>
      </c>
      <c r="K582" t="inlineStr">
        <is>
          <t>Colombani, Jean-Marie.</t>
        </is>
      </c>
      <c r="L582" t="inlineStr">
        <is>
          <t>Hoboken, N.J. : Melville House Pub., 2004.</t>
        </is>
      </c>
      <c r="M582" t="inlineStr">
        <is>
          <t>2004</t>
        </is>
      </c>
      <c r="N582" t="inlineStr">
        <is>
          <t>1st ed.</t>
        </is>
      </c>
      <c r="O582" t="inlineStr">
        <is>
          <t>eng</t>
        </is>
      </c>
      <c r="P582" t="inlineStr">
        <is>
          <t>nju</t>
        </is>
      </c>
      <c r="R582" t="inlineStr">
        <is>
          <t xml:space="preserve">E  </t>
        </is>
      </c>
      <c r="S582" t="n">
        <v>1</v>
      </c>
      <c r="T582" t="n">
        <v>1</v>
      </c>
      <c r="U582" t="inlineStr">
        <is>
          <t>2004-11-02</t>
        </is>
      </c>
      <c r="V582" t="inlineStr">
        <is>
          <t>2004-11-02</t>
        </is>
      </c>
      <c r="W582" t="inlineStr">
        <is>
          <t>2004-11-02</t>
        </is>
      </c>
      <c r="X582" t="inlineStr">
        <is>
          <t>2004-11-02</t>
        </is>
      </c>
      <c r="Y582" t="n">
        <v>214</v>
      </c>
      <c r="Z582" t="n">
        <v>189</v>
      </c>
      <c r="AA582" t="n">
        <v>195</v>
      </c>
      <c r="AB582" t="n">
        <v>2</v>
      </c>
      <c r="AC582" t="n">
        <v>2</v>
      </c>
      <c r="AD582" t="n">
        <v>8</v>
      </c>
      <c r="AE582" t="n">
        <v>8</v>
      </c>
      <c r="AF582" t="n">
        <v>3</v>
      </c>
      <c r="AG582" t="n">
        <v>3</v>
      </c>
      <c r="AH582" t="n">
        <v>2</v>
      </c>
      <c r="AI582" t="n">
        <v>2</v>
      </c>
      <c r="AJ582" t="n">
        <v>4</v>
      </c>
      <c r="AK582" t="n">
        <v>4</v>
      </c>
      <c r="AL582" t="n">
        <v>1</v>
      </c>
      <c r="AM582" t="n">
        <v>1</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HYPERLINK("https://creighton-primo.hosted.exlibrisgroup.com/primo-explore/search?tab=default_tab&amp;search_scope=EVERYTHING&amp;vid=01CRU&amp;lang=en_US&amp;offset=0&amp;query=any,contains,991004283369702656","Catalog Record")</f>
        <v/>
      </c>
      <c r="AT582">
        <f>HYPERLINK("http://www.worldcat.org/oclc/54079830","WorldCat Record")</f>
        <v/>
      </c>
      <c r="AU582" t="inlineStr">
        <is>
          <t>1676:eng</t>
        </is>
      </c>
      <c r="AV582" t="inlineStr">
        <is>
          <t>54079830</t>
        </is>
      </c>
      <c r="AW582" t="inlineStr">
        <is>
          <t>991004283369702656</t>
        </is>
      </c>
      <c r="AX582" t="inlineStr">
        <is>
          <t>991004283369702656</t>
        </is>
      </c>
      <c r="AY582" t="inlineStr">
        <is>
          <t>2267684750002656</t>
        </is>
      </c>
      <c r="AZ582" t="inlineStr">
        <is>
          <t>BOOK</t>
        </is>
      </c>
      <c r="BB582" t="inlineStr">
        <is>
          <t>9780974607856</t>
        </is>
      </c>
      <c r="BC582" t="inlineStr">
        <is>
          <t>32285005007959</t>
        </is>
      </c>
      <c r="BD582" t="inlineStr">
        <is>
          <t>893706185</t>
        </is>
      </c>
    </row>
    <row r="583">
      <c r="A583" t="inlineStr">
        <is>
          <t>No</t>
        </is>
      </c>
      <c r="B583" t="inlineStr">
        <is>
          <t>E183.8.F8 R6513 2005</t>
        </is>
      </c>
      <c r="C583" t="inlineStr">
        <is>
          <t>0                      E  0183800F  8                  R  6513        2005</t>
        </is>
      </c>
      <c r="D583" t="inlineStr">
        <is>
          <t>The American enemy : a story of French anti-Americanism / Philippe Roger ; translated by Sharon Bowman.</t>
        </is>
      </c>
      <c r="F583" t="inlineStr">
        <is>
          <t>No</t>
        </is>
      </c>
      <c r="G583" t="inlineStr">
        <is>
          <t>1</t>
        </is>
      </c>
      <c r="H583" t="inlineStr">
        <is>
          <t>No</t>
        </is>
      </c>
      <c r="I583" t="inlineStr">
        <is>
          <t>No</t>
        </is>
      </c>
      <c r="J583" t="inlineStr">
        <is>
          <t>0</t>
        </is>
      </c>
      <c r="K583" t="inlineStr">
        <is>
          <t>Roger, Philippe, 1949-</t>
        </is>
      </c>
      <c r="L583" t="inlineStr">
        <is>
          <t>Chicago : University of Chicago Press, 2005.</t>
        </is>
      </c>
      <c r="M583" t="inlineStr">
        <is>
          <t>2005</t>
        </is>
      </c>
      <c r="O583" t="inlineStr">
        <is>
          <t>eng</t>
        </is>
      </c>
      <c r="P583" t="inlineStr">
        <is>
          <t>ilu</t>
        </is>
      </c>
      <c r="R583" t="inlineStr">
        <is>
          <t xml:space="preserve">E  </t>
        </is>
      </c>
      <c r="S583" t="n">
        <v>2</v>
      </c>
      <c r="T583" t="n">
        <v>2</v>
      </c>
      <c r="U583" t="inlineStr">
        <is>
          <t>2005-06-01</t>
        </is>
      </c>
      <c r="V583" t="inlineStr">
        <is>
          <t>2005-06-01</t>
        </is>
      </c>
      <c r="W583" t="inlineStr">
        <is>
          <t>2005-05-03</t>
        </is>
      </c>
      <c r="X583" t="inlineStr">
        <is>
          <t>2005-05-03</t>
        </is>
      </c>
      <c r="Y583" t="n">
        <v>836</v>
      </c>
      <c r="Z583" t="n">
        <v>730</v>
      </c>
      <c r="AA583" t="n">
        <v>769</v>
      </c>
      <c r="AB583" t="n">
        <v>5</v>
      </c>
      <c r="AC583" t="n">
        <v>5</v>
      </c>
      <c r="AD583" t="n">
        <v>32</v>
      </c>
      <c r="AE583" t="n">
        <v>32</v>
      </c>
      <c r="AF583" t="n">
        <v>14</v>
      </c>
      <c r="AG583" t="n">
        <v>14</v>
      </c>
      <c r="AH583" t="n">
        <v>6</v>
      </c>
      <c r="AI583" t="n">
        <v>6</v>
      </c>
      <c r="AJ583" t="n">
        <v>14</v>
      </c>
      <c r="AK583" t="n">
        <v>14</v>
      </c>
      <c r="AL583" t="n">
        <v>4</v>
      </c>
      <c r="AM583" t="n">
        <v>4</v>
      </c>
      <c r="AN583" t="n">
        <v>0</v>
      </c>
      <c r="AO583" t="n">
        <v>0</v>
      </c>
      <c r="AP583" t="inlineStr">
        <is>
          <t>No</t>
        </is>
      </c>
      <c r="AQ583" t="inlineStr">
        <is>
          <t>No</t>
        </is>
      </c>
      <c r="AS583">
        <f>HYPERLINK("https://creighton-primo.hosted.exlibrisgroup.com/primo-explore/search?tab=default_tab&amp;search_scope=EVERYTHING&amp;vid=01CRU&amp;lang=en_US&amp;offset=0&amp;query=any,contains,991004530959702656","Catalog Record")</f>
        <v/>
      </c>
      <c r="AT583">
        <f>HYPERLINK("http://www.worldcat.org/oclc/56493580","WorldCat Record")</f>
        <v/>
      </c>
      <c r="AU583" t="inlineStr">
        <is>
          <t>354654671:eng</t>
        </is>
      </c>
      <c r="AV583" t="inlineStr">
        <is>
          <t>56493580</t>
        </is>
      </c>
      <c r="AW583" t="inlineStr">
        <is>
          <t>991004530959702656</t>
        </is>
      </c>
      <c r="AX583" t="inlineStr">
        <is>
          <t>991004530959702656</t>
        </is>
      </c>
      <c r="AY583" t="inlineStr">
        <is>
          <t>2258367660002656</t>
        </is>
      </c>
      <c r="AZ583" t="inlineStr">
        <is>
          <t>BOOK</t>
        </is>
      </c>
      <c r="BB583" t="inlineStr">
        <is>
          <t>9780226723686</t>
        </is>
      </c>
      <c r="BC583" t="inlineStr">
        <is>
          <t>32285005034532</t>
        </is>
      </c>
      <c r="BD583" t="inlineStr">
        <is>
          <t>893612467</t>
        </is>
      </c>
    </row>
    <row r="584">
      <c r="A584" t="inlineStr">
        <is>
          <t>No</t>
        </is>
      </c>
      <c r="B584" t="inlineStr">
        <is>
          <t>E183.8.G3 A44 1993</t>
        </is>
      </c>
      <c r="C584" t="inlineStr">
        <is>
          <t>0                      E  0183800G  3                  A  44          1993</t>
        </is>
      </c>
      <c r="D584" t="inlineStr">
        <is>
          <t>American policy and the reconstruction of West Germany, 1945-1955 / edited by Jeffry M. Diefendorf, Axel Frohn, Hermann-Josef Rupieper.</t>
        </is>
      </c>
      <c r="F584" t="inlineStr">
        <is>
          <t>No</t>
        </is>
      </c>
      <c r="G584" t="inlineStr">
        <is>
          <t>1</t>
        </is>
      </c>
      <c r="H584" t="inlineStr">
        <is>
          <t>No</t>
        </is>
      </c>
      <c r="I584" t="inlineStr">
        <is>
          <t>No</t>
        </is>
      </c>
      <c r="J584" t="inlineStr">
        <is>
          <t>0</t>
        </is>
      </c>
      <c r="L584" t="inlineStr">
        <is>
          <t>Washington, D.C. : German Historical Institute ; Cambridge [England] ; New York : Cambridge University Press, 1993.</t>
        </is>
      </c>
      <c r="M584" t="inlineStr">
        <is>
          <t>1993</t>
        </is>
      </c>
      <c r="O584" t="inlineStr">
        <is>
          <t>eng</t>
        </is>
      </c>
      <c r="P584" t="inlineStr">
        <is>
          <t>dcu</t>
        </is>
      </c>
      <c r="Q584" t="inlineStr">
        <is>
          <t>Publications of the German Historical Institute</t>
        </is>
      </c>
      <c r="R584" t="inlineStr">
        <is>
          <t xml:space="preserve">E  </t>
        </is>
      </c>
      <c r="S584" t="n">
        <v>0</v>
      </c>
      <c r="T584" t="n">
        <v>0</v>
      </c>
      <c r="U584" t="inlineStr">
        <is>
          <t>2005-09-08</t>
        </is>
      </c>
      <c r="V584" t="inlineStr">
        <is>
          <t>2005-09-08</t>
        </is>
      </c>
      <c r="W584" t="inlineStr">
        <is>
          <t>1995-05-01</t>
        </is>
      </c>
      <c r="X584" t="inlineStr">
        <is>
          <t>1995-05-01</t>
        </is>
      </c>
      <c r="Y584" t="n">
        <v>405</v>
      </c>
      <c r="Z584" t="n">
        <v>254</v>
      </c>
      <c r="AA584" t="n">
        <v>271</v>
      </c>
      <c r="AB584" t="n">
        <v>3</v>
      </c>
      <c r="AC584" t="n">
        <v>3</v>
      </c>
      <c r="AD584" t="n">
        <v>16</v>
      </c>
      <c r="AE584" t="n">
        <v>17</v>
      </c>
      <c r="AF584" t="n">
        <v>6</v>
      </c>
      <c r="AG584" t="n">
        <v>6</v>
      </c>
      <c r="AH584" t="n">
        <v>2</v>
      </c>
      <c r="AI584" t="n">
        <v>3</v>
      </c>
      <c r="AJ584" t="n">
        <v>11</v>
      </c>
      <c r="AK584" t="n">
        <v>11</v>
      </c>
      <c r="AL584" t="n">
        <v>2</v>
      </c>
      <c r="AM584" t="n">
        <v>2</v>
      </c>
      <c r="AN584" t="n">
        <v>0</v>
      </c>
      <c r="AO584" t="n">
        <v>0</v>
      </c>
      <c r="AP584" t="inlineStr">
        <is>
          <t>No</t>
        </is>
      </c>
      <c r="AQ584" t="inlineStr">
        <is>
          <t>No</t>
        </is>
      </c>
      <c r="AS584">
        <f>HYPERLINK("https://creighton-primo.hosted.exlibrisgroup.com/primo-explore/search?tab=default_tab&amp;search_scope=EVERYTHING&amp;vid=01CRU&amp;lang=en_US&amp;offset=0&amp;query=any,contains,991002158229702656","Catalog Record")</f>
        <v/>
      </c>
      <c r="AT584">
        <f>HYPERLINK("http://www.worldcat.org/oclc/27811120","WorldCat Record")</f>
        <v/>
      </c>
      <c r="AU584" t="inlineStr">
        <is>
          <t>55685353:eng</t>
        </is>
      </c>
      <c r="AV584" t="inlineStr">
        <is>
          <t>27811120</t>
        </is>
      </c>
      <c r="AW584" t="inlineStr">
        <is>
          <t>991002158229702656</t>
        </is>
      </c>
      <c r="AX584" t="inlineStr">
        <is>
          <t>991002158229702656</t>
        </is>
      </c>
      <c r="AY584" t="inlineStr">
        <is>
          <t>2258729470002656</t>
        </is>
      </c>
      <c r="AZ584" t="inlineStr">
        <is>
          <t>BOOK</t>
        </is>
      </c>
      <c r="BB584" t="inlineStr">
        <is>
          <t>9780521431200</t>
        </is>
      </c>
      <c r="BC584" t="inlineStr">
        <is>
          <t>32285002037157</t>
        </is>
      </c>
      <c r="BD584" t="inlineStr">
        <is>
          <t>893341101</t>
        </is>
      </c>
    </row>
    <row r="585">
      <c r="A585" t="inlineStr">
        <is>
          <t>No</t>
        </is>
      </c>
      <c r="B585" t="inlineStr">
        <is>
          <t>E183.8.G3 A53 1986</t>
        </is>
      </c>
      <c r="C585" t="inlineStr">
        <is>
          <t>0                      E  0183800G  3                  A  53          1986</t>
        </is>
      </c>
      <c r="D585" t="inlineStr">
        <is>
          <t>Americans and Germans : a handy reader and reference book with 258 illustrations = Deutsche und Amerikaner : ein lese- und Nachschlagebuch mit 258 abbildungen / [editor, Wolfgang Glaser ; contributors, Gerhard Fuchs ... et al. ; English translations, Christopher Baker ... et al.]</t>
        </is>
      </c>
      <c r="F585" t="inlineStr">
        <is>
          <t>No</t>
        </is>
      </c>
      <c r="G585" t="inlineStr">
        <is>
          <t>1</t>
        </is>
      </c>
      <c r="H585" t="inlineStr">
        <is>
          <t>No</t>
        </is>
      </c>
      <c r="I585" t="inlineStr">
        <is>
          <t>No</t>
        </is>
      </c>
      <c r="J585" t="inlineStr">
        <is>
          <t>0</t>
        </is>
      </c>
      <c r="L585" t="inlineStr">
        <is>
          <t>München : Moos &amp; Partner, 1985, c1986.</t>
        </is>
      </c>
      <c r="M585" t="inlineStr">
        <is>
          <t>1985</t>
        </is>
      </c>
      <c r="O585" t="inlineStr">
        <is>
          <t>eng</t>
        </is>
      </c>
      <c r="P585" t="inlineStr">
        <is>
          <t xml:space="preserve">gw </t>
        </is>
      </c>
      <c r="R585" t="inlineStr">
        <is>
          <t xml:space="preserve">E  </t>
        </is>
      </c>
      <c r="S585" t="n">
        <v>2</v>
      </c>
      <c r="T585" t="n">
        <v>2</v>
      </c>
      <c r="U585" t="inlineStr">
        <is>
          <t>1995-09-19</t>
        </is>
      </c>
      <c r="V585" t="inlineStr">
        <is>
          <t>1995-09-19</t>
        </is>
      </c>
      <c r="W585" t="inlineStr">
        <is>
          <t>1991-02-01</t>
        </is>
      </c>
      <c r="X585" t="inlineStr">
        <is>
          <t>1991-02-01</t>
        </is>
      </c>
      <c r="Y585" t="n">
        <v>128</v>
      </c>
      <c r="Z585" t="n">
        <v>115</v>
      </c>
      <c r="AA585" t="n">
        <v>122</v>
      </c>
      <c r="AB585" t="n">
        <v>3</v>
      </c>
      <c r="AC585" t="n">
        <v>3</v>
      </c>
      <c r="AD585" t="n">
        <v>4</v>
      </c>
      <c r="AE585" t="n">
        <v>4</v>
      </c>
      <c r="AF585" t="n">
        <v>1</v>
      </c>
      <c r="AG585" t="n">
        <v>1</v>
      </c>
      <c r="AH585" t="n">
        <v>0</v>
      </c>
      <c r="AI585" t="n">
        <v>0</v>
      </c>
      <c r="AJ585" t="n">
        <v>3</v>
      </c>
      <c r="AK585" t="n">
        <v>3</v>
      </c>
      <c r="AL585" t="n">
        <v>1</v>
      </c>
      <c r="AM585" t="n">
        <v>1</v>
      </c>
      <c r="AN585" t="n">
        <v>0</v>
      </c>
      <c r="AO585" t="n">
        <v>0</v>
      </c>
      <c r="AP585" t="inlineStr">
        <is>
          <t>No</t>
        </is>
      </c>
      <c r="AQ585" t="inlineStr">
        <is>
          <t>No</t>
        </is>
      </c>
      <c r="AS585">
        <f>HYPERLINK("https://creighton-primo.hosted.exlibrisgroup.com/primo-explore/search?tab=default_tab&amp;search_scope=EVERYTHING&amp;vid=01CRU&amp;lang=en_US&amp;offset=0&amp;query=any,contains,991000793189702656","Catalog Record")</f>
        <v/>
      </c>
      <c r="AT585">
        <f>HYPERLINK("http://www.worldcat.org/oclc/13167561","WorldCat Record")</f>
        <v/>
      </c>
      <c r="AU585" t="inlineStr">
        <is>
          <t>143923982:eng</t>
        </is>
      </c>
      <c r="AV585" t="inlineStr">
        <is>
          <t>13167561</t>
        </is>
      </c>
      <c r="AW585" t="inlineStr">
        <is>
          <t>991000793189702656</t>
        </is>
      </c>
      <c r="AX585" t="inlineStr">
        <is>
          <t>991000793189702656</t>
        </is>
      </c>
      <c r="AY585" t="inlineStr">
        <is>
          <t>2272320570002656</t>
        </is>
      </c>
      <c r="AZ585" t="inlineStr">
        <is>
          <t>BOOK</t>
        </is>
      </c>
      <c r="BB585" t="inlineStr">
        <is>
          <t>9783891640357</t>
        </is>
      </c>
      <c r="BC585" t="inlineStr">
        <is>
          <t>32285000481191</t>
        </is>
      </c>
      <c r="BD585" t="inlineStr">
        <is>
          <t>893891027</t>
        </is>
      </c>
    </row>
    <row r="586">
      <c r="A586" t="inlineStr">
        <is>
          <t>No</t>
        </is>
      </c>
      <c r="B586" t="inlineStr">
        <is>
          <t>E183.8.G3 D39</t>
        </is>
      </c>
      <c r="C586" t="inlineStr">
        <is>
          <t>0                      E  0183800G  3                  D  39</t>
        </is>
      </c>
      <c r="D586" t="inlineStr">
        <is>
          <t>Die Deutschen und die Amerikaner : eine Dokumentation = The Americans and the Germans : a documentary / hrsg. von Thomas Piltz, [Mitarbeiter, Donald Arthur ... et al. ; deutsche Originalbeiträge wurden übers. von Louise Fontaine, Renata Lenart, englische Originalbeiträge wurden übers. von, Uschi Gnade].</t>
        </is>
      </c>
      <c r="F586" t="inlineStr">
        <is>
          <t>No</t>
        </is>
      </c>
      <c r="G586" t="inlineStr">
        <is>
          <t>1</t>
        </is>
      </c>
      <c r="H586" t="inlineStr">
        <is>
          <t>No</t>
        </is>
      </c>
      <c r="I586" t="inlineStr">
        <is>
          <t>No</t>
        </is>
      </c>
      <c r="J586" t="inlineStr">
        <is>
          <t>0</t>
        </is>
      </c>
      <c r="L586" t="inlineStr">
        <is>
          <t>München : H. Moos ; New York : American distribution by German Language Publication, c1977.</t>
        </is>
      </c>
      <c r="M586" t="inlineStr">
        <is>
          <t>1977</t>
        </is>
      </c>
      <c r="O586" t="inlineStr">
        <is>
          <t>ger</t>
        </is>
      </c>
      <c r="P586" t="inlineStr">
        <is>
          <t xml:space="preserve">gw </t>
        </is>
      </c>
      <c r="R586" t="inlineStr">
        <is>
          <t xml:space="preserve">E  </t>
        </is>
      </c>
      <c r="S586" t="n">
        <v>1</v>
      </c>
      <c r="T586" t="n">
        <v>1</v>
      </c>
      <c r="U586" t="inlineStr">
        <is>
          <t>1995-09-19</t>
        </is>
      </c>
      <c r="V586" t="inlineStr">
        <is>
          <t>1995-09-19</t>
        </is>
      </c>
      <c r="W586" t="inlineStr">
        <is>
          <t>1990-02-28</t>
        </is>
      </c>
      <c r="X586" t="inlineStr">
        <is>
          <t>1990-02-28</t>
        </is>
      </c>
      <c r="Y586" t="n">
        <v>187</v>
      </c>
      <c r="Z586" t="n">
        <v>167</v>
      </c>
      <c r="AA586" t="n">
        <v>173</v>
      </c>
      <c r="AB586" t="n">
        <v>2</v>
      </c>
      <c r="AC586" t="n">
        <v>2</v>
      </c>
      <c r="AD586" t="n">
        <v>7</v>
      </c>
      <c r="AE586" t="n">
        <v>7</v>
      </c>
      <c r="AF586" t="n">
        <v>2</v>
      </c>
      <c r="AG586" t="n">
        <v>2</v>
      </c>
      <c r="AH586" t="n">
        <v>3</v>
      </c>
      <c r="AI586" t="n">
        <v>3</v>
      </c>
      <c r="AJ586" t="n">
        <v>3</v>
      </c>
      <c r="AK586" t="n">
        <v>3</v>
      </c>
      <c r="AL586" t="n">
        <v>1</v>
      </c>
      <c r="AM586" t="n">
        <v>1</v>
      </c>
      <c r="AN586" t="n">
        <v>0</v>
      </c>
      <c r="AO586" t="n">
        <v>0</v>
      </c>
      <c r="AP586" t="inlineStr">
        <is>
          <t>No</t>
        </is>
      </c>
      <c r="AQ586" t="inlineStr">
        <is>
          <t>No</t>
        </is>
      </c>
      <c r="AS586">
        <f>HYPERLINK("https://creighton-primo.hosted.exlibrisgroup.com/primo-explore/search?tab=default_tab&amp;search_scope=EVERYTHING&amp;vid=01CRU&amp;lang=en_US&amp;offset=0&amp;query=any,contains,991004539729702656","Catalog Record")</f>
        <v/>
      </c>
      <c r="AT586">
        <f>HYPERLINK("http://www.worldcat.org/oclc/3892511","WorldCat Record")</f>
        <v/>
      </c>
      <c r="AU586" t="inlineStr">
        <is>
          <t>1810542157:ger</t>
        </is>
      </c>
      <c r="AV586" t="inlineStr">
        <is>
          <t>3892511</t>
        </is>
      </c>
      <c r="AW586" t="inlineStr">
        <is>
          <t>991004539729702656</t>
        </is>
      </c>
      <c r="AX586" t="inlineStr">
        <is>
          <t>991004539729702656</t>
        </is>
      </c>
      <c r="AY586" t="inlineStr">
        <is>
          <t>2269495390002656</t>
        </is>
      </c>
      <c r="AZ586" t="inlineStr">
        <is>
          <t>BOOK</t>
        </is>
      </c>
      <c r="BB586" t="inlineStr">
        <is>
          <t>9783787901081</t>
        </is>
      </c>
      <c r="BC586" t="inlineStr">
        <is>
          <t>32285000072891</t>
        </is>
      </c>
      <c r="BD586" t="inlineStr">
        <is>
          <t>893532517</t>
        </is>
      </c>
    </row>
    <row r="587">
      <c r="A587" t="inlineStr">
        <is>
          <t>No</t>
        </is>
      </c>
      <c r="B587" t="inlineStr">
        <is>
          <t>E183.8.G3 F37 1997</t>
        </is>
      </c>
      <c r="C587" t="inlineStr">
        <is>
          <t>0                      E  0183800G  3                  F  37          1997</t>
        </is>
      </c>
      <c r="D587" t="inlineStr">
        <is>
          <t>Roosevelt and the Munich crisis : a study of political decision-making / Barbara Rearden Farnham.</t>
        </is>
      </c>
      <c r="F587" t="inlineStr">
        <is>
          <t>No</t>
        </is>
      </c>
      <c r="G587" t="inlineStr">
        <is>
          <t>1</t>
        </is>
      </c>
      <c r="H587" t="inlineStr">
        <is>
          <t>No</t>
        </is>
      </c>
      <c r="I587" t="inlineStr">
        <is>
          <t>No</t>
        </is>
      </c>
      <c r="J587" t="inlineStr">
        <is>
          <t>0</t>
        </is>
      </c>
      <c r="K587" t="inlineStr">
        <is>
          <t>Farnham, Barbara.</t>
        </is>
      </c>
      <c r="L587" t="inlineStr">
        <is>
          <t>Princeton, N.J. : Princeton University Press, c1997.</t>
        </is>
      </c>
      <c r="M587" t="inlineStr">
        <is>
          <t>1997</t>
        </is>
      </c>
      <c r="O587" t="inlineStr">
        <is>
          <t>eng</t>
        </is>
      </c>
      <c r="P587" t="inlineStr">
        <is>
          <t>nju</t>
        </is>
      </c>
      <c r="Q587" t="inlineStr">
        <is>
          <t>Princeton studies in international history and politics</t>
        </is>
      </c>
      <c r="R587" t="inlineStr">
        <is>
          <t xml:space="preserve">E  </t>
        </is>
      </c>
      <c r="S587" t="n">
        <v>1</v>
      </c>
      <c r="T587" t="n">
        <v>1</v>
      </c>
      <c r="U587" t="inlineStr">
        <is>
          <t>2005-11-08</t>
        </is>
      </c>
      <c r="V587" t="inlineStr">
        <is>
          <t>2005-11-08</t>
        </is>
      </c>
      <c r="W587" t="inlineStr">
        <is>
          <t>1997-06-24</t>
        </is>
      </c>
      <c r="X587" t="inlineStr">
        <is>
          <t>1997-06-24</t>
        </is>
      </c>
      <c r="Y587" t="n">
        <v>475</v>
      </c>
      <c r="Z587" t="n">
        <v>393</v>
      </c>
      <c r="AA587" t="n">
        <v>397</v>
      </c>
      <c r="AB587" t="n">
        <v>3</v>
      </c>
      <c r="AC587" t="n">
        <v>3</v>
      </c>
      <c r="AD587" t="n">
        <v>21</v>
      </c>
      <c r="AE587" t="n">
        <v>21</v>
      </c>
      <c r="AF587" t="n">
        <v>6</v>
      </c>
      <c r="AG587" t="n">
        <v>6</v>
      </c>
      <c r="AH587" t="n">
        <v>6</v>
      </c>
      <c r="AI587" t="n">
        <v>6</v>
      </c>
      <c r="AJ587" t="n">
        <v>12</v>
      </c>
      <c r="AK587" t="n">
        <v>12</v>
      </c>
      <c r="AL587" t="n">
        <v>2</v>
      </c>
      <c r="AM587" t="n">
        <v>2</v>
      </c>
      <c r="AN587" t="n">
        <v>0</v>
      </c>
      <c r="AO587" t="n">
        <v>0</v>
      </c>
      <c r="AP587" t="inlineStr">
        <is>
          <t>No</t>
        </is>
      </c>
      <c r="AQ587" t="inlineStr">
        <is>
          <t>No</t>
        </is>
      </c>
      <c r="AS587">
        <f>HYPERLINK("https://creighton-primo.hosted.exlibrisgroup.com/primo-explore/search?tab=default_tab&amp;search_scope=EVERYTHING&amp;vid=01CRU&amp;lang=en_US&amp;offset=0&amp;query=any,contains,991002686019702656","Catalog Record")</f>
        <v/>
      </c>
      <c r="AT587">
        <f>HYPERLINK("http://www.worldcat.org/oclc/35095817","WorldCat Record")</f>
        <v/>
      </c>
      <c r="AU587" t="inlineStr">
        <is>
          <t>206121652:eng</t>
        </is>
      </c>
      <c r="AV587" t="inlineStr">
        <is>
          <t>35095817</t>
        </is>
      </c>
      <c r="AW587" t="inlineStr">
        <is>
          <t>991002686019702656</t>
        </is>
      </c>
      <c r="AX587" t="inlineStr">
        <is>
          <t>991002686019702656</t>
        </is>
      </c>
      <c r="AY587" t="inlineStr">
        <is>
          <t>2272150280002656</t>
        </is>
      </c>
      <c r="AZ587" t="inlineStr">
        <is>
          <t>BOOK</t>
        </is>
      </c>
      <c r="BB587" t="inlineStr">
        <is>
          <t>9780691026114</t>
        </is>
      </c>
      <c r="BC587" t="inlineStr">
        <is>
          <t>32285002753134</t>
        </is>
      </c>
      <c r="BD587" t="inlineStr">
        <is>
          <t>893899074</t>
        </is>
      </c>
    </row>
    <row r="588">
      <c r="A588" t="inlineStr">
        <is>
          <t>No</t>
        </is>
      </c>
      <c r="B588" t="inlineStr">
        <is>
          <t>E183.8.G3 F73 1991</t>
        </is>
      </c>
      <c r="C588" t="inlineStr">
        <is>
          <t>0                      E  0183800G  3                  F  73          1991</t>
        </is>
      </c>
      <c r="D588" t="inlineStr">
        <is>
          <t>United Germany and the United States / Michael A. Freney and Rebecca S. Hartley.</t>
        </is>
      </c>
      <c r="F588" t="inlineStr">
        <is>
          <t>No</t>
        </is>
      </c>
      <c r="G588" t="inlineStr">
        <is>
          <t>1</t>
        </is>
      </c>
      <c r="H588" t="inlineStr">
        <is>
          <t>No</t>
        </is>
      </c>
      <c r="I588" t="inlineStr">
        <is>
          <t>No</t>
        </is>
      </c>
      <c r="J588" t="inlineStr">
        <is>
          <t>0</t>
        </is>
      </c>
      <c r="K588" t="inlineStr">
        <is>
          <t>Freney, Michael A.</t>
        </is>
      </c>
      <c r="L588" t="inlineStr">
        <is>
          <t>Washington, D.C. : National Planning Association, 1991.</t>
        </is>
      </c>
      <c r="M588" t="inlineStr">
        <is>
          <t>1991</t>
        </is>
      </c>
      <c r="O588" t="inlineStr">
        <is>
          <t>eng</t>
        </is>
      </c>
      <c r="P588" t="inlineStr">
        <is>
          <t>dcu</t>
        </is>
      </c>
      <c r="Q588" t="inlineStr">
        <is>
          <t>CIR report ; no. 21</t>
        </is>
      </c>
      <c r="R588" t="inlineStr">
        <is>
          <t xml:space="preserve">E  </t>
        </is>
      </c>
      <c r="S588" t="n">
        <v>1</v>
      </c>
      <c r="T588" t="n">
        <v>1</v>
      </c>
      <c r="U588" t="inlineStr">
        <is>
          <t>1992-03-09</t>
        </is>
      </c>
      <c r="V588" t="inlineStr">
        <is>
          <t>1992-03-09</t>
        </is>
      </c>
      <c r="W588" t="inlineStr">
        <is>
          <t>1991-06-06</t>
        </is>
      </c>
      <c r="X588" t="inlineStr">
        <is>
          <t>1991-06-06</t>
        </is>
      </c>
      <c r="Y588" t="n">
        <v>243</v>
      </c>
      <c r="Z588" t="n">
        <v>213</v>
      </c>
      <c r="AA588" t="n">
        <v>215</v>
      </c>
      <c r="AB588" t="n">
        <v>2</v>
      </c>
      <c r="AC588" t="n">
        <v>2</v>
      </c>
      <c r="AD588" t="n">
        <v>9</v>
      </c>
      <c r="AE588" t="n">
        <v>9</v>
      </c>
      <c r="AF588" t="n">
        <v>3</v>
      </c>
      <c r="AG588" t="n">
        <v>3</v>
      </c>
      <c r="AH588" t="n">
        <v>3</v>
      </c>
      <c r="AI588" t="n">
        <v>3</v>
      </c>
      <c r="AJ588" t="n">
        <v>5</v>
      </c>
      <c r="AK588" t="n">
        <v>5</v>
      </c>
      <c r="AL588" t="n">
        <v>1</v>
      </c>
      <c r="AM588" t="n">
        <v>1</v>
      </c>
      <c r="AN588" t="n">
        <v>0</v>
      </c>
      <c r="AO588" t="n">
        <v>0</v>
      </c>
      <c r="AP588" t="inlineStr">
        <is>
          <t>No</t>
        </is>
      </c>
      <c r="AQ588" t="inlineStr">
        <is>
          <t>Yes</t>
        </is>
      </c>
      <c r="AR588">
        <f>HYPERLINK("http://catalog.hathitrust.org/Record/002861233","HathiTrust Record")</f>
        <v/>
      </c>
      <c r="AS588">
        <f>HYPERLINK("https://creighton-primo.hosted.exlibrisgroup.com/primo-explore/search?tab=default_tab&amp;search_scope=EVERYTHING&amp;vid=01CRU&amp;lang=en_US&amp;offset=0&amp;query=any,contains,991001883199702656","Catalog Record")</f>
        <v/>
      </c>
      <c r="AT588">
        <f>HYPERLINK("http://www.worldcat.org/oclc/23762472","WorldCat Record")</f>
        <v/>
      </c>
      <c r="AU588" t="inlineStr">
        <is>
          <t>24963986:eng</t>
        </is>
      </c>
      <c r="AV588" t="inlineStr">
        <is>
          <t>23762472</t>
        </is>
      </c>
      <c r="AW588" t="inlineStr">
        <is>
          <t>991001883199702656</t>
        </is>
      </c>
      <c r="AX588" t="inlineStr">
        <is>
          <t>991001883199702656</t>
        </is>
      </c>
      <c r="AY588" t="inlineStr">
        <is>
          <t>2256293110002656</t>
        </is>
      </c>
      <c r="AZ588" t="inlineStr">
        <is>
          <t>BOOK</t>
        </is>
      </c>
      <c r="BB588" t="inlineStr">
        <is>
          <t>9780890681077</t>
        </is>
      </c>
      <c r="BC588" t="inlineStr">
        <is>
          <t>32285000644525</t>
        </is>
      </c>
      <c r="BD588" t="inlineStr">
        <is>
          <t>893414572</t>
        </is>
      </c>
    </row>
    <row r="589">
      <c r="A589" t="inlineStr">
        <is>
          <t>No</t>
        </is>
      </c>
      <c r="B589" t="inlineStr">
        <is>
          <t>E183.8.G3 G478 2001</t>
        </is>
      </c>
      <c r="C589" t="inlineStr">
        <is>
          <t>0                      E  0183800G  3                  G  478         2001</t>
        </is>
      </c>
      <c r="D589" t="inlineStr">
        <is>
          <t>Germany and America : essays in honor of Gerald R. Kleinfeld / edited by Wolfgang-Uwe Friedrich.</t>
        </is>
      </c>
      <c r="F589" t="inlineStr">
        <is>
          <t>No</t>
        </is>
      </c>
      <c r="G589" t="inlineStr">
        <is>
          <t>1</t>
        </is>
      </c>
      <c r="H589" t="inlineStr">
        <is>
          <t>No</t>
        </is>
      </c>
      <c r="I589" t="inlineStr">
        <is>
          <t>No</t>
        </is>
      </c>
      <c r="J589" t="inlineStr">
        <is>
          <t>0</t>
        </is>
      </c>
      <c r="L589" t="inlineStr">
        <is>
          <t>New York : Berghahn Books, 2001.</t>
        </is>
      </c>
      <c r="M589" t="inlineStr">
        <is>
          <t>2001</t>
        </is>
      </c>
      <c r="O589" t="inlineStr">
        <is>
          <t>eng</t>
        </is>
      </c>
      <c r="P589" t="inlineStr">
        <is>
          <t>nyu</t>
        </is>
      </c>
      <c r="R589" t="inlineStr">
        <is>
          <t xml:space="preserve">E  </t>
        </is>
      </c>
      <c r="S589" t="n">
        <v>1</v>
      </c>
      <c r="T589" t="n">
        <v>1</v>
      </c>
      <c r="U589" t="inlineStr">
        <is>
          <t>2002-05-16</t>
        </is>
      </c>
      <c r="V589" t="inlineStr">
        <is>
          <t>2002-05-16</t>
        </is>
      </c>
      <c r="W589" t="inlineStr">
        <is>
          <t>2002-05-07</t>
        </is>
      </c>
      <c r="X589" t="inlineStr">
        <is>
          <t>2002-05-07</t>
        </is>
      </c>
      <c r="Y589" t="n">
        <v>149</v>
      </c>
      <c r="Z589" t="n">
        <v>110</v>
      </c>
      <c r="AA589" t="n">
        <v>125</v>
      </c>
      <c r="AB589" t="n">
        <v>2</v>
      </c>
      <c r="AC589" t="n">
        <v>2</v>
      </c>
      <c r="AD589" t="n">
        <v>8</v>
      </c>
      <c r="AE589" t="n">
        <v>9</v>
      </c>
      <c r="AF589" t="n">
        <v>1</v>
      </c>
      <c r="AG589" t="n">
        <v>2</v>
      </c>
      <c r="AH589" t="n">
        <v>3</v>
      </c>
      <c r="AI589" t="n">
        <v>4</v>
      </c>
      <c r="AJ589" t="n">
        <v>6</v>
      </c>
      <c r="AK589" t="n">
        <v>6</v>
      </c>
      <c r="AL589" t="n">
        <v>1</v>
      </c>
      <c r="AM589" t="n">
        <v>1</v>
      </c>
      <c r="AN589" t="n">
        <v>0</v>
      </c>
      <c r="AO589" t="n">
        <v>0</v>
      </c>
      <c r="AP589" t="inlineStr">
        <is>
          <t>No</t>
        </is>
      </c>
      <c r="AQ589" t="inlineStr">
        <is>
          <t>Yes</t>
        </is>
      </c>
      <c r="AR589">
        <f>HYPERLINK("http://catalog.hathitrust.org/Record/003592318","HathiTrust Record")</f>
        <v/>
      </c>
      <c r="AS589">
        <f>HYPERLINK("https://creighton-primo.hosted.exlibrisgroup.com/primo-explore/search?tab=default_tab&amp;search_scope=EVERYTHING&amp;vid=01CRU&amp;lang=en_US&amp;offset=0&amp;query=any,contains,991003775619702656","Catalog Record")</f>
        <v/>
      </c>
      <c r="AT589">
        <f>HYPERLINK("http://www.worldcat.org/oclc/47755750","WorldCat Record")</f>
        <v/>
      </c>
      <c r="AU589" t="inlineStr">
        <is>
          <t>837050014:eng</t>
        </is>
      </c>
      <c r="AV589" t="inlineStr">
        <is>
          <t>47755750</t>
        </is>
      </c>
      <c r="AW589" t="inlineStr">
        <is>
          <t>991003775619702656</t>
        </is>
      </c>
      <c r="AX589" t="inlineStr">
        <is>
          <t>991003775619702656</t>
        </is>
      </c>
      <c r="AY589" t="inlineStr">
        <is>
          <t>2261699930002656</t>
        </is>
      </c>
      <c r="AZ589" t="inlineStr">
        <is>
          <t>BOOK</t>
        </is>
      </c>
      <c r="BB589" t="inlineStr">
        <is>
          <t>9781571812742</t>
        </is>
      </c>
      <c r="BC589" t="inlineStr">
        <is>
          <t>32285004486014</t>
        </is>
      </c>
      <c r="BD589" t="inlineStr">
        <is>
          <t>893330785</t>
        </is>
      </c>
    </row>
    <row r="590">
      <c r="A590" t="inlineStr">
        <is>
          <t>No</t>
        </is>
      </c>
      <c r="B590" t="inlineStr">
        <is>
          <t>E183.8.G3 P66 1990</t>
        </is>
      </c>
      <c r="C590" t="inlineStr">
        <is>
          <t>0                      E  0183800G  3                  P  66          1990</t>
        </is>
      </c>
      <c r="D590" t="inlineStr">
        <is>
          <t>After the wall : American policy toward Germany / by Elizabeth Pond.</t>
        </is>
      </c>
      <c r="F590" t="inlineStr">
        <is>
          <t>No</t>
        </is>
      </c>
      <c r="G590" t="inlineStr">
        <is>
          <t>1</t>
        </is>
      </c>
      <c r="H590" t="inlineStr">
        <is>
          <t>No</t>
        </is>
      </c>
      <c r="I590" t="inlineStr">
        <is>
          <t>No</t>
        </is>
      </c>
      <c r="J590" t="inlineStr">
        <is>
          <t>0</t>
        </is>
      </c>
      <c r="K590" t="inlineStr">
        <is>
          <t>Pond, Elizabeth.</t>
        </is>
      </c>
      <c r="L590" t="inlineStr">
        <is>
          <t>New York : Priority Press Publications : Distributed by the Brookings Institution, c1990.</t>
        </is>
      </c>
      <c r="M590" t="inlineStr">
        <is>
          <t>1990</t>
        </is>
      </c>
      <c r="O590" t="inlineStr">
        <is>
          <t>eng</t>
        </is>
      </c>
      <c r="P590" t="inlineStr">
        <is>
          <t>nyu</t>
        </is>
      </c>
      <c r="R590" t="inlineStr">
        <is>
          <t xml:space="preserve">E  </t>
        </is>
      </c>
      <c r="S590" t="n">
        <v>1</v>
      </c>
      <c r="T590" t="n">
        <v>1</v>
      </c>
      <c r="U590" t="inlineStr">
        <is>
          <t>1992-03-09</t>
        </is>
      </c>
      <c r="V590" t="inlineStr">
        <is>
          <t>1992-03-09</t>
        </is>
      </c>
      <c r="W590" t="inlineStr">
        <is>
          <t>1991-07-03</t>
        </is>
      </c>
      <c r="X590" t="inlineStr">
        <is>
          <t>1991-07-03</t>
        </is>
      </c>
      <c r="Y590" t="n">
        <v>313</v>
      </c>
      <c r="Z590" t="n">
        <v>256</v>
      </c>
      <c r="AA590" t="n">
        <v>265</v>
      </c>
      <c r="AB590" t="n">
        <v>1</v>
      </c>
      <c r="AC590" t="n">
        <v>1</v>
      </c>
      <c r="AD590" t="n">
        <v>13</v>
      </c>
      <c r="AE590" t="n">
        <v>13</v>
      </c>
      <c r="AF590" t="n">
        <v>4</v>
      </c>
      <c r="AG590" t="n">
        <v>4</v>
      </c>
      <c r="AH590" t="n">
        <v>4</v>
      </c>
      <c r="AI590" t="n">
        <v>4</v>
      </c>
      <c r="AJ590" t="n">
        <v>9</v>
      </c>
      <c r="AK590" t="n">
        <v>9</v>
      </c>
      <c r="AL590" t="n">
        <v>0</v>
      </c>
      <c r="AM590" t="n">
        <v>0</v>
      </c>
      <c r="AN590" t="n">
        <v>1</v>
      </c>
      <c r="AO590" t="n">
        <v>1</v>
      </c>
      <c r="AP590" t="inlineStr">
        <is>
          <t>No</t>
        </is>
      </c>
      <c r="AQ590" t="inlineStr">
        <is>
          <t>Yes</t>
        </is>
      </c>
      <c r="AR590">
        <f>HYPERLINK("http://catalog.hathitrust.org/Record/002235478","HathiTrust Record")</f>
        <v/>
      </c>
      <c r="AS590">
        <f>HYPERLINK("https://creighton-primo.hosted.exlibrisgroup.com/primo-explore/search?tab=default_tab&amp;search_scope=EVERYTHING&amp;vid=01CRU&amp;lang=en_US&amp;offset=0&amp;query=any,contains,991001780459702656","Catalog Record")</f>
        <v/>
      </c>
      <c r="AT590">
        <f>HYPERLINK("http://www.worldcat.org/oclc/22452638","WorldCat Record")</f>
        <v/>
      </c>
      <c r="AU590" t="inlineStr">
        <is>
          <t>897796469:eng</t>
        </is>
      </c>
      <c r="AV590" t="inlineStr">
        <is>
          <t>22452638</t>
        </is>
      </c>
      <c r="AW590" t="inlineStr">
        <is>
          <t>991001780459702656</t>
        </is>
      </c>
      <c r="AX590" t="inlineStr">
        <is>
          <t>991001780459702656</t>
        </is>
      </c>
      <c r="AY590" t="inlineStr">
        <is>
          <t>2260306860002656</t>
        </is>
      </c>
      <c r="AZ590" t="inlineStr">
        <is>
          <t>BOOK</t>
        </is>
      </c>
      <c r="BB590" t="inlineStr">
        <is>
          <t>9780870783234</t>
        </is>
      </c>
      <c r="BC590" t="inlineStr">
        <is>
          <t>32285000648492</t>
        </is>
      </c>
      <c r="BD590" t="inlineStr">
        <is>
          <t>893433136</t>
        </is>
      </c>
    </row>
    <row r="591">
      <c r="A591" t="inlineStr">
        <is>
          <t>No</t>
        </is>
      </c>
      <c r="B591" t="inlineStr">
        <is>
          <t>E183.8.G3 P67 1993</t>
        </is>
      </c>
      <c r="C591" t="inlineStr">
        <is>
          <t>0                      E  0183800G  3                  P  67          1993</t>
        </is>
      </c>
      <c r="D591" t="inlineStr">
        <is>
          <t>Beyond the wall : Germany's road to unification / Elizabeth Pond.</t>
        </is>
      </c>
      <c r="F591" t="inlineStr">
        <is>
          <t>No</t>
        </is>
      </c>
      <c r="G591" t="inlineStr">
        <is>
          <t>1</t>
        </is>
      </c>
      <c r="H591" t="inlineStr">
        <is>
          <t>No</t>
        </is>
      </c>
      <c r="I591" t="inlineStr">
        <is>
          <t>No</t>
        </is>
      </c>
      <c r="J591" t="inlineStr">
        <is>
          <t>0</t>
        </is>
      </c>
      <c r="K591" t="inlineStr">
        <is>
          <t>Pond, Elizabeth.</t>
        </is>
      </c>
      <c r="L591" t="inlineStr">
        <is>
          <t>Washington, D.C. : Brookings Institution, c1993.</t>
        </is>
      </c>
      <c r="M591" t="inlineStr">
        <is>
          <t>1993</t>
        </is>
      </c>
      <c r="O591" t="inlineStr">
        <is>
          <t>eng</t>
        </is>
      </c>
      <c r="P591" t="inlineStr">
        <is>
          <t>dcu</t>
        </is>
      </c>
      <c r="R591" t="inlineStr">
        <is>
          <t xml:space="preserve">E  </t>
        </is>
      </c>
      <c r="S591" t="n">
        <v>4</v>
      </c>
      <c r="T591" t="n">
        <v>4</v>
      </c>
      <c r="U591" t="inlineStr">
        <is>
          <t>1994-03-04</t>
        </is>
      </c>
      <c r="V591" t="inlineStr">
        <is>
          <t>1994-03-04</t>
        </is>
      </c>
      <c r="W591" t="inlineStr">
        <is>
          <t>1993-06-02</t>
        </is>
      </c>
      <c r="X591" t="inlineStr">
        <is>
          <t>1993-06-02</t>
        </is>
      </c>
      <c r="Y591" t="n">
        <v>1001</v>
      </c>
      <c r="Z591" t="n">
        <v>791</v>
      </c>
      <c r="AA591" t="n">
        <v>791</v>
      </c>
      <c r="AB591" t="n">
        <v>10</v>
      </c>
      <c r="AC591" t="n">
        <v>10</v>
      </c>
      <c r="AD591" t="n">
        <v>40</v>
      </c>
      <c r="AE591" t="n">
        <v>40</v>
      </c>
      <c r="AF591" t="n">
        <v>13</v>
      </c>
      <c r="AG591" t="n">
        <v>13</v>
      </c>
      <c r="AH591" t="n">
        <v>7</v>
      </c>
      <c r="AI591" t="n">
        <v>7</v>
      </c>
      <c r="AJ591" t="n">
        <v>20</v>
      </c>
      <c r="AK591" t="n">
        <v>20</v>
      </c>
      <c r="AL591" t="n">
        <v>8</v>
      </c>
      <c r="AM591" t="n">
        <v>8</v>
      </c>
      <c r="AN591" t="n">
        <v>2</v>
      </c>
      <c r="AO591" t="n">
        <v>2</v>
      </c>
      <c r="AP591" t="inlineStr">
        <is>
          <t>No</t>
        </is>
      </c>
      <c r="AQ591" t="inlineStr">
        <is>
          <t>No</t>
        </is>
      </c>
      <c r="AS591">
        <f>HYPERLINK("https://creighton-primo.hosted.exlibrisgroup.com/primo-explore/search?tab=default_tab&amp;search_scope=EVERYTHING&amp;vid=01CRU&amp;lang=en_US&amp;offset=0&amp;query=any,contains,991002117259702656","Catalog Record")</f>
        <v/>
      </c>
      <c r="AT591">
        <f>HYPERLINK("http://www.worldcat.org/oclc/27144428","WorldCat Record")</f>
        <v/>
      </c>
      <c r="AU591" t="inlineStr">
        <is>
          <t>889609800:eng</t>
        </is>
      </c>
      <c r="AV591" t="inlineStr">
        <is>
          <t>27144428</t>
        </is>
      </c>
      <c r="AW591" t="inlineStr">
        <is>
          <t>991002117259702656</t>
        </is>
      </c>
      <c r="AX591" t="inlineStr">
        <is>
          <t>991002117259702656</t>
        </is>
      </c>
      <c r="AY591" t="inlineStr">
        <is>
          <t>2254980520002656</t>
        </is>
      </c>
      <c r="AZ591" t="inlineStr">
        <is>
          <t>BOOK</t>
        </is>
      </c>
      <c r="BB591" t="inlineStr">
        <is>
          <t>9780870783234</t>
        </is>
      </c>
      <c r="BC591" t="inlineStr">
        <is>
          <t>32285001706133</t>
        </is>
      </c>
      <c r="BD591" t="inlineStr">
        <is>
          <t>893439786</t>
        </is>
      </c>
    </row>
    <row r="592">
      <c r="A592" t="inlineStr">
        <is>
          <t>No</t>
        </is>
      </c>
      <c r="B592" t="inlineStr">
        <is>
          <t>E183.8.G3 S513 1991</t>
        </is>
      </c>
      <c r="C592" t="inlineStr">
        <is>
          <t>0                      E  0183800G  3                  S  513         1991</t>
        </is>
      </c>
      <c r="D592" t="inlineStr">
        <is>
          <t>America's Germany : John J. McCloy and the Federal Republic of Germany / Thomas Alan Schwartz.</t>
        </is>
      </c>
      <c r="F592" t="inlineStr">
        <is>
          <t>No</t>
        </is>
      </c>
      <c r="G592" t="inlineStr">
        <is>
          <t>1</t>
        </is>
      </c>
      <c r="H592" t="inlineStr">
        <is>
          <t>No</t>
        </is>
      </c>
      <c r="I592" t="inlineStr">
        <is>
          <t>No</t>
        </is>
      </c>
      <c r="J592" t="inlineStr">
        <is>
          <t>0</t>
        </is>
      </c>
      <c r="K592" t="inlineStr">
        <is>
          <t>Schwartz, Thomas A. (Thomas Alan), 1954-</t>
        </is>
      </c>
      <c r="L592" t="inlineStr">
        <is>
          <t>Cambridge, Mass. : Harvard University Press, 1991.</t>
        </is>
      </c>
      <c r="M592" t="inlineStr">
        <is>
          <t>1991</t>
        </is>
      </c>
      <c r="O592" t="inlineStr">
        <is>
          <t>eng</t>
        </is>
      </c>
      <c r="P592" t="inlineStr">
        <is>
          <t>mau</t>
        </is>
      </c>
      <c r="R592" t="inlineStr">
        <is>
          <t xml:space="preserve">E  </t>
        </is>
      </c>
      <c r="S592" t="n">
        <v>0</v>
      </c>
      <c r="T592" t="n">
        <v>0</v>
      </c>
      <c r="U592" t="inlineStr">
        <is>
          <t>2005-10-14</t>
        </is>
      </c>
      <c r="V592" t="inlineStr">
        <is>
          <t>2005-10-14</t>
        </is>
      </c>
      <c r="W592" t="inlineStr">
        <is>
          <t>1999-11-04</t>
        </is>
      </c>
      <c r="X592" t="inlineStr">
        <is>
          <t>1999-11-04</t>
        </is>
      </c>
      <c r="Y592" t="n">
        <v>662</v>
      </c>
      <c r="Z592" t="n">
        <v>528</v>
      </c>
      <c r="AA592" t="n">
        <v>533</v>
      </c>
      <c r="AB592" t="n">
        <v>4</v>
      </c>
      <c r="AC592" t="n">
        <v>4</v>
      </c>
      <c r="AD592" t="n">
        <v>29</v>
      </c>
      <c r="AE592" t="n">
        <v>29</v>
      </c>
      <c r="AF592" t="n">
        <v>11</v>
      </c>
      <c r="AG592" t="n">
        <v>11</v>
      </c>
      <c r="AH592" t="n">
        <v>7</v>
      </c>
      <c r="AI592" t="n">
        <v>7</v>
      </c>
      <c r="AJ592" t="n">
        <v>14</v>
      </c>
      <c r="AK592" t="n">
        <v>14</v>
      </c>
      <c r="AL592" t="n">
        <v>3</v>
      </c>
      <c r="AM592" t="n">
        <v>3</v>
      </c>
      <c r="AN592" t="n">
        <v>1</v>
      </c>
      <c r="AO592" t="n">
        <v>1</v>
      </c>
      <c r="AP592" t="inlineStr">
        <is>
          <t>No</t>
        </is>
      </c>
      <c r="AQ592" t="inlineStr">
        <is>
          <t>Yes</t>
        </is>
      </c>
      <c r="AR592">
        <f>HYPERLINK("http://catalog.hathitrust.org/Record/002443219","HathiTrust Record")</f>
        <v/>
      </c>
      <c r="AS592">
        <f>HYPERLINK("https://creighton-primo.hosted.exlibrisgroup.com/primo-explore/search?tab=default_tab&amp;search_scope=EVERYTHING&amp;vid=01CRU&amp;lang=en_US&amp;offset=0&amp;query=any,contains,991001725889702656","Catalog Record")</f>
        <v/>
      </c>
      <c r="AT592">
        <f>HYPERLINK("http://www.worldcat.org/oclc/21876187","WorldCat Record")</f>
        <v/>
      </c>
      <c r="AU592" t="inlineStr">
        <is>
          <t>23286711:eng</t>
        </is>
      </c>
      <c r="AV592" t="inlineStr">
        <is>
          <t>21876187</t>
        </is>
      </c>
      <c r="AW592" t="inlineStr">
        <is>
          <t>991001725889702656</t>
        </is>
      </c>
      <c r="AX592" t="inlineStr">
        <is>
          <t>991001725889702656</t>
        </is>
      </c>
      <c r="AY592" t="inlineStr">
        <is>
          <t>2267309230002656</t>
        </is>
      </c>
      <c r="AZ592" t="inlineStr">
        <is>
          <t>BOOK</t>
        </is>
      </c>
      <c r="BB592" t="inlineStr">
        <is>
          <t>9780674031159</t>
        </is>
      </c>
      <c r="BC592" t="inlineStr">
        <is>
          <t>32285003617999</t>
        </is>
      </c>
      <c r="BD592" t="inlineStr">
        <is>
          <t>893891780</t>
        </is>
      </c>
    </row>
    <row r="593">
      <c r="A593" t="inlineStr">
        <is>
          <t>No</t>
        </is>
      </c>
      <c r="B593" t="inlineStr">
        <is>
          <t>E183.8.G7 A66 2000</t>
        </is>
      </c>
      <c r="C593" t="inlineStr">
        <is>
          <t>0                      E  0183800G  7                  A  66          2000</t>
        </is>
      </c>
      <c r="D593" t="inlineStr">
        <is>
          <t>Anglo-American attitudes : from revolution to partnership / edited by Fred M. Leventhal and Roland Quinault.</t>
        </is>
      </c>
      <c r="F593" t="inlineStr">
        <is>
          <t>No</t>
        </is>
      </c>
      <c r="G593" t="inlineStr">
        <is>
          <t>1</t>
        </is>
      </c>
      <c r="H593" t="inlineStr">
        <is>
          <t>No</t>
        </is>
      </c>
      <c r="I593" t="inlineStr">
        <is>
          <t>No</t>
        </is>
      </c>
      <c r="J593" t="inlineStr">
        <is>
          <t>0</t>
        </is>
      </c>
      <c r="L593" t="inlineStr">
        <is>
          <t>Aldershot, Hants, England ; Burlington, Vt. : Ashgate, c2000.</t>
        </is>
      </c>
      <c r="M593" t="inlineStr">
        <is>
          <t>2000</t>
        </is>
      </c>
      <c r="O593" t="inlineStr">
        <is>
          <t>eng</t>
        </is>
      </c>
      <c r="P593" t="inlineStr">
        <is>
          <t>enk</t>
        </is>
      </c>
      <c r="R593" t="inlineStr">
        <is>
          <t xml:space="preserve">E  </t>
        </is>
      </c>
      <c r="S593" t="n">
        <v>1</v>
      </c>
      <c r="T593" t="n">
        <v>1</v>
      </c>
      <c r="U593" t="inlineStr">
        <is>
          <t>2003-02-25</t>
        </is>
      </c>
      <c r="V593" t="inlineStr">
        <is>
          <t>2003-02-25</t>
        </is>
      </c>
      <c r="W593" t="inlineStr">
        <is>
          <t>2003-02-25</t>
        </is>
      </c>
      <c r="X593" t="inlineStr">
        <is>
          <t>2003-02-25</t>
        </is>
      </c>
      <c r="Y593" t="n">
        <v>242</v>
      </c>
      <c r="Z593" t="n">
        <v>171</v>
      </c>
      <c r="AA593" t="n">
        <v>191</v>
      </c>
      <c r="AB593" t="n">
        <v>1</v>
      </c>
      <c r="AC593" t="n">
        <v>1</v>
      </c>
      <c r="AD593" t="n">
        <v>8</v>
      </c>
      <c r="AE593" t="n">
        <v>8</v>
      </c>
      <c r="AF593" t="n">
        <v>2</v>
      </c>
      <c r="AG593" t="n">
        <v>2</v>
      </c>
      <c r="AH593" t="n">
        <v>3</v>
      </c>
      <c r="AI593" t="n">
        <v>3</v>
      </c>
      <c r="AJ593" t="n">
        <v>6</v>
      </c>
      <c r="AK593" t="n">
        <v>6</v>
      </c>
      <c r="AL593" t="n">
        <v>0</v>
      </c>
      <c r="AM593" t="n">
        <v>0</v>
      </c>
      <c r="AN593" t="n">
        <v>0</v>
      </c>
      <c r="AO593" t="n">
        <v>0</v>
      </c>
      <c r="AP593" t="inlineStr">
        <is>
          <t>No</t>
        </is>
      </c>
      <c r="AQ593" t="inlineStr">
        <is>
          <t>Yes</t>
        </is>
      </c>
      <c r="AR593">
        <f>HYPERLINK("http://catalog.hathitrust.org/Record/004123580","HathiTrust Record")</f>
        <v/>
      </c>
      <c r="AS593">
        <f>HYPERLINK("https://creighton-primo.hosted.exlibrisgroup.com/primo-explore/search?tab=default_tab&amp;search_scope=EVERYTHING&amp;vid=01CRU&amp;lang=en_US&amp;offset=0&amp;query=any,contains,991003967069702656","Catalog Record")</f>
        <v/>
      </c>
      <c r="AT593">
        <f>HYPERLINK("http://www.worldcat.org/oclc/43885426","WorldCat Record")</f>
        <v/>
      </c>
      <c r="AU593" t="inlineStr">
        <is>
          <t>793078785:eng</t>
        </is>
      </c>
      <c r="AV593" t="inlineStr">
        <is>
          <t>43885426</t>
        </is>
      </c>
      <c r="AW593" t="inlineStr">
        <is>
          <t>991003967069702656</t>
        </is>
      </c>
      <c r="AX593" t="inlineStr">
        <is>
          <t>991003967069702656</t>
        </is>
      </c>
      <c r="AY593" t="inlineStr">
        <is>
          <t>2255541700002656</t>
        </is>
      </c>
      <c r="AZ593" t="inlineStr">
        <is>
          <t>BOOK</t>
        </is>
      </c>
      <c r="BB593" t="inlineStr">
        <is>
          <t>9780754600305</t>
        </is>
      </c>
      <c r="BC593" t="inlineStr">
        <is>
          <t>32285004680582</t>
        </is>
      </c>
      <c r="BD593" t="inlineStr">
        <is>
          <t>893423220</t>
        </is>
      </c>
    </row>
    <row r="594">
      <c r="A594" t="inlineStr">
        <is>
          <t>No</t>
        </is>
      </c>
      <c r="B594" t="inlineStr">
        <is>
          <t>E183.8.G7 B33 1984</t>
        </is>
      </c>
      <c r="C594" t="inlineStr">
        <is>
          <t>0                      E  0183800G  7                  B  33          1984</t>
        </is>
      </c>
      <c r="D594" t="inlineStr">
        <is>
          <t>Anglo-American defense relations, 1939-1984 : the special relationship / John Baylis.</t>
        </is>
      </c>
      <c r="F594" t="inlineStr">
        <is>
          <t>No</t>
        </is>
      </c>
      <c r="G594" t="inlineStr">
        <is>
          <t>1</t>
        </is>
      </c>
      <c r="H594" t="inlineStr">
        <is>
          <t>No</t>
        </is>
      </c>
      <c r="I594" t="inlineStr">
        <is>
          <t>No</t>
        </is>
      </c>
      <c r="J594" t="inlineStr">
        <is>
          <t>0</t>
        </is>
      </c>
      <c r="K594" t="inlineStr">
        <is>
          <t>Baylis, John.</t>
        </is>
      </c>
      <c r="L594" t="inlineStr">
        <is>
          <t>New York : St. Martin's Press, 1984.</t>
        </is>
      </c>
      <c r="M594" t="inlineStr">
        <is>
          <t>1984</t>
        </is>
      </c>
      <c r="N594" t="inlineStr">
        <is>
          <t>2nd ed.</t>
        </is>
      </c>
      <c r="O594" t="inlineStr">
        <is>
          <t>eng</t>
        </is>
      </c>
      <c r="P594" t="inlineStr">
        <is>
          <t>nyu</t>
        </is>
      </c>
      <c r="R594" t="inlineStr">
        <is>
          <t xml:space="preserve">E  </t>
        </is>
      </c>
      <c r="S594" t="n">
        <v>1</v>
      </c>
      <c r="T594" t="n">
        <v>1</v>
      </c>
      <c r="U594" t="inlineStr">
        <is>
          <t>2000-08-11</t>
        </is>
      </c>
      <c r="V594" t="inlineStr">
        <is>
          <t>2000-08-11</t>
        </is>
      </c>
      <c r="W594" t="inlineStr">
        <is>
          <t>1990-04-04</t>
        </is>
      </c>
      <c r="X594" t="inlineStr">
        <is>
          <t>1990-04-04</t>
        </is>
      </c>
      <c r="Y594" t="n">
        <v>141</v>
      </c>
      <c r="Z594" t="n">
        <v>121</v>
      </c>
      <c r="AA594" t="n">
        <v>333</v>
      </c>
      <c r="AB594" t="n">
        <v>2</v>
      </c>
      <c r="AC594" t="n">
        <v>2</v>
      </c>
      <c r="AD594" t="n">
        <v>4</v>
      </c>
      <c r="AE594" t="n">
        <v>12</v>
      </c>
      <c r="AF594" t="n">
        <v>0</v>
      </c>
      <c r="AG594" t="n">
        <v>5</v>
      </c>
      <c r="AH594" t="n">
        <v>1</v>
      </c>
      <c r="AI594" t="n">
        <v>4</v>
      </c>
      <c r="AJ594" t="n">
        <v>3</v>
      </c>
      <c r="AK594" t="n">
        <v>7</v>
      </c>
      <c r="AL594" t="n">
        <v>1</v>
      </c>
      <c r="AM594" t="n">
        <v>1</v>
      </c>
      <c r="AN594" t="n">
        <v>0</v>
      </c>
      <c r="AO594" t="n">
        <v>0</v>
      </c>
      <c r="AP594" t="inlineStr">
        <is>
          <t>No</t>
        </is>
      </c>
      <c r="AQ594" t="inlineStr">
        <is>
          <t>No</t>
        </is>
      </c>
      <c r="AS594">
        <f>HYPERLINK("https://creighton-primo.hosted.exlibrisgroup.com/primo-explore/search?tab=default_tab&amp;search_scope=EVERYTHING&amp;vid=01CRU&amp;lang=en_US&amp;offset=0&amp;query=any,contains,991000353299702656","Catalog Record")</f>
        <v/>
      </c>
      <c r="AT594">
        <f>HYPERLINK("http://www.worldcat.org/oclc/10322453","WorldCat Record")</f>
        <v/>
      </c>
      <c r="AU594" t="inlineStr">
        <is>
          <t>3243326:eng</t>
        </is>
      </c>
      <c r="AV594" t="inlineStr">
        <is>
          <t>10322453</t>
        </is>
      </c>
      <c r="AW594" t="inlineStr">
        <is>
          <t>991000353299702656</t>
        </is>
      </c>
      <c r="AX594" t="inlineStr">
        <is>
          <t>991000353299702656</t>
        </is>
      </c>
      <c r="AY594" t="inlineStr">
        <is>
          <t>2266721790002656</t>
        </is>
      </c>
      <c r="AZ594" t="inlineStr">
        <is>
          <t>BOOK</t>
        </is>
      </c>
      <c r="BB594" t="inlineStr">
        <is>
          <t>9780312036706</t>
        </is>
      </c>
      <c r="BC594" t="inlineStr">
        <is>
          <t>32285000110733</t>
        </is>
      </c>
      <c r="BD594" t="inlineStr">
        <is>
          <t>893249259</t>
        </is>
      </c>
    </row>
    <row r="595">
      <c r="A595" t="inlineStr">
        <is>
          <t>No</t>
        </is>
      </c>
      <c r="B595" t="inlineStr">
        <is>
          <t>E183.8.G7 B87 1993</t>
        </is>
      </c>
      <c r="C595" t="inlineStr">
        <is>
          <t>0                      E  0183800G  7                  B  87          1993</t>
        </is>
      </c>
      <c r="D595" t="inlineStr">
        <is>
          <t>America, 1843-1993 : 150 years of reporting the American connection / Alastair Burnet.</t>
        </is>
      </c>
      <c r="F595" t="inlineStr">
        <is>
          <t>No</t>
        </is>
      </c>
      <c r="G595" t="inlineStr">
        <is>
          <t>1</t>
        </is>
      </c>
      <c r="H595" t="inlineStr">
        <is>
          <t>No</t>
        </is>
      </c>
      <c r="I595" t="inlineStr">
        <is>
          <t>No</t>
        </is>
      </c>
      <c r="J595" t="inlineStr">
        <is>
          <t>0</t>
        </is>
      </c>
      <c r="K595" t="inlineStr">
        <is>
          <t>Burnet, Alastair, 1928-2012.</t>
        </is>
      </c>
      <c r="L595" t="inlineStr">
        <is>
          <t>London : Economist Books, 1993.</t>
        </is>
      </c>
      <c r="M595" t="inlineStr">
        <is>
          <t>1993</t>
        </is>
      </c>
      <c r="O595" t="inlineStr">
        <is>
          <t>eng</t>
        </is>
      </c>
      <c r="P595" t="inlineStr">
        <is>
          <t>enk</t>
        </is>
      </c>
      <c r="R595" t="inlineStr">
        <is>
          <t xml:space="preserve">E  </t>
        </is>
      </c>
      <c r="S595" t="n">
        <v>5</v>
      </c>
      <c r="T595" t="n">
        <v>5</v>
      </c>
      <c r="U595" t="inlineStr">
        <is>
          <t>1995-12-01</t>
        </is>
      </c>
      <c r="V595" t="inlineStr">
        <is>
          <t>1995-12-01</t>
        </is>
      </c>
      <c r="W595" t="inlineStr">
        <is>
          <t>1994-04-21</t>
        </is>
      </c>
      <c r="X595" t="inlineStr">
        <is>
          <t>1994-04-21</t>
        </is>
      </c>
      <c r="Y595" t="n">
        <v>51</v>
      </c>
      <c r="Z595" t="n">
        <v>37</v>
      </c>
      <c r="AA595" t="n">
        <v>38</v>
      </c>
      <c r="AB595" t="n">
        <v>1</v>
      </c>
      <c r="AC595" t="n">
        <v>1</v>
      </c>
      <c r="AD595" t="n">
        <v>1</v>
      </c>
      <c r="AE595" t="n">
        <v>1</v>
      </c>
      <c r="AF595" t="n">
        <v>0</v>
      </c>
      <c r="AG595" t="n">
        <v>0</v>
      </c>
      <c r="AH595" t="n">
        <v>1</v>
      </c>
      <c r="AI595" t="n">
        <v>1</v>
      </c>
      <c r="AJ595" t="n">
        <v>1</v>
      </c>
      <c r="AK595" t="n">
        <v>1</v>
      </c>
      <c r="AL595" t="n">
        <v>0</v>
      </c>
      <c r="AM595" t="n">
        <v>0</v>
      </c>
      <c r="AN595" t="n">
        <v>0</v>
      </c>
      <c r="AO595" t="n">
        <v>0</v>
      </c>
      <c r="AP595" t="inlineStr">
        <is>
          <t>No</t>
        </is>
      </c>
      <c r="AQ595" t="inlineStr">
        <is>
          <t>No</t>
        </is>
      </c>
      <c r="AS595">
        <f>HYPERLINK("https://creighton-primo.hosted.exlibrisgroup.com/primo-explore/search?tab=default_tab&amp;search_scope=EVERYTHING&amp;vid=01CRU&amp;lang=en_US&amp;offset=0&amp;query=any,contains,991002269349702656","Catalog Record")</f>
        <v/>
      </c>
      <c r="AT595">
        <f>HYPERLINK("http://www.worldcat.org/oclc/29436816","WorldCat Record")</f>
        <v/>
      </c>
      <c r="AU595" t="inlineStr">
        <is>
          <t>476613288:eng</t>
        </is>
      </c>
      <c r="AV595" t="inlineStr">
        <is>
          <t>29436816</t>
        </is>
      </c>
      <c r="AW595" t="inlineStr">
        <is>
          <t>991002269349702656</t>
        </is>
      </c>
      <c r="AX595" t="inlineStr">
        <is>
          <t>991002269349702656</t>
        </is>
      </c>
      <c r="AY595" t="inlineStr">
        <is>
          <t>2254946300002656</t>
        </is>
      </c>
      <c r="AZ595" t="inlineStr">
        <is>
          <t>BOOK</t>
        </is>
      </c>
      <c r="BB595" t="inlineStr">
        <is>
          <t>9780241001820</t>
        </is>
      </c>
      <c r="BC595" t="inlineStr">
        <is>
          <t>32285001876977</t>
        </is>
      </c>
      <c r="BD595" t="inlineStr">
        <is>
          <t>893341240</t>
        </is>
      </c>
    </row>
    <row r="596">
      <c r="A596" t="inlineStr">
        <is>
          <t>No</t>
        </is>
      </c>
      <c r="B596" t="inlineStr">
        <is>
          <t>E183.8.G7 D86 2001</t>
        </is>
      </c>
      <c r="C596" t="inlineStr">
        <is>
          <t>0                      E  0183800G  7                  D  86          2001</t>
        </is>
      </c>
      <c r="D596" t="inlineStr">
        <is>
          <t>A special relationship : Anglo-American relations in the Cold War and after / John Dumbrell.</t>
        </is>
      </c>
      <c r="F596" t="inlineStr">
        <is>
          <t>No</t>
        </is>
      </c>
      <c r="G596" t="inlineStr">
        <is>
          <t>1</t>
        </is>
      </c>
      <c r="H596" t="inlineStr">
        <is>
          <t>No</t>
        </is>
      </c>
      <c r="I596" t="inlineStr">
        <is>
          <t>No</t>
        </is>
      </c>
      <c r="J596" t="inlineStr">
        <is>
          <t>0</t>
        </is>
      </c>
      <c r="K596" t="inlineStr">
        <is>
          <t>Dumbrell, John, 1950-</t>
        </is>
      </c>
      <c r="L596" t="inlineStr">
        <is>
          <t>Houndmills, Hampshire : Macmillan ; New York : St. Martin's Press, 2001.</t>
        </is>
      </c>
      <c r="M596" t="inlineStr">
        <is>
          <t>2001</t>
        </is>
      </c>
      <c r="O596" t="inlineStr">
        <is>
          <t>eng</t>
        </is>
      </c>
      <c r="P596" t="inlineStr">
        <is>
          <t>enk</t>
        </is>
      </c>
      <c r="R596" t="inlineStr">
        <is>
          <t xml:space="preserve">E  </t>
        </is>
      </c>
      <c r="S596" t="n">
        <v>1</v>
      </c>
      <c r="T596" t="n">
        <v>1</v>
      </c>
      <c r="U596" t="inlineStr">
        <is>
          <t>2002-04-16</t>
        </is>
      </c>
      <c r="V596" t="inlineStr">
        <is>
          <t>2002-04-16</t>
        </is>
      </c>
      <c r="W596" t="inlineStr">
        <is>
          <t>2002-04-01</t>
        </is>
      </c>
      <c r="X596" t="inlineStr">
        <is>
          <t>2002-04-01</t>
        </is>
      </c>
      <c r="Y596" t="n">
        <v>326</v>
      </c>
      <c r="Z596" t="n">
        <v>223</v>
      </c>
      <c r="AA596" t="n">
        <v>224</v>
      </c>
      <c r="AB596" t="n">
        <v>3</v>
      </c>
      <c r="AC596" t="n">
        <v>3</v>
      </c>
      <c r="AD596" t="n">
        <v>14</v>
      </c>
      <c r="AE596" t="n">
        <v>14</v>
      </c>
      <c r="AF596" t="n">
        <v>4</v>
      </c>
      <c r="AG596" t="n">
        <v>4</v>
      </c>
      <c r="AH596" t="n">
        <v>4</v>
      </c>
      <c r="AI596" t="n">
        <v>4</v>
      </c>
      <c r="AJ596" t="n">
        <v>9</v>
      </c>
      <c r="AK596" t="n">
        <v>9</v>
      </c>
      <c r="AL596" t="n">
        <v>2</v>
      </c>
      <c r="AM596" t="n">
        <v>2</v>
      </c>
      <c r="AN596" t="n">
        <v>0</v>
      </c>
      <c r="AO596" t="n">
        <v>0</v>
      </c>
      <c r="AP596" t="inlineStr">
        <is>
          <t>No</t>
        </is>
      </c>
      <c r="AQ596" t="inlineStr">
        <is>
          <t>No</t>
        </is>
      </c>
      <c r="AS596">
        <f>HYPERLINK("https://creighton-primo.hosted.exlibrisgroup.com/primo-explore/search?tab=default_tab&amp;search_scope=EVERYTHING&amp;vid=01CRU&amp;lang=en_US&amp;offset=0&amp;query=any,contains,991003760369702656","Catalog Record")</f>
        <v/>
      </c>
      <c r="AT596">
        <f>HYPERLINK("http://www.worldcat.org/oclc/44172876","WorldCat Record")</f>
        <v/>
      </c>
      <c r="AU596" t="inlineStr">
        <is>
          <t>3753455819:eng</t>
        </is>
      </c>
      <c r="AV596" t="inlineStr">
        <is>
          <t>44172876</t>
        </is>
      </c>
      <c r="AW596" t="inlineStr">
        <is>
          <t>991003760369702656</t>
        </is>
      </c>
      <c r="AX596" t="inlineStr">
        <is>
          <t>991003760369702656</t>
        </is>
      </c>
      <c r="AY596" t="inlineStr">
        <is>
          <t>2256077710002656</t>
        </is>
      </c>
      <c r="AZ596" t="inlineStr">
        <is>
          <t>BOOK</t>
        </is>
      </c>
      <c r="BB596" t="inlineStr">
        <is>
          <t>9780333622490</t>
        </is>
      </c>
      <c r="BC596" t="inlineStr">
        <is>
          <t>32285004475942</t>
        </is>
      </c>
      <c r="BD596" t="inlineStr">
        <is>
          <t>893904506</t>
        </is>
      </c>
    </row>
    <row r="597">
      <c r="A597" t="inlineStr">
        <is>
          <t>No</t>
        </is>
      </c>
      <c r="B597" t="inlineStr">
        <is>
          <t>E183.8.G7 H68 2004</t>
        </is>
      </c>
      <c r="C597" t="inlineStr">
        <is>
          <t>0                      E  0183800G  7                  H  68          2004</t>
        </is>
      </c>
      <c r="D597" t="inlineStr">
        <is>
          <t>Blood, class, and empire : the enduring Anglo-American relationship / Christopher Hitchens.</t>
        </is>
      </c>
      <c r="F597" t="inlineStr">
        <is>
          <t>No</t>
        </is>
      </c>
      <c r="G597" t="inlineStr">
        <is>
          <t>1</t>
        </is>
      </c>
      <c r="H597" t="inlineStr">
        <is>
          <t>No</t>
        </is>
      </c>
      <c r="I597" t="inlineStr">
        <is>
          <t>No</t>
        </is>
      </c>
      <c r="J597" t="inlineStr">
        <is>
          <t>0</t>
        </is>
      </c>
      <c r="K597" t="inlineStr">
        <is>
          <t>Hitchens, Christopher.</t>
        </is>
      </c>
      <c r="L597" t="inlineStr">
        <is>
          <t>New York : Nation Books, c2004.</t>
        </is>
      </c>
      <c r="M597" t="inlineStr">
        <is>
          <t>2004</t>
        </is>
      </c>
      <c r="O597" t="inlineStr">
        <is>
          <t>eng</t>
        </is>
      </c>
      <c r="P597" t="inlineStr">
        <is>
          <t>nyu</t>
        </is>
      </c>
      <c r="R597" t="inlineStr">
        <is>
          <t xml:space="preserve">E  </t>
        </is>
      </c>
      <c r="S597" t="n">
        <v>1</v>
      </c>
      <c r="T597" t="n">
        <v>1</v>
      </c>
      <c r="U597" t="inlineStr">
        <is>
          <t>2005-03-15</t>
        </is>
      </c>
      <c r="V597" t="inlineStr">
        <is>
          <t>2005-03-15</t>
        </is>
      </c>
      <c r="W597" t="inlineStr">
        <is>
          <t>2004-07-12</t>
        </is>
      </c>
      <c r="X597" t="inlineStr">
        <is>
          <t>2004-07-12</t>
        </is>
      </c>
      <c r="Y597" t="n">
        <v>148</v>
      </c>
      <c r="Z597" t="n">
        <v>116</v>
      </c>
      <c r="AA597" t="n">
        <v>140</v>
      </c>
      <c r="AB597" t="n">
        <v>2</v>
      </c>
      <c r="AC597" t="n">
        <v>2</v>
      </c>
      <c r="AD597" t="n">
        <v>7</v>
      </c>
      <c r="AE597" t="n">
        <v>7</v>
      </c>
      <c r="AF597" t="n">
        <v>5</v>
      </c>
      <c r="AG597" t="n">
        <v>5</v>
      </c>
      <c r="AH597" t="n">
        <v>2</v>
      </c>
      <c r="AI597" t="n">
        <v>2</v>
      </c>
      <c r="AJ597" t="n">
        <v>3</v>
      </c>
      <c r="AK597" t="n">
        <v>3</v>
      </c>
      <c r="AL597" t="n">
        <v>0</v>
      </c>
      <c r="AM597" t="n">
        <v>0</v>
      </c>
      <c r="AN597" t="n">
        <v>0</v>
      </c>
      <c r="AO597" t="n">
        <v>0</v>
      </c>
      <c r="AP597" t="inlineStr">
        <is>
          <t>No</t>
        </is>
      </c>
      <c r="AQ597" t="inlineStr">
        <is>
          <t>No</t>
        </is>
      </c>
      <c r="AS597">
        <f>HYPERLINK("https://creighton-primo.hosted.exlibrisgroup.com/primo-explore/search?tab=default_tab&amp;search_scope=EVERYTHING&amp;vid=01CRU&amp;lang=en_US&amp;offset=0&amp;query=any,contains,991004316529702656","Catalog Record")</f>
        <v/>
      </c>
      <c r="AT597">
        <f>HYPERLINK("http://www.worldcat.org/oclc/54815780","WorldCat Record")</f>
        <v/>
      </c>
      <c r="AU597" t="inlineStr">
        <is>
          <t>866848296:eng</t>
        </is>
      </c>
      <c r="AV597" t="inlineStr">
        <is>
          <t>54815780</t>
        </is>
      </c>
      <c r="AW597" t="inlineStr">
        <is>
          <t>991004316529702656</t>
        </is>
      </c>
      <c r="AX597" t="inlineStr">
        <is>
          <t>991004316529702656</t>
        </is>
      </c>
      <c r="AY597" t="inlineStr">
        <is>
          <t>2266422680002656</t>
        </is>
      </c>
      <c r="AZ597" t="inlineStr">
        <is>
          <t>BOOK</t>
        </is>
      </c>
      <c r="BB597" t="inlineStr">
        <is>
          <t>9781560255925</t>
        </is>
      </c>
      <c r="BC597" t="inlineStr">
        <is>
          <t>32285004923099</t>
        </is>
      </c>
      <c r="BD597" t="inlineStr">
        <is>
          <t>893794715</t>
        </is>
      </c>
    </row>
    <row r="598">
      <c r="A598" t="inlineStr">
        <is>
          <t>No</t>
        </is>
      </c>
      <c r="B598" t="inlineStr">
        <is>
          <t>E183.8.G7 N474 1999</t>
        </is>
      </c>
      <c r="C598" t="inlineStr">
        <is>
          <t>0                      E  0183800G  7                  N  474         1999</t>
        </is>
      </c>
      <c r="D598" t="inlineStr">
        <is>
          <t>Report to JFK : the Skybolt crisis in perspective / Richard E. Neustadt.</t>
        </is>
      </c>
      <c r="F598" t="inlineStr">
        <is>
          <t>No</t>
        </is>
      </c>
      <c r="G598" t="inlineStr">
        <is>
          <t>1</t>
        </is>
      </c>
      <c r="H598" t="inlineStr">
        <is>
          <t>No</t>
        </is>
      </c>
      <c r="I598" t="inlineStr">
        <is>
          <t>No</t>
        </is>
      </c>
      <c r="J598" t="inlineStr">
        <is>
          <t>0</t>
        </is>
      </c>
      <c r="K598" t="inlineStr">
        <is>
          <t>Neustadt, Richard E.</t>
        </is>
      </c>
      <c r="L598" t="inlineStr">
        <is>
          <t>Ithaca : Cornell University Press, 1999.</t>
        </is>
      </c>
      <c r="M598" t="inlineStr">
        <is>
          <t>1999</t>
        </is>
      </c>
      <c r="O598" t="inlineStr">
        <is>
          <t>eng</t>
        </is>
      </c>
      <c r="P598" t="inlineStr">
        <is>
          <t>nyu</t>
        </is>
      </c>
      <c r="R598" t="inlineStr">
        <is>
          <t xml:space="preserve">E  </t>
        </is>
      </c>
      <c r="S598" t="n">
        <v>1</v>
      </c>
      <c r="T598" t="n">
        <v>1</v>
      </c>
      <c r="U598" t="inlineStr">
        <is>
          <t>2000-09-26</t>
        </is>
      </c>
      <c r="V598" t="inlineStr">
        <is>
          <t>2000-09-26</t>
        </is>
      </c>
      <c r="W598" t="inlineStr">
        <is>
          <t>2000-09-26</t>
        </is>
      </c>
      <c r="X598" t="inlineStr">
        <is>
          <t>2000-09-26</t>
        </is>
      </c>
      <c r="Y598" t="n">
        <v>360</v>
      </c>
      <c r="Z598" t="n">
        <v>302</v>
      </c>
      <c r="AA598" t="n">
        <v>315</v>
      </c>
      <c r="AB598" t="n">
        <v>2</v>
      </c>
      <c r="AC598" t="n">
        <v>2</v>
      </c>
      <c r="AD598" t="n">
        <v>17</v>
      </c>
      <c r="AE598" t="n">
        <v>17</v>
      </c>
      <c r="AF598" t="n">
        <v>7</v>
      </c>
      <c r="AG598" t="n">
        <v>7</v>
      </c>
      <c r="AH598" t="n">
        <v>5</v>
      </c>
      <c r="AI598" t="n">
        <v>5</v>
      </c>
      <c r="AJ598" t="n">
        <v>10</v>
      </c>
      <c r="AK598" t="n">
        <v>10</v>
      </c>
      <c r="AL598" t="n">
        <v>1</v>
      </c>
      <c r="AM598" t="n">
        <v>1</v>
      </c>
      <c r="AN598" t="n">
        <v>0</v>
      </c>
      <c r="AO598" t="n">
        <v>0</v>
      </c>
      <c r="AP598" t="inlineStr">
        <is>
          <t>No</t>
        </is>
      </c>
      <c r="AQ598" t="inlineStr">
        <is>
          <t>No</t>
        </is>
      </c>
      <c r="AS598">
        <f>HYPERLINK("https://creighton-primo.hosted.exlibrisgroup.com/primo-explore/search?tab=default_tab&amp;search_scope=EVERYTHING&amp;vid=01CRU&amp;lang=en_US&amp;offset=0&amp;query=any,contains,991003297109702656","Catalog Record")</f>
        <v/>
      </c>
      <c r="AT598">
        <f>HYPERLINK("http://www.worldcat.org/oclc/41338035","WorldCat Record")</f>
        <v/>
      </c>
      <c r="AU598" t="inlineStr">
        <is>
          <t>836991567:eng</t>
        </is>
      </c>
      <c r="AV598" t="inlineStr">
        <is>
          <t>41338035</t>
        </is>
      </c>
      <c r="AW598" t="inlineStr">
        <is>
          <t>991003297109702656</t>
        </is>
      </c>
      <c r="AX598" t="inlineStr">
        <is>
          <t>991003297109702656</t>
        </is>
      </c>
      <c r="AY598" t="inlineStr">
        <is>
          <t>2266905490002656</t>
        </is>
      </c>
      <c r="AZ598" t="inlineStr">
        <is>
          <t>BOOK</t>
        </is>
      </c>
      <c r="BB598" t="inlineStr">
        <is>
          <t>9780801436222</t>
        </is>
      </c>
      <c r="BC598" t="inlineStr">
        <is>
          <t>32285003764825</t>
        </is>
      </c>
      <c r="BD598" t="inlineStr">
        <is>
          <t>893531061</t>
        </is>
      </c>
    </row>
    <row r="599">
      <c r="A599" t="inlineStr">
        <is>
          <t>No</t>
        </is>
      </c>
      <c r="B599" t="inlineStr">
        <is>
          <t>E183.8.G7 O44 1976</t>
        </is>
      </c>
      <c r="C599" t="inlineStr">
        <is>
          <t>0                      E  0183800G  7                  O  44          1976</t>
        </is>
      </c>
      <c r="D599" t="inlineStr">
        <is>
          <t>Irish-Americans and Anglo-American relations, 1880-1888 / Joseph Patrick O'Grady ; with a new introd.</t>
        </is>
      </c>
      <c r="F599" t="inlineStr">
        <is>
          <t>No</t>
        </is>
      </c>
      <c r="G599" t="inlineStr">
        <is>
          <t>1</t>
        </is>
      </c>
      <c r="H599" t="inlineStr">
        <is>
          <t>No</t>
        </is>
      </c>
      <c r="I599" t="inlineStr">
        <is>
          <t>No</t>
        </is>
      </c>
      <c r="J599" t="inlineStr">
        <is>
          <t>0</t>
        </is>
      </c>
      <c r="K599" t="inlineStr">
        <is>
          <t>O'Grady, Joseph P.</t>
        </is>
      </c>
      <c r="L599" t="inlineStr">
        <is>
          <t>New York : Arno Press, 1976.</t>
        </is>
      </c>
      <c r="M599" t="inlineStr">
        <is>
          <t>1976</t>
        </is>
      </c>
      <c r="O599" t="inlineStr">
        <is>
          <t>eng</t>
        </is>
      </c>
      <c r="P599" t="inlineStr">
        <is>
          <t>nyu</t>
        </is>
      </c>
      <c r="Q599" t="inlineStr">
        <is>
          <t>The Irish-Americans</t>
        </is>
      </c>
      <c r="R599" t="inlineStr">
        <is>
          <t xml:space="preserve">E  </t>
        </is>
      </c>
      <c r="S599" t="n">
        <v>1</v>
      </c>
      <c r="T599" t="n">
        <v>1</v>
      </c>
      <c r="U599" t="inlineStr">
        <is>
          <t>1992-12-14</t>
        </is>
      </c>
      <c r="V599" t="inlineStr">
        <is>
          <t>1992-12-14</t>
        </is>
      </c>
      <c r="W599" t="inlineStr">
        <is>
          <t>1991-02-01</t>
        </is>
      </c>
      <c r="X599" t="inlineStr">
        <is>
          <t>1991-02-01</t>
        </is>
      </c>
      <c r="Y599" t="n">
        <v>124</v>
      </c>
      <c r="Z599" t="n">
        <v>109</v>
      </c>
      <c r="AA599" t="n">
        <v>123</v>
      </c>
      <c r="AB599" t="n">
        <v>2</v>
      </c>
      <c r="AC599" t="n">
        <v>2</v>
      </c>
      <c r="AD599" t="n">
        <v>13</v>
      </c>
      <c r="AE599" t="n">
        <v>14</v>
      </c>
      <c r="AF599" t="n">
        <v>4</v>
      </c>
      <c r="AG599" t="n">
        <v>4</v>
      </c>
      <c r="AH599" t="n">
        <v>5</v>
      </c>
      <c r="AI599" t="n">
        <v>5</v>
      </c>
      <c r="AJ599" t="n">
        <v>6</v>
      </c>
      <c r="AK599" t="n">
        <v>7</v>
      </c>
      <c r="AL599" t="n">
        <v>1</v>
      </c>
      <c r="AM599" t="n">
        <v>1</v>
      </c>
      <c r="AN599" t="n">
        <v>0</v>
      </c>
      <c r="AO599" t="n">
        <v>0</v>
      </c>
      <c r="AP599" t="inlineStr">
        <is>
          <t>No</t>
        </is>
      </c>
      <c r="AQ599" t="inlineStr">
        <is>
          <t>Yes</t>
        </is>
      </c>
      <c r="AR599">
        <f>HYPERLINK("http://catalog.hathitrust.org/Record/000171737","HathiTrust Record")</f>
        <v/>
      </c>
      <c r="AS599">
        <f>HYPERLINK("https://creighton-primo.hosted.exlibrisgroup.com/primo-explore/search?tab=default_tab&amp;search_scope=EVERYTHING&amp;vid=01CRU&amp;lang=en_US&amp;offset=0&amp;query=any,contains,991004227009702656","Catalog Record")</f>
        <v/>
      </c>
      <c r="AT599">
        <f>HYPERLINK("http://www.worldcat.org/oclc/2734644","WorldCat Record")</f>
        <v/>
      </c>
      <c r="AU599" t="inlineStr">
        <is>
          <t>6127568:eng</t>
        </is>
      </c>
      <c r="AV599" t="inlineStr">
        <is>
          <t>2734644</t>
        </is>
      </c>
      <c r="AW599" t="inlineStr">
        <is>
          <t>991004227009702656</t>
        </is>
      </c>
      <c r="AX599" t="inlineStr">
        <is>
          <t>991004227009702656</t>
        </is>
      </c>
      <c r="AY599" t="inlineStr">
        <is>
          <t>2256537100002656</t>
        </is>
      </c>
      <c r="AZ599" t="inlineStr">
        <is>
          <t>BOOK</t>
        </is>
      </c>
      <c r="BB599" t="inlineStr">
        <is>
          <t>9780405093531</t>
        </is>
      </c>
      <c r="BC599" t="inlineStr">
        <is>
          <t>32285000481290</t>
        </is>
      </c>
      <c r="BD599" t="inlineStr">
        <is>
          <t>893687502</t>
        </is>
      </c>
    </row>
    <row r="600">
      <c r="A600" t="inlineStr">
        <is>
          <t>No</t>
        </is>
      </c>
      <c r="B600" t="inlineStr">
        <is>
          <t>E183.8.G7 O87 1998</t>
        </is>
      </c>
      <c r="C600" t="inlineStr">
        <is>
          <t>0                      E  0183800G  7                  O  87          1998</t>
        </is>
      </c>
      <c r="D600" t="inlineStr">
        <is>
          <t>Anglo-American relations in the twentieth century / Ritchie Ovendale.</t>
        </is>
      </c>
      <c r="F600" t="inlineStr">
        <is>
          <t>No</t>
        </is>
      </c>
      <c r="G600" t="inlineStr">
        <is>
          <t>1</t>
        </is>
      </c>
      <c r="H600" t="inlineStr">
        <is>
          <t>No</t>
        </is>
      </c>
      <c r="I600" t="inlineStr">
        <is>
          <t>No</t>
        </is>
      </c>
      <c r="J600" t="inlineStr">
        <is>
          <t>0</t>
        </is>
      </c>
      <c r="K600" t="inlineStr">
        <is>
          <t>Ovendale, Ritchie.</t>
        </is>
      </c>
      <c r="L600" t="inlineStr">
        <is>
          <t>New York : St. Martin's Press, 1998.</t>
        </is>
      </c>
      <c r="M600" t="inlineStr">
        <is>
          <t>1998</t>
        </is>
      </c>
      <c r="O600" t="inlineStr">
        <is>
          <t>eng</t>
        </is>
      </c>
      <c r="P600" t="inlineStr">
        <is>
          <t>nyu</t>
        </is>
      </c>
      <c r="Q600" t="inlineStr">
        <is>
          <t>British history in perspective</t>
        </is>
      </c>
      <c r="R600" t="inlineStr">
        <is>
          <t xml:space="preserve">E  </t>
        </is>
      </c>
      <c r="S600" t="n">
        <v>1</v>
      </c>
      <c r="T600" t="n">
        <v>1</v>
      </c>
      <c r="U600" t="inlineStr">
        <is>
          <t>2000-08-11</t>
        </is>
      </c>
      <c r="V600" t="inlineStr">
        <is>
          <t>2000-08-11</t>
        </is>
      </c>
      <c r="W600" t="inlineStr">
        <is>
          <t>1999-03-22</t>
        </is>
      </c>
      <c r="X600" t="inlineStr">
        <is>
          <t>1999-03-22</t>
        </is>
      </c>
      <c r="Y600" t="n">
        <v>221</v>
      </c>
      <c r="Z600" t="n">
        <v>185</v>
      </c>
      <c r="AA600" t="n">
        <v>258</v>
      </c>
      <c r="AB600" t="n">
        <v>1</v>
      </c>
      <c r="AC600" t="n">
        <v>2</v>
      </c>
      <c r="AD600" t="n">
        <v>6</v>
      </c>
      <c r="AE600" t="n">
        <v>10</v>
      </c>
      <c r="AF600" t="n">
        <v>1</v>
      </c>
      <c r="AG600" t="n">
        <v>4</v>
      </c>
      <c r="AH600" t="n">
        <v>2</v>
      </c>
      <c r="AI600" t="n">
        <v>2</v>
      </c>
      <c r="AJ600" t="n">
        <v>5</v>
      </c>
      <c r="AK600" t="n">
        <v>6</v>
      </c>
      <c r="AL600" t="n">
        <v>0</v>
      </c>
      <c r="AM600" t="n">
        <v>1</v>
      </c>
      <c r="AN600" t="n">
        <v>0</v>
      </c>
      <c r="AO600" t="n">
        <v>0</v>
      </c>
      <c r="AP600" t="inlineStr">
        <is>
          <t>No</t>
        </is>
      </c>
      <c r="AQ600" t="inlineStr">
        <is>
          <t>No</t>
        </is>
      </c>
      <c r="AS600">
        <f>HYPERLINK("https://creighton-primo.hosted.exlibrisgroup.com/primo-explore/search?tab=default_tab&amp;search_scope=EVERYTHING&amp;vid=01CRU&amp;lang=en_US&amp;offset=0&amp;query=any,contains,991002907619702656","Catalog Record")</f>
        <v/>
      </c>
      <c r="AT600">
        <f>HYPERLINK("http://www.worldcat.org/oclc/38426052","WorldCat Record")</f>
        <v/>
      </c>
      <c r="AU600" t="inlineStr">
        <is>
          <t>27205032:eng</t>
        </is>
      </c>
      <c r="AV600" t="inlineStr">
        <is>
          <t>38426052</t>
        </is>
      </c>
      <c r="AW600" t="inlineStr">
        <is>
          <t>991002907619702656</t>
        </is>
      </c>
      <c r="AX600" t="inlineStr">
        <is>
          <t>991002907619702656</t>
        </is>
      </c>
      <c r="AY600" t="inlineStr">
        <is>
          <t>2256008810002656</t>
        </is>
      </c>
      <c r="AZ600" t="inlineStr">
        <is>
          <t>BOOK</t>
        </is>
      </c>
      <c r="BB600" t="inlineStr">
        <is>
          <t>9780312214548</t>
        </is>
      </c>
      <c r="BC600" t="inlineStr">
        <is>
          <t>32285003534376</t>
        </is>
      </c>
      <c r="BD600" t="inlineStr">
        <is>
          <t>893530618</t>
        </is>
      </c>
    </row>
    <row r="601">
      <c r="A601" t="inlineStr">
        <is>
          <t>No</t>
        </is>
      </c>
      <c r="B601" t="inlineStr">
        <is>
          <t>E183.8.G7 R46 1996</t>
        </is>
      </c>
      <c r="C601" t="inlineStr">
        <is>
          <t>0                      E  0183800G  7                  R  46          1996</t>
        </is>
      </c>
      <c r="D601" t="inlineStr">
        <is>
          <t>Fighting with allies : America and Britain in peace and at war / Sir Robin Renwick.</t>
        </is>
      </c>
      <c r="F601" t="inlineStr">
        <is>
          <t>No</t>
        </is>
      </c>
      <c r="G601" t="inlineStr">
        <is>
          <t>1</t>
        </is>
      </c>
      <c r="H601" t="inlineStr">
        <is>
          <t>No</t>
        </is>
      </c>
      <c r="I601" t="inlineStr">
        <is>
          <t>No</t>
        </is>
      </c>
      <c r="J601" t="inlineStr">
        <is>
          <t>0</t>
        </is>
      </c>
      <c r="K601" t="inlineStr">
        <is>
          <t>Renwick, Robin.</t>
        </is>
      </c>
      <c r="L601" t="inlineStr">
        <is>
          <t>New York : Times Books, c1996.</t>
        </is>
      </c>
      <c r="M601" t="inlineStr">
        <is>
          <t>1996</t>
        </is>
      </c>
      <c r="N601" t="inlineStr">
        <is>
          <t>1st ed.</t>
        </is>
      </c>
      <c r="O601" t="inlineStr">
        <is>
          <t>eng</t>
        </is>
      </c>
      <c r="P601" t="inlineStr">
        <is>
          <t>nyu</t>
        </is>
      </c>
      <c r="R601" t="inlineStr">
        <is>
          <t xml:space="preserve">E  </t>
        </is>
      </c>
      <c r="S601" t="n">
        <v>2</v>
      </c>
      <c r="T601" t="n">
        <v>2</v>
      </c>
      <c r="U601" t="inlineStr">
        <is>
          <t>1997-04-11</t>
        </is>
      </c>
      <c r="V601" t="inlineStr">
        <is>
          <t>1997-04-11</t>
        </is>
      </c>
      <c r="W601" t="inlineStr">
        <is>
          <t>1997-03-12</t>
        </is>
      </c>
      <c r="X601" t="inlineStr">
        <is>
          <t>1997-03-12</t>
        </is>
      </c>
      <c r="Y601" t="n">
        <v>455</v>
      </c>
      <c r="Z601" t="n">
        <v>412</v>
      </c>
      <c r="AA601" t="n">
        <v>472</v>
      </c>
      <c r="AB601" t="n">
        <v>2</v>
      </c>
      <c r="AC601" t="n">
        <v>2</v>
      </c>
      <c r="AD601" t="n">
        <v>20</v>
      </c>
      <c r="AE601" t="n">
        <v>23</v>
      </c>
      <c r="AF601" t="n">
        <v>5</v>
      </c>
      <c r="AG601" t="n">
        <v>6</v>
      </c>
      <c r="AH601" t="n">
        <v>5</v>
      </c>
      <c r="AI601" t="n">
        <v>8</v>
      </c>
      <c r="AJ601" t="n">
        <v>14</v>
      </c>
      <c r="AK601" t="n">
        <v>16</v>
      </c>
      <c r="AL601" t="n">
        <v>1</v>
      </c>
      <c r="AM601" t="n">
        <v>1</v>
      </c>
      <c r="AN601" t="n">
        <v>1</v>
      </c>
      <c r="AO601" t="n">
        <v>1</v>
      </c>
      <c r="AP601" t="inlineStr">
        <is>
          <t>No</t>
        </is>
      </c>
      <c r="AQ601" t="inlineStr">
        <is>
          <t>No</t>
        </is>
      </c>
      <c r="AS601">
        <f>HYPERLINK("https://creighton-primo.hosted.exlibrisgroup.com/primo-explore/search?tab=default_tab&amp;search_scope=EVERYTHING&amp;vid=01CRU&amp;lang=en_US&amp;offset=0&amp;query=any,contains,991002570019702656","Catalog Record")</f>
        <v/>
      </c>
      <c r="AT601">
        <f>HYPERLINK("http://www.worldcat.org/oclc/33404603","WorldCat Record")</f>
        <v/>
      </c>
      <c r="AU601" t="inlineStr">
        <is>
          <t>2286965373:eng</t>
        </is>
      </c>
      <c r="AV601" t="inlineStr">
        <is>
          <t>33404603</t>
        </is>
      </c>
      <c r="AW601" t="inlineStr">
        <is>
          <t>991002570019702656</t>
        </is>
      </c>
      <c r="AX601" t="inlineStr">
        <is>
          <t>991002570019702656</t>
        </is>
      </c>
      <c r="AY601" t="inlineStr">
        <is>
          <t>2267035750002656</t>
        </is>
      </c>
      <c r="AZ601" t="inlineStr">
        <is>
          <t>BOOK</t>
        </is>
      </c>
      <c r="BB601" t="inlineStr">
        <is>
          <t>9780812927092</t>
        </is>
      </c>
      <c r="BC601" t="inlineStr">
        <is>
          <t>32285002441631</t>
        </is>
      </c>
      <c r="BD601" t="inlineStr">
        <is>
          <t>893685499</t>
        </is>
      </c>
    </row>
    <row r="602">
      <c r="A602" t="inlineStr">
        <is>
          <t>No</t>
        </is>
      </c>
      <c r="B602" t="inlineStr">
        <is>
          <t>E183.8.G7 S74 1986</t>
        </is>
      </c>
      <c r="C602" t="inlineStr">
        <is>
          <t>0                      E  0183800G  7                  S  74          1986</t>
        </is>
      </c>
      <c r="D602" t="inlineStr">
        <is>
          <t>The "Special relationship" : Anglo-American relations since 1945 / edited by Wm. Roger Louis and Hedley Bull.</t>
        </is>
      </c>
      <c r="F602" t="inlineStr">
        <is>
          <t>No</t>
        </is>
      </c>
      <c r="G602" t="inlineStr">
        <is>
          <t>1</t>
        </is>
      </c>
      <c r="H602" t="inlineStr">
        <is>
          <t>No</t>
        </is>
      </c>
      <c r="I602" t="inlineStr">
        <is>
          <t>No</t>
        </is>
      </c>
      <c r="J602" t="inlineStr">
        <is>
          <t>0</t>
        </is>
      </c>
      <c r="L602" t="inlineStr">
        <is>
          <t>Oxford [Oxfordshire] : Clarendon Press ; New York : Oxford University Press, 1986.</t>
        </is>
      </c>
      <c r="M602" t="inlineStr">
        <is>
          <t>1986</t>
        </is>
      </c>
      <c r="O602" t="inlineStr">
        <is>
          <t>eng</t>
        </is>
      </c>
      <c r="P602" t="inlineStr">
        <is>
          <t>enk</t>
        </is>
      </c>
      <c r="R602" t="inlineStr">
        <is>
          <t xml:space="preserve">E  </t>
        </is>
      </c>
      <c r="S602" t="n">
        <v>1</v>
      </c>
      <c r="T602" t="n">
        <v>1</v>
      </c>
      <c r="U602" t="inlineStr">
        <is>
          <t>2000-08-11</t>
        </is>
      </c>
      <c r="V602" t="inlineStr">
        <is>
          <t>2000-08-11</t>
        </is>
      </c>
      <c r="W602" t="inlineStr">
        <is>
          <t>1991-02-01</t>
        </is>
      </c>
      <c r="X602" t="inlineStr">
        <is>
          <t>1991-02-01</t>
        </is>
      </c>
      <c r="Y602" t="n">
        <v>493</v>
      </c>
      <c r="Z602" t="n">
        <v>346</v>
      </c>
      <c r="AA602" t="n">
        <v>372</v>
      </c>
      <c r="AB602" t="n">
        <v>3</v>
      </c>
      <c r="AC602" t="n">
        <v>3</v>
      </c>
      <c r="AD602" t="n">
        <v>20</v>
      </c>
      <c r="AE602" t="n">
        <v>21</v>
      </c>
      <c r="AF602" t="n">
        <v>6</v>
      </c>
      <c r="AG602" t="n">
        <v>6</v>
      </c>
      <c r="AH602" t="n">
        <v>6</v>
      </c>
      <c r="AI602" t="n">
        <v>6</v>
      </c>
      <c r="AJ602" t="n">
        <v>12</v>
      </c>
      <c r="AK602" t="n">
        <v>13</v>
      </c>
      <c r="AL602" t="n">
        <v>2</v>
      </c>
      <c r="AM602" t="n">
        <v>2</v>
      </c>
      <c r="AN602" t="n">
        <v>0</v>
      </c>
      <c r="AO602" t="n">
        <v>0</v>
      </c>
      <c r="AP602" t="inlineStr">
        <is>
          <t>No</t>
        </is>
      </c>
      <c r="AQ602" t="inlineStr">
        <is>
          <t>Yes</t>
        </is>
      </c>
      <c r="AR602">
        <f>HYPERLINK("http://catalog.hathitrust.org/Record/000805181","HathiTrust Record")</f>
        <v/>
      </c>
      <c r="AS602">
        <f>HYPERLINK("https://creighton-primo.hosted.exlibrisgroup.com/primo-explore/search?tab=default_tab&amp;search_scope=EVERYTHING&amp;vid=01CRU&amp;lang=en_US&amp;offset=0&amp;query=any,contains,991000842639702656","Catalog Record")</f>
        <v/>
      </c>
      <c r="AT602">
        <f>HYPERLINK("http://www.worldcat.org/oclc/13526262","WorldCat Record")</f>
        <v/>
      </c>
      <c r="AU602" t="inlineStr">
        <is>
          <t>836639627:eng</t>
        </is>
      </c>
      <c r="AV602" t="inlineStr">
        <is>
          <t>13526262</t>
        </is>
      </c>
      <c r="AW602" t="inlineStr">
        <is>
          <t>991000842639702656</t>
        </is>
      </c>
      <c r="AX602" t="inlineStr">
        <is>
          <t>991000842639702656</t>
        </is>
      </c>
      <c r="AY602" t="inlineStr">
        <is>
          <t>2260961220002656</t>
        </is>
      </c>
      <c r="AZ602" t="inlineStr">
        <is>
          <t>BOOK</t>
        </is>
      </c>
      <c r="BB602" t="inlineStr">
        <is>
          <t>9780198229254</t>
        </is>
      </c>
      <c r="BC602" t="inlineStr">
        <is>
          <t>32285000481308</t>
        </is>
      </c>
      <c r="BD602" t="inlineStr">
        <is>
          <t>893315289</t>
        </is>
      </c>
    </row>
    <row r="603">
      <c r="A603" t="inlineStr">
        <is>
          <t>No</t>
        </is>
      </c>
      <c r="B603" t="inlineStr">
        <is>
          <t>E183.8.G7 T34 2002</t>
        </is>
      </c>
      <c r="C603" t="inlineStr">
        <is>
          <t>0                      E  0183800G  7                  T  34          2002</t>
        </is>
      </c>
      <c r="D603" t="inlineStr">
        <is>
          <t>Britain and America since independence / Howard Temperley.</t>
        </is>
      </c>
      <c r="F603" t="inlineStr">
        <is>
          <t>No</t>
        </is>
      </c>
      <c r="G603" t="inlineStr">
        <is>
          <t>1</t>
        </is>
      </c>
      <c r="H603" t="inlineStr">
        <is>
          <t>No</t>
        </is>
      </c>
      <c r="I603" t="inlineStr">
        <is>
          <t>No</t>
        </is>
      </c>
      <c r="J603" t="inlineStr">
        <is>
          <t>0</t>
        </is>
      </c>
      <c r="K603" t="inlineStr">
        <is>
          <t>Temperley, Howard.</t>
        </is>
      </c>
      <c r="L603" t="inlineStr">
        <is>
          <t>New York : Palgrave, 2002.</t>
        </is>
      </c>
      <c r="M603" t="inlineStr">
        <is>
          <t>2002</t>
        </is>
      </c>
      <c r="O603" t="inlineStr">
        <is>
          <t>eng</t>
        </is>
      </c>
      <c r="P603" t="inlineStr">
        <is>
          <t>nyu</t>
        </is>
      </c>
      <c r="Q603" t="inlineStr">
        <is>
          <t>British studies series</t>
        </is>
      </c>
      <c r="R603" t="inlineStr">
        <is>
          <t xml:space="preserve">E  </t>
        </is>
      </c>
      <c r="S603" t="n">
        <v>2</v>
      </c>
      <c r="T603" t="n">
        <v>2</v>
      </c>
      <c r="U603" t="inlineStr">
        <is>
          <t>2002-09-11</t>
        </is>
      </c>
      <c r="V603" t="inlineStr">
        <is>
          <t>2002-09-11</t>
        </is>
      </c>
      <c r="W603" t="inlineStr">
        <is>
          <t>2002-09-11</t>
        </is>
      </c>
      <c r="X603" t="inlineStr">
        <is>
          <t>2002-09-11</t>
        </is>
      </c>
      <c r="Y603" t="n">
        <v>305</v>
      </c>
      <c r="Z603" t="n">
        <v>237</v>
      </c>
      <c r="AA603" t="n">
        <v>243</v>
      </c>
      <c r="AB603" t="n">
        <v>2</v>
      </c>
      <c r="AC603" t="n">
        <v>2</v>
      </c>
      <c r="AD603" t="n">
        <v>8</v>
      </c>
      <c r="AE603" t="n">
        <v>8</v>
      </c>
      <c r="AF603" t="n">
        <v>3</v>
      </c>
      <c r="AG603" t="n">
        <v>3</v>
      </c>
      <c r="AH603" t="n">
        <v>3</v>
      </c>
      <c r="AI603" t="n">
        <v>3</v>
      </c>
      <c r="AJ603" t="n">
        <v>5</v>
      </c>
      <c r="AK603" t="n">
        <v>5</v>
      </c>
      <c r="AL603" t="n">
        <v>1</v>
      </c>
      <c r="AM603" t="n">
        <v>1</v>
      </c>
      <c r="AN603" t="n">
        <v>0</v>
      </c>
      <c r="AO603" t="n">
        <v>0</v>
      </c>
      <c r="AP603" t="inlineStr">
        <is>
          <t>No</t>
        </is>
      </c>
      <c r="AQ603" t="inlineStr">
        <is>
          <t>No</t>
        </is>
      </c>
      <c r="AS603">
        <f>HYPERLINK("https://creighton-primo.hosted.exlibrisgroup.com/primo-explore/search?tab=default_tab&amp;search_scope=EVERYTHING&amp;vid=01CRU&amp;lang=en_US&amp;offset=0&amp;query=any,contains,991003844059702656","Catalog Record")</f>
        <v/>
      </c>
      <c r="AT603">
        <f>HYPERLINK("http://www.worldcat.org/oclc/48579630","WorldCat Record")</f>
        <v/>
      </c>
      <c r="AU603" t="inlineStr">
        <is>
          <t>1005518:eng</t>
        </is>
      </c>
      <c r="AV603" t="inlineStr">
        <is>
          <t>48579630</t>
        </is>
      </c>
      <c r="AW603" t="inlineStr">
        <is>
          <t>991003844059702656</t>
        </is>
      </c>
      <c r="AX603" t="inlineStr">
        <is>
          <t>991003844059702656</t>
        </is>
      </c>
      <c r="AY603" t="inlineStr">
        <is>
          <t>2271848380002656</t>
        </is>
      </c>
      <c r="AZ603" t="inlineStr">
        <is>
          <t>BOOK</t>
        </is>
      </c>
      <c r="BB603" t="inlineStr">
        <is>
          <t>9780333672358</t>
        </is>
      </c>
      <c r="BC603" t="inlineStr">
        <is>
          <t>32285004646955</t>
        </is>
      </c>
      <c r="BD603" t="inlineStr">
        <is>
          <t>893781492</t>
        </is>
      </c>
    </row>
    <row r="604">
      <c r="A604" t="inlineStr">
        <is>
          <t>No</t>
        </is>
      </c>
      <c r="B604" t="inlineStr">
        <is>
          <t>E183.8.G8 C68 1983</t>
        </is>
      </c>
      <c r="C604" t="inlineStr">
        <is>
          <t>0                      E  0183800G  8                  C  68          1983</t>
        </is>
      </c>
      <c r="D604" t="inlineStr">
        <is>
          <t>The United States, Greece, and Turkey : the troubled triangle / Theodore A. Couloumbis.</t>
        </is>
      </c>
      <c r="F604" t="inlineStr">
        <is>
          <t>No</t>
        </is>
      </c>
      <c r="G604" t="inlineStr">
        <is>
          <t>1</t>
        </is>
      </c>
      <c r="H604" t="inlineStr">
        <is>
          <t>No</t>
        </is>
      </c>
      <c r="I604" t="inlineStr">
        <is>
          <t>No</t>
        </is>
      </c>
      <c r="J604" t="inlineStr">
        <is>
          <t>0</t>
        </is>
      </c>
      <c r="K604" t="inlineStr">
        <is>
          <t>Couloumbis, Theodore A.</t>
        </is>
      </c>
      <c r="L604" t="inlineStr">
        <is>
          <t>New York, N.Y. : Praeger, 1983.</t>
        </is>
      </c>
      <c r="M604" t="inlineStr">
        <is>
          <t>1983</t>
        </is>
      </c>
      <c r="O604" t="inlineStr">
        <is>
          <t>eng</t>
        </is>
      </c>
      <c r="P604" t="inlineStr">
        <is>
          <t>nyu</t>
        </is>
      </c>
      <c r="Q604" t="inlineStr">
        <is>
          <t>Studies of influence in international relations</t>
        </is>
      </c>
      <c r="R604" t="inlineStr">
        <is>
          <t xml:space="preserve">E  </t>
        </is>
      </c>
      <c r="S604" t="n">
        <v>3</v>
      </c>
      <c r="T604" t="n">
        <v>3</v>
      </c>
      <c r="U604" t="inlineStr">
        <is>
          <t>1999-04-09</t>
        </is>
      </c>
      <c r="V604" t="inlineStr">
        <is>
          <t>1999-04-09</t>
        </is>
      </c>
      <c r="W604" t="inlineStr">
        <is>
          <t>1990-04-10</t>
        </is>
      </c>
      <c r="X604" t="inlineStr">
        <is>
          <t>1990-04-10</t>
        </is>
      </c>
      <c r="Y604" t="n">
        <v>500</v>
      </c>
      <c r="Z604" t="n">
        <v>431</v>
      </c>
      <c r="AA604" t="n">
        <v>433</v>
      </c>
      <c r="AB604" t="n">
        <v>3</v>
      </c>
      <c r="AC604" t="n">
        <v>3</v>
      </c>
      <c r="AD604" t="n">
        <v>15</v>
      </c>
      <c r="AE604" t="n">
        <v>15</v>
      </c>
      <c r="AF604" t="n">
        <v>5</v>
      </c>
      <c r="AG604" t="n">
        <v>5</v>
      </c>
      <c r="AH604" t="n">
        <v>4</v>
      </c>
      <c r="AI604" t="n">
        <v>4</v>
      </c>
      <c r="AJ604" t="n">
        <v>9</v>
      </c>
      <c r="AK604" t="n">
        <v>9</v>
      </c>
      <c r="AL604" t="n">
        <v>2</v>
      </c>
      <c r="AM604" t="n">
        <v>2</v>
      </c>
      <c r="AN604" t="n">
        <v>0</v>
      </c>
      <c r="AO604" t="n">
        <v>0</v>
      </c>
      <c r="AP604" t="inlineStr">
        <is>
          <t>No</t>
        </is>
      </c>
      <c r="AQ604" t="inlineStr">
        <is>
          <t>Yes</t>
        </is>
      </c>
      <c r="AR604">
        <f>HYPERLINK("http://catalog.hathitrust.org/Record/000276690","HathiTrust Record")</f>
        <v/>
      </c>
      <c r="AS604">
        <f>HYPERLINK("https://creighton-primo.hosted.exlibrisgroup.com/primo-explore/search?tab=default_tab&amp;search_scope=EVERYTHING&amp;vid=01CRU&amp;lang=en_US&amp;offset=0&amp;query=any,contains,991000149479702656","Catalog Record")</f>
        <v/>
      </c>
      <c r="AT604">
        <f>HYPERLINK("http://www.worldcat.org/oclc/9197481","WorldCat Record")</f>
        <v/>
      </c>
      <c r="AU604" t="inlineStr">
        <is>
          <t>293436092:eng</t>
        </is>
      </c>
      <c r="AV604" t="inlineStr">
        <is>
          <t>9197481</t>
        </is>
      </c>
      <c r="AW604" t="inlineStr">
        <is>
          <t>991000149479702656</t>
        </is>
      </c>
      <c r="AX604" t="inlineStr">
        <is>
          <t>991000149479702656</t>
        </is>
      </c>
      <c r="AY604" t="inlineStr">
        <is>
          <t>2266028870002656</t>
        </is>
      </c>
      <c r="AZ604" t="inlineStr">
        <is>
          <t>BOOK</t>
        </is>
      </c>
      <c r="BB604" t="inlineStr">
        <is>
          <t>9780030525469</t>
        </is>
      </c>
      <c r="BC604" t="inlineStr">
        <is>
          <t>32285000114917</t>
        </is>
      </c>
      <c r="BD604" t="inlineStr">
        <is>
          <t>893534060</t>
        </is>
      </c>
    </row>
    <row r="605">
      <c r="A605" t="inlineStr">
        <is>
          <t>No</t>
        </is>
      </c>
      <c r="B605" t="inlineStr">
        <is>
          <t>E183.8.G8 G83 1980</t>
        </is>
      </c>
      <c r="C605" t="inlineStr">
        <is>
          <t>0                      E  0183800G  8                  G  83          1980</t>
        </is>
      </c>
      <c r="D605" t="inlineStr">
        <is>
          <t>Greek-American relations : a critical review / edited by Theodore A. Couloumbis, John O. Iatrides.</t>
        </is>
      </c>
      <c r="F605" t="inlineStr">
        <is>
          <t>No</t>
        </is>
      </c>
      <c r="G605" t="inlineStr">
        <is>
          <t>1</t>
        </is>
      </c>
      <c r="H605" t="inlineStr">
        <is>
          <t>No</t>
        </is>
      </c>
      <c r="I605" t="inlineStr">
        <is>
          <t>No</t>
        </is>
      </c>
      <c r="J605" t="inlineStr">
        <is>
          <t>0</t>
        </is>
      </c>
      <c r="L605" t="inlineStr">
        <is>
          <t>New York, NY : Pella Pub. Co., 1980.</t>
        </is>
      </c>
      <c r="M605" t="inlineStr">
        <is>
          <t>1980</t>
        </is>
      </c>
      <c r="O605" t="inlineStr">
        <is>
          <t>eng</t>
        </is>
      </c>
      <c r="P605" t="inlineStr">
        <is>
          <t>nyu</t>
        </is>
      </c>
      <c r="Q605" t="inlineStr">
        <is>
          <t>Modern Greek research series ; 3</t>
        </is>
      </c>
      <c r="R605" t="inlineStr">
        <is>
          <t xml:space="preserve">E  </t>
        </is>
      </c>
      <c r="S605" t="n">
        <v>1</v>
      </c>
      <c r="T605" t="n">
        <v>1</v>
      </c>
      <c r="U605" t="inlineStr">
        <is>
          <t>1999-04-09</t>
        </is>
      </c>
      <c r="V605" t="inlineStr">
        <is>
          <t>1999-04-09</t>
        </is>
      </c>
      <c r="W605" t="inlineStr">
        <is>
          <t>1991-02-01</t>
        </is>
      </c>
      <c r="X605" t="inlineStr">
        <is>
          <t>1991-02-01</t>
        </is>
      </c>
      <c r="Y605" t="n">
        <v>146</v>
      </c>
      <c r="Z605" t="n">
        <v>111</v>
      </c>
      <c r="AA605" t="n">
        <v>118</v>
      </c>
      <c r="AB605" t="n">
        <v>1</v>
      </c>
      <c r="AC605" t="n">
        <v>1</v>
      </c>
      <c r="AD605" t="n">
        <v>2</v>
      </c>
      <c r="AE605" t="n">
        <v>2</v>
      </c>
      <c r="AF605" t="n">
        <v>0</v>
      </c>
      <c r="AG605" t="n">
        <v>0</v>
      </c>
      <c r="AH605" t="n">
        <v>0</v>
      </c>
      <c r="AI605" t="n">
        <v>0</v>
      </c>
      <c r="AJ605" t="n">
        <v>2</v>
      </c>
      <c r="AK605" t="n">
        <v>2</v>
      </c>
      <c r="AL605" t="n">
        <v>0</v>
      </c>
      <c r="AM605" t="n">
        <v>0</v>
      </c>
      <c r="AN605" t="n">
        <v>0</v>
      </c>
      <c r="AO605" t="n">
        <v>0</v>
      </c>
      <c r="AP605" t="inlineStr">
        <is>
          <t>No</t>
        </is>
      </c>
      <c r="AQ605" t="inlineStr">
        <is>
          <t>Yes</t>
        </is>
      </c>
      <c r="AR605">
        <f>HYPERLINK("http://catalog.hathitrust.org/Record/000718318","HathiTrust Record")</f>
        <v/>
      </c>
      <c r="AS605">
        <f>HYPERLINK("https://creighton-primo.hosted.exlibrisgroup.com/primo-explore/search?tab=default_tab&amp;search_scope=EVERYTHING&amp;vid=01CRU&amp;lang=en_US&amp;offset=0&amp;query=any,contains,991004982079702656","Catalog Record")</f>
        <v/>
      </c>
      <c r="AT605">
        <f>HYPERLINK("http://www.worldcat.org/oclc/6423745","WorldCat Record")</f>
        <v/>
      </c>
      <c r="AU605" t="inlineStr">
        <is>
          <t>894882516:eng</t>
        </is>
      </c>
      <c r="AV605" t="inlineStr">
        <is>
          <t>6423745</t>
        </is>
      </c>
      <c r="AW605" t="inlineStr">
        <is>
          <t>991004982079702656</t>
        </is>
      </c>
      <c r="AX605" t="inlineStr">
        <is>
          <t>991004982079702656</t>
        </is>
      </c>
      <c r="AY605" t="inlineStr">
        <is>
          <t>2269474190002656</t>
        </is>
      </c>
      <c r="AZ605" t="inlineStr">
        <is>
          <t>BOOK</t>
        </is>
      </c>
      <c r="BB605" t="inlineStr">
        <is>
          <t>9780918618177</t>
        </is>
      </c>
      <c r="BC605" t="inlineStr">
        <is>
          <t>32285000481324</t>
        </is>
      </c>
      <c r="BD605" t="inlineStr">
        <is>
          <t>893248173</t>
        </is>
      </c>
    </row>
    <row r="606">
      <c r="A606" t="inlineStr">
        <is>
          <t>No</t>
        </is>
      </c>
      <c r="B606" t="inlineStr">
        <is>
          <t>E183.8.G84 G75 1984</t>
        </is>
      </c>
      <c r="C606" t="inlineStr">
        <is>
          <t>0                      E  0183800G  84                 G  75          1984</t>
        </is>
      </c>
      <c r="D606" t="inlineStr">
        <is>
          <t>The Grenada mission : crisis editorializing in the New York times, Wall Street journal, Washington post, and Washington times / foreword by Edwin M. Yoder, Jr. ; edited by Raymond English.</t>
        </is>
      </c>
      <c r="F606" t="inlineStr">
        <is>
          <t>No</t>
        </is>
      </c>
      <c r="G606" t="inlineStr">
        <is>
          <t>1</t>
        </is>
      </c>
      <c r="H606" t="inlineStr">
        <is>
          <t>No</t>
        </is>
      </c>
      <c r="I606" t="inlineStr">
        <is>
          <t>No</t>
        </is>
      </c>
      <c r="J606" t="inlineStr">
        <is>
          <t>0</t>
        </is>
      </c>
      <c r="L606" t="inlineStr">
        <is>
          <t>Washington, D.C. : Ethics and Public Policy Center, [1984]</t>
        </is>
      </c>
      <c r="M606" t="inlineStr">
        <is>
          <t>1984</t>
        </is>
      </c>
      <c r="O606" t="inlineStr">
        <is>
          <t>eng</t>
        </is>
      </c>
      <c r="P606" t="inlineStr">
        <is>
          <t>dcu</t>
        </is>
      </c>
      <c r="Q606" t="inlineStr">
        <is>
          <t>Ethics and public policy essay ; 55</t>
        </is>
      </c>
      <c r="R606" t="inlineStr">
        <is>
          <t xml:space="preserve">E  </t>
        </is>
      </c>
      <c r="S606" t="n">
        <v>4</v>
      </c>
      <c r="T606" t="n">
        <v>4</v>
      </c>
      <c r="U606" t="inlineStr">
        <is>
          <t>1994-02-08</t>
        </is>
      </c>
      <c r="V606" t="inlineStr">
        <is>
          <t>1994-02-08</t>
        </is>
      </c>
      <c r="W606" t="inlineStr">
        <is>
          <t>1990-02-09</t>
        </is>
      </c>
      <c r="X606" t="inlineStr">
        <is>
          <t>1990-02-09</t>
        </is>
      </c>
      <c r="Y606" t="n">
        <v>95</v>
      </c>
      <c r="Z606" t="n">
        <v>89</v>
      </c>
      <c r="AA606" t="n">
        <v>91</v>
      </c>
      <c r="AB606" t="n">
        <v>1</v>
      </c>
      <c r="AC606" t="n">
        <v>1</v>
      </c>
      <c r="AD606" t="n">
        <v>8</v>
      </c>
      <c r="AE606" t="n">
        <v>8</v>
      </c>
      <c r="AF606" t="n">
        <v>2</v>
      </c>
      <c r="AG606" t="n">
        <v>2</v>
      </c>
      <c r="AH606" t="n">
        <v>2</v>
      </c>
      <c r="AI606" t="n">
        <v>2</v>
      </c>
      <c r="AJ606" t="n">
        <v>7</v>
      </c>
      <c r="AK606" t="n">
        <v>7</v>
      </c>
      <c r="AL606" t="n">
        <v>0</v>
      </c>
      <c r="AM606" t="n">
        <v>0</v>
      </c>
      <c r="AN606" t="n">
        <v>0</v>
      </c>
      <c r="AO606" t="n">
        <v>0</v>
      </c>
      <c r="AP606" t="inlineStr">
        <is>
          <t>No</t>
        </is>
      </c>
      <c r="AQ606" t="inlineStr">
        <is>
          <t>Yes</t>
        </is>
      </c>
      <c r="AR606">
        <f>HYPERLINK("http://catalog.hathitrust.org/Record/101507771","HathiTrust Record")</f>
        <v/>
      </c>
      <c r="AS606">
        <f>HYPERLINK("https://creighton-primo.hosted.exlibrisgroup.com/primo-explore/search?tab=default_tab&amp;search_scope=EVERYTHING&amp;vid=01CRU&amp;lang=en_US&amp;offset=0&amp;query=any,contains,991000581299702656","Catalog Record")</f>
        <v/>
      </c>
      <c r="AT606">
        <f>HYPERLINK("http://www.worldcat.org/oclc/11738019","WorldCat Record")</f>
        <v/>
      </c>
      <c r="AU606" t="inlineStr">
        <is>
          <t>4641981:eng</t>
        </is>
      </c>
      <c r="AV606" t="inlineStr">
        <is>
          <t>11738019</t>
        </is>
      </c>
      <c r="AW606" t="inlineStr">
        <is>
          <t>991000581299702656</t>
        </is>
      </c>
      <c r="AX606" t="inlineStr">
        <is>
          <t>991000581299702656</t>
        </is>
      </c>
      <c r="AY606" t="inlineStr">
        <is>
          <t>2255419180002656</t>
        </is>
      </c>
      <c r="AZ606" t="inlineStr">
        <is>
          <t>BOOK</t>
        </is>
      </c>
      <c r="BB606" t="inlineStr">
        <is>
          <t>9780896330856</t>
        </is>
      </c>
      <c r="BC606" t="inlineStr">
        <is>
          <t>32285000009109</t>
        </is>
      </c>
      <c r="BD606" t="inlineStr">
        <is>
          <t>893333598</t>
        </is>
      </c>
    </row>
    <row r="607">
      <c r="A607" t="inlineStr">
        <is>
          <t>No</t>
        </is>
      </c>
      <c r="B607" t="inlineStr">
        <is>
          <t>E183.8.G9 J65 1985</t>
        </is>
      </c>
      <c r="C607" t="inlineStr">
        <is>
          <t>0                      E  0183800G  9                  J  65          1985</t>
        </is>
      </c>
      <c r="D607" t="inlineStr">
        <is>
          <t>Report on Guatemala : findings of the Study Group on United States-Guatemalan Relations.</t>
        </is>
      </c>
      <c r="F607" t="inlineStr">
        <is>
          <t>No</t>
        </is>
      </c>
      <c r="G607" t="inlineStr">
        <is>
          <t>1</t>
        </is>
      </c>
      <c r="H607" t="inlineStr">
        <is>
          <t>No</t>
        </is>
      </c>
      <c r="I607" t="inlineStr">
        <is>
          <t>No</t>
        </is>
      </c>
      <c r="J607" t="inlineStr">
        <is>
          <t>0</t>
        </is>
      </c>
      <c r="K607" t="inlineStr">
        <is>
          <t>Johns Hopkins University. Study Group on United States-Guatemalan Relations.</t>
        </is>
      </c>
      <c r="L607" t="inlineStr">
        <is>
          <t>Boulder, Colo. : Westview Press with Foreign Policy Institute, School of Advanced International Studies, John Hopkins University, 1985.</t>
        </is>
      </c>
      <c r="M607" t="inlineStr">
        <is>
          <t>1985</t>
        </is>
      </c>
      <c r="O607" t="inlineStr">
        <is>
          <t>eng</t>
        </is>
      </c>
      <c r="P607" t="inlineStr">
        <is>
          <t>cou</t>
        </is>
      </c>
      <c r="Q607" t="inlineStr">
        <is>
          <t>SAIS papers in international affairs ; no. 7</t>
        </is>
      </c>
      <c r="R607" t="inlineStr">
        <is>
          <t xml:space="preserve">E  </t>
        </is>
      </c>
      <c r="S607" t="n">
        <v>10</v>
      </c>
      <c r="T607" t="n">
        <v>10</v>
      </c>
      <c r="U607" t="inlineStr">
        <is>
          <t>1998-09-27</t>
        </is>
      </c>
      <c r="V607" t="inlineStr">
        <is>
          <t>1998-09-27</t>
        </is>
      </c>
      <c r="W607" t="inlineStr">
        <is>
          <t>1990-02-09</t>
        </is>
      </c>
      <c r="X607" t="inlineStr">
        <is>
          <t>1990-02-09</t>
        </is>
      </c>
      <c r="Y607" t="n">
        <v>250</v>
      </c>
      <c r="Z607" t="n">
        <v>215</v>
      </c>
      <c r="AA607" t="n">
        <v>222</v>
      </c>
      <c r="AB607" t="n">
        <v>3</v>
      </c>
      <c r="AC607" t="n">
        <v>3</v>
      </c>
      <c r="AD607" t="n">
        <v>7</v>
      </c>
      <c r="AE607" t="n">
        <v>7</v>
      </c>
      <c r="AF607" t="n">
        <v>0</v>
      </c>
      <c r="AG607" t="n">
        <v>0</v>
      </c>
      <c r="AH607" t="n">
        <v>4</v>
      </c>
      <c r="AI607" t="n">
        <v>4</v>
      </c>
      <c r="AJ607" t="n">
        <v>3</v>
      </c>
      <c r="AK607" t="n">
        <v>3</v>
      </c>
      <c r="AL607" t="n">
        <v>2</v>
      </c>
      <c r="AM607" t="n">
        <v>2</v>
      </c>
      <c r="AN607" t="n">
        <v>0</v>
      </c>
      <c r="AO607" t="n">
        <v>0</v>
      </c>
      <c r="AP607" t="inlineStr">
        <is>
          <t>No</t>
        </is>
      </c>
      <c r="AQ607" t="inlineStr">
        <is>
          <t>Yes</t>
        </is>
      </c>
      <c r="AR607">
        <f>HYPERLINK("http://catalog.hathitrust.org/Record/000377163","HathiTrust Record")</f>
        <v/>
      </c>
      <c r="AS607">
        <f>HYPERLINK("https://creighton-primo.hosted.exlibrisgroup.com/primo-explore/search?tab=default_tab&amp;search_scope=EVERYTHING&amp;vid=01CRU&amp;lang=en_US&amp;offset=0&amp;query=any,contains,991000646479702656","Catalog Record")</f>
        <v/>
      </c>
      <c r="AT607">
        <f>HYPERLINK("http://www.worldcat.org/oclc/12133966","WorldCat Record")</f>
        <v/>
      </c>
      <c r="AU607" t="inlineStr">
        <is>
          <t>894880617:eng</t>
        </is>
      </c>
      <c r="AV607" t="inlineStr">
        <is>
          <t>12133966</t>
        </is>
      </c>
      <c r="AW607" t="inlineStr">
        <is>
          <t>991000646479702656</t>
        </is>
      </c>
      <c r="AX607" t="inlineStr">
        <is>
          <t>991000646479702656</t>
        </is>
      </c>
      <c r="AY607" t="inlineStr">
        <is>
          <t>2263241940002656</t>
        </is>
      </c>
      <c r="AZ607" t="inlineStr">
        <is>
          <t>BOOK</t>
        </is>
      </c>
      <c r="BB607" t="inlineStr">
        <is>
          <t>9780813301969</t>
        </is>
      </c>
      <c r="BC607" t="inlineStr">
        <is>
          <t>32285000009117</t>
        </is>
      </c>
      <c r="BD607" t="inlineStr">
        <is>
          <t>893796860</t>
        </is>
      </c>
    </row>
    <row r="608">
      <c r="A608" t="inlineStr">
        <is>
          <t>No</t>
        </is>
      </c>
      <c r="B608" t="inlineStr">
        <is>
          <t>E183.8.H2 H42</t>
        </is>
      </c>
      <c r="C608" t="inlineStr">
        <is>
          <t>0                      E  0183800H  2                  H  42</t>
        </is>
      </c>
      <c r="D608" t="inlineStr">
        <is>
          <t>Gunboat diplomacy in the Wilson era : the U.S. Navy in Haiti, 1915-1916 / David Healy.</t>
        </is>
      </c>
      <c r="F608" t="inlineStr">
        <is>
          <t>No</t>
        </is>
      </c>
      <c r="G608" t="inlineStr">
        <is>
          <t>1</t>
        </is>
      </c>
      <c r="H608" t="inlineStr">
        <is>
          <t>No</t>
        </is>
      </c>
      <c r="I608" t="inlineStr">
        <is>
          <t>No</t>
        </is>
      </c>
      <c r="J608" t="inlineStr">
        <is>
          <t>0</t>
        </is>
      </c>
      <c r="K608" t="inlineStr">
        <is>
          <t>Healy, David, 1926-</t>
        </is>
      </c>
      <c r="L608" t="inlineStr">
        <is>
          <t>Madison : University of Wisconsin Press, 1976.</t>
        </is>
      </c>
      <c r="M608" t="inlineStr">
        <is>
          <t>1976</t>
        </is>
      </c>
      <c r="O608" t="inlineStr">
        <is>
          <t>eng</t>
        </is>
      </c>
      <c r="P608" t="inlineStr">
        <is>
          <t>wiu</t>
        </is>
      </c>
      <c r="R608" t="inlineStr">
        <is>
          <t xml:space="preserve">E  </t>
        </is>
      </c>
      <c r="S608" t="n">
        <v>1</v>
      </c>
      <c r="T608" t="n">
        <v>1</v>
      </c>
      <c r="U608" t="inlineStr">
        <is>
          <t>2001-01-27</t>
        </is>
      </c>
      <c r="V608" t="inlineStr">
        <is>
          <t>2001-01-27</t>
        </is>
      </c>
      <c r="W608" t="inlineStr">
        <is>
          <t>1997-04-09</t>
        </is>
      </c>
      <c r="X608" t="inlineStr">
        <is>
          <t>1997-04-09</t>
        </is>
      </c>
      <c r="Y608" t="n">
        <v>670</v>
      </c>
      <c r="Z608" t="n">
        <v>589</v>
      </c>
      <c r="AA608" t="n">
        <v>591</v>
      </c>
      <c r="AB608" t="n">
        <v>4</v>
      </c>
      <c r="AC608" t="n">
        <v>4</v>
      </c>
      <c r="AD608" t="n">
        <v>26</v>
      </c>
      <c r="AE608" t="n">
        <v>26</v>
      </c>
      <c r="AF608" t="n">
        <v>10</v>
      </c>
      <c r="AG608" t="n">
        <v>10</v>
      </c>
      <c r="AH608" t="n">
        <v>6</v>
      </c>
      <c r="AI608" t="n">
        <v>6</v>
      </c>
      <c r="AJ608" t="n">
        <v>13</v>
      </c>
      <c r="AK608" t="n">
        <v>13</v>
      </c>
      <c r="AL608" t="n">
        <v>3</v>
      </c>
      <c r="AM608" t="n">
        <v>3</v>
      </c>
      <c r="AN608" t="n">
        <v>0</v>
      </c>
      <c r="AO608" t="n">
        <v>0</v>
      </c>
      <c r="AP608" t="inlineStr">
        <is>
          <t>No</t>
        </is>
      </c>
      <c r="AQ608" t="inlineStr">
        <is>
          <t>Yes</t>
        </is>
      </c>
      <c r="AR608">
        <f>HYPERLINK("http://catalog.hathitrust.org/Record/000699858","HathiTrust Record")</f>
        <v/>
      </c>
      <c r="AS608">
        <f>HYPERLINK("https://creighton-primo.hosted.exlibrisgroup.com/primo-explore/search?tab=default_tab&amp;search_scope=EVERYTHING&amp;vid=01CRU&amp;lang=en_US&amp;offset=0&amp;query=any,contains,991003945899702656","Catalog Record")</f>
        <v/>
      </c>
      <c r="AT608">
        <f>HYPERLINK("http://www.worldcat.org/oclc/1945377","WorldCat Record")</f>
        <v/>
      </c>
      <c r="AU608" t="inlineStr">
        <is>
          <t>196926818:eng</t>
        </is>
      </c>
      <c r="AV608" t="inlineStr">
        <is>
          <t>1945377</t>
        </is>
      </c>
      <c r="AW608" t="inlineStr">
        <is>
          <t>991003945899702656</t>
        </is>
      </c>
      <c r="AX608" t="inlineStr">
        <is>
          <t>991003945899702656</t>
        </is>
      </c>
      <c r="AY608" t="inlineStr">
        <is>
          <t>2264802250002656</t>
        </is>
      </c>
      <c r="AZ608" t="inlineStr">
        <is>
          <t>BOOK</t>
        </is>
      </c>
      <c r="BB608" t="inlineStr">
        <is>
          <t>9780299069803</t>
        </is>
      </c>
      <c r="BC608" t="inlineStr">
        <is>
          <t>32285002507902</t>
        </is>
      </c>
      <c r="BD608" t="inlineStr">
        <is>
          <t>893705813</t>
        </is>
      </c>
    </row>
    <row r="609">
      <c r="A609" t="inlineStr">
        <is>
          <t>No</t>
        </is>
      </c>
      <c r="B609" t="inlineStr">
        <is>
          <t>E183.8.I4 C37 1993</t>
        </is>
      </c>
      <c r="C609" t="inlineStr">
        <is>
          <t>0                      E  0183800I  4                  C  37          1993</t>
        </is>
      </c>
      <c r="D609" t="inlineStr">
        <is>
          <t>India &amp; America after the Cold War : report of the Carnegie Endowment Study Group on U.S.-Indian Relations in a Changing International Environment / by Selig S. Harrison and Geoffrey Kemp.</t>
        </is>
      </c>
      <c r="F609" t="inlineStr">
        <is>
          <t>No</t>
        </is>
      </c>
      <c r="G609" t="inlineStr">
        <is>
          <t>1</t>
        </is>
      </c>
      <c r="H609" t="inlineStr">
        <is>
          <t>No</t>
        </is>
      </c>
      <c r="I609" t="inlineStr">
        <is>
          <t>No</t>
        </is>
      </c>
      <c r="J609" t="inlineStr">
        <is>
          <t>0</t>
        </is>
      </c>
      <c r="K609" t="inlineStr">
        <is>
          <t>Carnegie Endowment Study Group on U.S.-Indian Relations in a Changing International Environment.</t>
        </is>
      </c>
      <c r="L609" t="inlineStr">
        <is>
          <t>Washington, D.C. : Carnegie Endowment for International Peace, c1993.</t>
        </is>
      </c>
      <c r="M609" t="inlineStr">
        <is>
          <t>1993</t>
        </is>
      </c>
      <c r="O609" t="inlineStr">
        <is>
          <t>eng</t>
        </is>
      </c>
      <c r="P609" t="inlineStr">
        <is>
          <t>dcu</t>
        </is>
      </c>
      <c r="R609" t="inlineStr">
        <is>
          <t xml:space="preserve">E  </t>
        </is>
      </c>
      <c r="S609" t="n">
        <v>5</v>
      </c>
      <c r="T609" t="n">
        <v>5</v>
      </c>
      <c r="U609" t="inlineStr">
        <is>
          <t>1997-04-21</t>
        </is>
      </c>
      <c r="V609" t="inlineStr">
        <is>
          <t>1997-04-21</t>
        </is>
      </c>
      <c r="W609" t="inlineStr">
        <is>
          <t>1993-10-08</t>
        </is>
      </c>
      <c r="X609" t="inlineStr">
        <is>
          <t>1993-10-08</t>
        </is>
      </c>
      <c r="Y609" t="n">
        <v>225</v>
      </c>
      <c r="Z609" t="n">
        <v>191</v>
      </c>
      <c r="AA609" t="n">
        <v>198</v>
      </c>
      <c r="AB609" t="n">
        <v>2</v>
      </c>
      <c r="AC609" t="n">
        <v>2</v>
      </c>
      <c r="AD609" t="n">
        <v>9</v>
      </c>
      <c r="AE609" t="n">
        <v>9</v>
      </c>
      <c r="AF609" t="n">
        <v>0</v>
      </c>
      <c r="AG609" t="n">
        <v>0</v>
      </c>
      <c r="AH609" t="n">
        <v>5</v>
      </c>
      <c r="AI609" t="n">
        <v>5</v>
      </c>
      <c r="AJ609" t="n">
        <v>4</v>
      </c>
      <c r="AK609" t="n">
        <v>4</v>
      </c>
      <c r="AL609" t="n">
        <v>1</v>
      </c>
      <c r="AM609" t="n">
        <v>1</v>
      </c>
      <c r="AN609" t="n">
        <v>1</v>
      </c>
      <c r="AO609" t="n">
        <v>1</v>
      </c>
      <c r="AP609" t="inlineStr">
        <is>
          <t>No</t>
        </is>
      </c>
      <c r="AQ609" t="inlineStr">
        <is>
          <t>Yes</t>
        </is>
      </c>
      <c r="AR609">
        <f>HYPERLINK("http://catalog.hathitrust.org/Record/002612465","HathiTrust Record")</f>
        <v/>
      </c>
      <c r="AS609">
        <f>HYPERLINK("https://creighton-primo.hosted.exlibrisgroup.com/primo-explore/search?tab=default_tab&amp;search_scope=EVERYTHING&amp;vid=01CRU&amp;lang=en_US&amp;offset=0&amp;query=any,contains,991002117869702656","Catalog Record")</f>
        <v/>
      </c>
      <c r="AT609">
        <f>HYPERLINK("http://www.worldcat.org/oclc/27145363","WorldCat Record")</f>
        <v/>
      </c>
      <c r="AU609" t="inlineStr">
        <is>
          <t>374727:eng</t>
        </is>
      </c>
      <c r="AV609" t="inlineStr">
        <is>
          <t>27145363</t>
        </is>
      </c>
      <c r="AW609" t="inlineStr">
        <is>
          <t>991002117869702656</t>
        </is>
      </c>
      <c r="AX609" t="inlineStr">
        <is>
          <t>991002117869702656</t>
        </is>
      </c>
      <c r="AY609" t="inlineStr">
        <is>
          <t>2256587110002656</t>
        </is>
      </c>
      <c r="AZ609" t="inlineStr">
        <is>
          <t>BOOK</t>
        </is>
      </c>
      <c r="BB609" t="inlineStr">
        <is>
          <t>9780870030284</t>
        </is>
      </c>
      <c r="BC609" t="inlineStr">
        <is>
          <t>32285001785467</t>
        </is>
      </c>
      <c r="BD609" t="inlineStr">
        <is>
          <t>893316404</t>
        </is>
      </c>
    </row>
    <row r="610">
      <c r="A610" t="inlineStr">
        <is>
          <t>No</t>
        </is>
      </c>
      <c r="B610" t="inlineStr">
        <is>
          <t>E183.8.I4 N35</t>
        </is>
      </c>
      <c r="C610" t="inlineStr">
        <is>
          <t>0                      E  0183800I  4                  N  35</t>
        </is>
      </c>
      <c r="D610" t="inlineStr">
        <is>
          <t>American geopolitics and India / Baldev Raj Nayar.</t>
        </is>
      </c>
      <c r="F610" t="inlineStr">
        <is>
          <t>No</t>
        </is>
      </c>
      <c r="G610" t="inlineStr">
        <is>
          <t>1</t>
        </is>
      </c>
      <c r="H610" t="inlineStr">
        <is>
          <t>No</t>
        </is>
      </c>
      <c r="I610" t="inlineStr">
        <is>
          <t>No</t>
        </is>
      </c>
      <c r="J610" t="inlineStr">
        <is>
          <t>0</t>
        </is>
      </c>
      <c r="K610" t="inlineStr">
        <is>
          <t>Nayar, Baldev Raj.</t>
        </is>
      </c>
      <c r="L610" t="inlineStr">
        <is>
          <t>Columbia, Mo. : South Asia Books, 1976.</t>
        </is>
      </c>
      <c r="M610" t="inlineStr">
        <is>
          <t>1976</t>
        </is>
      </c>
      <c r="O610" t="inlineStr">
        <is>
          <t>eng</t>
        </is>
      </c>
      <c r="P610" t="inlineStr">
        <is>
          <t>mou</t>
        </is>
      </c>
      <c r="R610" t="inlineStr">
        <is>
          <t xml:space="preserve">E  </t>
        </is>
      </c>
      <c r="S610" t="n">
        <v>3</v>
      </c>
      <c r="T610" t="n">
        <v>3</v>
      </c>
      <c r="U610" t="inlineStr">
        <is>
          <t>1998-02-05</t>
        </is>
      </c>
      <c r="V610" t="inlineStr">
        <is>
          <t>1998-02-05</t>
        </is>
      </c>
      <c r="W610" t="inlineStr">
        <is>
          <t>1997-04-09</t>
        </is>
      </c>
      <c r="X610" t="inlineStr">
        <is>
          <t>1997-04-09</t>
        </is>
      </c>
      <c r="Y610" t="n">
        <v>162</v>
      </c>
      <c r="Z610" t="n">
        <v>145</v>
      </c>
      <c r="AA610" t="n">
        <v>235</v>
      </c>
      <c r="AB610" t="n">
        <v>1</v>
      </c>
      <c r="AC610" t="n">
        <v>2</v>
      </c>
      <c r="AD610" t="n">
        <v>8</v>
      </c>
      <c r="AE610" t="n">
        <v>11</v>
      </c>
      <c r="AF610" t="n">
        <v>3</v>
      </c>
      <c r="AG610" t="n">
        <v>4</v>
      </c>
      <c r="AH610" t="n">
        <v>4</v>
      </c>
      <c r="AI610" t="n">
        <v>5</v>
      </c>
      <c r="AJ610" t="n">
        <v>3</v>
      </c>
      <c r="AK610" t="n">
        <v>4</v>
      </c>
      <c r="AL610" t="n">
        <v>0</v>
      </c>
      <c r="AM610" t="n">
        <v>1</v>
      </c>
      <c r="AN610" t="n">
        <v>0</v>
      </c>
      <c r="AO610" t="n">
        <v>0</v>
      </c>
      <c r="AP610" t="inlineStr">
        <is>
          <t>No</t>
        </is>
      </c>
      <c r="AQ610" t="inlineStr">
        <is>
          <t>No</t>
        </is>
      </c>
      <c r="AS610">
        <f>HYPERLINK("https://creighton-primo.hosted.exlibrisgroup.com/primo-explore/search?tab=default_tab&amp;search_scope=EVERYTHING&amp;vid=01CRU&amp;lang=en_US&amp;offset=0&amp;query=any,contains,991004248699702656","Catalog Record")</f>
        <v/>
      </c>
      <c r="AT610">
        <f>HYPERLINK("http://www.worldcat.org/oclc/2800743","WorldCat Record")</f>
        <v/>
      </c>
      <c r="AU610" t="inlineStr">
        <is>
          <t>5958445:eng</t>
        </is>
      </c>
      <c r="AV610" t="inlineStr">
        <is>
          <t>2800743</t>
        </is>
      </c>
      <c r="AW610" t="inlineStr">
        <is>
          <t>991004248699702656</t>
        </is>
      </c>
      <c r="AX610" t="inlineStr">
        <is>
          <t>991004248699702656</t>
        </is>
      </c>
      <c r="AY610" t="inlineStr">
        <is>
          <t>2260068460002656</t>
        </is>
      </c>
      <c r="AZ610" t="inlineStr">
        <is>
          <t>BOOK</t>
        </is>
      </c>
      <c r="BB610" t="inlineStr">
        <is>
          <t>9780883867631</t>
        </is>
      </c>
      <c r="BC610" t="inlineStr">
        <is>
          <t>32285002507951</t>
        </is>
      </c>
      <c r="BD610" t="inlineStr">
        <is>
          <t>893599608</t>
        </is>
      </c>
    </row>
    <row r="611">
      <c r="A611" t="inlineStr">
        <is>
          <t>No</t>
        </is>
      </c>
      <c r="B611" t="inlineStr">
        <is>
          <t>E183.8.I4 R63 2000</t>
        </is>
      </c>
      <c r="C611" t="inlineStr">
        <is>
          <t>0                      E  0183800I  4                  R  63          2000</t>
        </is>
      </c>
      <c r="D611" t="inlineStr">
        <is>
          <t>Comrades at odds : the United States and India, 1947-1964 / Andrew J. Rotter.</t>
        </is>
      </c>
      <c r="F611" t="inlineStr">
        <is>
          <t>No</t>
        </is>
      </c>
      <c r="G611" t="inlineStr">
        <is>
          <t>1</t>
        </is>
      </c>
      <c r="H611" t="inlineStr">
        <is>
          <t>No</t>
        </is>
      </c>
      <c r="I611" t="inlineStr">
        <is>
          <t>No</t>
        </is>
      </c>
      <c r="J611" t="inlineStr">
        <is>
          <t>0</t>
        </is>
      </c>
      <c r="K611" t="inlineStr">
        <is>
          <t>Rotter, Andrew Jon.</t>
        </is>
      </c>
      <c r="L611" t="inlineStr">
        <is>
          <t>Ithaca, N.Y. : Cornell University Press, 2000.</t>
        </is>
      </c>
      <c r="M611" t="inlineStr">
        <is>
          <t>2000</t>
        </is>
      </c>
      <c r="O611" t="inlineStr">
        <is>
          <t>eng</t>
        </is>
      </c>
      <c r="P611" t="inlineStr">
        <is>
          <t>nyu</t>
        </is>
      </c>
      <c r="R611" t="inlineStr">
        <is>
          <t xml:space="preserve">E  </t>
        </is>
      </c>
      <c r="S611" t="n">
        <v>1</v>
      </c>
      <c r="T611" t="n">
        <v>1</v>
      </c>
      <c r="U611" t="inlineStr">
        <is>
          <t>2002-05-22</t>
        </is>
      </c>
      <c r="V611" t="inlineStr">
        <is>
          <t>2002-05-22</t>
        </is>
      </c>
      <c r="W611" t="inlineStr">
        <is>
          <t>2002-05-15</t>
        </is>
      </c>
      <c r="X611" t="inlineStr">
        <is>
          <t>2002-05-15</t>
        </is>
      </c>
      <c r="Y611" t="n">
        <v>469</v>
      </c>
      <c r="Z611" t="n">
        <v>399</v>
      </c>
      <c r="AA611" t="n">
        <v>414</v>
      </c>
      <c r="AB611" t="n">
        <v>4</v>
      </c>
      <c r="AC611" t="n">
        <v>4</v>
      </c>
      <c r="AD611" t="n">
        <v>25</v>
      </c>
      <c r="AE611" t="n">
        <v>25</v>
      </c>
      <c r="AF611" t="n">
        <v>10</v>
      </c>
      <c r="AG611" t="n">
        <v>10</v>
      </c>
      <c r="AH611" t="n">
        <v>6</v>
      </c>
      <c r="AI611" t="n">
        <v>6</v>
      </c>
      <c r="AJ611" t="n">
        <v>11</v>
      </c>
      <c r="AK611" t="n">
        <v>11</v>
      </c>
      <c r="AL611" t="n">
        <v>3</v>
      </c>
      <c r="AM611" t="n">
        <v>3</v>
      </c>
      <c r="AN611" t="n">
        <v>0</v>
      </c>
      <c r="AO611" t="n">
        <v>0</v>
      </c>
      <c r="AP611" t="inlineStr">
        <is>
          <t>No</t>
        </is>
      </c>
      <c r="AQ611" t="inlineStr">
        <is>
          <t>Yes</t>
        </is>
      </c>
      <c r="AR611">
        <f>HYPERLINK("http://catalog.hathitrust.org/Record/004139667","HathiTrust Record")</f>
        <v/>
      </c>
      <c r="AS611">
        <f>HYPERLINK("https://creighton-primo.hosted.exlibrisgroup.com/primo-explore/search?tab=default_tab&amp;search_scope=EVERYTHING&amp;vid=01CRU&amp;lang=en_US&amp;offset=0&amp;query=any,contains,991003788359702656","Catalog Record")</f>
        <v/>
      </c>
      <c r="AT611">
        <f>HYPERLINK("http://www.worldcat.org/oclc/43951959","WorldCat Record")</f>
        <v/>
      </c>
      <c r="AU611" t="inlineStr">
        <is>
          <t>836990460:eng</t>
        </is>
      </c>
      <c r="AV611" t="inlineStr">
        <is>
          <t>43951959</t>
        </is>
      </c>
      <c r="AW611" t="inlineStr">
        <is>
          <t>991003788359702656</t>
        </is>
      </c>
      <c r="AX611" t="inlineStr">
        <is>
          <t>991003788359702656</t>
        </is>
      </c>
      <c r="AY611" t="inlineStr">
        <is>
          <t>2257831630002656</t>
        </is>
      </c>
      <c r="AZ611" t="inlineStr">
        <is>
          <t>BOOK</t>
        </is>
      </c>
      <c r="BB611" t="inlineStr">
        <is>
          <t>9780801434495</t>
        </is>
      </c>
      <c r="BC611" t="inlineStr">
        <is>
          <t>32285004488911</t>
        </is>
      </c>
      <c r="BD611" t="inlineStr">
        <is>
          <t>893349146</t>
        </is>
      </c>
    </row>
    <row r="612">
      <c r="A612" t="inlineStr">
        <is>
          <t>No</t>
        </is>
      </c>
      <c r="B612" t="inlineStr">
        <is>
          <t>E183.8.I4 T3</t>
        </is>
      </c>
      <c r="C612" t="inlineStr">
        <is>
          <t>0                      E  0183800I  4                  T  3</t>
        </is>
      </c>
      <c r="D612" t="inlineStr">
        <is>
          <t>India and America; a study of their relations, by Phillips Talbot and S.L. Poplai.</t>
        </is>
      </c>
      <c r="F612" t="inlineStr">
        <is>
          <t>No</t>
        </is>
      </c>
      <c r="G612" t="inlineStr">
        <is>
          <t>1</t>
        </is>
      </c>
      <c r="H612" t="inlineStr">
        <is>
          <t>No</t>
        </is>
      </c>
      <c r="I612" t="inlineStr">
        <is>
          <t>No</t>
        </is>
      </c>
      <c r="J612" t="inlineStr">
        <is>
          <t>0</t>
        </is>
      </c>
      <c r="K612" t="inlineStr">
        <is>
          <t>Talbot, Phillips.</t>
        </is>
      </c>
      <c r="L612" t="inlineStr">
        <is>
          <t>New York, Published for the Council of Foreign Relations by Harper, 1958.</t>
        </is>
      </c>
      <c r="M612" t="inlineStr">
        <is>
          <t>1958</t>
        </is>
      </c>
      <c r="N612" t="inlineStr">
        <is>
          <t>[1st ed.]</t>
        </is>
      </c>
      <c r="O612" t="inlineStr">
        <is>
          <t>eng</t>
        </is>
      </c>
      <c r="P612" t="inlineStr">
        <is>
          <t>nyu</t>
        </is>
      </c>
      <c r="R612" t="inlineStr">
        <is>
          <t xml:space="preserve">E  </t>
        </is>
      </c>
      <c r="S612" t="n">
        <v>1</v>
      </c>
      <c r="T612" t="n">
        <v>1</v>
      </c>
      <c r="U612" t="inlineStr">
        <is>
          <t>2002-04-25</t>
        </is>
      </c>
      <c r="V612" t="inlineStr">
        <is>
          <t>2002-04-25</t>
        </is>
      </c>
      <c r="W612" t="inlineStr">
        <is>
          <t>1997-04-09</t>
        </is>
      </c>
      <c r="X612" t="inlineStr">
        <is>
          <t>1997-04-09</t>
        </is>
      </c>
      <c r="Y612" t="n">
        <v>516</v>
      </c>
      <c r="Z612" t="n">
        <v>472</v>
      </c>
      <c r="AA612" t="n">
        <v>534</v>
      </c>
      <c r="AB612" t="n">
        <v>3</v>
      </c>
      <c r="AC612" t="n">
        <v>3</v>
      </c>
      <c r="AD612" t="n">
        <v>20</v>
      </c>
      <c r="AE612" t="n">
        <v>24</v>
      </c>
      <c r="AF612" t="n">
        <v>6</v>
      </c>
      <c r="AG612" t="n">
        <v>6</v>
      </c>
      <c r="AH612" t="n">
        <v>5</v>
      </c>
      <c r="AI612" t="n">
        <v>5</v>
      </c>
      <c r="AJ612" t="n">
        <v>11</v>
      </c>
      <c r="AK612" t="n">
        <v>11</v>
      </c>
      <c r="AL612" t="n">
        <v>2</v>
      </c>
      <c r="AM612" t="n">
        <v>2</v>
      </c>
      <c r="AN612" t="n">
        <v>0</v>
      </c>
      <c r="AO612" t="n">
        <v>4</v>
      </c>
      <c r="AP612" t="inlineStr">
        <is>
          <t>Yes</t>
        </is>
      </c>
      <c r="AQ612" t="inlineStr">
        <is>
          <t>No</t>
        </is>
      </c>
      <c r="AR612">
        <f>HYPERLINK("http://catalog.hathitrust.org/Record/000334775","HathiTrust Record")</f>
        <v/>
      </c>
      <c r="AS612">
        <f>HYPERLINK("https://creighton-primo.hosted.exlibrisgroup.com/primo-explore/search?tab=default_tab&amp;search_scope=EVERYTHING&amp;vid=01CRU&amp;lang=en_US&amp;offset=0&amp;query=any,contains,991003681779702656","Catalog Record")</f>
        <v/>
      </c>
      <c r="AT612">
        <f>HYPERLINK("http://www.worldcat.org/oclc/1307825","WorldCat Record")</f>
        <v/>
      </c>
      <c r="AU612" t="inlineStr">
        <is>
          <t>1594850:eng</t>
        </is>
      </c>
      <c r="AV612" t="inlineStr">
        <is>
          <t>1307825</t>
        </is>
      </c>
      <c r="AW612" t="inlineStr">
        <is>
          <t>991003681779702656</t>
        </is>
      </c>
      <c r="AX612" t="inlineStr">
        <is>
          <t>991003681779702656</t>
        </is>
      </c>
      <c r="AY612" t="inlineStr">
        <is>
          <t>2263042770002656</t>
        </is>
      </c>
      <c r="AZ612" t="inlineStr">
        <is>
          <t>BOOK</t>
        </is>
      </c>
      <c r="BC612" t="inlineStr">
        <is>
          <t>32285002507969</t>
        </is>
      </c>
      <c r="BD612" t="inlineStr">
        <is>
          <t>893422831</t>
        </is>
      </c>
    </row>
    <row r="613">
      <c r="A613" t="inlineStr">
        <is>
          <t>No</t>
        </is>
      </c>
      <c r="B613" t="inlineStr">
        <is>
          <t>E183.8.I5 K34 1995</t>
        </is>
      </c>
      <c r="C613" t="inlineStr">
        <is>
          <t>0                      E  0183800I  5                  K  34          1995</t>
        </is>
      </c>
      <c r="D613" t="inlineStr">
        <is>
          <t>Subversion as foreign policy : the secret Eisenhower and Dulles debacle in Indonesia / Audrey R. &amp; George McT. Kahin.</t>
        </is>
      </c>
      <c r="F613" t="inlineStr">
        <is>
          <t>No</t>
        </is>
      </c>
      <c r="G613" t="inlineStr">
        <is>
          <t>1</t>
        </is>
      </c>
      <c r="H613" t="inlineStr">
        <is>
          <t>No</t>
        </is>
      </c>
      <c r="I613" t="inlineStr">
        <is>
          <t>No</t>
        </is>
      </c>
      <c r="J613" t="inlineStr">
        <is>
          <t>0</t>
        </is>
      </c>
      <c r="K613" t="inlineStr">
        <is>
          <t>Kahin, Audrey.</t>
        </is>
      </c>
      <c r="L613" t="inlineStr">
        <is>
          <t>New York : New Press : W.W. Norton [distributor], c1995.</t>
        </is>
      </c>
      <c r="M613" t="inlineStr">
        <is>
          <t>1995</t>
        </is>
      </c>
      <c r="O613" t="inlineStr">
        <is>
          <t>eng</t>
        </is>
      </c>
      <c r="P613" t="inlineStr">
        <is>
          <t>nyu</t>
        </is>
      </c>
      <c r="R613" t="inlineStr">
        <is>
          <t xml:space="preserve">E  </t>
        </is>
      </c>
      <c r="S613" t="n">
        <v>5</v>
      </c>
      <c r="T613" t="n">
        <v>5</v>
      </c>
      <c r="U613" t="inlineStr">
        <is>
          <t>1997-10-07</t>
        </is>
      </c>
      <c r="V613" t="inlineStr">
        <is>
          <t>1997-10-07</t>
        </is>
      </c>
      <c r="W613" t="inlineStr">
        <is>
          <t>1996-05-17</t>
        </is>
      </c>
      <c r="X613" t="inlineStr">
        <is>
          <t>1996-05-17</t>
        </is>
      </c>
      <c r="Y613" t="n">
        <v>451</v>
      </c>
      <c r="Z613" t="n">
        <v>350</v>
      </c>
      <c r="AA613" t="n">
        <v>401</v>
      </c>
      <c r="AB613" t="n">
        <v>4</v>
      </c>
      <c r="AC613" t="n">
        <v>4</v>
      </c>
      <c r="AD613" t="n">
        <v>18</v>
      </c>
      <c r="AE613" t="n">
        <v>20</v>
      </c>
      <c r="AF613" t="n">
        <v>5</v>
      </c>
      <c r="AG613" t="n">
        <v>6</v>
      </c>
      <c r="AH613" t="n">
        <v>5</v>
      </c>
      <c r="AI613" t="n">
        <v>5</v>
      </c>
      <c r="AJ613" t="n">
        <v>10</v>
      </c>
      <c r="AK613" t="n">
        <v>11</v>
      </c>
      <c r="AL613" t="n">
        <v>2</v>
      </c>
      <c r="AM613" t="n">
        <v>2</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HYPERLINK("https://creighton-primo.hosted.exlibrisgroup.com/primo-explore/search?tab=default_tab&amp;search_scope=EVERYTHING&amp;vid=01CRU&amp;lang=en_US&amp;offset=0&amp;query=any,contains,991002500659702656","Catalog Record")</f>
        <v/>
      </c>
      <c r="AT613">
        <f>HYPERLINK("http://www.worldcat.org/oclc/32515332","WorldCat Record")</f>
        <v/>
      </c>
      <c r="AU613" t="inlineStr">
        <is>
          <t>605495:eng</t>
        </is>
      </c>
      <c r="AV613" t="inlineStr">
        <is>
          <t>32515332</t>
        </is>
      </c>
      <c r="AW613" t="inlineStr">
        <is>
          <t>991002500659702656</t>
        </is>
      </c>
      <c r="AX613" t="inlineStr">
        <is>
          <t>991002500659702656</t>
        </is>
      </c>
      <c r="AY613" t="inlineStr">
        <is>
          <t>2255657910002656</t>
        </is>
      </c>
      <c r="AZ613" t="inlineStr">
        <is>
          <t>BOOK</t>
        </is>
      </c>
      <c r="BB613" t="inlineStr">
        <is>
          <t>9781565842441</t>
        </is>
      </c>
      <c r="BC613" t="inlineStr">
        <is>
          <t>32285002175338</t>
        </is>
      </c>
      <c r="BD613" t="inlineStr">
        <is>
          <t>893415267</t>
        </is>
      </c>
    </row>
    <row r="614">
      <c r="A614" t="inlineStr">
        <is>
          <t>No</t>
        </is>
      </c>
      <c r="B614" t="inlineStr">
        <is>
          <t>E183.8.I5 P74</t>
        </is>
      </c>
      <c r="C614" t="inlineStr">
        <is>
          <t>0                      E  0183800I  5                  P  74</t>
        </is>
      </c>
      <c r="D614" t="inlineStr">
        <is>
          <t>Indonesia and the Philippines : American interests in island Southeast Asia / Robert Pringle.</t>
        </is>
      </c>
      <c r="F614" t="inlineStr">
        <is>
          <t>No</t>
        </is>
      </c>
      <c r="G614" t="inlineStr">
        <is>
          <t>1</t>
        </is>
      </c>
      <c r="H614" t="inlineStr">
        <is>
          <t>No</t>
        </is>
      </c>
      <c r="I614" t="inlineStr">
        <is>
          <t>No</t>
        </is>
      </c>
      <c r="J614" t="inlineStr">
        <is>
          <t>0</t>
        </is>
      </c>
      <c r="K614" t="inlineStr">
        <is>
          <t>Pringle, Robert, 1936-</t>
        </is>
      </c>
      <c r="L614" t="inlineStr">
        <is>
          <t>New York : Columbia University Press, 1980.</t>
        </is>
      </c>
      <c r="M614" t="inlineStr">
        <is>
          <t>1980</t>
        </is>
      </c>
      <c r="O614" t="inlineStr">
        <is>
          <t>eng</t>
        </is>
      </c>
      <c r="P614" t="inlineStr">
        <is>
          <t>nyu</t>
        </is>
      </c>
      <c r="R614" t="inlineStr">
        <is>
          <t xml:space="preserve">E  </t>
        </is>
      </c>
      <c r="S614" t="n">
        <v>5</v>
      </c>
      <c r="T614" t="n">
        <v>5</v>
      </c>
      <c r="U614" t="inlineStr">
        <is>
          <t>1999-03-29</t>
        </is>
      </c>
      <c r="V614" t="inlineStr">
        <is>
          <t>1999-03-29</t>
        </is>
      </c>
      <c r="W614" t="inlineStr">
        <is>
          <t>1991-02-01</t>
        </is>
      </c>
      <c r="X614" t="inlineStr">
        <is>
          <t>1991-02-01</t>
        </is>
      </c>
      <c r="Y614" t="n">
        <v>441</v>
      </c>
      <c r="Z614" t="n">
        <v>328</v>
      </c>
      <c r="AA614" t="n">
        <v>332</v>
      </c>
      <c r="AB614" t="n">
        <v>3</v>
      </c>
      <c r="AC614" t="n">
        <v>3</v>
      </c>
      <c r="AD614" t="n">
        <v>12</v>
      </c>
      <c r="AE614" t="n">
        <v>12</v>
      </c>
      <c r="AF614" t="n">
        <v>3</v>
      </c>
      <c r="AG614" t="n">
        <v>3</v>
      </c>
      <c r="AH614" t="n">
        <v>3</v>
      </c>
      <c r="AI614" t="n">
        <v>3</v>
      </c>
      <c r="AJ614" t="n">
        <v>8</v>
      </c>
      <c r="AK614" t="n">
        <v>8</v>
      </c>
      <c r="AL614" t="n">
        <v>2</v>
      </c>
      <c r="AM614" t="n">
        <v>2</v>
      </c>
      <c r="AN614" t="n">
        <v>0</v>
      </c>
      <c r="AO614" t="n">
        <v>0</v>
      </c>
      <c r="AP614" t="inlineStr">
        <is>
          <t>No</t>
        </is>
      </c>
      <c r="AQ614" t="inlineStr">
        <is>
          <t>No</t>
        </is>
      </c>
      <c r="AS614">
        <f>HYPERLINK("https://creighton-primo.hosted.exlibrisgroup.com/primo-explore/search?tab=default_tab&amp;search_scope=EVERYTHING&amp;vid=01CRU&amp;lang=en_US&amp;offset=0&amp;query=any,contains,991004943219702656","Catalog Record")</f>
        <v/>
      </c>
      <c r="AT614">
        <f>HYPERLINK("http://www.worldcat.org/oclc/6195865","WorldCat Record")</f>
        <v/>
      </c>
      <c r="AU614" t="inlineStr">
        <is>
          <t>226114843:eng</t>
        </is>
      </c>
      <c r="AV614" t="inlineStr">
        <is>
          <t>6195865</t>
        </is>
      </c>
      <c r="AW614" t="inlineStr">
        <is>
          <t>991004943219702656</t>
        </is>
      </c>
      <c r="AX614" t="inlineStr">
        <is>
          <t>991004943219702656</t>
        </is>
      </c>
      <c r="AY614" t="inlineStr">
        <is>
          <t>2265689960002656</t>
        </is>
      </c>
      <c r="AZ614" t="inlineStr">
        <is>
          <t>BOOK</t>
        </is>
      </c>
      <c r="BB614" t="inlineStr">
        <is>
          <t>9780231050081</t>
        </is>
      </c>
      <c r="BC614" t="inlineStr">
        <is>
          <t>32285000481373</t>
        </is>
      </c>
      <c r="BD614" t="inlineStr">
        <is>
          <t>893436939</t>
        </is>
      </c>
    </row>
    <row r="615">
      <c r="A615" t="inlineStr">
        <is>
          <t>No</t>
        </is>
      </c>
      <c r="B615" t="inlineStr">
        <is>
          <t>E183.8.I55 B5 1988</t>
        </is>
      </c>
      <c r="C615" t="inlineStr">
        <is>
          <t>0                      E  0183800I  55                 B  5           1988</t>
        </is>
      </c>
      <c r="D615" t="inlineStr">
        <is>
          <t>The eagle and the lion : the tragedy of American-Iranian relations / James A. Bill.</t>
        </is>
      </c>
      <c r="F615" t="inlineStr">
        <is>
          <t>No</t>
        </is>
      </c>
      <c r="G615" t="inlineStr">
        <is>
          <t>1</t>
        </is>
      </c>
      <c r="H615" t="inlineStr">
        <is>
          <t>No</t>
        </is>
      </c>
      <c r="I615" t="inlineStr">
        <is>
          <t>No</t>
        </is>
      </c>
      <c r="J615" t="inlineStr">
        <is>
          <t>0</t>
        </is>
      </c>
      <c r="K615" t="inlineStr">
        <is>
          <t>Bill, James A.</t>
        </is>
      </c>
      <c r="L615" t="inlineStr">
        <is>
          <t>New Haven : Yale University Press, c1988.</t>
        </is>
      </c>
      <c r="M615" t="inlineStr">
        <is>
          <t>1988</t>
        </is>
      </c>
      <c r="O615" t="inlineStr">
        <is>
          <t>eng</t>
        </is>
      </c>
      <c r="P615" t="inlineStr">
        <is>
          <t>ctu</t>
        </is>
      </c>
      <c r="R615" t="inlineStr">
        <is>
          <t xml:space="preserve">E  </t>
        </is>
      </c>
      <c r="S615" t="n">
        <v>4</v>
      </c>
      <c r="T615" t="n">
        <v>4</v>
      </c>
      <c r="U615" t="inlineStr">
        <is>
          <t>2002-04-07</t>
        </is>
      </c>
      <c r="V615" t="inlineStr">
        <is>
          <t>2002-04-07</t>
        </is>
      </c>
      <c r="W615" t="inlineStr">
        <is>
          <t>1991-07-03</t>
        </is>
      </c>
      <c r="X615" t="inlineStr">
        <is>
          <t>1991-07-03</t>
        </is>
      </c>
      <c r="Y615" t="n">
        <v>1853</v>
      </c>
      <c r="Z615" t="n">
        <v>1648</v>
      </c>
      <c r="AA615" t="n">
        <v>1746</v>
      </c>
      <c r="AB615" t="n">
        <v>8</v>
      </c>
      <c r="AC615" t="n">
        <v>8</v>
      </c>
      <c r="AD615" t="n">
        <v>56</v>
      </c>
      <c r="AE615" t="n">
        <v>59</v>
      </c>
      <c r="AF615" t="n">
        <v>25</v>
      </c>
      <c r="AG615" t="n">
        <v>27</v>
      </c>
      <c r="AH615" t="n">
        <v>10</v>
      </c>
      <c r="AI615" t="n">
        <v>11</v>
      </c>
      <c r="AJ615" t="n">
        <v>24</v>
      </c>
      <c r="AK615" t="n">
        <v>25</v>
      </c>
      <c r="AL615" t="n">
        <v>7</v>
      </c>
      <c r="AM615" t="n">
        <v>7</v>
      </c>
      <c r="AN615" t="n">
        <v>3</v>
      </c>
      <c r="AO615" t="n">
        <v>3</v>
      </c>
      <c r="AP615" t="inlineStr">
        <is>
          <t>No</t>
        </is>
      </c>
      <c r="AQ615" t="inlineStr">
        <is>
          <t>No</t>
        </is>
      </c>
      <c r="AS615">
        <f>HYPERLINK("https://creighton-primo.hosted.exlibrisgroup.com/primo-explore/search?tab=default_tab&amp;search_scope=EVERYTHING&amp;vid=01CRU&amp;lang=en_US&amp;offset=0&amp;query=any,contains,991001131899702656","Catalog Record")</f>
        <v/>
      </c>
      <c r="AT615">
        <f>HYPERLINK("http://www.worldcat.org/oclc/16683930","WorldCat Record")</f>
        <v/>
      </c>
      <c r="AU615" t="inlineStr">
        <is>
          <t>796522608:eng</t>
        </is>
      </c>
      <c r="AV615" t="inlineStr">
        <is>
          <t>16683930</t>
        </is>
      </c>
      <c r="AW615" t="inlineStr">
        <is>
          <t>991001131899702656</t>
        </is>
      </c>
      <c r="AX615" t="inlineStr">
        <is>
          <t>991001131899702656</t>
        </is>
      </c>
      <c r="AY615" t="inlineStr">
        <is>
          <t>2272740990002656</t>
        </is>
      </c>
      <c r="AZ615" t="inlineStr">
        <is>
          <t>BOOK</t>
        </is>
      </c>
      <c r="BB615" t="inlineStr">
        <is>
          <t>9780300040975</t>
        </is>
      </c>
      <c r="BC615" t="inlineStr">
        <is>
          <t>32285000672971</t>
        </is>
      </c>
      <c r="BD615" t="inlineStr">
        <is>
          <t>893891335</t>
        </is>
      </c>
    </row>
    <row r="616">
      <c r="A616" t="inlineStr">
        <is>
          <t>No</t>
        </is>
      </c>
      <c r="B616" t="inlineStr">
        <is>
          <t>E183.8.I55 D38 1993</t>
        </is>
      </c>
      <c r="C616" t="inlineStr">
        <is>
          <t>0                      E  0183800I  55                 D  38          1993</t>
        </is>
      </c>
      <c r="D616" t="inlineStr">
        <is>
          <t>Foreign policy failure in the White House : reappraising the fall of the shah and the Iran-Contra Affair / Charles-Philippe David with Nancy Ann Carrol, Zachary A. Selden.</t>
        </is>
      </c>
      <c r="F616" t="inlineStr">
        <is>
          <t>No</t>
        </is>
      </c>
      <c r="G616" t="inlineStr">
        <is>
          <t>1</t>
        </is>
      </c>
      <c r="H616" t="inlineStr">
        <is>
          <t>No</t>
        </is>
      </c>
      <c r="I616" t="inlineStr">
        <is>
          <t>No</t>
        </is>
      </c>
      <c r="J616" t="inlineStr">
        <is>
          <t>0</t>
        </is>
      </c>
      <c r="K616" t="inlineStr">
        <is>
          <t>David, Charles Philippe.</t>
        </is>
      </c>
      <c r="L616" t="inlineStr">
        <is>
          <t>Lanham : University Press of America, c1993.</t>
        </is>
      </c>
      <c r="M616" t="inlineStr">
        <is>
          <t>1993</t>
        </is>
      </c>
      <c r="O616" t="inlineStr">
        <is>
          <t>eng</t>
        </is>
      </c>
      <c r="P616" t="inlineStr">
        <is>
          <t>mdu</t>
        </is>
      </c>
      <c r="R616" t="inlineStr">
        <is>
          <t xml:space="preserve">E  </t>
        </is>
      </c>
      <c r="S616" t="n">
        <v>5</v>
      </c>
      <c r="T616" t="n">
        <v>5</v>
      </c>
      <c r="U616" t="inlineStr">
        <is>
          <t>1997-04-30</t>
        </is>
      </c>
      <c r="V616" t="inlineStr">
        <is>
          <t>1997-04-30</t>
        </is>
      </c>
      <c r="W616" t="inlineStr">
        <is>
          <t>1993-12-28</t>
        </is>
      </c>
      <c r="X616" t="inlineStr">
        <is>
          <t>1993-12-28</t>
        </is>
      </c>
      <c r="Y616" t="n">
        <v>186</v>
      </c>
      <c r="Z616" t="n">
        <v>149</v>
      </c>
      <c r="AA616" t="n">
        <v>151</v>
      </c>
      <c r="AB616" t="n">
        <v>2</v>
      </c>
      <c r="AC616" t="n">
        <v>2</v>
      </c>
      <c r="AD616" t="n">
        <v>6</v>
      </c>
      <c r="AE616" t="n">
        <v>6</v>
      </c>
      <c r="AF616" t="n">
        <v>2</v>
      </c>
      <c r="AG616" t="n">
        <v>2</v>
      </c>
      <c r="AH616" t="n">
        <v>1</v>
      </c>
      <c r="AI616" t="n">
        <v>1</v>
      </c>
      <c r="AJ616" t="n">
        <v>3</v>
      </c>
      <c r="AK616" t="n">
        <v>3</v>
      </c>
      <c r="AL616" t="n">
        <v>1</v>
      </c>
      <c r="AM616" t="n">
        <v>1</v>
      </c>
      <c r="AN616" t="n">
        <v>0</v>
      </c>
      <c r="AO616" t="n">
        <v>0</v>
      </c>
      <c r="AP616" t="inlineStr">
        <is>
          <t>No</t>
        </is>
      </c>
      <c r="AQ616" t="inlineStr">
        <is>
          <t>Yes</t>
        </is>
      </c>
      <c r="AR616">
        <f>HYPERLINK("http://catalog.hathitrust.org/Record/002728075","HathiTrust Record")</f>
        <v/>
      </c>
      <c r="AS616">
        <f>HYPERLINK("https://creighton-primo.hosted.exlibrisgroup.com/primo-explore/search?tab=default_tab&amp;search_scope=EVERYTHING&amp;vid=01CRU&amp;lang=en_US&amp;offset=0&amp;query=any,contains,991002134839702656","Catalog Record")</f>
        <v/>
      </c>
      <c r="AT616">
        <f>HYPERLINK("http://www.worldcat.org/oclc/27380620","WorldCat Record")</f>
        <v/>
      </c>
      <c r="AU616" t="inlineStr">
        <is>
          <t>890205077:eng</t>
        </is>
      </c>
      <c r="AV616" t="inlineStr">
        <is>
          <t>27380620</t>
        </is>
      </c>
      <c r="AW616" t="inlineStr">
        <is>
          <t>991002134839702656</t>
        </is>
      </c>
      <c r="AX616" t="inlineStr">
        <is>
          <t>991002134839702656</t>
        </is>
      </c>
      <c r="AY616" t="inlineStr">
        <is>
          <t>2262363040002656</t>
        </is>
      </c>
      <c r="AZ616" t="inlineStr">
        <is>
          <t>BOOK</t>
        </is>
      </c>
      <c r="BB616" t="inlineStr">
        <is>
          <t>9780819190758</t>
        </is>
      </c>
      <c r="BC616" t="inlineStr">
        <is>
          <t>32285001818128</t>
        </is>
      </c>
      <c r="BD616" t="inlineStr">
        <is>
          <t>893603229</t>
        </is>
      </c>
    </row>
    <row r="617">
      <c r="A617" t="inlineStr">
        <is>
          <t>No</t>
        </is>
      </c>
      <c r="B617" t="inlineStr">
        <is>
          <t>E183.8.I55 R28 1982</t>
        </is>
      </c>
      <c r="C617" t="inlineStr">
        <is>
          <t>0                      E  0183800I  55                 R  28          1982</t>
        </is>
      </c>
      <c r="D617" t="inlineStr">
        <is>
          <t>The United States and Iran : the patterns of influence / R.K. Ramazani.</t>
        </is>
      </c>
      <c r="F617" t="inlineStr">
        <is>
          <t>No</t>
        </is>
      </c>
      <c r="G617" t="inlineStr">
        <is>
          <t>1</t>
        </is>
      </c>
      <c r="H617" t="inlineStr">
        <is>
          <t>No</t>
        </is>
      </c>
      <c r="I617" t="inlineStr">
        <is>
          <t>No</t>
        </is>
      </c>
      <c r="J617" t="inlineStr">
        <is>
          <t>0</t>
        </is>
      </c>
      <c r="K617" t="inlineStr">
        <is>
          <t>Ramazani, Rouhollah K., 1928-2016.</t>
        </is>
      </c>
      <c r="L617" t="inlineStr">
        <is>
          <t>New York, N.Y. : Praeger, 1982.</t>
        </is>
      </c>
      <c r="M617" t="inlineStr">
        <is>
          <t>1982</t>
        </is>
      </c>
      <c r="O617" t="inlineStr">
        <is>
          <t>eng</t>
        </is>
      </c>
      <c r="P617" t="inlineStr">
        <is>
          <t>nyu</t>
        </is>
      </c>
      <c r="Q617" t="inlineStr">
        <is>
          <t>Studies of influence in international relations</t>
        </is>
      </c>
      <c r="R617" t="inlineStr">
        <is>
          <t xml:space="preserve">E  </t>
        </is>
      </c>
      <c r="S617" t="n">
        <v>4</v>
      </c>
      <c r="T617" t="n">
        <v>4</v>
      </c>
      <c r="U617" t="inlineStr">
        <is>
          <t>1997-11-10</t>
        </is>
      </c>
      <c r="V617" t="inlineStr">
        <is>
          <t>1997-11-10</t>
        </is>
      </c>
      <c r="W617" t="inlineStr">
        <is>
          <t>1990-05-08</t>
        </is>
      </c>
      <c r="X617" t="inlineStr">
        <is>
          <t>1990-05-08</t>
        </is>
      </c>
      <c r="Y617" t="n">
        <v>391</v>
      </c>
      <c r="Z617" t="n">
        <v>318</v>
      </c>
      <c r="AA617" t="n">
        <v>332</v>
      </c>
      <c r="AB617" t="n">
        <v>3</v>
      </c>
      <c r="AC617" t="n">
        <v>3</v>
      </c>
      <c r="AD617" t="n">
        <v>13</v>
      </c>
      <c r="AE617" t="n">
        <v>14</v>
      </c>
      <c r="AF617" t="n">
        <v>2</v>
      </c>
      <c r="AG617" t="n">
        <v>3</v>
      </c>
      <c r="AH617" t="n">
        <v>6</v>
      </c>
      <c r="AI617" t="n">
        <v>6</v>
      </c>
      <c r="AJ617" t="n">
        <v>7</v>
      </c>
      <c r="AK617" t="n">
        <v>8</v>
      </c>
      <c r="AL617" t="n">
        <v>2</v>
      </c>
      <c r="AM617" t="n">
        <v>2</v>
      </c>
      <c r="AN617" t="n">
        <v>0</v>
      </c>
      <c r="AO617" t="n">
        <v>0</v>
      </c>
      <c r="AP617" t="inlineStr">
        <is>
          <t>No</t>
        </is>
      </c>
      <c r="AQ617" t="inlineStr">
        <is>
          <t>Yes</t>
        </is>
      </c>
      <c r="AR617">
        <f>HYPERLINK("http://catalog.hathitrust.org/Record/000106787","HathiTrust Record")</f>
        <v/>
      </c>
      <c r="AS617">
        <f>HYPERLINK("https://creighton-primo.hosted.exlibrisgroup.com/primo-explore/search?tab=default_tab&amp;search_scope=EVERYTHING&amp;vid=01CRU&amp;lang=en_US&amp;offset=0&amp;query=any,contains,991005226179702656","Catalog Record")</f>
        <v/>
      </c>
      <c r="AT617">
        <f>HYPERLINK("http://www.worldcat.org/oclc/8282855","WorldCat Record")</f>
        <v/>
      </c>
      <c r="AU617" t="inlineStr">
        <is>
          <t>432612:eng</t>
        </is>
      </c>
      <c r="AV617" t="inlineStr">
        <is>
          <t>8282855</t>
        </is>
      </c>
      <c r="AW617" t="inlineStr">
        <is>
          <t>991005226179702656</t>
        </is>
      </c>
      <c r="AX617" t="inlineStr">
        <is>
          <t>991005226179702656</t>
        </is>
      </c>
      <c r="AY617" t="inlineStr">
        <is>
          <t>2268729830002656</t>
        </is>
      </c>
      <c r="AZ617" t="inlineStr">
        <is>
          <t>BOOK</t>
        </is>
      </c>
      <c r="BB617" t="inlineStr">
        <is>
          <t>9780030489969</t>
        </is>
      </c>
      <c r="BC617" t="inlineStr">
        <is>
          <t>32285000150770</t>
        </is>
      </c>
      <c r="BD617" t="inlineStr">
        <is>
          <t>893720015</t>
        </is>
      </c>
    </row>
    <row r="618">
      <c r="A618" t="inlineStr">
        <is>
          <t>No</t>
        </is>
      </c>
      <c r="B618" t="inlineStr">
        <is>
          <t>E183.8.I55 R93 1985</t>
        </is>
      </c>
      <c r="C618" t="inlineStr">
        <is>
          <t>0                      E  0183800I  55                 R  93          1985</t>
        </is>
      </c>
      <c r="D618" t="inlineStr">
        <is>
          <t>The Iranian rescue mission : why it failed / by Paul B. Ryan.</t>
        </is>
      </c>
      <c r="F618" t="inlineStr">
        <is>
          <t>No</t>
        </is>
      </c>
      <c r="G618" t="inlineStr">
        <is>
          <t>1</t>
        </is>
      </c>
      <c r="H618" t="inlineStr">
        <is>
          <t>No</t>
        </is>
      </c>
      <c r="I618" t="inlineStr">
        <is>
          <t>No</t>
        </is>
      </c>
      <c r="J618" t="inlineStr">
        <is>
          <t>0</t>
        </is>
      </c>
      <c r="K618" t="inlineStr">
        <is>
          <t>Ryan, Paul B.</t>
        </is>
      </c>
      <c r="L618" t="inlineStr">
        <is>
          <t>Annapolis, Md. : Naval Institute Press, c1985.</t>
        </is>
      </c>
      <c r="M618" t="inlineStr">
        <is>
          <t>1985</t>
        </is>
      </c>
      <c r="O618" t="inlineStr">
        <is>
          <t>eng</t>
        </is>
      </c>
      <c r="P618" t="inlineStr">
        <is>
          <t>mdu</t>
        </is>
      </c>
      <c r="R618" t="inlineStr">
        <is>
          <t xml:space="preserve">E  </t>
        </is>
      </c>
      <c r="S618" t="n">
        <v>3</v>
      </c>
      <c r="T618" t="n">
        <v>3</v>
      </c>
      <c r="U618" t="inlineStr">
        <is>
          <t>1994-09-20</t>
        </is>
      </c>
      <c r="V618" t="inlineStr">
        <is>
          <t>1994-09-20</t>
        </is>
      </c>
      <c r="W618" t="inlineStr">
        <is>
          <t>1991-02-01</t>
        </is>
      </c>
      <c r="X618" t="inlineStr">
        <is>
          <t>1991-02-01</t>
        </is>
      </c>
      <c r="Y618" t="n">
        <v>731</v>
      </c>
      <c r="Z618" t="n">
        <v>659</v>
      </c>
      <c r="AA618" t="n">
        <v>661</v>
      </c>
      <c r="AB618" t="n">
        <v>3</v>
      </c>
      <c r="AC618" t="n">
        <v>3</v>
      </c>
      <c r="AD618" t="n">
        <v>22</v>
      </c>
      <c r="AE618" t="n">
        <v>22</v>
      </c>
      <c r="AF618" t="n">
        <v>7</v>
      </c>
      <c r="AG618" t="n">
        <v>7</v>
      </c>
      <c r="AH618" t="n">
        <v>6</v>
      </c>
      <c r="AI618" t="n">
        <v>6</v>
      </c>
      <c r="AJ618" t="n">
        <v>11</v>
      </c>
      <c r="AK618" t="n">
        <v>11</v>
      </c>
      <c r="AL618" t="n">
        <v>2</v>
      </c>
      <c r="AM618" t="n">
        <v>2</v>
      </c>
      <c r="AN618" t="n">
        <v>0</v>
      </c>
      <c r="AO618" t="n">
        <v>0</v>
      </c>
      <c r="AP618" t="inlineStr">
        <is>
          <t>No</t>
        </is>
      </c>
      <c r="AQ618" t="inlineStr">
        <is>
          <t>Yes</t>
        </is>
      </c>
      <c r="AR618">
        <f>HYPERLINK("http://catalog.hathitrust.org/Record/000652964","HathiTrust Record")</f>
        <v/>
      </c>
      <c r="AS618">
        <f>HYPERLINK("https://creighton-primo.hosted.exlibrisgroup.com/primo-explore/search?tab=default_tab&amp;search_scope=EVERYTHING&amp;vid=01CRU&amp;lang=en_US&amp;offset=0&amp;query=any,contains,991000581369702656","Catalog Record")</f>
        <v/>
      </c>
      <c r="AT618">
        <f>HYPERLINK("http://www.worldcat.org/oclc/11738831","WorldCat Record")</f>
        <v/>
      </c>
      <c r="AU618" t="inlineStr">
        <is>
          <t>4651464:eng</t>
        </is>
      </c>
      <c r="AV618" t="inlineStr">
        <is>
          <t>11738831</t>
        </is>
      </c>
      <c r="AW618" t="inlineStr">
        <is>
          <t>991000581369702656</t>
        </is>
      </c>
      <c r="AX618" t="inlineStr">
        <is>
          <t>991000581369702656</t>
        </is>
      </c>
      <c r="AY618" t="inlineStr">
        <is>
          <t>2254907380002656</t>
        </is>
      </c>
      <c r="AZ618" t="inlineStr">
        <is>
          <t>BOOK</t>
        </is>
      </c>
      <c r="BB618" t="inlineStr">
        <is>
          <t>9780870213212</t>
        </is>
      </c>
      <c r="BC618" t="inlineStr">
        <is>
          <t>32285000481431</t>
        </is>
      </c>
      <c r="BD618" t="inlineStr">
        <is>
          <t>893695961</t>
        </is>
      </c>
    </row>
    <row r="619">
      <c r="A619" t="inlineStr">
        <is>
          <t>No</t>
        </is>
      </c>
      <c r="B619" t="inlineStr">
        <is>
          <t>E183.8.I57 K75 2003</t>
        </is>
      </c>
      <c r="C619" t="inlineStr">
        <is>
          <t>0                      E  0183800I  57                 K  75          2003</t>
        </is>
      </c>
      <c r="D619" t="inlineStr">
        <is>
          <t>The war over Iraq : Saddam's tyranny and America's mission / Lawrence F. Kaplan, William Kristol.</t>
        </is>
      </c>
      <c r="F619" t="inlineStr">
        <is>
          <t>No</t>
        </is>
      </c>
      <c r="G619" t="inlineStr">
        <is>
          <t>1</t>
        </is>
      </c>
      <c r="H619" t="inlineStr">
        <is>
          <t>No</t>
        </is>
      </c>
      <c r="I619" t="inlineStr">
        <is>
          <t>No</t>
        </is>
      </c>
      <c r="J619" t="inlineStr">
        <is>
          <t>0</t>
        </is>
      </c>
      <c r="K619" t="inlineStr">
        <is>
          <t>Kaplan, Lawrence (Lawrence F.), 1969-</t>
        </is>
      </c>
      <c r="L619" t="inlineStr">
        <is>
          <t>San Francisco, Calif. : Encounter Books, 2003.</t>
        </is>
      </c>
      <c r="M619" t="inlineStr">
        <is>
          <t>2003</t>
        </is>
      </c>
      <c r="N619" t="inlineStr">
        <is>
          <t>1st ed.</t>
        </is>
      </c>
      <c r="O619" t="inlineStr">
        <is>
          <t>eng</t>
        </is>
      </c>
      <c r="P619" t="inlineStr">
        <is>
          <t>cau</t>
        </is>
      </c>
      <c r="R619" t="inlineStr">
        <is>
          <t xml:space="preserve">E  </t>
        </is>
      </c>
      <c r="S619" t="n">
        <v>4</v>
      </c>
      <c r="T619" t="n">
        <v>4</v>
      </c>
      <c r="U619" t="inlineStr">
        <is>
          <t>2003-10-05</t>
        </is>
      </c>
      <c r="V619" t="inlineStr">
        <is>
          <t>2003-10-05</t>
        </is>
      </c>
      <c r="W619" t="inlineStr">
        <is>
          <t>2003-06-24</t>
        </is>
      </c>
      <c r="X619" t="inlineStr">
        <is>
          <t>2003-06-24</t>
        </is>
      </c>
      <c r="Y619" t="n">
        <v>847</v>
      </c>
      <c r="Z619" t="n">
        <v>734</v>
      </c>
      <c r="AA619" t="n">
        <v>1402</v>
      </c>
      <c r="AB619" t="n">
        <v>9</v>
      </c>
      <c r="AC619" t="n">
        <v>41</v>
      </c>
      <c r="AD619" t="n">
        <v>26</v>
      </c>
      <c r="AE619" t="n">
        <v>48</v>
      </c>
      <c r="AF619" t="n">
        <v>10</v>
      </c>
      <c r="AG619" t="n">
        <v>16</v>
      </c>
      <c r="AH619" t="n">
        <v>5</v>
      </c>
      <c r="AI619" t="n">
        <v>8</v>
      </c>
      <c r="AJ619" t="n">
        <v>10</v>
      </c>
      <c r="AK619" t="n">
        <v>14</v>
      </c>
      <c r="AL619" t="n">
        <v>5</v>
      </c>
      <c r="AM619" t="n">
        <v>15</v>
      </c>
      <c r="AN619" t="n">
        <v>1</v>
      </c>
      <c r="AO619" t="n">
        <v>2</v>
      </c>
      <c r="AP619" t="inlineStr">
        <is>
          <t>No</t>
        </is>
      </c>
      <c r="AQ619" t="inlineStr">
        <is>
          <t>No</t>
        </is>
      </c>
      <c r="AS619">
        <f>HYPERLINK("https://creighton-primo.hosted.exlibrisgroup.com/primo-explore/search?tab=default_tab&amp;search_scope=EVERYTHING&amp;vid=01CRU&amp;lang=en_US&amp;offset=0&amp;query=any,contains,991004061129702656","Catalog Record")</f>
        <v/>
      </c>
      <c r="AT619">
        <f>HYPERLINK("http://www.worldcat.org/oclc/51389105","WorldCat Record")</f>
        <v/>
      </c>
      <c r="AU619" t="inlineStr">
        <is>
          <t>793905632:eng</t>
        </is>
      </c>
      <c r="AV619" t="inlineStr">
        <is>
          <t>51389105</t>
        </is>
      </c>
      <c r="AW619" t="inlineStr">
        <is>
          <t>991004061129702656</t>
        </is>
      </c>
      <c r="AX619" t="inlineStr">
        <is>
          <t>991004061129702656</t>
        </is>
      </c>
      <c r="AY619" t="inlineStr">
        <is>
          <t>2261354970002656</t>
        </is>
      </c>
      <c r="AZ619" t="inlineStr">
        <is>
          <t>BOOK</t>
        </is>
      </c>
      <c r="BB619" t="inlineStr">
        <is>
          <t>9781893554696</t>
        </is>
      </c>
      <c r="BC619" t="inlineStr">
        <is>
          <t>32285004754205</t>
        </is>
      </c>
      <c r="BD619" t="inlineStr">
        <is>
          <t>893888269</t>
        </is>
      </c>
    </row>
    <row r="620">
      <c r="A620" t="inlineStr">
        <is>
          <t>No</t>
        </is>
      </c>
      <c r="B620" t="inlineStr">
        <is>
          <t>E183.8.I57 W87 1999</t>
        </is>
      </c>
      <c r="C620" t="inlineStr">
        <is>
          <t>0                      E  0183800I  57                 W  87          1999</t>
        </is>
      </c>
      <c r="D620" t="inlineStr">
        <is>
          <t>Tyranny's ally : America's failure to defeat Saddam Hussein / David Wurmser.</t>
        </is>
      </c>
      <c r="F620" t="inlineStr">
        <is>
          <t>No</t>
        </is>
      </c>
      <c r="G620" t="inlineStr">
        <is>
          <t>1</t>
        </is>
      </c>
      <c r="H620" t="inlineStr">
        <is>
          <t>No</t>
        </is>
      </c>
      <c r="I620" t="inlineStr">
        <is>
          <t>No</t>
        </is>
      </c>
      <c r="J620" t="inlineStr">
        <is>
          <t>0</t>
        </is>
      </c>
      <c r="K620" t="inlineStr">
        <is>
          <t>Wurmser, David.</t>
        </is>
      </c>
      <c r="L620" t="inlineStr">
        <is>
          <t>Washington, D.C. : AEI Press, 1999.</t>
        </is>
      </c>
      <c r="M620" t="inlineStr">
        <is>
          <t>1999</t>
        </is>
      </c>
      <c r="O620" t="inlineStr">
        <is>
          <t>eng</t>
        </is>
      </c>
      <c r="P620" t="inlineStr">
        <is>
          <t>dcu</t>
        </is>
      </c>
      <c r="R620" t="inlineStr">
        <is>
          <t xml:space="preserve">E  </t>
        </is>
      </c>
      <c r="S620" t="n">
        <v>2</v>
      </c>
      <c r="T620" t="n">
        <v>2</v>
      </c>
      <c r="U620" t="inlineStr">
        <is>
          <t>2000-11-13</t>
        </is>
      </c>
      <c r="V620" t="inlineStr">
        <is>
          <t>2000-11-13</t>
        </is>
      </c>
      <c r="W620" t="inlineStr">
        <is>
          <t>1999-03-16</t>
        </is>
      </c>
      <c r="X620" t="inlineStr">
        <is>
          <t>1999-03-16</t>
        </is>
      </c>
      <c r="Y620" t="n">
        <v>324</v>
      </c>
      <c r="Z620" t="n">
        <v>286</v>
      </c>
      <c r="AA620" t="n">
        <v>334</v>
      </c>
      <c r="AB620" t="n">
        <v>3</v>
      </c>
      <c r="AC620" t="n">
        <v>3</v>
      </c>
      <c r="AD620" t="n">
        <v>18</v>
      </c>
      <c r="AE620" t="n">
        <v>19</v>
      </c>
      <c r="AF620" t="n">
        <v>5</v>
      </c>
      <c r="AG620" t="n">
        <v>6</v>
      </c>
      <c r="AH620" t="n">
        <v>5</v>
      </c>
      <c r="AI620" t="n">
        <v>5</v>
      </c>
      <c r="AJ620" t="n">
        <v>9</v>
      </c>
      <c r="AK620" t="n">
        <v>9</v>
      </c>
      <c r="AL620" t="n">
        <v>2</v>
      </c>
      <c r="AM620" t="n">
        <v>2</v>
      </c>
      <c r="AN620" t="n">
        <v>1</v>
      </c>
      <c r="AO620" t="n">
        <v>1</v>
      </c>
      <c r="AP620" t="inlineStr">
        <is>
          <t>No</t>
        </is>
      </c>
      <c r="AQ620" t="inlineStr">
        <is>
          <t>Yes</t>
        </is>
      </c>
      <c r="AR620">
        <f>HYPERLINK("http://catalog.hathitrust.org/Record/004029282","HathiTrust Record")</f>
        <v/>
      </c>
      <c r="AS620">
        <f>HYPERLINK("https://creighton-primo.hosted.exlibrisgroup.com/primo-explore/search?tab=default_tab&amp;search_scope=EVERYTHING&amp;vid=01CRU&amp;lang=en_US&amp;offset=0&amp;query=any,contains,991002984219702656","Catalog Record")</f>
        <v/>
      </c>
      <c r="AT620">
        <f>HYPERLINK("http://www.worldcat.org/oclc/40193479","WorldCat Record")</f>
        <v/>
      </c>
      <c r="AU620" t="inlineStr">
        <is>
          <t>793895100:eng</t>
        </is>
      </c>
      <c r="AV620" t="inlineStr">
        <is>
          <t>40193479</t>
        </is>
      </c>
      <c r="AW620" t="inlineStr">
        <is>
          <t>991002984219702656</t>
        </is>
      </c>
      <c r="AX620" t="inlineStr">
        <is>
          <t>991002984219702656</t>
        </is>
      </c>
      <c r="AY620" t="inlineStr">
        <is>
          <t>2266834850002656</t>
        </is>
      </c>
      <c r="AZ620" t="inlineStr">
        <is>
          <t>BOOK</t>
        </is>
      </c>
      <c r="BB620" t="inlineStr">
        <is>
          <t>9780844740737</t>
        </is>
      </c>
      <c r="BC620" t="inlineStr">
        <is>
          <t>32285003533014</t>
        </is>
      </c>
      <c r="BD620" t="inlineStr">
        <is>
          <t>893704758</t>
        </is>
      </c>
    </row>
    <row r="621">
      <c r="A621" t="inlineStr">
        <is>
          <t>No</t>
        </is>
      </c>
      <c r="B621" t="inlineStr">
        <is>
          <t>E183.8.I6 A47</t>
        </is>
      </c>
      <c r="C621" t="inlineStr">
        <is>
          <t>0                      E  0183800I  6                  A  47</t>
        </is>
      </c>
      <c r="D621" t="inlineStr">
        <is>
          <t>America and Ireland, 1776-1976 : the American identity and the Irish connection : the proceedings of the United States Bicentennial conference of Cumann Merriman, Ennis, August 1976 / edited by David Noel Doyle and Owen Dudley Edwards.</t>
        </is>
      </c>
      <c r="F621" t="inlineStr">
        <is>
          <t>No</t>
        </is>
      </c>
      <c r="G621" t="inlineStr">
        <is>
          <t>1</t>
        </is>
      </c>
      <c r="H621" t="inlineStr">
        <is>
          <t>No</t>
        </is>
      </c>
      <c r="I621" t="inlineStr">
        <is>
          <t>No</t>
        </is>
      </c>
      <c r="J621" t="inlineStr">
        <is>
          <t>0</t>
        </is>
      </c>
      <c r="L621" t="inlineStr">
        <is>
          <t>Westport, Conn. : Greenwood Press, 1980.</t>
        </is>
      </c>
      <c r="M621" t="inlineStr">
        <is>
          <t>1980</t>
        </is>
      </c>
      <c r="O621" t="inlineStr">
        <is>
          <t>eng</t>
        </is>
      </c>
      <c r="P621" t="inlineStr">
        <is>
          <t>ctu</t>
        </is>
      </c>
      <c r="R621" t="inlineStr">
        <is>
          <t xml:space="preserve">E  </t>
        </is>
      </c>
      <c r="S621" t="n">
        <v>8</v>
      </c>
      <c r="T621" t="n">
        <v>8</v>
      </c>
      <c r="U621" t="inlineStr">
        <is>
          <t>2000-04-06</t>
        </is>
      </c>
      <c r="V621" t="inlineStr">
        <is>
          <t>2000-04-06</t>
        </is>
      </c>
      <c r="W621" t="inlineStr">
        <is>
          <t>1991-02-01</t>
        </is>
      </c>
      <c r="X621" t="inlineStr">
        <is>
          <t>1991-02-01</t>
        </is>
      </c>
      <c r="Y621" t="n">
        <v>555</v>
      </c>
      <c r="Z621" t="n">
        <v>467</v>
      </c>
      <c r="AA621" t="n">
        <v>469</v>
      </c>
      <c r="AB621" t="n">
        <v>4</v>
      </c>
      <c r="AC621" t="n">
        <v>4</v>
      </c>
      <c r="AD621" t="n">
        <v>24</v>
      </c>
      <c r="AE621" t="n">
        <v>24</v>
      </c>
      <c r="AF621" t="n">
        <v>8</v>
      </c>
      <c r="AG621" t="n">
        <v>8</v>
      </c>
      <c r="AH621" t="n">
        <v>5</v>
      </c>
      <c r="AI621" t="n">
        <v>5</v>
      </c>
      <c r="AJ621" t="n">
        <v>16</v>
      </c>
      <c r="AK621" t="n">
        <v>16</v>
      </c>
      <c r="AL621" t="n">
        <v>3</v>
      </c>
      <c r="AM621" t="n">
        <v>3</v>
      </c>
      <c r="AN621" t="n">
        <v>0</v>
      </c>
      <c r="AO621" t="n">
        <v>0</v>
      </c>
      <c r="AP621" t="inlineStr">
        <is>
          <t>No</t>
        </is>
      </c>
      <c r="AQ621" t="inlineStr">
        <is>
          <t>Yes</t>
        </is>
      </c>
      <c r="AR621">
        <f>HYPERLINK("http://catalog.hathitrust.org/Record/000690064","HathiTrust Record")</f>
        <v/>
      </c>
      <c r="AS621">
        <f>HYPERLINK("https://creighton-primo.hosted.exlibrisgroup.com/primo-explore/search?tab=default_tab&amp;search_scope=EVERYTHING&amp;vid=01CRU&amp;lang=en_US&amp;offset=0&amp;query=any,contains,991004855549702656","Catalog Record")</f>
        <v/>
      </c>
      <c r="AT621">
        <f>HYPERLINK("http://www.worldcat.org/oclc/5674145","WorldCat Record")</f>
        <v/>
      </c>
      <c r="AU621" t="inlineStr">
        <is>
          <t>865070873:eng</t>
        </is>
      </c>
      <c r="AV621" t="inlineStr">
        <is>
          <t>5674145</t>
        </is>
      </c>
      <c r="AW621" t="inlineStr">
        <is>
          <t>991004855549702656</t>
        </is>
      </c>
      <c r="AX621" t="inlineStr">
        <is>
          <t>991004855549702656</t>
        </is>
      </c>
      <c r="AY621" t="inlineStr">
        <is>
          <t>2256339870002656</t>
        </is>
      </c>
      <c r="AZ621" t="inlineStr">
        <is>
          <t>BOOK</t>
        </is>
      </c>
      <c r="BB621" t="inlineStr">
        <is>
          <t>9780313211195</t>
        </is>
      </c>
      <c r="BC621" t="inlineStr">
        <is>
          <t>32285000481464</t>
        </is>
      </c>
      <c r="BD621" t="inlineStr">
        <is>
          <t>893332123</t>
        </is>
      </c>
    </row>
    <row r="622">
      <c r="A622" t="inlineStr">
        <is>
          <t>No</t>
        </is>
      </c>
      <c r="B622" t="inlineStr">
        <is>
          <t>E183.8.I6 C7 1987</t>
        </is>
      </c>
      <c r="C622" t="inlineStr">
        <is>
          <t>0                      E  0183800I  6                  C  7           1987</t>
        </is>
      </c>
      <c r="D622" t="inlineStr">
        <is>
          <t>Washington's Irish policy 1916-1986 : independence, partition, neutrality / Seán Cronin.</t>
        </is>
      </c>
      <c r="F622" t="inlineStr">
        <is>
          <t>No</t>
        </is>
      </c>
      <c r="G622" t="inlineStr">
        <is>
          <t>1</t>
        </is>
      </c>
      <c r="H622" t="inlineStr">
        <is>
          <t>No</t>
        </is>
      </c>
      <c r="I622" t="inlineStr">
        <is>
          <t>No</t>
        </is>
      </c>
      <c r="J622" t="inlineStr">
        <is>
          <t>0</t>
        </is>
      </c>
      <c r="K622" t="inlineStr">
        <is>
          <t>Cronin, Seán.</t>
        </is>
      </c>
      <c r="L622" t="inlineStr">
        <is>
          <t>Dublin : Anvil Books ; St. Paul, Minn. : Irish Books and Media, 1987.</t>
        </is>
      </c>
      <c r="M622" t="inlineStr">
        <is>
          <t>1987</t>
        </is>
      </c>
      <c r="O622" t="inlineStr">
        <is>
          <t>eng</t>
        </is>
      </c>
      <c r="P622" t="inlineStr">
        <is>
          <t xml:space="preserve">ie </t>
        </is>
      </c>
      <c r="R622" t="inlineStr">
        <is>
          <t xml:space="preserve">E  </t>
        </is>
      </c>
      <c r="S622" t="n">
        <v>1</v>
      </c>
      <c r="T622" t="n">
        <v>1</v>
      </c>
      <c r="U622" t="inlineStr">
        <is>
          <t>1996-11-15</t>
        </is>
      </c>
      <c r="V622" t="inlineStr">
        <is>
          <t>1996-11-15</t>
        </is>
      </c>
      <c r="W622" t="inlineStr">
        <is>
          <t>1991-02-01</t>
        </is>
      </c>
      <c r="X622" t="inlineStr">
        <is>
          <t>1991-02-01</t>
        </is>
      </c>
      <c r="Y622" t="n">
        <v>247</v>
      </c>
      <c r="Z622" t="n">
        <v>180</v>
      </c>
      <c r="AA622" t="n">
        <v>187</v>
      </c>
      <c r="AB622" t="n">
        <v>4</v>
      </c>
      <c r="AC622" t="n">
        <v>4</v>
      </c>
      <c r="AD622" t="n">
        <v>19</v>
      </c>
      <c r="AE622" t="n">
        <v>19</v>
      </c>
      <c r="AF622" t="n">
        <v>6</v>
      </c>
      <c r="AG622" t="n">
        <v>6</v>
      </c>
      <c r="AH622" t="n">
        <v>7</v>
      </c>
      <c r="AI622" t="n">
        <v>7</v>
      </c>
      <c r="AJ622" t="n">
        <v>8</v>
      </c>
      <c r="AK622" t="n">
        <v>8</v>
      </c>
      <c r="AL622" t="n">
        <v>2</v>
      </c>
      <c r="AM622" t="n">
        <v>2</v>
      </c>
      <c r="AN622" t="n">
        <v>0</v>
      </c>
      <c r="AO622" t="n">
        <v>0</v>
      </c>
      <c r="AP622" t="inlineStr">
        <is>
          <t>No</t>
        </is>
      </c>
      <c r="AQ622" t="inlineStr">
        <is>
          <t>Yes</t>
        </is>
      </c>
      <c r="AR622">
        <f>HYPERLINK("http://catalog.hathitrust.org/Record/000852241","HathiTrust Record")</f>
        <v/>
      </c>
      <c r="AS622">
        <f>HYPERLINK("https://creighton-primo.hosted.exlibrisgroup.com/primo-explore/search?tab=default_tab&amp;search_scope=EVERYTHING&amp;vid=01CRU&amp;lang=en_US&amp;offset=0&amp;query=any,contains,991001224399702656","Catalog Record")</f>
        <v/>
      </c>
      <c r="AT622">
        <f>HYPERLINK("http://www.worldcat.org/oclc/17502943","WorldCat Record")</f>
        <v/>
      </c>
      <c r="AU622" t="inlineStr">
        <is>
          <t>138626625:eng</t>
        </is>
      </c>
      <c r="AV622" t="inlineStr">
        <is>
          <t>17502943</t>
        </is>
      </c>
      <c r="AW622" t="inlineStr">
        <is>
          <t>991001224399702656</t>
        </is>
      </c>
      <c r="AX622" t="inlineStr">
        <is>
          <t>991001224399702656</t>
        </is>
      </c>
      <c r="AY622" t="inlineStr">
        <is>
          <t>2269219750002656</t>
        </is>
      </c>
      <c r="AZ622" t="inlineStr">
        <is>
          <t>BOOK</t>
        </is>
      </c>
      <c r="BB622" t="inlineStr">
        <is>
          <t>9780937702086</t>
        </is>
      </c>
      <c r="BC622" t="inlineStr">
        <is>
          <t>32285000481472</t>
        </is>
      </c>
      <c r="BD622" t="inlineStr">
        <is>
          <t>893426437</t>
        </is>
      </c>
    </row>
    <row r="623">
      <c r="A623" t="inlineStr">
        <is>
          <t>No</t>
        </is>
      </c>
      <c r="B623" t="inlineStr">
        <is>
          <t>E183.8.I6 D6 1981</t>
        </is>
      </c>
      <c r="C623" t="inlineStr">
        <is>
          <t>0                      E  0183800I  6                  D  6           1981</t>
        </is>
      </c>
      <c r="D623" t="inlineStr">
        <is>
          <t>Ireland, Irishmen and Revolutionary America, 1760-1820 / David Noel Doyle.</t>
        </is>
      </c>
      <c r="F623" t="inlineStr">
        <is>
          <t>No</t>
        </is>
      </c>
      <c r="G623" t="inlineStr">
        <is>
          <t>1</t>
        </is>
      </c>
      <c r="H623" t="inlineStr">
        <is>
          <t>No</t>
        </is>
      </c>
      <c r="I623" t="inlineStr">
        <is>
          <t>No</t>
        </is>
      </c>
      <c r="J623" t="inlineStr">
        <is>
          <t>0</t>
        </is>
      </c>
      <c r="K623" t="inlineStr">
        <is>
          <t>Doyle, David Noel.</t>
        </is>
      </c>
      <c r="L623" t="inlineStr">
        <is>
          <t>Dublin : The Mercier Press for The Cultural Relations Committee of Ireland, 1981.</t>
        </is>
      </c>
      <c r="M623" t="inlineStr">
        <is>
          <t>1981</t>
        </is>
      </c>
      <c r="O623" t="inlineStr">
        <is>
          <t>eng</t>
        </is>
      </c>
      <c r="P623" t="inlineStr">
        <is>
          <t xml:space="preserve">ie </t>
        </is>
      </c>
      <c r="R623" t="inlineStr">
        <is>
          <t xml:space="preserve">E  </t>
        </is>
      </c>
      <c r="S623" t="n">
        <v>1</v>
      </c>
      <c r="T623" t="n">
        <v>1</v>
      </c>
      <c r="U623" t="inlineStr">
        <is>
          <t>2002-09-30</t>
        </is>
      </c>
      <c r="V623" t="inlineStr">
        <is>
          <t>2002-09-30</t>
        </is>
      </c>
      <c r="W623" t="inlineStr">
        <is>
          <t>1991-02-01</t>
        </is>
      </c>
      <c r="X623" t="inlineStr">
        <is>
          <t>1991-02-01</t>
        </is>
      </c>
      <c r="Y623" t="n">
        <v>268</v>
      </c>
      <c r="Z623" t="n">
        <v>183</v>
      </c>
      <c r="AA623" t="n">
        <v>185</v>
      </c>
      <c r="AB623" t="n">
        <v>1</v>
      </c>
      <c r="AC623" t="n">
        <v>1</v>
      </c>
      <c r="AD623" t="n">
        <v>11</v>
      </c>
      <c r="AE623" t="n">
        <v>11</v>
      </c>
      <c r="AF623" t="n">
        <v>2</v>
      </c>
      <c r="AG623" t="n">
        <v>2</v>
      </c>
      <c r="AH623" t="n">
        <v>5</v>
      </c>
      <c r="AI623" t="n">
        <v>5</v>
      </c>
      <c r="AJ623" t="n">
        <v>9</v>
      </c>
      <c r="AK623" t="n">
        <v>9</v>
      </c>
      <c r="AL623" t="n">
        <v>0</v>
      </c>
      <c r="AM623" t="n">
        <v>0</v>
      </c>
      <c r="AN623" t="n">
        <v>0</v>
      </c>
      <c r="AO623" t="n">
        <v>0</v>
      </c>
      <c r="AP623" t="inlineStr">
        <is>
          <t>No</t>
        </is>
      </c>
      <c r="AQ623" t="inlineStr">
        <is>
          <t>Yes</t>
        </is>
      </c>
      <c r="AR623">
        <f>HYPERLINK("http://catalog.hathitrust.org/Record/000104417","HathiTrust Record")</f>
        <v/>
      </c>
      <c r="AS623">
        <f>HYPERLINK("https://creighton-primo.hosted.exlibrisgroup.com/primo-explore/search?tab=default_tab&amp;search_scope=EVERYTHING&amp;vid=01CRU&amp;lang=en_US&amp;offset=0&amp;query=any,contains,991005158019702656","Catalog Record")</f>
        <v/>
      </c>
      <c r="AT623">
        <f>HYPERLINK("http://www.worldcat.org/oclc/9794406","WorldCat Record")</f>
        <v/>
      </c>
      <c r="AU623" t="inlineStr">
        <is>
          <t>43731594:eng</t>
        </is>
      </c>
      <c r="AV623" t="inlineStr">
        <is>
          <t>9794406</t>
        </is>
      </c>
      <c r="AW623" t="inlineStr">
        <is>
          <t>991005158019702656</t>
        </is>
      </c>
      <c r="AX623" t="inlineStr">
        <is>
          <t>991005158019702656</t>
        </is>
      </c>
      <c r="AY623" t="inlineStr">
        <is>
          <t>2262462470002656</t>
        </is>
      </c>
      <c r="AZ623" t="inlineStr">
        <is>
          <t>BOOK</t>
        </is>
      </c>
      <c r="BB623" t="inlineStr">
        <is>
          <t>9780853425908</t>
        </is>
      </c>
      <c r="BC623" t="inlineStr">
        <is>
          <t>32285000481480</t>
        </is>
      </c>
      <c r="BD623" t="inlineStr">
        <is>
          <t>893719884</t>
        </is>
      </c>
    </row>
    <row r="624">
      <c r="A624" t="inlineStr">
        <is>
          <t>No</t>
        </is>
      </c>
      <c r="B624" t="inlineStr">
        <is>
          <t>E183.8.I7 A74 1995</t>
        </is>
      </c>
      <c r="C624" t="inlineStr">
        <is>
          <t>0                      E  0183800I  7                  A  74          1995</t>
        </is>
      </c>
      <c r="D624" t="inlineStr">
        <is>
          <t>Broken covenant : American foreign policy and the crisis between the U.S. and Israel / Moshe Arens.</t>
        </is>
      </c>
      <c r="F624" t="inlineStr">
        <is>
          <t>No</t>
        </is>
      </c>
      <c r="G624" t="inlineStr">
        <is>
          <t>1</t>
        </is>
      </c>
      <c r="H624" t="inlineStr">
        <is>
          <t>No</t>
        </is>
      </c>
      <c r="I624" t="inlineStr">
        <is>
          <t>No</t>
        </is>
      </c>
      <c r="J624" t="inlineStr">
        <is>
          <t>0</t>
        </is>
      </c>
      <c r="K624" t="inlineStr">
        <is>
          <t>Arens, Moshe.</t>
        </is>
      </c>
      <c r="L624" t="inlineStr">
        <is>
          <t>New York : Simon &amp; Schuster, c1995.</t>
        </is>
      </c>
      <c r="M624" t="inlineStr">
        <is>
          <t>1995</t>
        </is>
      </c>
      <c r="O624" t="inlineStr">
        <is>
          <t>eng</t>
        </is>
      </c>
      <c r="P624" t="inlineStr">
        <is>
          <t>nyu</t>
        </is>
      </c>
      <c r="R624" t="inlineStr">
        <is>
          <t xml:space="preserve">E  </t>
        </is>
      </c>
      <c r="S624" t="n">
        <v>5</v>
      </c>
      <c r="T624" t="n">
        <v>5</v>
      </c>
      <c r="U624" t="inlineStr">
        <is>
          <t>1999-04-10</t>
        </is>
      </c>
      <c r="V624" t="inlineStr">
        <is>
          <t>1999-04-10</t>
        </is>
      </c>
      <c r="W624" t="inlineStr">
        <is>
          <t>1995-02-13</t>
        </is>
      </c>
      <c r="X624" t="inlineStr">
        <is>
          <t>1995-02-13</t>
        </is>
      </c>
      <c r="Y624" t="n">
        <v>522</v>
      </c>
      <c r="Z624" t="n">
        <v>462</v>
      </c>
      <c r="AA624" t="n">
        <v>474</v>
      </c>
      <c r="AB624" t="n">
        <v>3</v>
      </c>
      <c r="AC624" t="n">
        <v>3</v>
      </c>
      <c r="AD624" t="n">
        <v>27</v>
      </c>
      <c r="AE624" t="n">
        <v>28</v>
      </c>
      <c r="AF624" t="n">
        <v>11</v>
      </c>
      <c r="AG624" t="n">
        <v>12</v>
      </c>
      <c r="AH624" t="n">
        <v>7</v>
      </c>
      <c r="AI624" t="n">
        <v>7</v>
      </c>
      <c r="AJ624" t="n">
        <v>14</v>
      </c>
      <c r="AK624" t="n">
        <v>15</v>
      </c>
      <c r="AL624" t="n">
        <v>2</v>
      </c>
      <c r="AM624" t="n">
        <v>2</v>
      </c>
      <c r="AN624" t="n">
        <v>1</v>
      </c>
      <c r="AO624" t="n">
        <v>1</v>
      </c>
      <c r="AP624" t="inlineStr">
        <is>
          <t>No</t>
        </is>
      </c>
      <c r="AQ624" t="inlineStr">
        <is>
          <t>Yes</t>
        </is>
      </c>
      <c r="AR624">
        <f>HYPERLINK("http://catalog.hathitrust.org/Record/002935392","HathiTrust Record")</f>
        <v/>
      </c>
      <c r="AS624">
        <f>HYPERLINK("https://creighton-primo.hosted.exlibrisgroup.com/primo-explore/search?tab=default_tab&amp;search_scope=EVERYTHING&amp;vid=01CRU&amp;lang=en_US&amp;offset=0&amp;query=any,contains,991002429239702656","Catalog Record")</f>
        <v/>
      </c>
      <c r="AT624">
        <f>HYPERLINK("http://www.worldcat.org/oclc/31660677","WorldCat Record")</f>
        <v/>
      </c>
      <c r="AU624" t="inlineStr">
        <is>
          <t>33755070:eng</t>
        </is>
      </c>
      <c r="AV624" t="inlineStr">
        <is>
          <t>31660677</t>
        </is>
      </c>
      <c r="AW624" t="inlineStr">
        <is>
          <t>991002429239702656</t>
        </is>
      </c>
      <c r="AX624" t="inlineStr">
        <is>
          <t>991002429239702656</t>
        </is>
      </c>
      <c r="AY624" t="inlineStr">
        <is>
          <t>2254887210002656</t>
        </is>
      </c>
      <c r="AZ624" t="inlineStr">
        <is>
          <t>BOOK</t>
        </is>
      </c>
      <c r="BB624" t="inlineStr">
        <is>
          <t>9780671869649</t>
        </is>
      </c>
      <c r="BC624" t="inlineStr">
        <is>
          <t>32285001998284</t>
        </is>
      </c>
      <c r="BD624" t="inlineStr">
        <is>
          <t>893245165</t>
        </is>
      </c>
    </row>
    <row r="625">
      <c r="A625" t="inlineStr">
        <is>
          <t>No</t>
        </is>
      </c>
      <c r="B625" t="inlineStr">
        <is>
          <t>E183.8.I7 B34</t>
        </is>
      </c>
      <c r="C625" t="inlineStr">
        <is>
          <t>0                      E  0183800I  7                  B  34</t>
        </is>
      </c>
      <c r="D625" t="inlineStr">
        <is>
          <t>The march to Zion : United States policy and the founding of Israel / by Kenneth Ray Bain.</t>
        </is>
      </c>
      <c r="F625" t="inlineStr">
        <is>
          <t>No</t>
        </is>
      </c>
      <c r="G625" t="inlineStr">
        <is>
          <t>1</t>
        </is>
      </c>
      <c r="H625" t="inlineStr">
        <is>
          <t>No</t>
        </is>
      </c>
      <c r="I625" t="inlineStr">
        <is>
          <t>No</t>
        </is>
      </c>
      <c r="J625" t="inlineStr">
        <is>
          <t>0</t>
        </is>
      </c>
      <c r="K625" t="inlineStr">
        <is>
          <t>Bain, Kenneth Ray, 1942-</t>
        </is>
      </c>
      <c r="L625" t="inlineStr">
        <is>
          <t>College Station : Texas A&amp;M University Press, 1979.</t>
        </is>
      </c>
      <c r="M625" t="inlineStr">
        <is>
          <t>1979</t>
        </is>
      </c>
      <c r="O625" t="inlineStr">
        <is>
          <t>eng</t>
        </is>
      </c>
      <c r="P625" t="inlineStr">
        <is>
          <t>txu</t>
        </is>
      </c>
      <c r="R625" t="inlineStr">
        <is>
          <t xml:space="preserve">E  </t>
        </is>
      </c>
      <c r="S625" t="n">
        <v>3</v>
      </c>
      <c r="T625" t="n">
        <v>3</v>
      </c>
      <c r="U625" t="inlineStr">
        <is>
          <t>2003-10-28</t>
        </is>
      </c>
      <c r="V625" t="inlineStr">
        <is>
          <t>2003-10-28</t>
        </is>
      </c>
      <c r="W625" t="inlineStr">
        <is>
          <t>1991-02-01</t>
        </is>
      </c>
      <c r="X625" t="inlineStr">
        <is>
          <t>1991-02-01</t>
        </is>
      </c>
      <c r="Y625" t="n">
        <v>664</v>
      </c>
      <c r="Z625" t="n">
        <v>589</v>
      </c>
      <c r="AA625" t="n">
        <v>597</v>
      </c>
      <c r="AB625" t="n">
        <v>5</v>
      </c>
      <c r="AC625" t="n">
        <v>5</v>
      </c>
      <c r="AD625" t="n">
        <v>27</v>
      </c>
      <c r="AE625" t="n">
        <v>27</v>
      </c>
      <c r="AF625" t="n">
        <v>10</v>
      </c>
      <c r="AG625" t="n">
        <v>10</v>
      </c>
      <c r="AH625" t="n">
        <v>7</v>
      </c>
      <c r="AI625" t="n">
        <v>7</v>
      </c>
      <c r="AJ625" t="n">
        <v>13</v>
      </c>
      <c r="AK625" t="n">
        <v>13</v>
      </c>
      <c r="AL625" t="n">
        <v>4</v>
      </c>
      <c r="AM625" t="n">
        <v>4</v>
      </c>
      <c r="AN625" t="n">
        <v>0</v>
      </c>
      <c r="AO625" t="n">
        <v>0</v>
      </c>
      <c r="AP625" t="inlineStr">
        <is>
          <t>No</t>
        </is>
      </c>
      <c r="AQ625" t="inlineStr">
        <is>
          <t>Yes</t>
        </is>
      </c>
      <c r="AR625">
        <f>HYPERLINK("http://catalog.hathitrust.org/Record/000026699","HathiTrust Record")</f>
        <v/>
      </c>
      <c r="AS625">
        <f>HYPERLINK("https://creighton-primo.hosted.exlibrisgroup.com/primo-explore/search?tab=default_tab&amp;search_scope=EVERYTHING&amp;vid=01CRU&amp;lang=en_US&amp;offset=0&amp;query=any,contains,991004844779702656","Catalog Record")</f>
        <v/>
      </c>
      <c r="AT625">
        <f>HYPERLINK("http://www.worldcat.org/oclc/5563687","WorldCat Record")</f>
        <v/>
      </c>
      <c r="AU625" t="inlineStr">
        <is>
          <t>547504:eng</t>
        </is>
      </c>
      <c r="AV625" t="inlineStr">
        <is>
          <t>5563687</t>
        </is>
      </c>
      <c r="AW625" t="inlineStr">
        <is>
          <t>991004844779702656</t>
        </is>
      </c>
      <c r="AX625" t="inlineStr">
        <is>
          <t>991004844779702656</t>
        </is>
      </c>
      <c r="AY625" t="inlineStr">
        <is>
          <t>2268224820002656</t>
        </is>
      </c>
      <c r="AZ625" t="inlineStr">
        <is>
          <t>BOOK</t>
        </is>
      </c>
      <c r="BB625" t="inlineStr">
        <is>
          <t>9780890960769</t>
        </is>
      </c>
      <c r="BC625" t="inlineStr">
        <is>
          <t>32285000481498</t>
        </is>
      </c>
      <c r="BD625" t="inlineStr">
        <is>
          <t>893526586</t>
        </is>
      </c>
    </row>
    <row r="626">
      <c r="A626" t="inlineStr">
        <is>
          <t>No</t>
        </is>
      </c>
      <c r="B626" t="inlineStr">
        <is>
          <t>E183.8.I7 B35 1992</t>
        </is>
      </c>
      <c r="C626" t="inlineStr">
        <is>
          <t>0                      E  0183800I  7                  B  35          1992</t>
        </is>
      </c>
      <c r="D626" t="inlineStr">
        <is>
          <t>The passionate attachment : America's involvement with Israel, 1947 to the present / George W. Ball and Douglas B. Ball.</t>
        </is>
      </c>
      <c r="F626" t="inlineStr">
        <is>
          <t>No</t>
        </is>
      </c>
      <c r="G626" t="inlineStr">
        <is>
          <t>1</t>
        </is>
      </c>
      <c r="H626" t="inlineStr">
        <is>
          <t>No</t>
        </is>
      </c>
      <c r="I626" t="inlineStr">
        <is>
          <t>No</t>
        </is>
      </c>
      <c r="J626" t="inlineStr">
        <is>
          <t>0</t>
        </is>
      </c>
      <c r="K626" t="inlineStr">
        <is>
          <t>Ball, George W.</t>
        </is>
      </c>
      <c r="L626" t="inlineStr">
        <is>
          <t>New York : W.W. Norton, c1992.</t>
        </is>
      </c>
      <c r="M626" t="inlineStr">
        <is>
          <t>1992</t>
        </is>
      </c>
      <c r="O626" t="inlineStr">
        <is>
          <t>eng</t>
        </is>
      </c>
      <c r="P626" t="inlineStr">
        <is>
          <t>nyu</t>
        </is>
      </c>
      <c r="R626" t="inlineStr">
        <is>
          <t xml:space="preserve">E  </t>
        </is>
      </c>
      <c r="S626" t="n">
        <v>1</v>
      </c>
      <c r="T626" t="n">
        <v>1</v>
      </c>
      <c r="U626" t="inlineStr">
        <is>
          <t>1997-10-13</t>
        </is>
      </c>
      <c r="V626" t="inlineStr">
        <is>
          <t>1997-10-13</t>
        </is>
      </c>
      <c r="W626" t="inlineStr">
        <is>
          <t>1993-06-16</t>
        </is>
      </c>
      <c r="X626" t="inlineStr">
        <is>
          <t>1993-06-16</t>
        </is>
      </c>
      <c r="Y626" t="n">
        <v>899</v>
      </c>
      <c r="Z626" t="n">
        <v>795</v>
      </c>
      <c r="AA626" t="n">
        <v>795</v>
      </c>
      <c r="AB626" t="n">
        <v>3</v>
      </c>
      <c r="AC626" t="n">
        <v>3</v>
      </c>
      <c r="AD626" t="n">
        <v>28</v>
      </c>
      <c r="AE626" t="n">
        <v>28</v>
      </c>
      <c r="AF626" t="n">
        <v>11</v>
      </c>
      <c r="AG626" t="n">
        <v>11</v>
      </c>
      <c r="AH626" t="n">
        <v>8</v>
      </c>
      <c r="AI626" t="n">
        <v>8</v>
      </c>
      <c r="AJ626" t="n">
        <v>13</v>
      </c>
      <c r="AK626" t="n">
        <v>13</v>
      </c>
      <c r="AL626" t="n">
        <v>2</v>
      </c>
      <c r="AM626" t="n">
        <v>2</v>
      </c>
      <c r="AN626" t="n">
        <v>1</v>
      </c>
      <c r="AO626" t="n">
        <v>1</v>
      </c>
      <c r="AP626" t="inlineStr">
        <is>
          <t>No</t>
        </is>
      </c>
      <c r="AQ626" t="inlineStr">
        <is>
          <t>No</t>
        </is>
      </c>
      <c r="AS626">
        <f>HYPERLINK("https://creighton-primo.hosted.exlibrisgroup.com/primo-explore/search?tab=default_tab&amp;search_scope=EVERYTHING&amp;vid=01CRU&amp;lang=en_US&amp;offset=0&amp;query=any,contains,991001701219702656","Catalog Record")</f>
        <v/>
      </c>
      <c r="AT626">
        <f>HYPERLINK("http://www.worldcat.org/oclc/21523969","WorldCat Record")</f>
        <v/>
      </c>
      <c r="AU626" t="inlineStr">
        <is>
          <t>836904683:eng</t>
        </is>
      </c>
      <c r="AV626" t="inlineStr">
        <is>
          <t>21523969</t>
        </is>
      </c>
      <c r="AW626" t="inlineStr">
        <is>
          <t>991001701219702656</t>
        </is>
      </c>
      <c r="AX626" t="inlineStr">
        <is>
          <t>991001701219702656</t>
        </is>
      </c>
      <c r="AY626" t="inlineStr">
        <is>
          <t>2259033570002656</t>
        </is>
      </c>
      <c r="AZ626" t="inlineStr">
        <is>
          <t>BOOK</t>
        </is>
      </c>
      <c r="BB626" t="inlineStr">
        <is>
          <t>9780393029338</t>
        </is>
      </c>
      <c r="BC626" t="inlineStr">
        <is>
          <t>32285001694636</t>
        </is>
      </c>
      <c r="BD626" t="inlineStr">
        <is>
          <t>893497296</t>
        </is>
      </c>
    </row>
    <row r="627">
      <c r="A627" t="inlineStr">
        <is>
          <t>No</t>
        </is>
      </c>
      <c r="B627" t="inlineStr">
        <is>
          <t>E183.8.I7 B37 1991</t>
        </is>
      </c>
      <c r="C627" t="inlineStr">
        <is>
          <t>0                      E  0183800I  7                  B  37          1991</t>
        </is>
      </c>
      <c r="D627" t="inlineStr">
        <is>
          <t>The water's edge and beyond : defining the limits to domestic influence on United States Middle East policy / Mitchell Geoffrey Bard.</t>
        </is>
      </c>
      <c r="F627" t="inlineStr">
        <is>
          <t>No</t>
        </is>
      </c>
      <c r="G627" t="inlineStr">
        <is>
          <t>1</t>
        </is>
      </c>
      <c r="H627" t="inlineStr">
        <is>
          <t>No</t>
        </is>
      </c>
      <c r="I627" t="inlineStr">
        <is>
          <t>No</t>
        </is>
      </c>
      <c r="J627" t="inlineStr">
        <is>
          <t>0</t>
        </is>
      </c>
      <c r="K627" t="inlineStr">
        <is>
          <t>Bard, Mitchell Geoffrey, 1959-</t>
        </is>
      </c>
      <c r="L627" t="inlineStr">
        <is>
          <t>New Brunswick, N.J. : Transaction Publishers, c1991.</t>
        </is>
      </c>
      <c r="M627" t="inlineStr">
        <is>
          <t>1991</t>
        </is>
      </c>
      <c r="O627" t="inlineStr">
        <is>
          <t>eng</t>
        </is>
      </c>
      <c r="P627" t="inlineStr">
        <is>
          <t>nju</t>
        </is>
      </c>
      <c r="R627" t="inlineStr">
        <is>
          <t xml:space="preserve">E  </t>
        </is>
      </c>
      <c r="S627" t="n">
        <v>11</v>
      </c>
      <c r="T627" t="n">
        <v>11</v>
      </c>
      <c r="U627" t="inlineStr">
        <is>
          <t>2003-10-28</t>
        </is>
      </c>
      <c r="V627" t="inlineStr">
        <is>
          <t>2003-10-28</t>
        </is>
      </c>
      <c r="W627" t="inlineStr">
        <is>
          <t>1991-11-18</t>
        </is>
      </c>
      <c r="X627" t="inlineStr">
        <is>
          <t>1991-11-18</t>
        </is>
      </c>
      <c r="Y627" t="n">
        <v>260</v>
      </c>
      <c r="Z627" t="n">
        <v>217</v>
      </c>
      <c r="AA627" t="n">
        <v>221</v>
      </c>
      <c r="AB627" t="n">
        <v>2</v>
      </c>
      <c r="AC627" t="n">
        <v>2</v>
      </c>
      <c r="AD627" t="n">
        <v>13</v>
      </c>
      <c r="AE627" t="n">
        <v>13</v>
      </c>
      <c r="AF627" t="n">
        <v>4</v>
      </c>
      <c r="AG627" t="n">
        <v>4</v>
      </c>
      <c r="AH627" t="n">
        <v>5</v>
      </c>
      <c r="AI627" t="n">
        <v>5</v>
      </c>
      <c r="AJ627" t="n">
        <v>7</v>
      </c>
      <c r="AK627" t="n">
        <v>7</v>
      </c>
      <c r="AL627" t="n">
        <v>1</v>
      </c>
      <c r="AM627" t="n">
        <v>1</v>
      </c>
      <c r="AN627" t="n">
        <v>0</v>
      </c>
      <c r="AO627" t="n">
        <v>0</v>
      </c>
      <c r="AP627" t="inlineStr">
        <is>
          <t>No</t>
        </is>
      </c>
      <c r="AQ627" t="inlineStr">
        <is>
          <t>No</t>
        </is>
      </c>
      <c r="AS627">
        <f>HYPERLINK("https://creighton-primo.hosted.exlibrisgroup.com/primo-explore/search?tab=default_tab&amp;search_scope=EVERYTHING&amp;vid=01CRU&amp;lang=en_US&amp;offset=0&amp;query=any,contains,991001747759702656","Catalog Record")</f>
        <v/>
      </c>
      <c r="AT627">
        <f>HYPERLINK("http://www.worldcat.org/oclc/22118960","WorldCat Record")</f>
        <v/>
      </c>
      <c r="AU627" t="inlineStr">
        <is>
          <t>479428682:eng</t>
        </is>
      </c>
      <c r="AV627" t="inlineStr">
        <is>
          <t>22118960</t>
        </is>
      </c>
      <c r="AW627" t="inlineStr">
        <is>
          <t>991001747759702656</t>
        </is>
      </c>
      <c r="AX627" t="inlineStr">
        <is>
          <t>991001747759702656</t>
        </is>
      </c>
      <c r="AY627" t="inlineStr">
        <is>
          <t>2260707310002656</t>
        </is>
      </c>
      <c r="AZ627" t="inlineStr">
        <is>
          <t>BOOK</t>
        </is>
      </c>
      <c r="BB627" t="inlineStr">
        <is>
          <t>9780887383465</t>
        </is>
      </c>
      <c r="BC627" t="inlineStr">
        <is>
          <t>32285000817063</t>
        </is>
      </c>
      <c r="BD627" t="inlineStr">
        <is>
          <t>893261930</t>
        </is>
      </c>
    </row>
    <row r="628">
      <c r="A628" t="inlineStr">
        <is>
          <t>No</t>
        </is>
      </c>
      <c r="B628" t="inlineStr">
        <is>
          <t>E183.8.I7 C45 1983</t>
        </is>
      </c>
      <c r="C628" t="inlineStr">
        <is>
          <t>0                      E  0183800I  7                  C  45          1983</t>
        </is>
      </c>
      <c r="D628" t="inlineStr">
        <is>
          <t>The fateful triangle : the United States, Israel and the Palestinians / Noam Chomsky.</t>
        </is>
      </c>
      <c r="F628" t="inlineStr">
        <is>
          <t>No</t>
        </is>
      </c>
      <c r="G628" t="inlineStr">
        <is>
          <t>1</t>
        </is>
      </c>
      <c r="H628" t="inlineStr">
        <is>
          <t>No</t>
        </is>
      </c>
      <c r="I628" t="inlineStr">
        <is>
          <t>No</t>
        </is>
      </c>
      <c r="J628" t="inlineStr">
        <is>
          <t>0</t>
        </is>
      </c>
      <c r="K628" t="inlineStr">
        <is>
          <t>Chomsky, Noam.</t>
        </is>
      </c>
      <c r="L628" t="inlineStr">
        <is>
          <t>Boston : South End Press, c1983.</t>
        </is>
      </c>
      <c r="M628" t="inlineStr">
        <is>
          <t>1983</t>
        </is>
      </c>
      <c r="N628" t="inlineStr">
        <is>
          <t>1st ed.</t>
        </is>
      </c>
      <c r="O628" t="inlineStr">
        <is>
          <t>eng</t>
        </is>
      </c>
      <c r="P628" t="inlineStr">
        <is>
          <t>mau</t>
        </is>
      </c>
      <c r="Q628" t="inlineStr">
        <is>
          <t>Politics/Mideast</t>
        </is>
      </c>
      <c r="R628" t="inlineStr">
        <is>
          <t xml:space="preserve">E  </t>
        </is>
      </c>
      <c r="S628" t="n">
        <v>3</v>
      </c>
      <c r="T628" t="n">
        <v>3</v>
      </c>
      <c r="U628" t="inlineStr">
        <is>
          <t>2003-08-12</t>
        </is>
      </c>
      <c r="V628" t="inlineStr">
        <is>
          <t>2003-08-12</t>
        </is>
      </c>
      <c r="W628" t="inlineStr">
        <is>
          <t>1991-12-16</t>
        </is>
      </c>
      <c r="X628" t="inlineStr">
        <is>
          <t>1991-12-16</t>
        </is>
      </c>
      <c r="Y628" t="n">
        <v>987</v>
      </c>
      <c r="Z628" t="n">
        <v>874</v>
      </c>
      <c r="AA628" t="n">
        <v>1775</v>
      </c>
      <c r="AB628" t="n">
        <v>7</v>
      </c>
      <c r="AC628" t="n">
        <v>18</v>
      </c>
      <c r="AD628" t="n">
        <v>32</v>
      </c>
      <c r="AE628" t="n">
        <v>61</v>
      </c>
      <c r="AF628" t="n">
        <v>12</v>
      </c>
      <c r="AG628" t="n">
        <v>24</v>
      </c>
      <c r="AH628" t="n">
        <v>7</v>
      </c>
      <c r="AI628" t="n">
        <v>10</v>
      </c>
      <c r="AJ628" t="n">
        <v>15</v>
      </c>
      <c r="AK628" t="n">
        <v>22</v>
      </c>
      <c r="AL628" t="n">
        <v>5</v>
      </c>
      <c r="AM628" t="n">
        <v>14</v>
      </c>
      <c r="AN628" t="n">
        <v>1</v>
      </c>
      <c r="AO628" t="n">
        <v>2</v>
      </c>
      <c r="AP628" t="inlineStr">
        <is>
          <t>No</t>
        </is>
      </c>
      <c r="AQ628" t="inlineStr">
        <is>
          <t>Yes</t>
        </is>
      </c>
      <c r="AR628">
        <f>HYPERLINK("http://catalog.hathitrust.org/Record/000288581","HathiTrust Record")</f>
        <v/>
      </c>
      <c r="AS628">
        <f>HYPERLINK("https://creighton-primo.hosted.exlibrisgroup.com/primo-explore/search?tab=default_tab&amp;search_scope=EVERYTHING&amp;vid=01CRU&amp;lang=en_US&amp;offset=0&amp;query=any,contains,991000326129702656","Catalog Record")</f>
        <v/>
      </c>
      <c r="AT628">
        <f>HYPERLINK("http://www.worldcat.org/oclc/10178425","WorldCat Record")</f>
        <v/>
      </c>
      <c r="AU628" t="inlineStr">
        <is>
          <t>769310:eng</t>
        </is>
      </c>
      <c r="AV628" t="inlineStr">
        <is>
          <t>10178425</t>
        </is>
      </c>
      <c r="AW628" t="inlineStr">
        <is>
          <t>991000326129702656</t>
        </is>
      </c>
      <c r="AX628" t="inlineStr">
        <is>
          <t>991000326129702656</t>
        </is>
      </c>
      <c r="AY628" t="inlineStr">
        <is>
          <t>2265628650002656</t>
        </is>
      </c>
      <c r="AZ628" t="inlineStr">
        <is>
          <t>BOOK</t>
        </is>
      </c>
      <c r="BB628" t="inlineStr">
        <is>
          <t>9780896081871</t>
        </is>
      </c>
      <c r="BC628" t="inlineStr">
        <is>
          <t>32285000860741</t>
        </is>
      </c>
      <c r="BD628" t="inlineStr">
        <is>
          <t>893521577</t>
        </is>
      </c>
    </row>
    <row r="629">
      <c r="A629" t="inlineStr">
        <is>
          <t>No</t>
        </is>
      </c>
      <c r="B629" t="inlineStr">
        <is>
          <t>E183.8.I7 M34 1994</t>
        </is>
      </c>
      <c r="C629" t="inlineStr">
        <is>
          <t>0                      E  0183800I  7                  M  34          1994</t>
        </is>
      </c>
      <c r="D629" t="inlineStr">
        <is>
          <t>Beyond alliance : Israel in U.S. foreign policy / Camille Mansour ; translated from the French by James A. Cohen.</t>
        </is>
      </c>
      <c r="F629" t="inlineStr">
        <is>
          <t>No</t>
        </is>
      </c>
      <c r="G629" t="inlineStr">
        <is>
          <t>1</t>
        </is>
      </c>
      <c r="H629" t="inlineStr">
        <is>
          <t>No</t>
        </is>
      </c>
      <c r="I629" t="inlineStr">
        <is>
          <t>No</t>
        </is>
      </c>
      <c r="J629" t="inlineStr">
        <is>
          <t>0</t>
        </is>
      </c>
      <c r="K629" t="inlineStr">
        <is>
          <t>Manṣūr, Kamīl.</t>
        </is>
      </c>
      <c r="L629" t="inlineStr">
        <is>
          <t>New York : Columbia University Press, c1994.</t>
        </is>
      </c>
      <c r="M629" t="inlineStr">
        <is>
          <t>1994</t>
        </is>
      </c>
      <c r="O629" t="inlineStr">
        <is>
          <t>eng</t>
        </is>
      </c>
      <c r="P629" t="inlineStr">
        <is>
          <t>nyu</t>
        </is>
      </c>
      <c r="Q629" t="inlineStr">
        <is>
          <t>The Institute for Palestine Studies series</t>
        </is>
      </c>
      <c r="R629" t="inlineStr">
        <is>
          <t xml:space="preserve">E  </t>
        </is>
      </c>
      <c r="S629" t="n">
        <v>6</v>
      </c>
      <c r="T629" t="n">
        <v>6</v>
      </c>
      <c r="U629" t="inlineStr">
        <is>
          <t>2001-07-02</t>
        </is>
      </c>
      <c r="V629" t="inlineStr">
        <is>
          <t>2001-07-02</t>
        </is>
      </c>
      <c r="W629" t="inlineStr">
        <is>
          <t>1994-06-08</t>
        </is>
      </c>
      <c r="X629" t="inlineStr">
        <is>
          <t>1994-06-08</t>
        </is>
      </c>
      <c r="Y629" t="n">
        <v>401</v>
      </c>
      <c r="Z629" t="n">
        <v>322</v>
      </c>
      <c r="AA629" t="n">
        <v>327</v>
      </c>
      <c r="AB629" t="n">
        <v>2</v>
      </c>
      <c r="AC629" t="n">
        <v>2</v>
      </c>
      <c r="AD629" t="n">
        <v>18</v>
      </c>
      <c r="AE629" t="n">
        <v>18</v>
      </c>
      <c r="AF629" t="n">
        <v>5</v>
      </c>
      <c r="AG629" t="n">
        <v>5</v>
      </c>
      <c r="AH629" t="n">
        <v>6</v>
      </c>
      <c r="AI629" t="n">
        <v>6</v>
      </c>
      <c r="AJ629" t="n">
        <v>11</v>
      </c>
      <c r="AK629" t="n">
        <v>11</v>
      </c>
      <c r="AL629" t="n">
        <v>1</v>
      </c>
      <c r="AM629" t="n">
        <v>1</v>
      </c>
      <c r="AN629" t="n">
        <v>0</v>
      </c>
      <c r="AO629" t="n">
        <v>0</v>
      </c>
      <c r="AP629" t="inlineStr">
        <is>
          <t>No</t>
        </is>
      </c>
      <c r="AQ629" t="inlineStr">
        <is>
          <t>No</t>
        </is>
      </c>
      <c r="AS629">
        <f>HYPERLINK("https://creighton-primo.hosted.exlibrisgroup.com/primo-explore/search?tab=default_tab&amp;search_scope=EVERYTHING&amp;vid=01CRU&amp;lang=en_US&amp;offset=0&amp;query=any,contains,991002220159702656","Catalog Record")</f>
        <v/>
      </c>
      <c r="AT629">
        <f>HYPERLINK("http://www.worldcat.org/oclc/28586835","WorldCat Record")</f>
        <v/>
      </c>
      <c r="AU629" t="inlineStr">
        <is>
          <t>836872683:eng</t>
        </is>
      </c>
      <c r="AV629" t="inlineStr">
        <is>
          <t>28586835</t>
        </is>
      </c>
      <c r="AW629" t="inlineStr">
        <is>
          <t>991002220159702656</t>
        </is>
      </c>
      <c r="AX629" t="inlineStr">
        <is>
          <t>991002220159702656</t>
        </is>
      </c>
      <c r="AY629" t="inlineStr">
        <is>
          <t>2263788060002656</t>
        </is>
      </c>
      <c r="AZ629" t="inlineStr">
        <is>
          <t>BOOK</t>
        </is>
      </c>
      <c r="BB629" t="inlineStr">
        <is>
          <t>9780231084925</t>
        </is>
      </c>
      <c r="BC629" t="inlineStr">
        <is>
          <t>32285001922656</t>
        </is>
      </c>
      <c r="BD629" t="inlineStr">
        <is>
          <t>893352204</t>
        </is>
      </c>
    </row>
    <row r="630">
      <c r="A630" t="inlineStr">
        <is>
          <t>No</t>
        </is>
      </c>
      <c r="B630" t="inlineStr">
        <is>
          <t>E183.8.I7 R39 1985</t>
        </is>
      </c>
      <c r="C630" t="inlineStr">
        <is>
          <t>0                      E  0183800I  7                  R  39          1985</t>
        </is>
      </c>
      <c r="D630" t="inlineStr">
        <is>
          <t>The future of American-Israeli relations : a parting of the ways? / James Lee Ray.</t>
        </is>
      </c>
      <c r="F630" t="inlineStr">
        <is>
          <t>No</t>
        </is>
      </c>
      <c r="G630" t="inlineStr">
        <is>
          <t>1</t>
        </is>
      </c>
      <c r="H630" t="inlineStr">
        <is>
          <t>No</t>
        </is>
      </c>
      <c r="I630" t="inlineStr">
        <is>
          <t>No</t>
        </is>
      </c>
      <c r="J630" t="inlineStr">
        <is>
          <t>0</t>
        </is>
      </c>
      <c r="K630" t="inlineStr">
        <is>
          <t>Ray, James Lee.</t>
        </is>
      </c>
      <c r="L630" t="inlineStr">
        <is>
          <t>Lexington : University Press of Kentucky, c1985.</t>
        </is>
      </c>
      <c r="M630" t="inlineStr">
        <is>
          <t>1985</t>
        </is>
      </c>
      <c r="O630" t="inlineStr">
        <is>
          <t>eng</t>
        </is>
      </c>
      <c r="P630" t="inlineStr">
        <is>
          <t>kyu</t>
        </is>
      </c>
      <c r="R630" t="inlineStr">
        <is>
          <t xml:space="preserve">E  </t>
        </is>
      </c>
      <c r="S630" t="n">
        <v>10</v>
      </c>
      <c r="T630" t="n">
        <v>10</v>
      </c>
      <c r="U630" t="inlineStr">
        <is>
          <t>1994-01-12</t>
        </is>
      </c>
      <c r="V630" t="inlineStr">
        <is>
          <t>1994-01-12</t>
        </is>
      </c>
      <c r="W630" t="inlineStr">
        <is>
          <t>1990-05-24</t>
        </is>
      </c>
      <c r="X630" t="inlineStr">
        <is>
          <t>1990-05-24</t>
        </is>
      </c>
      <c r="Y630" t="n">
        <v>462</v>
      </c>
      <c r="Z630" t="n">
        <v>404</v>
      </c>
      <c r="AA630" t="n">
        <v>412</v>
      </c>
      <c r="AB630" t="n">
        <v>3</v>
      </c>
      <c r="AC630" t="n">
        <v>3</v>
      </c>
      <c r="AD630" t="n">
        <v>16</v>
      </c>
      <c r="AE630" t="n">
        <v>17</v>
      </c>
      <c r="AF630" t="n">
        <v>7</v>
      </c>
      <c r="AG630" t="n">
        <v>7</v>
      </c>
      <c r="AH630" t="n">
        <v>4</v>
      </c>
      <c r="AI630" t="n">
        <v>5</v>
      </c>
      <c r="AJ630" t="n">
        <v>8</v>
      </c>
      <c r="AK630" t="n">
        <v>8</v>
      </c>
      <c r="AL630" t="n">
        <v>2</v>
      </c>
      <c r="AM630" t="n">
        <v>2</v>
      </c>
      <c r="AN630" t="n">
        <v>0</v>
      </c>
      <c r="AO630" t="n">
        <v>0</v>
      </c>
      <c r="AP630" t="inlineStr">
        <is>
          <t>No</t>
        </is>
      </c>
      <c r="AQ630" t="inlineStr">
        <is>
          <t>Yes</t>
        </is>
      </c>
      <c r="AR630">
        <f>HYPERLINK("http://catalog.hathitrust.org/Record/000652698","HathiTrust Record")</f>
        <v/>
      </c>
      <c r="AS630">
        <f>HYPERLINK("https://creighton-primo.hosted.exlibrisgroup.com/primo-explore/search?tab=default_tab&amp;search_scope=EVERYTHING&amp;vid=01CRU&amp;lang=en_US&amp;offset=0&amp;query=any,contains,991000571159702656","Catalog Record")</f>
        <v/>
      </c>
      <c r="AT630">
        <f>HYPERLINK("http://www.worldcat.org/oclc/11650499","WorldCat Record")</f>
        <v/>
      </c>
      <c r="AU630" t="inlineStr">
        <is>
          <t>4235714:eng</t>
        </is>
      </c>
      <c r="AV630" t="inlineStr">
        <is>
          <t>11650499</t>
        </is>
      </c>
      <c r="AW630" t="inlineStr">
        <is>
          <t>991000571159702656</t>
        </is>
      </c>
      <c r="AX630" t="inlineStr">
        <is>
          <t>991000571159702656</t>
        </is>
      </c>
      <c r="AY630" t="inlineStr">
        <is>
          <t>2269872880002656</t>
        </is>
      </c>
      <c r="AZ630" t="inlineStr">
        <is>
          <t>BOOK</t>
        </is>
      </c>
      <c r="BB630" t="inlineStr">
        <is>
          <t>9780813115320</t>
        </is>
      </c>
      <c r="BC630" t="inlineStr">
        <is>
          <t>32285000164821</t>
        </is>
      </c>
      <c r="BD630" t="inlineStr">
        <is>
          <t>893237424</t>
        </is>
      </c>
    </row>
    <row r="631">
      <c r="A631" t="inlineStr">
        <is>
          <t>No</t>
        </is>
      </c>
      <c r="B631" t="inlineStr">
        <is>
          <t>E183.8.I7 R45 1984</t>
        </is>
      </c>
      <c r="C631" t="inlineStr">
        <is>
          <t>0                      E  0183800I  7                  R  45          1984</t>
        </is>
      </c>
      <c r="D631" t="inlineStr">
        <is>
          <t>The United States and Israel : influence in the special relationship / Bernard Reich.</t>
        </is>
      </c>
      <c r="F631" t="inlineStr">
        <is>
          <t>No</t>
        </is>
      </c>
      <c r="G631" t="inlineStr">
        <is>
          <t>1</t>
        </is>
      </c>
      <c r="H631" t="inlineStr">
        <is>
          <t>No</t>
        </is>
      </c>
      <c r="I631" t="inlineStr">
        <is>
          <t>No</t>
        </is>
      </c>
      <c r="J631" t="inlineStr">
        <is>
          <t>0</t>
        </is>
      </c>
      <c r="K631" t="inlineStr">
        <is>
          <t>Reich, Bernard, 1941-</t>
        </is>
      </c>
      <c r="L631" t="inlineStr">
        <is>
          <t>New York : Praeger, 1984.</t>
        </is>
      </c>
      <c r="M631" t="inlineStr">
        <is>
          <t>1984</t>
        </is>
      </c>
      <c r="O631" t="inlineStr">
        <is>
          <t>eng</t>
        </is>
      </c>
      <c r="P631" t="inlineStr">
        <is>
          <t>nyu</t>
        </is>
      </c>
      <c r="Q631" t="inlineStr">
        <is>
          <t>Studies of influence in international relations</t>
        </is>
      </c>
      <c r="R631" t="inlineStr">
        <is>
          <t xml:space="preserve">E  </t>
        </is>
      </c>
      <c r="S631" t="n">
        <v>10</v>
      </c>
      <c r="T631" t="n">
        <v>10</v>
      </c>
      <c r="U631" t="inlineStr">
        <is>
          <t>1994-01-12</t>
        </is>
      </c>
      <c r="V631" t="inlineStr">
        <is>
          <t>1994-01-12</t>
        </is>
      </c>
      <c r="W631" t="inlineStr">
        <is>
          <t>1990-05-03</t>
        </is>
      </c>
      <c r="X631" t="inlineStr">
        <is>
          <t>1990-05-03</t>
        </is>
      </c>
      <c r="Y631" t="n">
        <v>503</v>
      </c>
      <c r="Z631" t="n">
        <v>400</v>
      </c>
      <c r="AA631" t="n">
        <v>407</v>
      </c>
      <c r="AB631" t="n">
        <v>3</v>
      </c>
      <c r="AC631" t="n">
        <v>3</v>
      </c>
      <c r="AD631" t="n">
        <v>18</v>
      </c>
      <c r="AE631" t="n">
        <v>18</v>
      </c>
      <c r="AF631" t="n">
        <v>5</v>
      </c>
      <c r="AG631" t="n">
        <v>5</v>
      </c>
      <c r="AH631" t="n">
        <v>5</v>
      </c>
      <c r="AI631" t="n">
        <v>5</v>
      </c>
      <c r="AJ631" t="n">
        <v>9</v>
      </c>
      <c r="AK631" t="n">
        <v>9</v>
      </c>
      <c r="AL631" t="n">
        <v>2</v>
      </c>
      <c r="AM631" t="n">
        <v>2</v>
      </c>
      <c r="AN631" t="n">
        <v>1</v>
      </c>
      <c r="AO631" t="n">
        <v>1</v>
      </c>
      <c r="AP631" t="inlineStr">
        <is>
          <t>No</t>
        </is>
      </c>
      <c r="AQ631" t="inlineStr">
        <is>
          <t>Yes</t>
        </is>
      </c>
      <c r="AR631">
        <f>HYPERLINK("http://catalog.hathitrust.org/Record/000782489","HathiTrust Record")</f>
        <v/>
      </c>
      <c r="AS631">
        <f>HYPERLINK("https://creighton-primo.hosted.exlibrisgroup.com/primo-explore/search?tab=default_tab&amp;search_scope=EVERYTHING&amp;vid=01CRU&amp;lang=en_US&amp;offset=0&amp;query=any,contains,991000337079702656","Catalog Record")</f>
        <v/>
      </c>
      <c r="AT631">
        <f>HYPERLINK("http://www.worldcat.org/oclc/10230174","WorldCat Record")</f>
        <v/>
      </c>
      <c r="AU631" t="inlineStr">
        <is>
          <t>2560182:eng</t>
        </is>
      </c>
      <c r="AV631" t="inlineStr">
        <is>
          <t>10230174</t>
        </is>
      </c>
      <c r="AW631" t="inlineStr">
        <is>
          <t>991000337079702656</t>
        </is>
      </c>
      <c r="AX631" t="inlineStr">
        <is>
          <t>991000337079702656</t>
        </is>
      </c>
      <c r="AY631" t="inlineStr">
        <is>
          <t>2256429720002656</t>
        </is>
      </c>
      <c r="AZ631" t="inlineStr">
        <is>
          <t>BOOK</t>
        </is>
      </c>
      <c r="BB631" t="inlineStr">
        <is>
          <t>9780030605642</t>
        </is>
      </c>
      <c r="BC631" t="inlineStr">
        <is>
          <t>32285000147586</t>
        </is>
      </c>
      <c r="BD631" t="inlineStr">
        <is>
          <t>893865269</t>
        </is>
      </c>
    </row>
    <row r="632">
      <c r="A632" t="inlineStr">
        <is>
          <t>No</t>
        </is>
      </c>
      <c r="B632" t="inlineStr">
        <is>
          <t>E183.8.I7 S2</t>
        </is>
      </c>
      <c r="C632" t="inlineStr">
        <is>
          <t>0                      E  0183800I  7                  S  2</t>
        </is>
      </c>
      <c r="D632" t="inlineStr">
        <is>
          <t>The United States and Israel.</t>
        </is>
      </c>
      <c r="F632" t="inlineStr">
        <is>
          <t>No</t>
        </is>
      </c>
      <c r="G632" t="inlineStr">
        <is>
          <t>1</t>
        </is>
      </c>
      <c r="H632" t="inlineStr">
        <is>
          <t>No</t>
        </is>
      </c>
      <c r="I632" t="inlineStr">
        <is>
          <t>No</t>
        </is>
      </c>
      <c r="J632" t="inlineStr">
        <is>
          <t>0</t>
        </is>
      </c>
      <c r="K632" t="inlineStr">
        <is>
          <t>Safran, Nadav.</t>
        </is>
      </c>
      <c r="L632" t="inlineStr">
        <is>
          <t>Cambridge, Mass., Harvard University Press, 1963.</t>
        </is>
      </c>
      <c r="M632" t="inlineStr">
        <is>
          <t>1963</t>
        </is>
      </c>
      <c r="O632" t="inlineStr">
        <is>
          <t>eng</t>
        </is>
      </c>
      <c r="P632" t="inlineStr">
        <is>
          <t>mau</t>
        </is>
      </c>
      <c r="Q632" t="inlineStr">
        <is>
          <t>The American foreign policy library</t>
        </is>
      </c>
      <c r="R632" t="inlineStr">
        <is>
          <t xml:space="preserve">E  </t>
        </is>
      </c>
      <c r="S632" t="n">
        <v>1</v>
      </c>
      <c r="T632" t="n">
        <v>1</v>
      </c>
      <c r="U632" t="inlineStr">
        <is>
          <t>2003-10-28</t>
        </is>
      </c>
      <c r="V632" t="inlineStr">
        <is>
          <t>2003-10-28</t>
        </is>
      </c>
      <c r="W632" t="inlineStr">
        <is>
          <t>1997-04-09</t>
        </is>
      </c>
      <c r="X632" t="inlineStr">
        <is>
          <t>1997-04-09</t>
        </is>
      </c>
      <c r="Y632" t="n">
        <v>957</v>
      </c>
      <c r="Z632" t="n">
        <v>835</v>
      </c>
      <c r="AA632" t="n">
        <v>845</v>
      </c>
      <c r="AB632" t="n">
        <v>9</v>
      </c>
      <c r="AC632" t="n">
        <v>9</v>
      </c>
      <c r="AD632" t="n">
        <v>46</v>
      </c>
      <c r="AE632" t="n">
        <v>46</v>
      </c>
      <c r="AF632" t="n">
        <v>19</v>
      </c>
      <c r="AG632" t="n">
        <v>19</v>
      </c>
      <c r="AH632" t="n">
        <v>10</v>
      </c>
      <c r="AI632" t="n">
        <v>10</v>
      </c>
      <c r="AJ632" t="n">
        <v>20</v>
      </c>
      <c r="AK632" t="n">
        <v>20</v>
      </c>
      <c r="AL632" t="n">
        <v>7</v>
      </c>
      <c r="AM632" t="n">
        <v>7</v>
      </c>
      <c r="AN632" t="n">
        <v>1</v>
      </c>
      <c r="AO632" t="n">
        <v>1</v>
      </c>
      <c r="AP632" t="inlineStr">
        <is>
          <t>No</t>
        </is>
      </c>
      <c r="AQ632" t="inlineStr">
        <is>
          <t>Yes</t>
        </is>
      </c>
      <c r="AR632">
        <f>HYPERLINK("http://catalog.hathitrust.org/Record/000335683","HathiTrust Record")</f>
        <v/>
      </c>
      <c r="AS632">
        <f>HYPERLINK("https://creighton-primo.hosted.exlibrisgroup.com/primo-explore/search?tab=default_tab&amp;search_scope=EVERYTHING&amp;vid=01CRU&amp;lang=en_US&amp;offset=0&amp;query=any,contains,991002010949702656","Catalog Record")</f>
        <v/>
      </c>
      <c r="AT632">
        <f>HYPERLINK("http://www.worldcat.org/oclc/258861","WorldCat Record")</f>
        <v/>
      </c>
      <c r="AU632" t="inlineStr">
        <is>
          <t>1363992:eng</t>
        </is>
      </c>
      <c r="AV632" t="inlineStr">
        <is>
          <t>258861</t>
        </is>
      </c>
      <c r="AW632" t="inlineStr">
        <is>
          <t>991002010949702656</t>
        </is>
      </c>
      <c r="AX632" t="inlineStr">
        <is>
          <t>991002010949702656</t>
        </is>
      </c>
      <c r="AY632" t="inlineStr">
        <is>
          <t>2271714860002656</t>
        </is>
      </c>
      <c r="AZ632" t="inlineStr">
        <is>
          <t>BOOK</t>
        </is>
      </c>
      <c r="BC632" t="inlineStr">
        <is>
          <t>32285002508009</t>
        </is>
      </c>
      <c r="BD632" t="inlineStr">
        <is>
          <t>893621810</t>
        </is>
      </c>
    </row>
    <row r="633">
      <c r="A633" t="inlineStr">
        <is>
          <t>No</t>
        </is>
      </c>
      <c r="B633" t="inlineStr">
        <is>
          <t>E183.8.I7 T34 1988</t>
        </is>
      </c>
      <c r="C633" t="inlineStr">
        <is>
          <t>0                      E  0183800I  7                  T  34          1988</t>
        </is>
      </c>
      <c r="D633" t="inlineStr">
        <is>
          <t>Nest of spies : America's journey to disaster in Iran / Amir Taheri.</t>
        </is>
      </c>
      <c r="F633" t="inlineStr">
        <is>
          <t>No</t>
        </is>
      </c>
      <c r="G633" t="inlineStr">
        <is>
          <t>1</t>
        </is>
      </c>
      <c r="H633" t="inlineStr">
        <is>
          <t>No</t>
        </is>
      </c>
      <c r="I633" t="inlineStr">
        <is>
          <t>No</t>
        </is>
      </c>
      <c r="J633" t="inlineStr">
        <is>
          <t>0</t>
        </is>
      </c>
      <c r="K633" t="inlineStr">
        <is>
          <t>Taheri, Amir.</t>
        </is>
      </c>
      <c r="L633" t="inlineStr">
        <is>
          <t>New York : Pantheon Books, 1988.</t>
        </is>
      </c>
      <c r="M633" t="inlineStr">
        <is>
          <t>1988</t>
        </is>
      </c>
      <c r="N633" t="inlineStr">
        <is>
          <t>1st American ed.</t>
        </is>
      </c>
      <c r="O633" t="inlineStr">
        <is>
          <t>eng</t>
        </is>
      </c>
      <c r="P633" t="inlineStr">
        <is>
          <t>nyu</t>
        </is>
      </c>
      <c r="R633" t="inlineStr">
        <is>
          <t xml:space="preserve">E  </t>
        </is>
      </c>
      <c r="S633" t="n">
        <v>4</v>
      </c>
      <c r="T633" t="n">
        <v>4</v>
      </c>
      <c r="U633" t="inlineStr">
        <is>
          <t>1994-04-24</t>
        </is>
      </c>
      <c r="V633" t="inlineStr">
        <is>
          <t>1994-04-24</t>
        </is>
      </c>
      <c r="W633" t="inlineStr">
        <is>
          <t>1989-10-20</t>
        </is>
      </c>
      <c r="X633" t="inlineStr">
        <is>
          <t>1989-10-20</t>
        </is>
      </c>
      <c r="Y633" t="n">
        <v>552</v>
      </c>
      <c r="Z633" t="n">
        <v>524</v>
      </c>
      <c r="AA633" t="n">
        <v>601</v>
      </c>
      <c r="AB633" t="n">
        <v>1</v>
      </c>
      <c r="AC633" t="n">
        <v>3</v>
      </c>
      <c r="AD633" t="n">
        <v>13</v>
      </c>
      <c r="AE633" t="n">
        <v>16</v>
      </c>
      <c r="AF633" t="n">
        <v>6</v>
      </c>
      <c r="AG633" t="n">
        <v>7</v>
      </c>
      <c r="AH633" t="n">
        <v>4</v>
      </c>
      <c r="AI633" t="n">
        <v>4</v>
      </c>
      <c r="AJ633" t="n">
        <v>7</v>
      </c>
      <c r="AK633" t="n">
        <v>7</v>
      </c>
      <c r="AL633" t="n">
        <v>0</v>
      </c>
      <c r="AM633" t="n">
        <v>2</v>
      </c>
      <c r="AN633" t="n">
        <v>0</v>
      </c>
      <c r="AO633" t="n">
        <v>0</v>
      </c>
      <c r="AP633" t="inlineStr">
        <is>
          <t>No</t>
        </is>
      </c>
      <c r="AQ633" t="inlineStr">
        <is>
          <t>Yes</t>
        </is>
      </c>
      <c r="AR633">
        <f>HYPERLINK("http://catalog.hathitrust.org/Record/001099358","HathiTrust Record")</f>
        <v/>
      </c>
      <c r="AS633">
        <f>HYPERLINK("https://creighton-primo.hosted.exlibrisgroup.com/primo-explore/search?tab=default_tab&amp;search_scope=EVERYTHING&amp;vid=01CRU&amp;lang=en_US&amp;offset=0&amp;query=any,contains,991001405279702656","Catalog Record")</f>
        <v/>
      </c>
      <c r="AT633">
        <f>HYPERLINK("http://www.worldcat.org/oclc/18835310","WorldCat Record")</f>
        <v/>
      </c>
      <c r="AU633" t="inlineStr">
        <is>
          <t>12571135:eng</t>
        </is>
      </c>
      <c r="AV633" t="inlineStr">
        <is>
          <t>18835310</t>
        </is>
      </c>
      <c r="AW633" t="inlineStr">
        <is>
          <t>991001405279702656</t>
        </is>
      </c>
      <c r="AX633" t="inlineStr">
        <is>
          <t>991001405279702656</t>
        </is>
      </c>
      <c r="AY633" t="inlineStr">
        <is>
          <t>2259606730002656</t>
        </is>
      </c>
      <c r="AZ633" t="inlineStr">
        <is>
          <t>BOOK</t>
        </is>
      </c>
      <c r="BB633" t="inlineStr">
        <is>
          <t>9780394575667</t>
        </is>
      </c>
      <c r="BC633" t="inlineStr">
        <is>
          <t>32285000001353</t>
        </is>
      </c>
      <c r="BD633" t="inlineStr">
        <is>
          <t>893250228</t>
        </is>
      </c>
    </row>
    <row r="634">
      <c r="A634" t="inlineStr">
        <is>
          <t>No</t>
        </is>
      </c>
      <c r="B634" t="inlineStr">
        <is>
          <t>E183.8.I7 W54</t>
        </is>
      </c>
      <c r="C634" t="inlineStr">
        <is>
          <t>0                      E  0183800I  7                  W  54</t>
        </is>
      </c>
      <c r="D634" t="inlineStr">
        <is>
          <t>Decision on Palestine : how the U.S. came to recognize Israel / Evan M. Wilson.</t>
        </is>
      </c>
      <c r="F634" t="inlineStr">
        <is>
          <t>No</t>
        </is>
      </c>
      <c r="G634" t="inlineStr">
        <is>
          <t>1</t>
        </is>
      </c>
      <c r="H634" t="inlineStr">
        <is>
          <t>No</t>
        </is>
      </c>
      <c r="I634" t="inlineStr">
        <is>
          <t>No</t>
        </is>
      </c>
      <c r="J634" t="inlineStr">
        <is>
          <t>0</t>
        </is>
      </c>
      <c r="K634" t="inlineStr">
        <is>
          <t>Wilson, Evan M., 1910-1984.</t>
        </is>
      </c>
      <c r="L634" t="inlineStr">
        <is>
          <t>Stanford, Calif. : Hoover Institution Press, Stanford University, c1979.</t>
        </is>
      </c>
      <c r="M634" t="inlineStr">
        <is>
          <t>1979</t>
        </is>
      </c>
      <c r="O634" t="inlineStr">
        <is>
          <t>eng</t>
        </is>
      </c>
      <c r="P634" t="inlineStr">
        <is>
          <t>cau</t>
        </is>
      </c>
      <c r="Q634" t="inlineStr">
        <is>
          <t>Hoover Institution publication ; 218</t>
        </is>
      </c>
      <c r="R634" t="inlineStr">
        <is>
          <t xml:space="preserve">E  </t>
        </is>
      </c>
      <c r="S634" t="n">
        <v>2</v>
      </c>
      <c r="T634" t="n">
        <v>2</v>
      </c>
      <c r="U634" t="inlineStr">
        <is>
          <t>1993-02-25</t>
        </is>
      </c>
      <c r="V634" t="inlineStr">
        <is>
          <t>1993-02-25</t>
        </is>
      </c>
      <c r="W634" t="inlineStr">
        <is>
          <t>1991-02-01</t>
        </is>
      </c>
      <c r="X634" t="inlineStr">
        <is>
          <t>1991-02-01</t>
        </is>
      </c>
      <c r="Y634" t="n">
        <v>550</v>
      </c>
      <c r="Z634" t="n">
        <v>460</v>
      </c>
      <c r="AA634" t="n">
        <v>461</v>
      </c>
      <c r="AB634" t="n">
        <v>3</v>
      </c>
      <c r="AC634" t="n">
        <v>3</v>
      </c>
      <c r="AD634" t="n">
        <v>20</v>
      </c>
      <c r="AE634" t="n">
        <v>20</v>
      </c>
      <c r="AF634" t="n">
        <v>5</v>
      </c>
      <c r="AG634" t="n">
        <v>5</v>
      </c>
      <c r="AH634" t="n">
        <v>5</v>
      </c>
      <c r="AI634" t="n">
        <v>5</v>
      </c>
      <c r="AJ634" t="n">
        <v>11</v>
      </c>
      <c r="AK634" t="n">
        <v>11</v>
      </c>
      <c r="AL634" t="n">
        <v>2</v>
      </c>
      <c r="AM634" t="n">
        <v>2</v>
      </c>
      <c r="AN634" t="n">
        <v>0</v>
      </c>
      <c r="AO634" t="n">
        <v>0</v>
      </c>
      <c r="AP634" t="inlineStr">
        <is>
          <t>No</t>
        </is>
      </c>
      <c r="AQ634" t="inlineStr">
        <is>
          <t>Yes</t>
        </is>
      </c>
      <c r="AR634">
        <f>HYPERLINK("http://catalog.hathitrust.org/Record/000185602","HathiTrust Record")</f>
        <v/>
      </c>
      <c r="AS634">
        <f>HYPERLINK("https://creighton-primo.hosted.exlibrisgroup.com/primo-explore/search?tab=default_tab&amp;search_scope=EVERYTHING&amp;vid=01CRU&amp;lang=en_US&amp;offset=0&amp;query=any,contains,991004880649702656","Catalog Record")</f>
        <v/>
      </c>
      <c r="AT634">
        <f>HYPERLINK("http://www.worldcat.org/oclc/5816017","WorldCat Record")</f>
        <v/>
      </c>
      <c r="AU634" t="inlineStr">
        <is>
          <t>319858721:eng</t>
        </is>
      </c>
      <c r="AV634" t="inlineStr">
        <is>
          <t>5816017</t>
        </is>
      </c>
      <c r="AW634" t="inlineStr">
        <is>
          <t>991004880649702656</t>
        </is>
      </c>
      <c r="AX634" t="inlineStr">
        <is>
          <t>991004880649702656</t>
        </is>
      </c>
      <c r="AY634" t="inlineStr">
        <is>
          <t>2259844590002656</t>
        </is>
      </c>
      <c r="AZ634" t="inlineStr">
        <is>
          <t>BOOK</t>
        </is>
      </c>
      <c r="BB634" t="inlineStr">
        <is>
          <t>9780817971816</t>
        </is>
      </c>
      <c r="BC634" t="inlineStr">
        <is>
          <t>32285000481514</t>
        </is>
      </c>
      <c r="BD634" t="inlineStr">
        <is>
          <t>893501055</t>
        </is>
      </c>
    </row>
    <row r="635">
      <c r="A635" t="inlineStr">
        <is>
          <t>No</t>
        </is>
      </c>
      <c r="B635" t="inlineStr">
        <is>
          <t>E183.8.I75 D96 1987</t>
        </is>
      </c>
      <c r="C635" t="inlineStr">
        <is>
          <t>0                      E  0183800I  75                 D  96          1987</t>
        </is>
      </c>
      <c r="D635" t="inlineStr">
        <is>
          <t>Dynamics of dependence : U.S.-Israeli relations / edited by Gabriel Sheffer.</t>
        </is>
      </c>
      <c r="F635" t="inlineStr">
        <is>
          <t>No</t>
        </is>
      </c>
      <c r="G635" t="inlineStr">
        <is>
          <t>1</t>
        </is>
      </c>
      <c r="H635" t="inlineStr">
        <is>
          <t>No</t>
        </is>
      </c>
      <c r="I635" t="inlineStr">
        <is>
          <t>No</t>
        </is>
      </c>
      <c r="J635" t="inlineStr">
        <is>
          <t>0</t>
        </is>
      </c>
      <c r="L635" t="inlineStr">
        <is>
          <t>Boulder, Colo. : Westview Press, 1987.</t>
        </is>
      </c>
      <c r="M635" t="inlineStr">
        <is>
          <t>1987</t>
        </is>
      </c>
      <c r="O635" t="inlineStr">
        <is>
          <t>eng</t>
        </is>
      </c>
      <c r="P635" t="inlineStr">
        <is>
          <t>cou</t>
        </is>
      </c>
      <c r="Q635" t="inlineStr">
        <is>
          <t>Studies in international politics</t>
        </is>
      </c>
      <c r="R635" t="inlineStr">
        <is>
          <t xml:space="preserve">E  </t>
        </is>
      </c>
      <c r="S635" t="n">
        <v>12</v>
      </c>
      <c r="T635" t="n">
        <v>12</v>
      </c>
      <c r="U635" t="inlineStr">
        <is>
          <t>2003-10-28</t>
        </is>
      </c>
      <c r="V635" t="inlineStr">
        <is>
          <t>2003-10-28</t>
        </is>
      </c>
      <c r="W635" t="inlineStr">
        <is>
          <t>1990-05-01</t>
        </is>
      </c>
      <c r="X635" t="inlineStr">
        <is>
          <t>1990-05-01</t>
        </is>
      </c>
      <c r="Y635" t="n">
        <v>322</v>
      </c>
      <c r="Z635" t="n">
        <v>272</v>
      </c>
      <c r="AA635" t="n">
        <v>300</v>
      </c>
      <c r="AB635" t="n">
        <v>3</v>
      </c>
      <c r="AC635" t="n">
        <v>3</v>
      </c>
      <c r="AD635" t="n">
        <v>11</v>
      </c>
      <c r="AE635" t="n">
        <v>11</v>
      </c>
      <c r="AF635" t="n">
        <v>4</v>
      </c>
      <c r="AG635" t="n">
        <v>4</v>
      </c>
      <c r="AH635" t="n">
        <v>2</v>
      </c>
      <c r="AI635" t="n">
        <v>2</v>
      </c>
      <c r="AJ635" t="n">
        <v>6</v>
      </c>
      <c r="AK635" t="n">
        <v>6</v>
      </c>
      <c r="AL635" t="n">
        <v>2</v>
      </c>
      <c r="AM635" t="n">
        <v>2</v>
      </c>
      <c r="AN635" t="n">
        <v>1</v>
      </c>
      <c r="AO635" t="n">
        <v>1</v>
      </c>
      <c r="AP635" t="inlineStr">
        <is>
          <t>No</t>
        </is>
      </c>
      <c r="AQ635" t="inlineStr">
        <is>
          <t>Yes</t>
        </is>
      </c>
      <c r="AR635">
        <f>HYPERLINK("http://catalog.hathitrust.org/Record/000492361","HathiTrust Record")</f>
        <v/>
      </c>
      <c r="AS635">
        <f>HYPERLINK("https://creighton-primo.hosted.exlibrisgroup.com/primo-explore/search?tab=default_tab&amp;search_scope=EVERYTHING&amp;vid=01CRU&amp;lang=en_US&amp;offset=0&amp;query=any,contains,991000832279702656","Catalog Record")</f>
        <v/>
      </c>
      <c r="AT635">
        <f>HYPERLINK("http://www.worldcat.org/oclc/13455837","WorldCat Record")</f>
        <v/>
      </c>
      <c r="AU635" t="inlineStr">
        <is>
          <t>54810259:eng</t>
        </is>
      </c>
      <c r="AV635" t="inlineStr">
        <is>
          <t>13455837</t>
        </is>
      </c>
      <c r="AW635" t="inlineStr">
        <is>
          <t>991000832279702656</t>
        </is>
      </c>
      <c r="AX635" t="inlineStr">
        <is>
          <t>991000832279702656</t>
        </is>
      </c>
      <c r="AY635" t="inlineStr">
        <is>
          <t>2263584000002656</t>
        </is>
      </c>
      <c r="AZ635" t="inlineStr">
        <is>
          <t>BOOK</t>
        </is>
      </c>
      <c r="BB635" t="inlineStr">
        <is>
          <t>9780813372150</t>
        </is>
      </c>
      <c r="BC635" t="inlineStr">
        <is>
          <t>32285000146000</t>
        </is>
      </c>
      <c r="BD635" t="inlineStr">
        <is>
          <t>893351673</t>
        </is>
      </c>
    </row>
    <row r="636">
      <c r="A636" t="inlineStr">
        <is>
          <t>No</t>
        </is>
      </c>
      <c r="B636" t="inlineStr">
        <is>
          <t>E183.8.I75 T58 1987</t>
        </is>
      </c>
      <c r="C636" t="inlineStr">
        <is>
          <t>0                      E  0183800I  75                 T  58          1987</t>
        </is>
      </c>
      <c r="D636" t="inlineStr">
        <is>
          <t>The Lobby : Jewish political power and American foreign policy / Edward Tivnan.</t>
        </is>
      </c>
      <c r="F636" t="inlineStr">
        <is>
          <t>No</t>
        </is>
      </c>
      <c r="G636" t="inlineStr">
        <is>
          <t>1</t>
        </is>
      </c>
      <c r="H636" t="inlineStr">
        <is>
          <t>No</t>
        </is>
      </c>
      <c r="I636" t="inlineStr">
        <is>
          <t>No</t>
        </is>
      </c>
      <c r="J636" t="inlineStr">
        <is>
          <t>0</t>
        </is>
      </c>
      <c r="K636" t="inlineStr">
        <is>
          <t>Tivnan, Edward.</t>
        </is>
      </c>
      <c r="L636" t="inlineStr">
        <is>
          <t>New York : Simon and Schuster, c1987.</t>
        </is>
      </c>
      <c r="M636" t="inlineStr">
        <is>
          <t>1987</t>
        </is>
      </c>
      <c r="O636" t="inlineStr">
        <is>
          <t>eng</t>
        </is>
      </c>
      <c r="P636" t="inlineStr">
        <is>
          <t>nyu</t>
        </is>
      </c>
      <c r="R636" t="inlineStr">
        <is>
          <t xml:space="preserve">E  </t>
        </is>
      </c>
      <c r="S636" t="n">
        <v>9</v>
      </c>
      <c r="T636" t="n">
        <v>9</v>
      </c>
      <c r="U636" t="inlineStr">
        <is>
          <t>1994-01-12</t>
        </is>
      </c>
      <c r="V636" t="inlineStr">
        <is>
          <t>1994-01-12</t>
        </is>
      </c>
      <c r="W636" t="inlineStr">
        <is>
          <t>1991-08-21</t>
        </is>
      </c>
      <c r="X636" t="inlineStr">
        <is>
          <t>1991-08-21</t>
        </is>
      </c>
      <c r="Y636" t="n">
        <v>801</v>
      </c>
      <c r="Z636" t="n">
        <v>692</v>
      </c>
      <c r="AA636" t="n">
        <v>724</v>
      </c>
      <c r="AB636" t="n">
        <v>2</v>
      </c>
      <c r="AC636" t="n">
        <v>2</v>
      </c>
      <c r="AD636" t="n">
        <v>24</v>
      </c>
      <c r="AE636" t="n">
        <v>25</v>
      </c>
      <c r="AF636" t="n">
        <v>8</v>
      </c>
      <c r="AG636" t="n">
        <v>8</v>
      </c>
      <c r="AH636" t="n">
        <v>8</v>
      </c>
      <c r="AI636" t="n">
        <v>8</v>
      </c>
      <c r="AJ636" t="n">
        <v>13</v>
      </c>
      <c r="AK636" t="n">
        <v>14</v>
      </c>
      <c r="AL636" t="n">
        <v>1</v>
      </c>
      <c r="AM636" t="n">
        <v>1</v>
      </c>
      <c r="AN636" t="n">
        <v>0</v>
      </c>
      <c r="AO636" t="n">
        <v>0</v>
      </c>
      <c r="AP636" t="inlineStr">
        <is>
          <t>No</t>
        </is>
      </c>
      <c r="AQ636" t="inlineStr">
        <is>
          <t>Yes</t>
        </is>
      </c>
      <c r="AR636">
        <f>HYPERLINK("http://catalog.hathitrust.org/Record/006241363","HathiTrust Record")</f>
        <v/>
      </c>
      <c r="AS636">
        <f>HYPERLINK("https://creighton-primo.hosted.exlibrisgroup.com/primo-explore/search?tab=default_tab&amp;search_scope=EVERYTHING&amp;vid=01CRU&amp;lang=en_US&amp;offset=0&amp;query=any,contains,991000977369702656","Catalog Record")</f>
        <v/>
      </c>
      <c r="AT636">
        <f>HYPERLINK("http://www.worldcat.org/oclc/15016749","WorldCat Record")</f>
        <v/>
      </c>
      <c r="AU636" t="inlineStr">
        <is>
          <t>8550673:eng</t>
        </is>
      </c>
      <c r="AV636" t="inlineStr">
        <is>
          <t>15016749</t>
        </is>
      </c>
      <c r="AW636" t="inlineStr">
        <is>
          <t>991000977369702656</t>
        </is>
      </c>
      <c r="AX636" t="inlineStr">
        <is>
          <t>991000977369702656</t>
        </is>
      </c>
      <c r="AY636" t="inlineStr">
        <is>
          <t>2264330760002656</t>
        </is>
      </c>
      <c r="AZ636" t="inlineStr">
        <is>
          <t>BOOK</t>
        </is>
      </c>
      <c r="BB636" t="inlineStr">
        <is>
          <t>9780671501532</t>
        </is>
      </c>
      <c r="BC636" t="inlineStr">
        <is>
          <t>32285000649912</t>
        </is>
      </c>
      <c r="BD636" t="inlineStr">
        <is>
          <t>893502994</t>
        </is>
      </c>
    </row>
    <row r="637">
      <c r="A637" t="inlineStr">
        <is>
          <t>No</t>
        </is>
      </c>
      <c r="B637" t="inlineStr">
        <is>
          <t>E183.8.I75 U23 1997</t>
        </is>
      </c>
      <c r="C637" t="inlineStr">
        <is>
          <t>0                      E  0183800I  75                 U  23          1997</t>
        </is>
      </c>
      <c r="D637" t="inlineStr">
        <is>
          <t>U.S.-Israeli relations at the crossroads / edited by Gabriel Sheffer.</t>
        </is>
      </c>
      <c r="F637" t="inlineStr">
        <is>
          <t>No</t>
        </is>
      </c>
      <c r="G637" t="inlineStr">
        <is>
          <t>1</t>
        </is>
      </c>
      <c r="H637" t="inlineStr">
        <is>
          <t>No</t>
        </is>
      </c>
      <c r="I637" t="inlineStr">
        <is>
          <t>No</t>
        </is>
      </c>
      <c r="J637" t="inlineStr">
        <is>
          <t>0</t>
        </is>
      </c>
      <c r="L637" t="inlineStr">
        <is>
          <t>London ; Portland, OR : Frank Cass, c1997.</t>
        </is>
      </c>
      <c r="M637" t="inlineStr">
        <is>
          <t>1997</t>
        </is>
      </c>
      <c r="O637" t="inlineStr">
        <is>
          <t>eng</t>
        </is>
      </c>
      <c r="P637" t="inlineStr">
        <is>
          <t>enk</t>
        </is>
      </c>
      <c r="R637" t="inlineStr">
        <is>
          <t xml:space="preserve">E  </t>
        </is>
      </c>
      <c r="S637" t="n">
        <v>3</v>
      </c>
      <c r="T637" t="n">
        <v>3</v>
      </c>
      <c r="U637" t="inlineStr">
        <is>
          <t>2003-10-28</t>
        </is>
      </c>
      <c r="V637" t="inlineStr">
        <is>
          <t>2003-10-28</t>
        </is>
      </c>
      <c r="W637" t="inlineStr">
        <is>
          <t>1998-11-18</t>
        </is>
      </c>
      <c r="X637" t="inlineStr">
        <is>
          <t>1998-11-18</t>
        </is>
      </c>
      <c r="Y637" t="n">
        <v>273</v>
      </c>
      <c r="Z637" t="n">
        <v>210</v>
      </c>
      <c r="AA637" t="n">
        <v>210</v>
      </c>
      <c r="AB637" t="n">
        <v>1</v>
      </c>
      <c r="AC637" t="n">
        <v>1</v>
      </c>
      <c r="AD637" t="n">
        <v>6</v>
      </c>
      <c r="AE637" t="n">
        <v>6</v>
      </c>
      <c r="AF637" t="n">
        <v>0</v>
      </c>
      <c r="AG637" t="n">
        <v>0</v>
      </c>
      <c r="AH637" t="n">
        <v>3</v>
      </c>
      <c r="AI637" t="n">
        <v>3</v>
      </c>
      <c r="AJ637" t="n">
        <v>5</v>
      </c>
      <c r="AK637" t="n">
        <v>5</v>
      </c>
      <c r="AL637" t="n">
        <v>0</v>
      </c>
      <c r="AM637" t="n">
        <v>0</v>
      </c>
      <c r="AN637" t="n">
        <v>0</v>
      </c>
      <c r="AO637" t="n">
        <v>0</v>
      </c>
      <c r="AP637" t="inlineStr">
        <is>
          <t>No</t>
        </is>
      </c>
      <c r="AQ637" t="inlineStr">
        <is>
          <t>No</t>
        </is>
      </c>
      <c r="AS637">
        <f>HYPERLINK("https://creighton-primo.hosted.exlibrisgroup.com/primo-explore/search?tab=default_tab&amp;search_scope=EVERYTHING&amp;vid=01CRU&amp;lang=en_US&amp;offset=0&amp;query=any,contains,991002696819702656","Catalog Record")</f>
        <v/>
      </c>
      <c r="AT637">
        <f>HYPERLINK("http://www.worldcat.org/oclc/35209221","WorldCat Record")</f>
        <v/>
      </c>
      <c r="AU637" t="inlineStr">
        <is>
          <t>2700062:eng</t>
        </is>
      </c>
      <c r="AV637" t="inlineStr">
        <is>
          <t>35209221</t>
        </is>
      </c>
      <c r="AW637" t="inlineStr">
        <is>
          <t>991002696819702656</t>
        </is>
      </c>
      <c r="AX637" t="inlineStr">
        <is>
          <t>991002696819702656</t>
        </is>
      </c>
      <c r="AY637" t="inlineStr">
        <is>
          <t>2270898740002656</t>
        </is>
      </c>
      <c r="AZ637" t="inlineStr">
        <is>
          <t>BOOK</t>
        </is>
      </c>
      <c r="BB637" t="inlineStr">
        <is>
          <t>9780714643052</t>
        </is>
      </c>
      <c r="BC637" t="inlineStr">
        <is>
          <t>32285003490157</t>
        </is>
      </c>
      <c r="BD637" t="inlineStr">
        <is>
          <t>893415537</t>
        </is>
      </c>
    </row>
    <row r="638">
      <c r="A638" t="inlineStr">
        <is>
          <t>No</t>
        </is>
      </c>
      <c r="B638" t="inlineStr">
        <is>
          <t>E183.8.J3 A64</t>
        </is>
      </c>
      <c r="C638" t="inlineStr">
        <is>
          <t>0                      E  0183800J  3                  A  64</t>
        </is>
      </c>
      <c r="D638" t="inlineStr">
        <is>
          <t>The United States and Japan / [edited by Herbert Passin]</t>
        </is>
      </c>
      <c r="F638" t="inlineStr">
        <is>
          <t>No</t>
        </is>
      </c>
      <c r="G638" t="inlineStr">
        <is>
          <t>1</t>
        </is>
      </c>
      <c r="H638" t="inlineStr">
        <is>
          <t>No</t>
        </is>
      </c>
      <c r="I638" t="inlineStr">
        <is>
          <t>No</t>
        </is>
      </c>
      <c r="J638" t="inlineStr">
        <is>
          <t>0</t>
        </is>
      </c>
      <c r="K638" t="inlineStr">
        <is>
          <t>American Assembly.</t>
        </is>
      </c>
      <c r="L638" t="inlineStr">
        <is>
          <t>Englewood Cliffs, N.J. : Prentice-Hall, [1966]</t>
        </is>
      </c>
      <c r="M638" t="inlineStr">
        <is>
          <t>1966</t>
        </is>
      </c>
      <c r="O638" t="inlineStr">
        <is>
          <t>eng</t>
        </is>
      </c>
      <c r="P638" t="inlineStr">
        <is>
          <t>nju</t>
        </is>
      </c>
      <c r="Q638" t="inlineStr">
        <is>
          <t>A Spectrum book: The American Assembly series [S-AA-16]</t>
        </is>
      </c>
      <c r="R638" t="inlineStr">
        <is>
          <t xml:space="preserve">E  </t>
        </is>
      </c>
      <c r="S638" t="n">
        <v>4</v>
      </c>
      <c r="T638" t="n">
        <v>4</v>
      </c>
      <c r="U638" t="inlineStr">
        <is>
          <t>1995-12-05</t>
        </is>
      </c>
      <c r="V638" t="inlineStr">
        <is>
          <t>1995-12-05</t>
        </is>
      </c>
      <c r="W638" t="inlineStr">
        <is>
          <t>1993-05-10</t>
        </is>
      </c>
      <c r="X638" t="inlineStr">
        <is>
          <t>1993-05-10</t>
        </is>
      </c>
      <c r="Y638" t="n">
        <v>838</v>
      </c>
      <c r="Z638" t="n">
        <v>709</v>
      </c>
      <c r="AA638" t="n">
        <v>751</v>
      </c>
      <c r="AB638" t="n">
        <v>6</v>
      </c>
      <c r="AC638" t="n">
        <v>6</v>
      </c>
      <c r="AD638" t="n">
        <v>34</v>
      </c>
      <c r="AE638" t="n">
        <v>34</v>
      </c>
      <c r="AF638" t="n">
        <v>12</v>
      </c>
      <c r="AG638" t="n">
        <v>12</v>
      </c>
      <c r="AH638" t="n">
        <v>8</v>
      </c>
      <c r="AI638" t="n">
        <v>8</v>
      </c>
      <c r="AJ638" t="n">
        <v>15</v>
      </c>
      <c r="AK638" t="n">
        <v>15</v>
      </c>
      <c r="AL638" t="n">
        <v>5</v>
      </c>
      <c r="AM638" t="n">
        <v>5</v>
      </c>
      <c r="AN638" t="n">
        <v>1</v>
      </c>
      <c r="AO638" t="n">
        <v>1</v>
      </c>
      <c r="AP638" t="inlineStr">
        <is>
          <t>No</t>
        </is>
      </c>
      <c r="AQ638" t="inlineStr">
        <is>
          <t>Yes</t>
        </is>
      </c>
      <c r="AR638">
        <f>HYPERLINK("http://catalog.hathitrust.org/Record/000335493","HathiTrust Record")</f>
        <v/>
      </c>
      <c r="AS638">
        <f>HYPERLINK("https://creighton-primo.hosted.exlibrisgroup.com/primo-explore/search?tab=default_tab&amp;search_scope=EVERYTHING&amp;vid=01CRU&amp;lang=en_US&amp;offset=0&amp;query=any,contains,991001805759702656","Catalog Record")</f>
        <v/>
      </c>
      <c r="AT638">
        <f>HYPERLINK("http://www.worldcat.org/oclc/236907","WorldCat Record")</f>
        <v/>
      </c>
      <c r="AU638" t="inlineStr">
        <is>
          <t>3901026923:eng</t>
        </is>
      </c>
      <c r="AV638" t="inlineStr">
        <is>
          <t>236907</t>
        </is>
      </c>
      <c r="AW638" t="inlineStr">
        <is>
          <t>991001805759702656</t>
        </is>
      </c>
      <c r="AX638" t="inlineStr">
        <is>
          <t>991001805759702656</t>
        </is>
      </c>
      <c r="AY638" t="inlineStr">
        <is>
          <t>2255019630002656</t>
        </is>
      </c>
      <c r="AZ638" t="inlineStr">
        <is>
          <t>BOOK</t>
        </is>
      </c>
      <c r="BC638" t="inlineStr">
        <is>
          <t>32285001652683</t>
        </is>
      </c>
      <c r="BD638" t="inlineStr">
        <is>
          <t>893891856</t>
        </is>
      </c>
    </row>
    <row r="639">
      <c r="A639" t="inlineStr">
        <is>
          <t>No</t>
        </is>
      </c>
      <c r="B639" t="inlineStr">
        <is>
          <t>E183.8.J3 A813 1996</t>
        </is>
      </c>
      <c r="C639" t="inlineStr">
        <is>
          <t>0                      E  0183800J  3                  A  813         1996</t>
        </is>
      </c>
      <c r="D639" t="inlineStr">
        <is>
          <t>Friends or rivals? : the insider's account of U.S.-Japan relations / Michael H. Armacost.</t>
        </is>
      </c>
      <c r="F639" t="inlineStr">
        <is>
          <t>No</t>
        </is>
      </c>
      <c r="G639" t="inlineStr">
        <is>
          <t>1</t>
        </is>
      </c>
      <c r="H639" t="inlineStr">
        <is>
          <t>No</t>
        </is>
      </c>
      <c r="I639" t="inlineStr">
        <is>
          <t>No</t>
        </is>
      </c>
      <c r="J639" t="inlineStr">
        <is>
          <t>0</t>
        </is>
      </c>
      <c r="K639" t="inlineStr">
        <is>
          <t>Armacost, Michael H.</t>
        </is>
      </c>
      <c r="L639" t="inlineStr">
        <is>
          <t>New York : Columbia University Press, c1996.</t>
        </is>
      </c>
      <c r="M639" t="inlineStr">
        <is>
          <t>1996</t>
        </is>
      </c>
      <c r="O639" t="inlineStr">
        <is>
          <t>eng</t>
        </is>
      </c>
      <c r="P639" t="inlineStr">
        <is>
          <t>nyu</t>
        </is>
      </c>
      <c r="R639" t="inlineStr">
        <is>
          <t xml:space="preserve">E  </t>
        </is>
      </c>
      <c r="S639" t="n">
        <v>1</v>
      </c>
      <c r="T639" t="n">
        <v>1</v>
      </c>
      <c r="U639" t="inlineStr">
        <is>
          <t>1996-10-06</t>
        </is>
      </c>
      <c r="V639" t="inlineStr">
        <is>
          <t>1996-10-06</t>
        </is>
      </c>
      <c r="W639" t="inlineStr">
        <is>
          <t>1996-05-28</t>
        </is>
      </c>
      <c r="X639" t="inlineStr">
        <is>
          <t>1996-05-28</t>
        </is>
      </c>
      <c r="Y639" t="n">
        <v>636</v>
      </c>
      <c r="Z639" t="n">
        <v>531</v>
      </c>
      <c r="AA639" t="n">
        <v>536</v>
      </c>
      <c r="AB639" t="n">
        <v>4</v>
      </c>
      <c r="AC639" t="n">
        <v>4</v>
      </c>
      <c r="AD639" t="n">
        <v>28</v>
      </c>
      <c r="AE639" t="n">
        <v>28</v>
      </c>
      <c r="AF639" t="n">
        <v>9</v>
      </c>
      <c r="AG639" t="n">
        <v>9</v>
      </c>
      <c r="AH639" t="n">
        <v>8</v>
      </c>
      <c r="AI639" t="n">
        <v>8</v>
      </c>
      <c r="AJ639" t="n">
        <v>14</v>
      </c>
      <c r="AK639" t="n">
        <v>14</v>
      </c>
      <c r="AL639" t="n">
        <v>3</v>
      </c>
      <c r="AM639" t="n">
        <v>3</v>
      </c>
      <c r="AN639" t="n">
        <v>1</v>
      </c>
      <c r="AO639" t="n">
        <v>1</v>
      </c>
      <c r="AP639" t="inlineStr">
        <is>
          <t>No</t>
        </is>
      </c>
      <c r="AQ639" t="inlineStr">
        <is>
          <t>No</t>
        </is>
      </c>
      <c r="AS639">
        <f>HYPERLINK("https://creighton-primo.hosted.exlibrisgroup.com/primo-explore/search?tab=default_tab&amp;search_scope=EVERYTHING&amp;vid=01CRU&amp;lang=en_US&amp;offset=0&amp;query=any,contains,991002552609702656","Catalog Record")</f>
        <v/>
      </c>
      <c r="AT639">
        <f>HYPERLINK("http://www.worldcat.org/oclc/33164373","WorldCat Record")</f>
        <v/>
      </c>
      <c r="AU639" t="inlineStr">
        <is>
          <t>1062737:eng</t>
        </is>
      </c>
      <c r="AV639" t="inlineStr">
        <is>
          <t>33164373</t>
        </is>
      </c>
      <c r="AW639" t="inlineStr">
        <is>
          <t>991002552609702656</t>
        </is>
      </c>
      <c r="AX639" t="inlineStr">
        <is>
          <t>991002552609702656</t>
        </is>
      </c>
      <c r="AY639" t="inlineStr">
        <is>
          <t>2256662240002656</t>
        </is>
      </c>
      <c r="AZ639" t="inlineStr">
        <is>
          <t>BOOK</t>
        </is>
      </c>
      <c r="BB639" t="inlineStr">
        <is>
          <t>9780231104883</t>
        </is>
      </c>
      <c r="BC639" t="inlineStr">
        <is>
          <t>32285002177441</t>
        </is>
      </c>
      <c r="BD639" t="inlineStr">
        <is>
          <t>893323072</t>
        </is>
      </c>
    </row>
    <row r="640">
      <c r="A640" t="inlineStr">
        <is>
          <t>No</t>
        </is>
      </c>
      <c r="B640" t="inlineStr">
        <is>
          <t>E183.8.J3 B3 1970</t>
        </is>
      </c>
      <c r="C640" t="inlineStr">
        <is>
          <t>0                      E  0183800J  3                  B  3           1970</t>
        </is>
      </c>
      <c r="D640" t="inlineStr">
        <is>
          <t>Japan and America, from earliest times to the present / [by] Lawrence H. Battistini.</t>
        </is>
      </c>
      <c r="F640" t="inlineStr">
        <is>
          <t>No</t>
        </is>
      </c>
      <c r="G640" t="inlineStr">
        <is>
          <t>1</t>
        </is>
      </c>
      <c r="H640" t="inlineStr">
        <is>
          <t>No</t>
        </is>
      </c>
      <c r="I640" t="inlineStr">
        <is>
          <t>No</t>
        </is>
      </c>
      <c r="J640" t="inlineStr">
        <is>
          <t>0</t>
        </is>
      </c>
      <c r="K640" t="inlineStr">
        <is>
          <t>Battistini, Lawrence H. (Lawrence Henry), 1907-1999.</t>
        </is>
      </c>
      <c r="L640" t="inlineStr">
        <is>
          <t>Westport, Conn. : Greenwood Press, [1970, c1953]</t>
        </is>
      </c>
      <c r="M640" t="inlineStr">
        <is>
          <t>1970</t>
        </is>
      </c>
      <c r="O640" t="inlineStr">
        <is>
          <t>eng</t>
        </is>
      </c>
      <c r="P640" t="inlineStr">
        <is>
          <t>ctu</t>
        </is>
      </c>
      <c r="R640" t="inlineStr">
        <is>
          <t xml:space="preserve">E  </t>
        </is>
      </c>
      <c r="S640" t="n">
        <v>6</v>
      </c>
      <c r="T640" t="n">
        <v>6</v>
      </c>
      <c r="U640" t="inlineStr">
        <is>
          <t>2001-03-26</t>
        </is>
      </c>
      <c r="V640" t="inlineStr">
        <is>
          <t>2001-03-26</t>
        </is>
      </c>
      <c r="W640" t="inlineStr">
        <is>
          <t>1995-01-27</t>
        </is>
      </c>
      <c r="X640" t="inlineStr">
        <is>
          <t>1995-01-27</t>
        </is>
      </c>
      <c r="Y640" t="n">
        <v>252</v>
      </c>
      <c r="Z640" t="n">
        <v>222</v>
      </c>
      <c r="AA640" t="n">
        <v>433</v>
      </c>
      <c r="AB640" t="n">
        <v>4</v>
      </c>
      <c r="AC640" t="n">
        <v>5</v>
      </c>
      <c r="AD640" t="n">
        <v>11</v>
      </c>
      <c r="AE640" t="n">
        <v>19</v>
      </c>
      <c r="AF640" t="n">
        <v>3</v>
      </c>
      <c r="AG640" t="n">
        <v>4</v>
      </c>
      <c r="AH640" t="n">
        <v>3</v>
      </c>
      <c r="AI640" t="n">
        <v>5</v>
      </c>
      <c r="AJ640" t="n">
        <v>5</v>
      </c>
      <c r="AK640" t="n">
        <v>11</v>
      </c>
      <c r="AL640" t="n">
        <v>3</v>
      </c>
      <c r="AM640" t="n">
        <v>4</v>
      </c>
      <c r="AN640" t="n">
        <v>0</v>
      </c>
      <c r="AO640" t="n">
        <v>0</v>
      </c>
      <c r="AP640" t="inlineStr">
        <is>
          <t>No</t>
        </is>
      </c>
      <c r="AQ640" t="inlineStr">
        <is>
          <t>No</t>
        </is>
      </c>
      <c r="AS640">
        <f>HYPERLINK("https://creighton-primo.hosted.exlibrisgroup.com/primo-explore/search?tab=default_tab&amp;search_scope=EVERYTHING&amp;vid=01CRU&amp;lang=en_US&amp;offset=0&amp;query=any,contains,991000322589702656","Catalog Record")</f>
        <v/>
      </c>
      <c r="AT640">
        <f>HYPERLINK("http://www.worldcat.org/oclc/69712","WorldCat Record")</f>
        <v/>
      </c>
      <c r="AU640" t="inlineStr">
        <is>
          <t>1238062:eng</t>
        </is>
      </c>
      <c r="AV640" t="inlineStr">
        <is>
          <t>69712</t>
        </is>
      </c>
      <c r="AW640" t="inlineStr">
        <is>
          <t>991000322589702656</t>
        </is>
      </c>
      <c r="AX640" t="inlineStr">
        <is>
          <t>991000322589702656</t>
        </is>
      </c>
      <c r="AY640" t="inlineStr">
        <is>
          <t>2259577790002656</t>
        </is>
      </c>
      <c r="AZ640" t="inlineStr">
        <is>
          <t>BOOK</t>
        </is>
      </c>
      <c r="BB640" t="inlineStr">
        <is>
          <t>9780837132457</t>
        </is>
      </c>
      <c r="BC640" t="inlineStr">
        <is>
          <t>32285001988046</t>
        </is>
      </c>
      <c r="BD640" t="inlineStr">
        <is>
          <t>893431862</t>
        </is>
      </c>
    </row>
    <row r="641">
      <c r="A641" t="inlineStr">
        <is>
          <t>No</t>
        </is>
      </c>
      <c r="B641" t="inlineStr">
        <is>
          <t>E183.8.J3 B67</t>
        </is>
      </c>
      <c r="C641" t="inlineStr">
        <is>
          <t>0                      E  0183800J  3                  B  67</t>
        </is>
      </c>
      <c r="D641" t="inlineStr">
        <is>
          <t>Pearl Harbor as history : Japanese-American relations, 1931-1941 / edited by Dorothy Borg and Shumpei Okamoto, with the assistance of Dale K. A. Finlayson.</t>
        </is>
      </c>
      <c r="F641" t="inlineStr">
        <is>
          <t>No</t>
        </is>
      </c>
      <c r="G641" t="inlineStr">
        <is>
          <t>1</t>
        </is>
      </c>
      <c r="H641" t="inlineStr">
        <is>
          <t>No</t>
        </is>
      </c>
      <c r="I641" t="inlineStr">
        <is>
          <t>No</t>
        </is>
      </c>
      <c r="J641" t="inlineStr">
        <is>
          <t>0</t>
        </is>
      </c>
      <c r="K641" t="inlineStr">
        <is>
          <t>Borg, Dorothy, 1902-1993.</t>
        </is>
      </c>
      <c r="L641" t="inlineStr">
        <is>
          <t>New York : Columbia University Press, 1973.</t>
        </is>
      </c>
      <c r="M641" t="inlineStr">
        <is>
          <t>1973</t>
        </is>
      </c>
      <c r="O641" t="inlineStr">
        <is>
          <t>eng</t>
        </is>
      </c>
      <c r="P641" t="inlineStr">
        <is>
          <t>nyu</t>
        </is>
      </c>
      <c r="Q641" t="inlineStr">
        <is>
          <t>Studies of the East Asian Institute, Columbia University</t>
        </is>
      </c>
      <c r="R641" t="inlineStr">
        <is>
          <t xml:space="preserve">E  </t>
        </is>
      </c>
      <c r="S641" t="n">
        <v>7</v>
      </c>
      <c r="T641" t="n">
        <v>7</v>
      </c>
      <c r="U641" t="inlineStr">
        <is>
          <t>1994-04-08</t>
        </is>
      </c>
      <c r="V641" t="inlineStr">
        <is>
          <t>1994-04-08</t>
        </is>
      </c>
      <c r="W641" t="inlineStr">
        <is>
          <t>1990-03-08</t>
        </is>
      </c>
      <c r="X641" t="inlineStr">
        <is>
          <t>1990-03-08</t>
        </is>
      </c>
      <c r="Y641" t="n">
        <v>1259</v>
      </c>
      <c r="Z641" t="n">
        <v>1070</v>
      </c>
      <c r="AA641" t="n">
        <v>1071</v>
      </c>
      <c r="AB641" t="n">
        <v>11</v>
      </c>
      <c r="AC641" t="n">
        <v>11</v>
      </c>
      <c r="AD641" t="n">
        <v>47</v>
      </c>
      <c r="AE641" t="n">
        <v>47</v>
      </c>
      <c r="AF641" t="n">
        <v>20</v>
      </c>
      <c r="AG641" t="n">
        <v>20</v>
      </c>
      <c r="AH641" t="n">
        <v>11</v>
      </c>
      <c r="AI641" t="n">
        <v>11</v>
      </c>
      <c r="AJ641" t="n">
        <v>18</v>
      </c>
      <c r="AK641" t="n">
        <v>18</v>
      </c>
      <c r="AL641" t="n">
        <v>10</v>
      </c>
      <c r="AM641" t="n">
        <v>10</v>
      </c>
      <c r="AN641" t="n">
        <v>0</v>
      </c>
      <c r="AO641" t="n">
        <v>0</v>
      </c>
      <c r="AP641" t="inlineStr">
        <is>
          <t>No</t>
        </is>
      </c>
      <c r="AQ641" t="inlineStr">
        <is>
          <t>No</t>
        </is>
      </c>
      <c r="AS641">
        <f>HYPERLINK("https://creighton-primo.hosted.exlibrisgroup.com/primo-explore/search?tab=default_tab&amp;search_scope=EVERYTHING&amp;vid=01CRU&amp;lang=en_US&amp;offset=0&amp;query=any,contains,991002865169702656","Catalog Record")</f>
        <v/>
      </c>
      <c r="AT641">
        <f>HYPERLINK("http://www.worldcat.org/oclc/495310","WorldCat Record")</f>
        <v/>
      </c>
      <c r="AU641" t="inlineStr">
        <is>
          <t>889219074:eng</t>
        </is>
      </c>
      <c r="AV641" t="inlineStr">
        <is>
          <t>495310</t>
        </is>
      </c>
      <c r="AW641" t="inlineStr">
        <is>
          <t>991002865169702656</t>
        </is>
      </c>
      <c r="AX641" t="inlineStr">
        <is>
          <t>991002865169702656</t>
        </is>
      </c>
      <c r="AY641" t="inlineStr">
        <is>
          <t>2256801040002656</t>
        </is>
      </c>
      <c r="AZ641" t="inlineStr">
        <is>
          <t>BOOK</t>
        </is>
      </c>
      <c r="BB641" t="inlineStr">
        <is>
          <t>9780231037341</t>
        </is>
      </c>
      <c r="BC641" t="inlineStr">
        <is>
          <t>32285000080761</t>
        </is>
      </c>
      <c r="BD641" t="inlineStr">
        <is>
          <t>893415739</t>
        </is>
      </c>
    </row>
    <row r="642">
      <c r="A642" t="inlineStr">
        <is>
          <t>No</t>
        </is>
      </c>
      <c r="B642" t="inlineStr">
        <is>
          <t>E183.8.J3 B78 1992</t>
        </is>
      </c>
      <c r="C642" t="inlineStr">
        <is>
          <t>0                      E  0183800J  3                  B  78          1992</t>
        </is>
      </c>
      <c r="D642" t="inlineStr">
        <is>
          <t>US-Japan alliance diplomacy, 1945-1990 / Roger Buckley.</t>
        </is>
      </c>
      <c r="F642" t="inlineStr">
        <is>
          <t>No</t>
        </is>
      </c>
      <c r="G642" t="inlineStr">
        <is>
          <t>1</t>
        </is>
      </c>
      <c r="H642" t="inlineStr">
        <is>
          <t>No</t>
        </is>
      </c>
      <c r="I642" t="inlineStr">
        <is>
          <t>No</t>
        </is>
      </c>
      <c r="J642" t="inlineStr">
        <is>
          <t>0</t>
        </is>
      </c>
      <c r="K642" t="inlineStr">
        <is>
          <t>Buckley, Roger, 1944-</t>
        </is>
      </c>
      <c r="L642" t="inlineStr">
        <is>
          <t>Cambridge [England] ; New York : Cambridge University Press, 1992.</t>
        </is>
      </c>
      <c r="M642" t="inlineStr">
        <is>
          <t>1992</t>
        </is>
      </c>
      <c r="O642" t="inlineStr">
        <is>
          <t>eng</t>
        </is>
      </c>
      <c r="P642" t="inlineStr">
        <is>
          <t>enk</t>
        </is>
      </c>
      <c r="Q642" t="inlineStr">
        <is>
          <t>Cambridge studies in international relations ; 21</t>
        </is>
      </c>
      <c r="R642" t="inlineStr">
        <is>
          <t xml:space="preserve">E  </t>
        </is>
      </c>
      <c r="S642" t="n">
        <v>2</v>
      </c>
      <c r="T642" t="n">
        <v>2</v>
      </c>
      <c r="U642" t="inlineStr">
        <is>
          <t>2003-02-26</t>
        </is>
      </c>
      <c r="V642" t="inlineStr">
        <is>
          <t>2003-02-26</t>
        </is>
      </c>
      <c r="W642" t="inlineStr">
        <is>
          <t>2003-02-26</t>
        </is>
      </c>
      <c r="X642" t="inlineStr">
        <is>
          <t>2003-02-26</t>
        </is>
      </c>
      <c r="Y642" t="n">
        <v>704</v>
      </c>
      <c r="Z642" t="n">
        <v>514</v>
      </c>
      <c r="AA642" t="n">
        <v>519</v>
      </c>
      <c r="AB642" t="n">
        <v>4</v>
      </c>
      <c r="AC642" t="n">
        <v>4</v>
      </c>
      <c r="AD642" t="n">
        <v>30</v>
      </c>
      <c r="AE642" t="n">
        <v>30</v>
      </c>
      <c r="AF642" t="n">
        <v>11</v>
      </c>
      <c r="AG642" t="n">
        <v>11</v>
      </c>
      <c r="AH642" t="n">
        <v>8</v>
      </c>
      <c r="AI642" t="n">
        <v>8</v>
      </c>
      <c r="AJ642" t="n">
        <v>16</v>
      </c>
      <c r="AK642" t="n">
        <v>16</v>
      </c>
      <c r="AL642" t="n">
        <v>3</v>
      </c>
      <c r="AM642" t="n">
        <v>3</v>
      </c>
      <c r="AN642" t="n">
        <v>0</v>
      </c>
      <c r="AO642" t="n">
        <v>0</v>
      </c>
      <c r="AP642" t="inlineStr">
        <is>
          <t>No</t>
        </is>
      </c>
      <c r="AQ642" t="inlineStr">
        <is>
          <t>No</t>
        </is>
      </c>
      <c r="AS642">
        <f>HYPERLINK("https://creighton-primo.hosted.exlibrisgroup.com/primo-explore/search?tab=default_tab&amp;search_scope=EVERYTHING&amp;vid=01CRU&amp;lang=en_US&amp;offset=0&amp;query=any,contains,991003997659702656","Catalog Record")</f>
        <v/>
      </c>
      <c r="AT642">
        <f>HYPERLINK("http://www.worldcat.org/oclc/24141724","WorldCat Record")</f>
        <v/>
      </c>
      <c r="AU642" t="inlineStr">
        <is>
          <t>26061612:eng</t>
        </is>
      </c>
      <c r="AV642" t="inlineStr">
        <is>
          <t>24141724</t>
        </is>
      </c>
      <c r="AW642" t="inlineStr">
        <is>
          <t>991003997659702656</t>
        </is>
      </c>
      <c r="AX642" t="inlineStr">
        <is>
          <t>991003997659702656</t>
        </is>
      </c>
      <c r="AY642" t="inlineStr">
        <is>
          <t>2262841590002656</t>
        </is>
      </c>
      <c r="AZ642" t="inlineStr">
        <is>
          <t>BOOK</t>
        </is>
      </c>
      <c r="BB642" t="inlineStr">
        <is>
          <t>9780521351416</t>
        </is>
      </c>
      <c r="BC642" t="inlineStr">
        <is>
          <t>32285004681028</t>
        </is>
      </c>
      <c r="BD642" t="inlineStr">
        <is>
          <t>893318679</t>
        </is>
      </c>
    </row>
    <row r="643">
      <c r="A643" t="inlineStr">
        <is>
          <t>No</t>
        </is>
      </c>
      <c r="B643" t="inlineStr">
        <is>
          <t>E183.8.J3 D8</t>
        </is>
      </c>
      <c r="C643" t="inlineStr">
        <is>
          <t>0                      E  0183800J  3                  D  8</t>
        </is>
      </c>
      <c r="D643" t="inlineStr">
        <is>
          <t>Yankees and samurai; America's role in the emergence of modern Japan: 1791-1900.</t>
        </is>
      </c>
      <c r="F643" t="inlineStr">
        <is>
          <t>No</t>
        </is>
      </c>
      <c r="G643" t="inlineStr">
        <is>
          <t>1</t>
        </is>
      </c>
      <c r="H643" t="inlineStr">
        <is>
          <t>No</t>
        </is>
      </c>
      <c r="I643" t="inlineStr">
        <is>
          <t>No</t>
        </is>
      </c>
      <c r="J643" t="inlineStr">
        <is>
          <t>0</t>
        </is>
      </c>
      <c r="K643" t="inlineStr">
        <is>
          <t>Dulles, Foster Rhea, 1900-1970.</t>
        </is>
      </c>
      <c r="L643" t="inlineStr">
        <is>
          <t>New York, Harper &amp; Row [1965]</t>
        </is>
      </c>
      <c r="M643" t="inlineStr">
        <is>
          <t>1965</t>
        </is>
      </c>
      <c r="N643" t="inlineStr">
        <is>
          <t>[1st ed.]</t>
        </is>
      </c>
      <c r="O643" t="inlineStr">
        <is>
          <t>eng</t>
        </is>
      </c>
      <c r="P643" t="inlineStr">
        <is>
          <t>nyu</t>
        </is>
      </c>
      <c r="R643" t="inlineStr">
        <is>
          <t xml:space="preserve">E  </t>
        </is>
      </c>
      <c r="S643" t="n">
        <v>1</v>
      </c>
      <c r="T643" t="n">
        <v>1</v>
      </c>
      <c r="U643" t="inlineStr">
        <is>
          <t>2004-06-07</t>
        </is>
      </c>
      <c r="V643" t="inlineStr">
        <is>
          <t>2004-06-07</t>
        </is>
      </c>
      <c r="W643" t="inlineStr">
        <is>
          <t>1997-04-09</t>
        </is>
      </c>
      <c r="X643" t="inlineStr">
        <is>
          <t>1997-04-09</t>
        </is>
      </c>
      <c r="Y643" t="n">
        <v>996</v>
      </c>
      <c r="Z643" t="n">
        <v>904</v>
      </c>
      <c r="AA643" t="n">
        <v>910</v>
      </c>
      <c r="AB643" t="n">
        <v>8</v>
      </c>
      <c r="AC643" t="n">
        <v>8</v>
      </c>
      <c r="AD643" t="n">
        <v>42</v>
      </c>
      <c r="AE643" t="n">
        <v>42</v>
      </c>
      <c r="AF643" t="n">
        <v>16</v>
      </c>
      <c r="AG643" t="n">
        <v>16</v>
      </c>
      <c r="AH643" t="n">
        <v>7</v>
      </c>
      <c r="AI643" t="n">
        <v>7</v>
      </c>
      <c r="AJ643" t="n">
        <v>21</v>
      </c>
      <c r="AK643" t="n">
        <v>21</v>
      </c>
      <c r="AL643" t="n">
        <v>7</v>
      </c>
      <c r="AM643" t="n">
        <v>7</v>
      </c>
      <c r="AN643" t="n">
        <v>0</v>
      </c>
      <c r="AO643" t="n">
        <v>0</v>
      </c>
      <c r="AP643" t="inlineStr">
        <is>
          <t>No</t>
        </is>
      </c>
      <c r="AQ643" t="inlineStr">
        <is>
          <t>Yes</t>
        </is>
      </c>
      <c r="AR643">
        <f>HYPERLINK("http://catalog.hathitrust.org/Record/000268466","HathiTrust Record")</f>
        <v/>
      </c>
      <c r="AS643">
        <f>HYPERLINK("https://creighton-primo.hosted.exlibrisgroup.com/primo-explore/search?tab=default_tab&amp;search_scope=EVERYTHING&amp;vid=01CRU&amp;lang=en_US&amp;offset=0&amp;query=any,contains,991001963359702656","Catalog Record")</f>
        <v/>
      </c>
      <c r="AT643">
        <f>HYPERLINK("http://www.worldcat.org/oclc/253688","WorldCat Record")</f>
        <v/>
      </c>
      <c r="AU643" t="inlineStr">
        <is>
          <t>1347250:eng</t>
        </is>
      </c>
      <c r="AV643" t="inlineStr">
        <is>
          <t>253688</t>
        </is>
      </c>
      <c r="AW643" t="inlineStr">
        <is>
          <t>991001963359702656</t>
        </is>
      </c>
      <c r="AX643" t="inlineStr">
        <is>
          <t>991001963359702656</t>
        </is>
      </c>
      <c r="AY643" t="inlineStr">
        <is>
          <t>2267099480002656</t>
        </is>
      </c>
      <c r="AZ643" t="inlineStr">
        <is>
          <t>BOOK</t>
        </is>
      </c>
      <c r="BC643" t="inlineStr">
        <is>
          <t>32285002508058</t>
        </is>
      </c>
      <c r="BD643" t="inlineStr">
        <is>
          <t>893898232</t>
        </is>
      </c>
    </row>
    <row r="644">
      <c r="A644" t="inlineStr">
        <is>
          <t>No</t>
        </is>
      </c>
      <c r="B644" t="inlineStr">
        <is>
          <t>E183.8.J3 E8</t>
        </is>
      </c>
      <c r="C644" t="inlineStr">
        <is>
          <t>0                      E  0183800J  3                  E  8</t>
        </is>
      </c>
      <c r="D644" t="inlineStr">
        <is>
          <t>Theodore Roosevelt and Japan / by Raymond A. Esthus.</t>
        </is>
      </c>
      <c r="F644" t="inlineStr">
        <is>
          <t>No</t>
        </is>
      </c>
      <c r="G644" t="inlineStr">
        <is>
          <t>1</t>
        </is>
      </c>
      <c r="H644" t="inlineStr">
        <is>
          <t>No</t>
        </is>
      </c>
      <c r="I644" t="inlineStr">
        <is>
          <t>No</t>
        </is>
      </c>
      <c r="J644" t="inlineStr">
        <is>
          <t>0</t>
        </is>
      </c>
      <c r="K644" t="inlineStr">
        <is>
          <t>Esthus, Raymond A.</t>
        </is>
      </c>
      <c r="L644" t="inlineStr">
        <is>
          <t>Seattle : University of Washington Press, c1966.</t>
        </is>
      </c>
      <c r="M644" t="inlineStr">
        <is>
          <t>1967</t>
        </is>
      </c>
      <c r="O644" t="inlineStr">
        <is>
          <t>eng</t>
        </is>
      </c>
      <c r="P644" t="inlineStr">
        <is>
          <t>wau</t>
        </is>
      </c>
      <c r="R644" t="inlineStr">
        <is>
          <t xml:space="preserve">E  </t>
        </is>
      </c>
      <c r="S644" t="n">
        <v>1</v>
      </c>
      <c r="T644" t="n">
        <v>1</v>
      </c>
      <c r="U644" t="inlineStr">
        <is>
          <t>1998-05-29</t>
        </is>
      </c>
      <c r="V644" t="inlineStr">
        <is>
          <t>1998-05-29</t>
        </is>
      </c>
      <c r="W644" t="inlineStr">
        <is>
          <t>1991-02-01</t>
        </is>
      </c>
      <c r="X644" t="inlineStr">
        <is>
          <t>1991-02-01</t>
        </is>
      </c>
      <c r="Y644" t="n">
        <v>999</v>
      </c>
      <c r="Z644" t="n">
        <v>920</v>
      </c>
      <c r="AA644" t="n">
        <v>938</v>
      </c>
      <c r="AB644" t="n">
        <v>5</v>
      </c>
      <c r="AC644" t="n">
        <v>5</v>
      </c>
      <c r="AD644" t="n">
        <v>45</v>
      </c>
      <c r="AE644" t="n">
        <v>45</v>
      </c>
      <c r="AF644" t="n">
        <v>21</v>
      </c>
      <c r="AG644" t="n">
        <v>21</v>
      </c>
      <c r="AH644" t="n">
        <v>11</v>
      </c>
      <c r="AI644" t="n">
        <v>11</v>
      </c>
      <c r="AJ644" t="n">
        <v>20</v>
      </c>
      <c r="AK644" t="n">
        <v>20</v>
      </c>
      <c r="AL644" t="n">
        <v>4</v>
      </c>
      <c r="AM644" t="n">
        <v>4</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HYPERLINK("https://creighton-primo.hosted.exlibrisgroup.com/primo-explore/search?tab=default_tab&amp;search_scope=EVERYTHING&amp;vid=01CRU&amp;lang=en_US&amp;offset=0&amp;query=any,contains,991001952519702656","Catalog Record")</f>
        <v/>
      </c>
      <c r="AT644">
        <f>HYPERLINK("http://www.worldcat.org/oclc/252643","WorldCat Record")</f>
        <v/>
      </c>
      <c r="AU644" t="inlineStr">
        <is>
          <t>1343954:eng</t>
        </is>
      </c>
      <c r="AV644" t="inlineStr">
        <is>
          <t>252643</t>
        </is>
      </c>
      <c r="AW644" t="inlineStr">
        <is>
          <t>991001952519702656</t>
        </is>
      </c>
      <c r="AX644" t="inlineStr">
        <is>
          <t>991001952519702656</t>
        </is>
      </c>
      <c r="AY644" t="inlineStr">
        <is>
          <t>2270138490002656</t>
        </is>
      </c>
      <c r="AZ644" t="inlineStr">
        <is>
          <t>BOOK</t>
        </is>
      </c>
      <c r="BC644" t="inlineStr">
        <is>
          <t>32285000481530</t>
        </is>
      </c>
      <c r="BD644" t="inlineStr">
        <is>
          <t>893715886</t>
        </is>
      </c>
    </row>
    <row r="645">
      <c r="A645" t="inlineStr">
        <is>
          <t>No</t>
        </is>
      </c>
      <c r="B645" t="inlineStr">
        <is>
          <t>E183.8.J3 F73 1987</t>
        </is>
      </c>
      <c r="C645" t="inlineStr">
        <is>
          <t>0                      E  0183800J  3                  F  73          1987</t>
        </is>
      </c>
      <c r="D645" t="inlineStr">
        <is>
          <t>For richer, for poorer : the new U.S.-Japan relationship / Ellen L. Frost.</t>
        </is>
      </c>
      <c r="F645" t="inlineStr">
        <is>
          <t>No</t>
        </is>
      </c>
      <c r="G645" t="inlineStr">
        <is>
          <t>1</t>
        </is>
      </c>
      <c r="H645" t="inlineStr">
        <is>
          <t>No</t>
        </is>
      </c>
      <c r="I645" t="inlineStr">
        <is>
          <t>No</t>
        </is>
      </c>
      <c r="J645" t="inlineStr">
        <is>
          <t>0</t>
        </is>
      </c>
      <c r="K645" t="inlineStr">
        <is>
          <t>Frost, Ellen L.</t>
        </is>
      </c>
      <c r="L645" t="inlineStr">
        <is>
          <t>New York, NY : Council on Foreign Relations, c1987.</t>
        </is>
      </c>
      <c r="M645" t="inlineStr">
        <is>
          <t>1987</t>
        </is>
      </c>
      <c r="O645" t="inlineStr">
        <is>
          <t>eng</t>
        </is>
      </c>
      <c r="P645" t="inlineStr">
        <is>
          <t>nyu</t>
        </is>
      </c>
      <c r="R645" t="inlineStr">
        <is>
          <t xml:space="preserve">E  </t>
        </is>
      </c>
      <c r="S645" t="n">
        <v>6</v>
      </c>
      <c r="T645" t="n">
        <v>6</v>
      </c>
      <c r="U645" t="inlineStr">
        <is>
          <t>1995-10-16</t>
        </is>
      </c>
      <c r="V645" t="inlineStr">
        <is>
          <t>1995-10-16</t>
        </is>
      </c>
      <c r="W645" t="inlineStr">
        <is>
          <t>1991-02-01</t>
        </is>
      </c>
      <c r="X645" t="inlineStr">
        <is>
          <t>1991-02-01</t>
        </is>
      </c>
      <c r="Y645" t="n">
        <v>486</v>
      </c>
      <c r="Z645" t="n">
        <v>411</v>
      </c>
      <c r="AA645" t="n">
        <v>436</v>
      </c>
      <c r="AB645" t="n">
        <v>4</v>
      </c>
      <c r="AC645" t="n">
        <v>4</v>
      </c>
      <c r="AD645" t="n">
        <v>17</v>
      </c>
      <c r="AE645" t="n">
        <v>17</v>
      </c>
      <c r="AF645" t="n">
        <v>6</v>
      </c>
      <c r="AG645" t="n">
        <v>6</v>
      </c>
      <c r="AH645" t="n">
        <v>4</v>
      </c>
      <c r="AI645" t="n">
        <v>4</v>
      </c>
      <c r="AJ645" t="n">
        <v>9</v>
      </c>
      <c r="AK645" t="n">
        <v>9</v>
      </c>
      <c r="AL645" t="n">
        <v>3</v>
      </c>
      <c r="AM645" t="n">
        <v>3</v>
      </c>
      <c r="AN645" t="n">
        <v>0</v>
      </c>
      <c r="AO645" t="n">
        <v>0</v>
      </c>
      <c r="AP645" t="inlineStr">
        <is>
          <t>No</t>
        </is>
      </c>
      <c r="AQ645" t="inlineStr">
        <is>
          <t>Yes</t>
        </is>
      </c>
      <c r="AR645">
        <f>HYPERLINK("http://catalog.hathitrust.org/Record/000903351","HathiTrust Record")</f>
        <v/>
      </c>
      <c r="AS645">
        <f>HYPERLINK("https://creighton-primo.hosted.exlibrisgroup.com/primo-explore/search?tab=default_tab&amp;search_scope=EVERYTHING&amp;vid=01CRU&amp;lang=en_US&amp;offset=0&amp;query=any,contains,991001048959702656","Catalog Record")</f>
        <v/>
      </c>
      <c r="AT645">
        <f>HYPERLINK("http://www.worldcat.org/oclc/15631837","WorldCat Record")</f>
        <v/>
      </c>
      <c r="AU645" t="inlineStr">
        <is>
          <t>10447934:eng</t>
        </is>
      </c>
      <c r="AV645" t="inlineStr">
        <is>
          <t>15631837</t>
        </is>
      </c>
      <c r="AW645" t="inlineStr">
        <is>
          <t>991001048959702656</t>
        </is>
      </c>
      <c r="AX645" t="inlineStr">
        <is>
          <t>991001048959702656</t>
        </is>
      </c>
      <c r="AY645" t="inlineStr">
        <is>
          <t>2262146300002656</t>
        </is>
      </c>
      <c r="AZ645" t="inlineStr">
        <is>
          <t>BOOK</t>
        </is>
      </c>
      <c r="BB645" t="inlineStr">
        <is>
          <t>9780876090251</t>
        </is>
      </c>
      <c r="BC645" t="inlineStr">
        <is>
          <t>32285000481555</t>
        </is>
      </c>
      <c r="BD645" t="inlineStr">
        <is>
          <t>893315460</t>
        </is>
      </c>
    </row>
    <row r="646">
      <c r="A646" t="inlineStr">
        <is>
          <t>No</t>
        </is>
      </c>
      <c r="B646" t="inlineStr">
        <is>
          <t>E183.8.J3 I23 1992</t>
        </is>
      </c>
      <c r="C646" t="inlineStr">
        <is>
          <t>0                      E  0183800J  3                  I  23          1992</t>
        </is>
      </c>
      <c r="D646" t="inlineStr">
        <is>
          <t>Japan, thrice-opened : an analysis of relations between Japan and the United States / Hideo Ibe ; translated by Lynne E. Riggs and Manabu Takechi.</t>
        </is>
      </c>
      <c r="F646" t="inlineStr">
        <is>
          <t>No</t>
        </is>
      </c>
      <c r="G646" t="inlineStr">
        <is>
          <t>1</t>
        </is>
      </c>
      <c r="H646" t="inlineStr">
        <is>
          <t>No</t>
        </is>
      </c>
      <c r="I646" t="inlineStr">
        <is>
          <t>No</t>
        </is>
      </c>
      <c r="J646" t="inlineStr">
        <is>
          <t>0</t>
        </is>
      </c>
      <c r="K646" t="inlineStr">
        <is>
          <t>Ibe, Hideo, 1921-</t>
        </is>
      </c>
      <c r="L646" t="inlineStr">
        <is>
          <t>New York : Praeger, 1992.</t>
        </is>
      </c>
      <c r="M646" t="inlineStr">
        <is>
          <t>1992</t>
        </is>
      </c>
      <c r="O646" t="inlineStr">
        <is>
          <t>eng</t>
        </is>
      </c>
      <c r="P646" t="inlineStr">
        <is>
          <t>nyu</t>
        </is>
      </c>
      <c r="R646" t="inlineStr">
        <is>
          <t xml:space="preserve">E  </t>
        </is>
      </c>
      <c r="S646" t="n">
        <v>7</v>
      </c>
      <c r="T646" t="n">
        <v>7</v>
      </c>
      <c r="U646" t="inlineStr">
        <is>
          <t>1995-10-16</t>
        </is>
      </c>
      <c r="V646" t="inlineStr">
        <is>
          <t>1995-10-16</t>
        </is>
      </c>
      <c r="W646" t="inlineStr">
        <is>
          <t>1992-11-02</t>
        </is>
      </c>
      <c r="X646" t="inlineStr">
        <is>
          <t>1992-11-02</t>
        </is>
      </c>
      <c r="Y646" t="n">
        <v>316</v>
      </c>
      <c r="Z646" t="n">
        <v>254</v>
      </c>
      <c r="AA646" t="n">
        <v>256</v>
      </c>
      <c r="AB646" t="n">
        <v>3</v>
      </c>
      <c r="AC646" t="n">
        <v>3</v>
      </c>
      <c r="AD646" t="n">
        <v>15</v>
      </c>
      <c r="AE646" t="n">
        <v>15</v>
      </c>
      <c r="AF646" t="n">
        <v>4</v>
      </c>
      <c r="AG646" t="n">
        <v>4</v>
      </c>
      <c r="AH646" t="n">
        <v>5</v>
      </c>
      <c r="AI646" t="n">
        <v>5</v>
      </c>
      <c r="AJ646" t="n">
        <v>9</v>
      </c>
      <c r="AK646" t="n">
        <v>9</v>
      </c>
      <c r="AL646" t="n">
        <v>2</v>
      </c>
      <c r="AM646" t="n">
        <v>2</v>
      </c>
      <c r="AN646" t="n">
        <v>0</v>
      </c>
      <c r="AO646" t="n">
        <v>0</v>
      </c>
      <c r="AP646" t="inlineStr">
        <is>
          <t>No</t>
        </is>
      </c>
      <c r="AQ646" t="inlineStr">
        <is>
          <t>Yes</t>
        </is>
      </c>
      <c r="AR646">
        <f>HYPERLINK("http://catalog.hathitrust.org/Record/002543436","HathiTrust Record")</f>
        <v/>
      </c>
      <c r="AS646">
        <f>HYPERLINK("https://creighton-primo.hosted.exlibrisgroup.com/primo-explore/search?tab=default_tab&amp;search_scope=EVERYTHING&amp;vid=01CRU&amp;lang=en_US&amp;offset=0&amp;query=any,contains,991001923969702656","Catalog Record")</f>
        <v/>
      </c>
      <c r="AT646">
        <f>HYPERLINK("http://www.worldcat.org/oclc/24288378","WorldCat Record")</f>
        <v/>
      </c>
      <c r="AU646" t="inlineStr">
        <is>
          <t>3856624498:eng</t>
        </is>
      </c>
      <c r="AV646" t="inlineStr">
        <is>
          <t>24288378</t>
        </is>
      </c>
      <c r="AW646" t="inlineStr">
        <is>
          <t>991001923969702656</t>
        </is>
      </c>
      <c r="AX646" t="inlineStr">
        <is>
          <t>991001923969702656</t>
        </is>
      </c>
      <c r="AY646" t="inlineStr">
        <is>
          <t>2269143370002656</t>
        </is>
      </c>
      <c r="AZ646" t="inlineStr">
        <is>
          <t>BOOK</t>
        </is>
      </c>
      <c r="BB646" t="inlineStr">
        <is>
          <t>9780275931780</t>
        </is>
      </c>
      <c r="BC646" t="inlineStr">
        <is>
          <t>32285001360592</t>
        </is>
      </c>
      <c r="BD646" t="inlineStr">
        <is>
          <t>893316166</t>
        </is>
      </c>
    </row>
    <row r="647">
      <c r="A647" t="inlineStr">
        <is>
          <t>No</t>
        </is>
      </c>
      <c r="B647" t="inlineStr">
        <is>
          <t>E183.8.J3 J317</t>
        </is>
      </c>
      <c r="C647" t="inlineStr">
        <is>
          <t>0                      E  0183800J  3                  J  317</t>
        </is>
      </c>
      <c r="D647" t="inlineStr">
        <is>
          <t>Japan and the United States : challenges and opportunities / edited by William J. Barnds.</t>
        </is>
      </c>
      <c r="F647" t="inlineStr">
        <is>
          <t>No</t>
        </is>
      </c>
      <c r="G647" t="inlineStr">
        <is>
          <t>1</t>
        </is>
      </c>
      <c r="H647" t="inlineStr">
        <is>
          <t>No</t>
        </is>
      </c>
      <c r="I647" t="inlineStr">
        <is>
          <t>No</t>
        </is>
      </c>
      <c r="J647" t="inlineStr">
        <is>
          <t>0</t>
        </is>
      </c>
      <c r="L647" t="inlineStr">
        <is>
          <t>New York : New York University Press, 1979.</t>
        </is>
      </c>
      <c r="M647" t="inlineStr">
        <is>
          <t>1979</t>
        </is>
      </c>
      <c r="O647" t="inlineStr">
        <is>
          <t>eng</t>
        </is>
      </c>
      <c r="P647" t="inlineStr">
        <is>
          <t>nyu</t>
        </is>
      </c>
      <c r="R647" t="inlineStr">
        <is>
          <t xml:space="preserve">E  </t>
        </is>
      </c>
      <c r="S647" t="n">
        <v>9</v>
      </c>
      <c r="T647" t="n">
        <v>9</v>
      </c>
      <c r="U647" t="inlineStr">
        <is>
          <t>1996-09-06</t>
        </is>
      </c>
      <c r="V647" t="inlineStr">
        <is>
          <t>1996-09-06</t>
        </is>
      </c>
      <c r="W647" t="inlineStr">
        <is>
          <t>1991-02-01</t>
        </is>
      </c>
      <c r="X647" t="inlineStr">
        <is>
          <t>1991-02-01</t>
        </is>
      </c>
      <c r="Y647" t="n">
        <v>541</v>
      </c>
      <c r="Z647" t="n">
        <v>454</v>
      </c>
      <c r="AA647" t="n">
        <v>454</v>
      </c>
      <c r="AB647" t="n">
        <v>6</v>
      </c>
      <c r="AC647" t="n">
        <v>6</v>
      </c>
      <c r="AD647" t="n">
        <v>22</v>
      </c>
      <c r="AE647" t="n">
        <v>22</v>
      </c>
      <c r="AF647" t="n">
        <v>8</v>
      </c>
      <c r="AG647" t="n">
        <v>8</v>
      </c>
      <c r="AH647" t="n">
        <v>4</v>
      </c>
      <c r="AI647" t="n">
        <v>4</v>
      </c>
      <c r="AJ647" t="n">
        <v>8</v>
      </c>
      <c r="AK647" t="n">
        <v>8</v>
      </c>
      <c r="AL647" t="n">
        <v>5</v>
      </c>
      <c r="AM647" t="n">
        <v>5</v>
      </c>
      <c r="AN647" t="n">
        <v>1</v>
      </c>
      <c r="AO647" t="n">
        <v>1</v>
      </c>
      <c r="AP647" t="inlineStr">
        <is>
          <t>No</t>
        </is>
      </c>
      <c r="AQ647" t="inlineStr">
        <is>
          <t>No</t>
        </is>
      </c>
      <c r="AS647">
        <f>HYPERLINK("https://creighton-primo.hosted.exlibrisgroup.com/primo-explore/search?tab=default_tab&amp;search_scope=EVERYTHING&amp;vid=01CRU&amp;lang=en_US&amp;offset=0&amp;query=any,contains,991004728439702656","Catalog Record")</f>
        <v/>
      </c>
      <c r="AT647">
        <f>HYPERLINK("http://www.worldcat.org/oclc/4831805","WorldCat Record")</f>
        <v/>
      </c>
      <c r="AU647" t="inlineStr">
        <is>
          <t>890936640:eng</t>
        </is>
      </c>
      <c r="AV647" t="inlineStr">
        <is>
          <t>4831805</t>
        </is>
      </c>
      <c r="AW647" t="inlineStr">
        <is>
          <t>991004728439702656</t>
        </is>
      </c>
      <c r="AX647" t="inlineStr">
        <is>
          <t>991004728439702656</t>
        </is>
      </c>
      <c r="AY647" t="inlineStr">
        <is>
          <t>2265552260002656</t>
        </is>
      </c>
      <c r="AZ647" t="inlineStr">
        <is>
          <t>BOOK</t>
        </is>
      </c>
      <c r="BB647" t="inlineStr">
        <is>
          <t>9780814710203</t>
        </is>
      </c>
      <c r="BC647" t="inlineStr">
        <is>
          <t>32285000481563</t>
        </is>
      </c>
      <c r="BD647" t="inlineStr">
        <is>
          <t>893700577</t>
        </is>
      </c>
    </row>
    <row r="648">
      <c r="A648" t="inlineStr">
        <is>
          <t>No</t>
        </is>
      </c>
      <c r="B648" t="inlineStr">
        <is>
          <t>E183.8.J3 J34</t>
        </is>
      </c>
      <c r="C648" t="inlineStr">
        <is>
          <t>0                      E  0183800J  3                  J  34</t>
        </is>
      </c>
      <c r="D648" t="inlineStr">
        <is>
          <t>Japanese-American relations : an AEI Round Table held on 17 December 1974 at the American Enterprise Institute for Public Policy Research, Washington, D.C. / Donald C. Hellmann, moderator, Hubert H. Humphrey ... [et al.].</t>
        </is>
      </c>
      <c r="F648" t="inlineStr">
        <is>
          <t>No</t>
        </is>
      </c>
      <c r="G648" t="inlineStr">
        <is>
          <t>1</t>
        </is>
      </c>
      <c r="H648" t="inlineStr">
        <is>
          <t>No</t>
        </is>
      </c>
      <c r="I648" t="inlineStr">
        <is>
          <t>No</t>
        </is>
      </c>
      <c r="J648" t="inlineStr">
        <is>
          <t>0</t>
        </is>
      </c>
      <c r="L648" t="inlineStr">
        <is>
          <t>Washington : American Enterprise Institute for Public Policy Research, [1975]</t>
        </is>
      </c>
      <c r="M648" t="inlineStr">
        <is>
          <t>1975</t>
        </is>
      </c>
      <c r="O648" t="inlineStr">
        <is>
          <t>eng</t>
        </is>
      </c>
      <c r="P648" t="inlineStr">
        <is>
          <t>dcu</t>
        </is>
      </c>
      <c r="R648" t="inlineStr">
        <is>
          <t xml:space="preserve">E  </t>
        </is>
      </c>
      <c r="S648" t="n">
        <v>4</v>
      </c>
      <c r="T648" t="n">
        <v>4</v>
      </c>
      <c r="U648" t="inlineStr">
        <is>
          <t>1995-10-16</t>
        </is>
      </c>
      <c r="V648" t="inlineStr">
        <is>
          <t>1995-10-16</t>
        </is>
      </c>
      <c r="W648" t="inlineStr">
        <is>
          <t>1991-02-01</t>
        </is>
      </c>
      <c r="X648" t="inlineStr">
        <is>
          <t>1991-02-01</t>
        </is>
      </c>
      <c r="Y648" t="n">
        <v>237</v>
      </c>
      <c r="Z648" t="n">
        <v>215</v>
      </c>
      <c r="AA648" t="n">
        <v>228</v>
      </c>
      <c r="AB648" t="n">
        <v>2</v>
      </c>
      <c r="AC648" t="n">
        <v>3</v>
      </c>
      <c r="AD648" t="n">
        <v>11</v>
      </c>
      <c r="AE648" t="n">
        <v>14</v>
      </c>
      <c r="AF648" t="n">
        <v>4</v>
      </c>
      <c r="AG648" t="n">
        <v>5</v>
      </c>
      <c r="AH648" t="n">
        <v>4</v>
      </c>
      <c r="AI648" t="n">
        <v>5</v>
      </c>
      <c r="AJ648" t="n">
        <v>2</v>
      </c>
      <c r="AK648" t="n">
        <v>3</v>
      </c>
      <c r="AL648" t="n">
        <v>1</v>
      </c>
      <c r="AM648" t="n">
        <v>2</v>
      </c>
      <c r="AN648" t="n">
        <v>2</v>
      </c>
      <c r="AO648" t="n">
        <v>2</v>
      </c>
      <c r="AP648" t="inlineStr">
        <is>
          <t>No</t>
        </is>
      </c>
      <c r="AQ648" t="inlineStr">
        <is>
          <t>Yes</t>
        </is>
      </c>
      <c r="AR648">
        <f>HYPERLINK("http://catalog.hathitrust.org/Record/000335006","HathiTrust Record")</f>
        <v/>
      </c>
      <c r="AS648">
        <f>HYPERLINK("https://creighton-primo.hosted.exlibrisgroup.com/primo-explore/search?tab=default_tab&amp;search_scope=EVERYTHING&amp;vid=01CRU&amp;lang=en_US&amp;offset=0&amp;query=any,contains,991003805839702656","Catalog Record")</f>
        <v/>
      </c>
      <c r="AT648">
        <f>HYPERLINK("http://www.worldcat.org/oclc/1530651","WorldCat Record")</f>
        <v/>
      </c>
      <c r="AU648" t="inlineStr">
        <is>
          <t>894880362:eng</t>
        </is>
      </c>
      <c r="AV648" t="inlineStr">
        <is>
          <t>1530651</t>
        </is>
      </c>
      <c r="AW648" t="inlineStr">
        <is>
          <t>991003805839702656</t>
        </is>
      </c>
      <c r="AX648" t="inlineStr">
        <is>
          <t>991003805839702656</t>
        </is>
      </c>
      <c r="AY648" t="inlineStr">
        <is>
          <t>2269696880002656</t>
        </is>
      </c>
      <c r="AZ648" t="inlineStr">
        <is>
          <t>BOOK</t>
        </is>
      </c>
      <c r="BB648" t="inlineStr">
        <is>
          <t>9780844720647</t>
        </is>
      </c>
      <c r="BC648" t="inlineStr">
        <is>
          <t>32285000481571</t>
        </is>
      </c>
      <c r="BD648" t="inlineStr">
        <is>
          <t>893605221</t>
        </is>
      </c>
    </row>
    <row r="649">
      <c r="A649" t="inlineStr">
        <is>
          <t>No</t>
        </is>
      </c>
      <c r="B649" t="inlineStr">
        <is>
          <t>E183.8.J3 J36 1982</t>
        </is>
      </c>
      <c r="C649" t="inlineStr">
        <is>
          <t>0                      E  0183800J  3                  J  36          1982</t>
        </is>
      </c>
      <c r="D649" t="inlineStr">
        <is>
          <t>Japanese and U.S. policy in Asia / edited by Gaston J. Sigur and Young C. Kim.</t>
        </is>
      </c>
      <c r="F649" t="inlineStr">
        <is>
          <t>No</t>
        </is>
      </c>
      <c r="G649" t="inlineStr">
        <is>
          <t>1</t>
        </is>
      </c>
      <c r="H649" t="inlineStr">
        <is>
          <t>No</t>
        </is>
      </c>
      <c r="I649" t="inlineStr">
        <is>
          <t>No</t>
        </is>
      </c>
      <c r="J649" t="inlineStr">
        <is>
          <t>0</t>
        </is>
      </c>
      <c r="L649" t="inlineStr">
        <is>
          <t>New York, N.Y. : Praeger, 1982.</t>
        </is>
      </c>
      <c r="M649" t="inlineStr">
        <is>
          <t>1982</t>
        </is>
      </c>
      <c r="O649" t="inlineStr">
        <is>
          <t>eng</t>
        </is>
      </c>
      <c r="P649" t="inlineStr">
        <is>
          <t>nyu</t>
        </is>
      </c>
      <c r="R649" t="inlineStr">
        <is>
          <t xml:space="preserve">E  </t>
        </is>
      </c>
      <c r="S649" t="n">
        <v>9</v>
      </c>
      <c r="T649" t="n">
        <v>9</v>
      </c>
      <c r="U649" t="inlineStr">
        <is>
          <t>1998-03-07</t>
        </is>
      </c>
      <c r="V649" t="inlineStr">
        <is>
          <t>1998-03-07</t>
        </is>
      </c>
      <c r="W649" t="inlineStr">
        <is>
          <t>1991-02-01</t>
        </is>
      </c>
      <c r="X649" t="inlineStr">
        <is>
          <t>1991-02-01</t>
        </is>
      </c>
      <c r="Y649" t="n">
        <v>259</v>
      </c>
      <c r="Z649" t="n">
        <v>200</v>
      </c>
      <c r="AA649" t="n">
        <v>207</v>
      </c>
      <c r="AB649" t="n">
        <v>3</v>
      </c>
      <c r="AC649" t="n">
        <v>3</v>
      </c>
      <c r="AD649" t="n">
        <v>8</v>
      </c>
      <c r="AE649" t="n">
        <v>8</v>
      </c>
      <c r="AF649" t="n">
        <v>3</v>
      </c>
      <c r="AG649" t="n">
        <v>3</v>
      </c>
      <c r="AH649" t="n">
        <v>2</v>
      </c>
      <c r="AI649" t="n">
        <v>2</v>
      </c>
      <c r="AJ649" t="n">
        <v>4</v>
      </c>
      <c r="AK649" t="n">
        <v>4</v>
      </c>
      <c r="AL649" t="n">
        <v>2</v>
      </c>
      <c r="AM649" t="n">
        <v>2</v>
      </c>
      <c r="AN649" t="n">
        <v>0</v>
      </c>
      <c r="AO649" t="n">
        <v>0</v>
      </c>
      <c r="AP649" t="inlineStr">
        <is>
          <t>No</t>
        </is>
      </c>
      <c r="AQ649" t="inlineStr">
        <is>
          <t>Yes</t>
        </is>
      </c>
      <c r="AR649">
        <f>HYPERLINK("http://catalog.hathitrust.org/Record/000311102","HathiTrust Record")</f>
        <v/>
      </c>
      <c r="AS649">
        <f>HYPERLINK("https://creighton-primo.hosted.exlibrisgroup.com/primo-explore/search?tab=default_tab&amp;search_scope=EVERYTHING&amp;vid=01CRU&amp;lang=en_US&amp;offset=0&amp;query=any,contains,991005251839702656","Catalog Record")</f>
        <v/>
      </c>
      <c r="AT649">
        <f>HYPERLINK("http://www.worldcat.org/oclc/8494570","WorldCat Record")</f>
        <v/>
      </c>
      <c r="AU649" t="inlineStr">
        <is>
          <t>432339:eng</t>
        </is>
      </c>
      <c r="AV649" t="inlineStr">
        <is>
          <t>8494570</t>
        </is>
      </c>
      <c r="AW649" t="inlineStr">
        <is>
          <t>991005251839702656</t>
        </is>
      </c>
      <c r="AX649" t="inlineStr">
        <is>
          <t>991005251839702656</t>
        </is>
      </c>
      <c r="AY649" t="inlineStr">
        <is>
          <t>2259939120002656</t>
        </is>
      </c>
      <c r="AZ649" t="inlineStr">
        <is>
          <t>BOOK</t>
        </is>
      </c>
      <c r="BB649" t="inlineStr">
        <is>
          <t>9780030618499</t>
        </is>
      </c>
      <c r="BC649" t="inlineStr">
        <is>
          <t>32285000481589</t>
        </is>
      </c>
      <c r="BD649" t="inlineStr">
        <is>
          <t>893536502</t>
        </is>
      </c>
    </row>
    <row r="650">
      <c r="A650" t="inlineStr">
        <is>
          <t>No</t>
        </is>
      </c>
      <c r="B650" t="inlineStr">
        <is>
          <t>E183.8.J3 K56</t>
        </is>
      </c>
      <c r="C650" t="inlineStr">
        <is>
          <t>0                      E  0183800J  3                  K  56</t>
        </is>
      </c>
      <c r="D650" t="inlineStr">
        <is>
          <t>The Panay incident : prelude to war / by Manny T. Koginos.</t>
        </is>
      </c>
      <c r="F650" t="inlineStr">
        <is>
          <t>No</t>
        </is>
      </c>
      <c r="G650" t="inlineStr">
        <is>
          <t>1</t>
        </is>
      </c>
      <c r="H650" t="inlineStr">
        <is>
          <t>No</t>
        </is>
      </c>
      <c r="I650" t="inlineStr">
        <is>
          <t>No</t>
        </is>
      </c>
      <c r="J650" t="inlineStr">
        <is>
          <t>0</t>
        </is>
      </c>
      <c r="K650" t="inlineStr">
        <is>
          <t>Koginos, Manny T.</t>
        </is>
      </c>
      <c r="L650" t="inlineStr">
        <is>
          <t>Lafayette, Ind. : Purdue University Studies, 1967.</t>
        </is>
      </c>
      <c r="M650" t="inlineStr">
        <is>
          <t>1967</t>
        </is>
      </c>
      <c r="O650" t="inlineStr">
        <is>
          <t>eng</t>
        </is>
      </c>
      <c r="P650" t="inlineStr">
        <is>
          <t>inu</t>
        </is>
      </c>
      <c r="R650" t="inlineStr">
        <is>
          <t xml:space="preserve">E  </t>
        </is>
      </c>
      <c r="S650" t="n">
        <v>2</v>
      </c>
      <c r="T650" t="n">
        <v>2</v>
      </c>
      <c r="U650" t="inlineStr">
        <is>
          <t>1998-05-29</t>
        </is>
      </c>
      <c r="V650" t="inlineStr">
        <is>
          <t>1998-05-29</t>
        </is>
      </c>
      <c r="W650" t="inlineStr">
        <is>
          <t>1994-05-04</t>
        </is>
      </c>
      <c r="X650" t="inlineStr">
        <is>
          <t>1994-05-04</t>
        </is>
      </c>
      <c r="Y650" t="n">
        <v>458</v>
      </c>
      <c r="Z650" t="n">
        <v>424</v>
      </c>
      <c r="AA650" t="n">
        <v>427</v>
      </c>
      <c r="AB650" t="n">
        <v>6</v>
      </c>
      <c r="AC650" t="n">
        <v>6</v>
      </c>
      <c r="AD650" t="n">
        <v>25</v>
      </c>
      <c r="AE650" t="n">
        <v>25</v>
      </c>
      <c r="AF650" t="n">
        <v>11</v>
      </c>
      <c r="AG650" t="n">
        <v>11</v>
      </c>
      <c r="AH650" t="n">
        <v>6</v>
      </c>
      <c r="AI650" t="n">
        <v>6</v>
      </c>
      <c r="AJ650" t="n">
        <v>9</v>
      </c>
      <c r="AK650" t="n">
        <v>9</v>
      </c>
      <c r="AL650" t="n">
        <v>5</v>
      </c>
      <c r="AM650" t="n">
        <v>5</v>
      </c>
      <c r="AN650" t="n">
        <v>0</v>
      </c>
      <c r="AO650" t="n">
        <v>0</v>
      </c>
      <c r="AP650" t="inlineStr">
        <is>
          <t>No</t>
        </is>
      </c>
      <c r="AQ650" t="inlineStr">
        <is>
          <t>Yes</t>
        </is>
      </c>
      <c r="AR650">
        <f>HYPERLINK("http://catalog.hathitrust.org/Record/000334934","HathiTrust Record")</f>
        <v/>
      </c>
      <c r="AS650">
        <f>HYPERLINK("https://creighton-primo.hosted.exlibrisgroup.com/primo-explore/search?tab=default_tab&amp;search_scope=EVERYTHING&amp;vid=01CRU&amp;lang=en_US&amp;offset=0&amp;query=any,contains,991003342049702656","Catalog Record")</f>
        <v/>
      </c>
      <c r="AT650">
        <f>HYPERLINK("http://www.worldcat.org/oclc/873611","WorldCat Record")</f>
        <v/>
      </c>
      <c r="AU650" t="inlineStr">
        <is>
          <t>1845933:eng</t>
        </is>
      </c>
      <c r="AV650" t="inlineStr">
        <is>
          <t>873611</t>
        </is>
      </c>
      <c r="AW650" t="inlineStr">
        <is>
          <t>991003342049702656</t>
        </is>
      </c>
      <c r="AX650" t="inlineStr">
        <is>
          <t>991003342049702656</t>
        </is>
      </c>
      <c r="AY650" t="inlineStr">
        <is>
          <t>2262004640002656</t>
        </is>
      </c>
      <c r="AZ650" t="inlineStr">
        <is>
          <t>BOOK</t>
        </is>
      </c>
      <c r="BC650" t="inlineStr">
        <is>
          <t>32285001906774</t>
        </is>
      </c>
      <c r="BD650" t="inlineStr">
        <is>
          <t>893416283</t>
        </is>
      </c>
    </row>
    <row r="651">
      <c r="A651" t="inlineStr">
        <is>
          <t>No</t>
        </is>
      </c>
      <c r="B651" t="inlineStr">
        <is>
          <t>E183.8.J3 N367 1979</t>
        </is>
      </c>
      <c r="C651" t="inlineStr">
        <is>
          <t>0                      E  0183800J  3                  N  367         1979</t>
        </is>
      </c>
      <c r="D651" t="inlineStr">
        <is>
          <t>The troubled encounter : the United States and Japan / Charles E. Neu.</t>
        </is>
      </c>
      <c r="F651" t="inlineStr">
        <is>
          <t>No</t>
        </is>
      </c>
      <c r="G651" t="inlineStr">
        <is>
          <t>1</t>
        </is>
      </c>
      <c r="H651" t="inlineStr">
        <is>
          <t>No</t>
        </is>
      </c>
      <c r="I651" t="inlineStr">
        <is>
          <t>No</t>
        </is>
      </c>
      <c r="J651" t="inlineStr">
        <is>
          <t>0</t>
        </is>
      </c>
      <c r="K651" t="inlineStr">
        <is>
          <t>Neu, Charles E.</t>
        </is>
      </c>
      <c r="L651" t="inlineStr">
        <is>
          <t>Malabar, Fl. : R. E. Krieger Pub. Co., 1979, c1975, 1981 printing.</t>
        </is>
      </c>
      <c r="M651" t="inlineStr">
        <is>
          <t>1979</t>
        </is>
      </c>
      <c r="O651" t="inlineStr">
        <is>
          <t>eng</t>
        </is>
      </c>
      <c r="P651" t="inlineStr">
        <is>
          <t>nyu</t>
        </is>
      </c>
      <c r="R651" t="inlineStr">
        <is>
          <t xml:space="preserve">E  </t>
        </is>
      </c>
      <c r="S651" t="n">
        <v>11</v>
      </c>
      <c r="T651" t="n">
        <v>11</v>
      </c>
      <c r="U651" t="inlineStr">
        <is>
          <t>1995-10-16</t>
        </is>
      </c>
      <c r="V651" t="inlineStr">
        <is>
          <t>1995-10-16</t>
        </is>
      </c>
      <c r="W651" t="inlineStr">
        <is>
          <t>1991-02-01</t>
        </is>
      </c>
      <c r="X651" t="inlineStr">
        <is>
          <t>1991-02-01</t>
        </is>
      </c>
      <c r="Y651" t="n">
        <v>108</v>
      </c>
      <c r="Z651" t="n">
        <v>92</v>
      </c>
      <c r="AA651" t="n">
        <v>501</v>
      </c>
      <c r="AB651" t="n">
        <v>2</v>
      </c>
      <c r="AC651" t="n">
        <v>5</v>
      </c>
      <c r="AD651" t="n">
        <v>8</v>
      </c>
      <c r="AE651" t="n">
        <v>21</v>
      </c>
      <c r="AF651" t="n">
        <v>3</v>
      </c>
      <c r="AG651" t="n">
        <v>8</v>
      </c>
      <c r="AH651" t="n">
        <v>2</v>
      </c>
      <c r="AI651" t="n">
        <v>6</v>
      </c>
      <c r="AJ651" t="n">
        <v>6</v>
      </c>
      <c r="AK651" t="n">
        <v>11</v>
      </c>
      <c r="AL651" t="n">
        <v>1</v>
      </c>
      <c r="AM651" t="n">
        <v>4</v>
      </c>
      <c r="AN651" t="n">
        <v>0</v>
      </c>
      <c r="AO651" t="n">
        <v>0</v>
      </c>
      <c r="AP651" t="inlineStr">
        <is>
          <t>No</t>
        </is>
      </c>
      <c r="AQ651" t="inlineStr">
        <is>
          <t>Yes</t>
        </is>
      </c>
      <c r="AR651">
        <f>HYPERLINK("http://catalog.hathitrust.org/Record/101995914","HathiTrust Record")</f>
        <v/>
      </c>
      <c r="AS651">
        <f>HYPERLINK("https://creighton-primo.hosted.exlibrisgroup.com/primo-explore/search?tab=default_tab&amp;search_scope=EVERYTHING&amp;vid=01CRU&amp;lang=en_US&amp;offset=0&amp;query=any,contains,991004716529702656","Catalog Record")</f>
        <v/>
      </c>
      <c r="AT651">
        <f>HYPERLINK("http://www.worldcat.org/oclc/4776397","WorldCat Record")</f>
        <v/>
      </c>
      <c r="AU651" t="inlineStr">
        <is>
          <t>13586685:eng</t>
        </is>
      </c>
      <c r="AV651" t="inlineStr">
        <is>
          <t>4776397</t>
        </is>
      </c>
      <c r="AW651" t="inlineStr">
        <is>
          <t>991004716529702656</t>
        </is>
      </c>
      <c r="AX651" t="inlineStr">
        <is>
          <t>991004716529702656</t>
        </is>
      </c>
      <c r="AY651" t="inlineStr">
        <is>
          <t>2256565270002656</t>
        </is>
      </c>
      <c r="AZ651" t="inlineStr">
        <is>
          <t>BOOK</t>
        </is>
      </c>
      <c r="BB651" t="inlineStr">
        <is>
          <t>9780882759517</t>
        </is>
      </c>
      <c r="BC651" t="inlineStr">
        <is>
          <t>32285000481605</t>
        </is>
      </c>
      <c r="BD651" t="inlineStr">
        <is>
          <t>893901671</t>
        </is>
      </c>
    </row>
    <row r="652">
      <c r="A652" t="inlineStr">
        <is>
          <t>No</t>
        </is>
      </c>
      <c r="B652" t="inlineStr">
        <is>
          <t>E183.8.J3 N39</t>
        </is>
      </c>
      <c r="C652" t="inlineStr">
        <is>
          <t>0                      E  0183800J  3                  N  39</t>
        </is>
      </c>
      <c r="D652" t="inlineStr">
        <is>
          <t>America encounters Japan : from Perry to MacArthur / by William L. Neumann.</t>
        </is>
      </c>
      <c r="F652" t="inlineStr">
        <is>
          <t>No</t>
        </is>
      </c>
      <c r="G652" t="inlineStr">
        <is>
          <t>1</t>
        </is>
      </c>
      <c r="H652" t="inlineStr">
        <is>
          <t>No</t>
        </is>
      </c>
      <c r="I652" t="inlineStr">
        <is>
          <t>No</t>
        </is>
      </c>
      <c r="J652" t="inlineStr">
        <is>
          <t>0</t>
        </is>
      </c>
      <c r="K652" t="inlineStr">
        <is>
          <t>Neumann, William L. (William Louis), 1915-</t>
        </is>
      </c>
      <c r="L652" t="inlineStr">
        <is>
          <t>Baltimore : Johns Hopkins Press, c1963.</t>
        </is>
      </c>
      <c r="M652" t="inlineStr">
        <is>
          <t>1963</t>
        </is>
      </c>
      <c r="O652" t="inlineStr">
        <is>
          <t>eng</t>
        </is>
      </c>
      <c r="P652" t="inlineStr">
        <is>
          <t>mdu</t>
        </is>
      </c>
      <c r="Q652" t="inlineStr">
        <is>
          <t>The Goucher College series</t>
        </is>
      </c>
      <c r="R652" t="inlineStr">
        <is>
          <t xml:space="preserve">E  </t>
        </is>
      </c>
      <c r="S652" t="n">
        <v>3</v>
      </c>
      <c r="T652" t="n">
        <v>3</v>
      </c>
      <c r="U652" t="inlineStr">
        <is>
          <t>1996-03-20</t>
        </is>
      </c>
      <c r="V652" t="inlineStr">
        <is>
          <t>1996-03-20</t>
        </is>
      </c>
      <c r="W652" t="inlineStr">
        <is>
          <t>1994-12-01</t>
        </is>
      </c>
      <c r="X652" t="inlineStr">
        <is>
          <t>1994-12-01</t>
        </is>
      </c>
      <c r="Y652" t="n">
        <v>1149</v>
      </c>
      <c r="Z652" t="n">
        <v>1033</v>
      </c>
      <c r="AA652" t="n">
        <v>1160</v>
      </c>
      <c r="AB652" t="n">
        <v>11</v>
      </c>
      <c r="AC652" t="n">
        <v>12</v>
      </c>
      <c r="AD652" t="n">
        <v>44</v>
      </c>
      <c r="AE652" t="n">
        <v>55</v>
      </c>
      <c r="AF652" t="n">
        <v>15</v>
      </c>
      <c r="AG652" t="n">
        <v>23</v>
      </c>
      <c r="AH652" t="n">
        <v>8</v>
      </c>
      <c r="AI652" t="n">
        <v>11</v>
      </c>
      <c r="AJ652" t="n">
        <v>19</v>
      </c>
      <c r="AK652" t="n">
        <v>22</v>
      </c>
      <c r="AL652" t="n">
        <v>10</v>
      </c>
      <c r="AM652" t="n">
        <v>11</v>
      </c>
      <c r="AN652" t="n">
        <v>1</v>
      </c>
      <c r="AO652" t="n">
        <v>1</v>
      </c>
      <c r="AP652" t="inlineStr">
        <is>
          <t>No</t>
        </is>
      </c>
      <c r="AQ652" t="inlineStr">
        <is>
          <t>Yes</t>
        </is>
      </c>
      <c r="AR652">
        <f>HYPERLINK("http://catalog.hathitrust.org/Record/000335495","HathiTrust Record")</f>
        <v/>
      </c>
      <c r="AS652">
        <f>HYPERLINK("https://creighton-primo.hosted.exlibrisgroup.com/primo-explore/search?tab=default_tab&amp;search_scope=EVERYTHING&amp;vid=01CRU&amp;lang=en_US&amp;offset=0&amp;query=any,contains,991002746279702656","Catalog Record")</f>
        <v/>
      </c>
      <c r="AT652">
        <f>HYPERLINK("http://www.worldcat.org/oclc/422890","WorldCat Record")</f>
        <v/>
      </c>
      <c r="AU652" t="inlineStr">
        <is>
          <t>432870374:eng</t>
        </is>
      </c>
      <c r="AV652" t="inlineStr">
        <is>
          <t>422890</t>
        </is>
      </c>
      <c r="AW652" t="inlineStr">
        <is>
          <t>991002746279702656</t>
        </is>
      </c>
      <c r="AX652" t="inlineStr">
        <is>
          <t>991002746279702656</t>
        </is>
      </c>
      <c r="AY652" t="inlineStr">
        <is>
          <t>2267028590002656</t>
        </is>
      </c>
      <c r="AZ652" t="inlineStr">
        <is>
          <t>BOOK</t>
        </is>
      </c>
      <c r="BC652" t="inlineStr">
        <is>
          <t>32285001969871</t>
        </is>
      </c>
      <c r="BD652" t="inlineStr">
        <is>
          <t>893603962</t>
        </is>
      </c>
    </row>
    <row r="653">
      <c r="A653" t="inlineStr">
        <is>
          <t>No</t>
        </is>
      </c>
      <c r="B653" t="inlineStr">
        <is>
          <t>E183.8.J3 N5313</t>
        </is>
      </c>
      <c r="C653" t="inlineStr">
        <is>
          <t>0                      E  0183800J  3                  N  5313</t>
        </is>
      </c>
      <c r="D653" t="inlineStr">
        <is>
          <t>The Pacific rivals : a Japanese view of Japanese-American relations / by the staff of the Asahi Shimbun. With a foreword by Edwin O. Reischauer.</t>
        </is>
      </c>
      <c r="F653" t="inlineStr">
        <is>
          <t>No</t>
        </is>
      </c>
      <c r="G653" t="inlineStr">
        <is>
          <t>1</t>
        </is>
      </c>
      <c r="H653" t="inlineStr">
        <is>
          <t>No</t>
        </is>
      </c>
      <c r="I653" t="inlineStr">
        <is>
          <t>No</t>
        </is>
      </c>
      <c r="J653" t="inlineStr">
        <is>
          <t>0</t>
        </is>
      </c>
      <c r="K653" t="inlineStr">
        <is>
          <t>Nihon to Amerika. English.</t>
        </is>
      </c>
      <c r="L653" t="inlineStr">
        <is>
          <t>New York : Weatherhill/Asahi, [1972]</t>
        </is>
      </c>
      <c r="M653" t="inlineStr">
        <is>
          <t>1972</t>
        </is>
      </c>
      <c r="N653" t="inlineStr">
        <is>
          <t>[1st ed.]</t>
        </is>
      </c>
      <c r="O653" t="inlineStr">
        <is>
          <t>eng</t>
        </is>
      </c>
      <c r="P653" t="inlineStr">
        <is>
          <t>nyu</t>
        </is>
      </c>
      <c r="R653" t="inlineStr">
        <is>
          <t xml:space="preserve">E  </t>
        </is>
      </c>
      <c r="S653" t="n">
        <v>4</v>
      </c>
      <c r="T653" t="n">
        <v>4</v>
      </c>
      <c r="U653" t="inlineStr">
        <is>
          <t>1995-10-16</t>
        </is>
      </c>
      <c r="V653" t="inlineStr">
        <is>
          <t>1995-10-16</t>
        </is>
      </c>
      <c r="W653" t="inlineStr">
        <is>
          <t>1994-12-01</t>
        </is>
      </c>
      <c r="X653" t="inlineStr">
        <is>
          <t>1994-12-01</t>
        </is>
      </c>
      <c r="Y653" t="n">
        <v>741</v>
      </c>
      <c r="Z653" t="n">
        <v>645</v>
      </c>
      <c r="AA653" t="n">
        <v>685</v>
      </c>
      <c r="AB653" t="n">
        <v>4</v>
      </c>
      <c r="AC653" t="n">
        <v>4</v>
      </c>
      <c r="AD653" t="n">
        <v>26</v>
      </c>
      <c r="AE653" t="n">
        <v>27</v>
      </c>
      <c r="AF653" t="n">
        <v>8</v>
      </c>
      <c r="AG653" t="n">
        <v>8</v>
      </c>
      <c r="AH653" t="n">
        <v>5</v>
      </c>
      <c r="AI653" t="n">
        <v>6</v>
      </c>
      <c r="AJ653" t="n">
        <v>14</v>
      </c>
      <c r="AK653" t="n">
        <v>15</v>
      </c>
      <c r="AL653" t="n">
        <v>3</v>
      </c>
      <c r="AM653" t="n">
        <v>3</v>
      </c>
      <c r="AN653" t="n">
        <v>1</v>
      </c>
      <c r="AO653" t="n">
        <v>1</v>
      </c>
      <c r="AP653" t="inlineStr">
        <is>
          <t>No</t>
        </is>
      </c>
      <c r="AQ653" t="inlineStr">
        <is>
          <t>Yes</t>
        </is>
      </c>
      <c r="AR653">
        <f>HYPERLINK("http://catalog.hathitrust.org/Record/000335496","HathiTrust Record")</f>
        <v/>
      </c>
      <c r="AS653">
        <f>HYPERLINK("https://creighton-primo.hosted.exlibrisgroup.com/primo-explore/search?tab=default_tab&amp;search_scope=EVERYTHING&amp;vid=01CRU&amp;lang=en_US&amp;offset=0&amp;query=any,contains,991002692929702656","Catalog Record")</f>
        <v/>
      </c>
      <c r="AT653">
        <f>HYPERLINK("http://www.worldcat.org/oclc/402175","WorldCat Record")</f>
        <v/>
      </c>
      <c r="AU653" t="inlineStr">
        <is>
          <t>53965522:eng</t>
        </is>
      </c>
      <c r="AV653" t="inlineStr">
        <is>
          <t>402175</t>
        </is>
      </c>
      <c r="AW653" t="inlineStr">
        <is>
          <t>991002692929702656</t>
        </is>
      </c>
      <c r="AX653" t="inlineStr">
        <is>
          <t>991002692929702656</t>
        </is>
      </c>
      <c r="AY653" t="inlineStr">
        <is>
          <t>2267668470002656</t>
        </is>
      </c>
      <c r="AZ653" t="inlineStr">
        <is>
          <t>BOOK</t>
        </is>
      </c>
      <c r="BB653" t="inlineStr">
        <is>
          <t>9780834800700</t>
        </is>
      </c>
      <c r="BC653" t="inlineStr">
        <is>
          <t>32285001969863</t>
        </is>
      </c>
      <c r="BD653" t="inlineStr">
        <is>
          <t>893251529</t>
        </is>
      </c>
    </row>
    <row r="654">
      <c r="A654" t="inlineStr">
        <is>
          <t>No</t>
        </is>
      </c>
      <c r="B654" t="inlineStr">
        <is>
          <t>E183.8.J3 N56 1973</t>
        </is>
      </c>
      <c r="C654" t="inlineStr">
        <is>
          <t>0                      E  0183800J  3                  N  56          1973</t>
        </is>
      </c>
      <c r="D654" t="inlineStr">
        <is>
          <t>The intercourse between the United States and Japan : an historical sketch / by Inazo (Ota) Nitobe.</t>
        </is>
      </c>
      <c r="F654" t="inlineStr">
        <is>
          <t>No</t>
        </is>
      </c>
      <c r="G654" t="inlineStr">
        <is>
          <t>1</t>
        </is>
      </c>
      <c r="H654" t="inlineStr">
        <is>
          <t>No</t>
        </is>
      </c>
      <c r="I654" t="inlineStr">
        <is>
          <t>No</t>
        </is>
      </c>
      <c r="J654" t="inlineStr">
        <is>
          <t>0</t>
        </is>
      </c>
      <c r="K654" t="inlineStr">
        <is>
          <t>Nitobe, Inazō, 1862-1933.</t>
        </is>
      </c>
      <c r="L654" t="inlineStr">
        <is>
          <t>Wilmington, Del. : Scholarly Resources, [1973]</t>
        </is>
      </c>
      <c r="M654" t="inlineStr">
        <is>
          <t>1973</t>
        </is>
      </c>
      <c r="O654" t="inlineStr">
        <is>
          <t>eng</t>
        </is>
      </c>
      <c r="P654" t="inlineStr">
        <is>
          <t>deu</t>
        </is>
      </c>
      <c r="R654" t="inlineStr">
        <is>
          <t xml:space="preserve">E  </t>
        </is>
      </c>
      <c r="S654" t="n">
        <v>2</v>
      </c>
      <c r="T654" t="n">
        <v>2</v>
      </c>
      <c r="U654" t="inlineStr">
        <is>
          <t>2003-04-16</t>
        </is>
      </c>
      <c r="V654" t="inlineStr">
        <is>
          <t>2003-04-16</t>
        </is>
      </c>
      <c r="W654" t="inlineStr">
        <is>
          <t>1993-05-10</t>
        </is>
      </c>
      <c r="X654" t="inlineStr">
        <is>
          <t>1993-05-10</t>
        </is>
      </c>
      <c r="Y654" t="n">
        <v>107</v>
      </c>
      <c r="Z654" t="n">
        <v>85</v>
      </c>
      <c r="AA654" t="n">
        <v>353</v>
      </c>
      <c r="AB654" t="n">
        <v>1</v>
      </c>
      <c r="AC654" t="n">
        <v>4</v>
      </c>
      <c r="AD654" t="n">
        <v>4</v>
      </c>
      <c r="AE654" t="n">
        <v>12</v>
      </c>
      <c r="AF654" t="n">
        <v>1</v>
      </c>
      <c r="AG654" t="n">
        <v>2</v>
      </c>
      <c r="AH654" t="n">
        <v>3</v>
      </c>
      <c r="AI654" t="n">
        <v>3</v>
      </c>
      <c r="AJ654" t="n">
        <v>2</v>
      </c>
      <c r="AK654" t="n">
        <v>6</v>
      </c>
      <c r="AL654" t="n">
        <v>0</v>
      </c>
      <c r="AM654" t="n">
        <v>2</v>
      </c>
      <c r="AN654" t="n">
        <v>0</v>
      </c>
      <c r="AO654" t="n">
        <v>2</v>
      </c>
      <c r="AP654" t="inlineStr">
        <is>
          <t>No</t>
        </is>
      </c>
      <c r="AQ654" t="inlineStr">
        <is>
          <t>Yes</t>
        </is>
      </c>
      <c r="AR654">
        <f>HYPERLINK("http://catalog.hathitrust.org/Record/000031911","HathiTrust Record")</f>
        <v/>
      </c>
      <c r="AS654">
        <f>HYPERLINK("https://creighton-primo.hosted.exlibrisgroup.com/primo-explore/search?tab=default_tab&amp;search_scope=EVERYTHING&amp;vid=01CRU&amp;lang=en_US&amp;offset=0&amp;query=any,contains,991003095949702656","Catalog Record")</f>
        <v/>
      </c>
      <c r="AT654">
        <f>HYPERLINK("http://www.worldcat.org/oclc/645488","WorldCat Record")</f>
        <v/>
      </c>
      <c r="AU654" t="inlineStr">
        <is>
          <t>1810305:eng</t>
        </is>
      </c>
      <c r="AV654" t="inlineStr">
        <is>
          <t>645488</t>
        </is>
      </c>
      <c r="AW654" t="inlineStr">
        <is>
          <t>991003095949702656</t>
        </is>
      </c>
      <c r="AX654" t="inlineStr">
        <is>
          <t>991003095949702656</t>
        </is>
      </c>
      <c r="AY654" t="inlineStr">
        <is>
          <t>2259768650002656</t>
        </is>
      </c>
      <c r="AZ654" t="inlineStr">
        <is>
          <t>BOOK</t>
        </is>
      </c>
      <c r="BB654" t="inlineStr">
        <is>
          <t>9780842013970</t>
        </is>
      </c>
      <c r="BC654" t="inlineStr">
        <is>
          <t>32285001652667</t>
        </is>
      </c>
      <c r="BD654" t="inlineStr">
        <is>
          <t>893336137</t>
        </is>
      </c>
    </row>
    <row r="655">
      <c r="A655" t="inlineStr">
        <is>
          <t>No</t>
        </is>
      </c>
      <c r="B655" t="inlineStr">
        <is>
          <t>E183.8.J3 R4 1965</t>
        </is>
      </c>
      <c r="C655" t="inlineStr">
        <is>
          <t>0                      E  0183800J  3                  R  4           1965</t>
        </is>
      </c>
      <c r="D655" t="inlineStr">
        <is>
          <t>The United States and Japan / by Edwin O. Reischauer.</t>
        </is>
      </c>
      <c r="F655" t="inlineStr">
        <is>
          <t>No</t>
        </is>
      </c>
      <c r="G655" t="inlineStr">
        <is>
          <t>1</t>
        </is>
      </c>
      <c r="H655" t="inlineStr">
        <is>
          <t>No</t>
        </is>
      </c>
      <c r="I655" t="inlineStr">
        <is>
          <t>No</t>
        </is>
      </c>
      <c r="J655" t="inlineStr">
        <is>
          <t>0</t>
        </is>
      </c>
      <c r="K655" t="inlineStr">
        <is>
          <t>Reischauer, Edwin O. (Edwin Oldfather), 1910-1990.</t>
        </is>
      </c>
      <c r="L655" t="inlineStr">
        <is>
          <t>Cambridge : Harvard University Press, 1965.</t>
        </is>
      </c>
      <c r="M655" t="inlineStr">
        <is>
          <t>1965</t>
        </is>
      </c>
      <c r="N655" t="inlineStr">
        <is>
          <t>3d ed.</t>
        </is>
      </c>
      <c r="O655" t="inlineStr">
        <is>
          <t>eng</t>
        </is>
      </c>
      <c r="P655" t="inlineStr">
        <is>
          <t>mau</t>
        </is>
      </c>
      <c r="Q655" t="inlineStr">
        <is>
          <t>The American foreign policy library</t>
        </is>
      </c>
      <c r="R655" t="inlineStr">
        <is>
          <t xml:space="preserve">E  </t>
        </is>
      </c>
      <c r="S655" t="n">
        <v>2</v>
      </c>
      <c r="T655" t="n">
        <v>2</v>
      </c>
      <c r="U655" t="inlineStr">
        <is>
          <t>1996-04-22</t>
        </is>
      </c>
      <c r="V655" t="inlineStr">
        <is>
          <t>1996-04-22</t>
        </is>
      </c>
      <c r="W655" t="inlineStr">
        <is>
          <t>1995-05-02</t>
        </is>
      </c>
      <c r="X655" t="inlineStr">
        <is>
          <t>1995-05-02</t>
        </is>
      </c>
      <c r="Y655" t="n">
        <v>1341</v>
      </c>
      <c r="Z655" t="n">
        <v>1198</v>
      </c>
      <c r="AA655" t="n">
        <v>1605</v>
      </c>
      <c r="AB655" t="n">
        <v>11</v>
      </c>
      <c r="AC655" t="n">
        <v>15</v>
      </c>
      <c r="AD655" t="n">
        <v>46</v>
      </c>
      <c r="AE655" t="n">
        <v>57</v>
      </c>
      <c r="AF655" t="n">
        <v>18</v>
      </c>
      <c r="AG655" t="n">
        <v>21</v>
      </c>
      <c r="AH655" t="n">
        <v>9</v>
      </c>
      <c r="AI655" t="n">
        <v>10</v>
      </c>
      <c r="AJ655" t="n">
        <v>19</v>
      </c>
      <c r="AK655" t="n">
        <v>24</v>
      </c>
      <c r="AL655" t="n">
        <v>9</v>
      </c>
      <c r="AM655" t="n">
        <v>12</v>
      </c>
      <c r="AN655" t="n">
        <v>2</v>
      </c>
      <c r="AO655" t="n">
        <v>3</v>
      </c>
      <c r="AP655" t="inlineStr">
        <is>
          <t>No</t>
        </is>
      </c>
      <c r="AQ655" t="inlineStr">
        <is>
          <t>Yes</t>
        </is>
      </c>
      <c r="AR655">
        <f>HYPERLINK("http://catalog.hathitrust.org/Record/001267781","HathiTrust Record")</f>
        <v/>
      </c>
      <c r="AS655">
        <f>HYPERLINK("https://creighton-primo.hosted.exlibrisgroup.com/primo-explore/search?tab=default_tab&amp;search_scope=EVERYTHING&amp;vid=01CRU&amp;lang=en_US&amp;offset=0&amp;query=any,contains,991002653239702656","Catalog Record")</f>
        <v/>
      </c>
      <c r="AT655">
        <f>HYPERLINK("http://www.worldcat.org/oclc/387758","WorldCat Record")</f>
        <v/>
      </c>
      <c r="AU655" t="inlineStr">
        <is>
          <t>54616316:eng</t>
        </is>
      </c>
      <c r="AV655" t="inlineStr">
        <is>
          <t>387758</t>
        </is>
      </c>
      <c r="AW655" t="inlineStr">
        <is>
          <t>991002653239702656</t>
        </is>
      </c>
      <c r="AX655" t="inlineStr">
        <is>
          <t>991002653239702656</t>
        </is>
      </c>
      <c r="AY655" t="inlineStr">
        <is>
          <t>2257648070002656</t>
        </is>
      </c>
      <c r="AZ655" t="inlineStr">
        <is>
          <t>BOOK</t>
        </is>
      </c>
      <c r="BC655" t="inlineStr">
        <is>
          <t>32285002031416</t>
        </is>
      </c>
      <c r="BD655" t="inlineStr">
        <is>
          <t>893245444</t>
        </is>
      </c>
    </row>
    <row r="656">
      <c r="A656" t="inlineStr">
        <is>
          <t>No</t>
        </is>
      </c>
      <c r="B656" t="inlineStr">
        <is>
          <t>E183.8.J3 R66 1987</t>
        </is>
      </c>
      <c r="C656" t="inlineStr">
        <is>
          <t>0                      E  0183800J  3                  R  66          1987</t>
        </is>
      </c>
      <c r="D656" t="inlineStr">
        <is>
          <t>The United States and Japan : changing societies in a changing relationship : a conference report / Alan D. Romberg ; with papers by Nathan Glazer and Seizaburo Sato.</t>
        </is>
      </c>
      <c r="F656" t="inlineStr">
        <is>
          <t>No</t>
        </is>
      </c>
      <c r="G656" t="inlineStr">
        <is>
          <t>1</t>
        </is>
      </c>
      <c r="H656" t="inlineStr">
        <is>
          <t>No</t>
        </is>
      </c>
      <c r="I656" t="inlineStr">
        <is>
          <t>No</t>
        </is>
      </c>
      <c r="J656" t="inlineStr">
        <is>
          <t>0</t>
        </is>
      </c>
      <c r="K656" t="inlineStr">
        <is>
          <t>Romberg, Alan D.</t>
        </is>
      </c>
      <c r="L656" t="inlineStr">
        <is>
          <t>New York, N.Y. : Council on Foreign Relations, c1987.</t>
        </is>
      </c>
      <c r="M656" t="inlineStr">
        <is>
          <t>1987</t>
        </is>
      </c>
      <c r="O656" t="inlineStr">
        <is>
          <t>eng</t>
        </is>
      </c>
      <c r="P656" t="inlineStr">
        <is>
          <t>nyu</t>
        </is>
      </c>
      <c r="R656" t="inlineStr">
        <is>
          <t xml:space="preserve">E  </t>
        </is>
      </c>
      <c r="S656" t="n">
        <v>2</v>
      </c>
      <c r="T656" t="n">
        <v>2</v>
      </c>
      <c r="U656" t="inlineStr">
        <is>
          <t>1995-10-16</t>
        </is>
      </c>
      <c r="V656" t="inlineStr">
        <is>
          <t>1995-10-16</t>
        </is>
      </c>
      <c r="W656" t="inlineStr">
        <is>
          <t>1991-02-06</t>
        </is>
      </c>
      <c r="X656" t="inlineStr">
        <is>
          <t>1991-02-06</t>
        </is>
      </c>
      <c r="Y656" t="n">
        <v>184</v>
      </c>
      <c r="Z656" t="n">
        <v>151</v>
      </c>
      <c r="AA656" t="n">
        <v>169</v>
      </c>
      <c r="AB656" t="n">
        <v>1</v>
      </c>
      <c r="AC656" t="n">
        <v>1</v>
      </c>
      <c r="AD656" t="n">
        <v>4</v>
      </c>
      <c r="AE656" t="n">
        <v>6</v>
      </c>
      <c r="AF656" t="n">
        <v>0</v>
      </c>
      <c r="AG656" t="n">
        <v>0</v>
      </c>
      <c r="AH656" t="n">
        <v>2</v>
      </c>
      <c r="AI656" t="n">
        <v>2</v>
      </c>
      <c r="AJ656" t="n">
        <v>3</v>
      </c>
      <c r="AK656" t="n">
        <v>3</v>
      </c>
      <c r="AL656" t="n">
        <v>0</v>
      </c>
      <c r="AM656" t="n">
        <v>0</v>
      </c>
      <c r="AN656" t="n">
        <v>0</v>
      </c>
      <c r="AO656" t="n">
        <v>2</v>
      </c>
      <c r="AP656" t="inlineStr">
        <is>
          <t>No</t>
        </is>
      </c>
      <c r="AQ656" t="inlineStr">
        <is>
          <t>Yes</t>
        </is>
      </c>
      <c r="AR656">
        <f>HYPERLINK("http://catalog.hathitrust.org/Record/007162337","HathiTrust Record")</f>
        <v/>
      </c>
      <c r="AS656">
        <f>HYPERLINK("https://creighton-primo.hosted.exlibrisgroup.com/primo-explore/search?tab=default_tab&amp;search_scope=EVERYTHING&amp;vid=01CRU&amp;lang=en_US&amp;offset=0&amp;query=any,contains,991001038869702656","Catalog Record")</f>
        <v/>
      </c>
      <c r="AT656">
        <f>HYPERLINK("http://www.worldcat.org/oclc/15553912","WorldCat Record")</f>
        <v/>
      </c>
      <c r="AU656" t="inlineStr">
        <is>
          <t>9841746:eng</t>
        </is>
      </c>
      <c r="AV656" t="inlineStr">
        <is>
          <t>15553912</t>
        </is>
      </c>
      <c r="AW656" t="inlineStr">
        <is>
          <t>991001038869702656</t>
        </is>
      </c>
      <c r="AX656" t="inlineStr">
        <is>
          <t>991001038869702656</t>
        </is>
      </c>
      <c r="AY656" t="inlineStr">
        <is>
          <t>2258197940002656</t>
        </is>
      </c>
      <c r="AZ656" t="inlineStr">
        <is>
          <t>BOOK</t>
        </is>
      </c>
      <c r="BB656" t="inlineStr">
        <is>
          <t>9780876090220</t>
        </is>
      </c>
      <c r="BC656" t="inlineStr">
        <is>
          <t>32285000481613</t>
        </is>
      </c>
      <c r="BD656" t="inlineStr">
        <is>
          <t>893808921</t>
        </is>
      </c>
    </row>
    <row r="657">
      <c r="A657" t="inlineStr">
        <is>
          <t>No</t>
        </is>
      </c>
      <c r="B657" t="inlineStr">
        <is>
          <t>E183.8.J3 S47 1989</t>
        </is>
      </c>
      <c r="C657" t="inlineStr">
        <is>
          <t>0                      E  0183800J  3                  S  47          1989</t>
        </is>
      </c>
      <c r="D657" t="inlineStr">
        <is>
          <t>Sharing world leadership? : a new era for America &amp; Japan / John H. Makin and Donald C. Hellmann, editors.</t>
        </is>
      </c>
      <c r="F657" t="inlineStr">
        <is>
          <t>No</t>
        </is>
      </c>
      <c r="G657" t="inlineStr">
        <is>
          <t>1</t>
        </is>
      </c>
      <c r="H657" t="inlineStr">
        <is>
          <t>No</t>
        </is>
      </c>
      <c r="I657" t="inlineStr">
        <is>
          <t>No</t>
        </is>
      </c>
      <c r="J657" t="inlineStr">
        <is>
          <t>0</t>
        </is>
      </c>
      <c r="L657" t="inlineStr">
        <is>
          <t>Washington, D.C. : American Enterprise Institute for Public Policy Research, c1989.</t>
        </is>
      </c>
      <c r="M657" t="inlineStr">
        <is>
          <t>1989</t>
        </is>
      </c>
      <c r="O657" t="inlineStr">
        <is>
          <t>eng</t>
        </is>
      </c>
      <c r="P657" t="inlineStr">
        <is>
          <t>dcu</t>
        </is>
      </c>
      <c r="Q657" t="inlineStr">
        <is>
          <t>AEI studies ; 488</t>
        </is>
      </c>
      <c r="R657" t="inlineStr">
        <is>
          <t xml:space="preserve">E  </t>
        </is>
      </c>
      <c r="S657" t="n">
        <v>7</v>
      </c>
      <c r="T657" t="n">
        <v>7</v>
      </c>
      <c r="U657" t="inlineStr">
        <is>
          <t>1995-10-16</t>
        </is>
      </c>
      <c r="V657" t="inlineStr">
        <is>
          <t>1995-10-16</t>
        </is>
      </c>
      <c r="W657" t="inlineStr">
        <is>
          <t>1993-04-13</t>
        </is>
      </c>
      <c r="X657" t="inlineStr">
        <is>
          <t>1993-04-13</t>
        </is>
      </c>
      <c r="Y657" t="n">
        <v>598</v>
      </c>
      <c r="Z657" t="n">
        <v>509</v>
      </c>
      <c r="AA657" t="n">
        <v>524</v>
      </c>
      <c r="AB657" t="n">
        <v>5</v>
      </c>
      <c r="AC657" t="n">
        <v>5</v>
      </c>
      <c r="AD657" t="n">
        <v>25</v>
      </c>
      <c r="AE657" t="n">
        <v>26</v>
      </c>
      <c r="AF657" t="n">
        <v>7</v>
      </c>
      <c r="AG657" t="n">
        <v>8</v>
      </c>
      <c r="AH657" t="n">
        <v>6</v>
      </c>
      <c r="AI657" t="n">
        <v>6</v>
      </c>
      <c r="AJ657" t="n">
        <v>9</v>
      </c>
      <c r="AK657" t="n">
        <v>9</v>
      </c>
      <c r="AL657" t="n">
        <v>4</v>
      </c>
      <c r="AM657" t="n">
        <v>4</v>
      </c>
      <c r="AN657" t="n">
        <v>3</v>
      </c>
      <c r="AO657" t="n">
        <v>3</v>
      </c>
      <c r="AP657" t="inlineStr">
        <is>
          <t>No</t>
        </is>
      </c>
      <c r="AQ657" t="inlineStr">
        <is>
          <t>Yes</t>
        </is>
      </c>
      <c r="AR657">
        <f>HYPERLINK("http://catalog.hathitrust.org/Record/002057844","HathiTrust Record")</f>
        <v/>
      </c>
      <c r="AS657">
        <f>HYPERLINK("https://creighton-primo.hosted.exlibrisgroup.com/primo-explore/search?tab=default_tab&amp;search_scope=EVERYTHING&amp;vid=01CRU&amp;lang=en_US&amp;offset=0&amp;query=any,contains,991001405779702656","Catalog Record")</f>
        <v/>
      </c>
      <c r="AT657">
        <f>HYPERLINK("http://www.worldcat.org/oclc/18835608","WorldCat Record")</f>
        <v/>
      </c>
      <c r="AU657" t="inlineStr">
        <is>
          <t>836754488:eng</t>
        </is>
      </c>
      <c r="AV657" t="inlineStr">
        <is>
          <t>18835608</t>
        </is>
      </c>
      <c r="AW657" t="inlineStr">
        <is>
          <t>991001405779702656</t>
        </is>
      </c>
      <c r="AX657" t="inlineStr">
        <is>
          <t>991001405779702656</t>
        </is>
      </c>
      <c r="AY657" t="inlineStr">
        <is>
          <t>2257233840002656</t>
        </is>
      </c>
      <c r="AZ657" t="inlineStr">
        <is>
          <t>BOOK</t>
        </is>
      </c>
      <c r="BB657" t="inlineStr">
        <is>
          <t>9780844736822</t>
        </is>
      </c>
      <c r="BC657" t="inlineStr">
        <is>
          <t>32285001499911</t>
        </is>
      </c>
      <c r="BD657" t="inlineStr">
        <is>
          <t>893709235</t>
        </is>
      </c>
    </row>
    <row r="658">
      <c r="A658" t="inlineStr">
        <is>
          <t>No</t>
        </is>
      </c>
      <c r="B658" t="inlineStr">
        <is>
          <t>E183.8.J3 U7 1992</t>
        </is>
      </c>
      <c r="C658" t="inlineStr">
        <is>
          <t>0                      E  0183800J  3                  U  7           1992</t>
        </is>
      </c>
      <c r="D658" t="inlineStr">
        <is>
          <t>The United States and Japan : changing relations / Chae-Jin Lee, editor.</t>
        </is>
      </c>
      <c r="F658" t="inlineStr">
        <is>
          <t>No</t>
        </is>
      </c>
      <c r="G658" t="inlineStr">
        <is>
          <t>1</t>
        </is>
      </c>
      <c r="H658" t="inlineStr">
        <is>
          <t>No</t>
        </is>
      </c>
      <c r="I658" t="inlineStr">
        <is>
          <t>No</t>
        </is>
      </c>
      <c r="J658" t="inlineStr">
        <is>
          <t>0</t>
        </is>
      </c>
      <c r="L658" t="inlineStr">
        <is>
          <t>Claremont, Calif. : Keck Center for International and Strategic Studies, c1992.</t>
        </is>
      </c>
      <c r="M658" t="inlineStr">
        <is>
          <t>1992</t>
        </is>
      </c>
      <c r="O658" t="inlineStr">
        <is>
          <t>eng</t>
        </is>
      </c>
      <c r="P658" t="inlineStr">
        <is>
          <t>cau</t>
        </is>
      </c>
      <c r="Q658" t="inlineStr">
        <is>
          <t>Monograph series (Keck Center for International and Strategic Studies) ; no. 2</t>
        </is>
      </c>
      <c r="R658" t="inlineStr">
        <is>
          <t xml:space="preserve">E  </t>
        </is>
      </c>
      <c r="S658" t="n">
        <v>5</v>
      </c>
      <c r="T658" t="n">
        <v>5</v>
      </c>
      <c r="U658" t="inlineStr">
        <is>
          <t>1996-04-08</t>
        </is>
      </c>
      <c r="V658" t="inlineStr">
        <is>
          <t>1996-04-08</t>
        </is>
      </c>
      <c r="W658" t="inlineStr">
        <is>
          <t>1994-02-07</t>
        </is>
      </c>
      <c r="X658" t="inlineStr">
        <is>
          <t>1994-02-07</t>
        </is>
      </c>
      <c r="Y658" t="n">
        <v>66</v>
      </c>
      <c r="Z658" t="n">
        <v>52</v>
      </c>
      <c r="AA658" t="n">
        <v>54</v>
      </c>
      <c r="AB658" t="n">
        <v>1</v>
      </c>
      <c r="AC658" t="n">
        <v>1</v>
      </c>
      <c r="AD658" t="n">
        <v>1</v>
      </c>
      <c r="AE658" t="n">
        <v>1</v>
      </c>
      <c r="AF658" t="n">
        <v>0</v>
      </c>
      <c r="AG658" t="n">
        <v>0</v>
      </c>
      <c r="AH658" t="n">
        <v>1</v>
      </c>
      <c r="AI658" t="n">
        <v>1</v>
      </c>
      <c r="AJ658" t="n">
        <v>1</v>
      </c>
      <c r="AK658" t="n">
        <v>1</v>
      </c>
      <c r="AL658" t="n">
        <v>0</v>
      </c>
      <c r="AM658" t="n">
        <v>0</v>
      </c>
      <c r="AN658" t="n">
        <v>0</v>
      </c>
      <c r="AO658" t="n">
        <v>0</v>
      </c>
      <c r="AP658" t="inlineStr">
        <is>
          <t>No</t>
        </is>
      </c>
      <c r="AQ658" t="inlineStr">
        <is>
          <t>Yes</t>
        </is>
      </c>
      <c r="AR658">
        <f>HYPERLINK("http://catalog.hathitrust.org/Record/007185675","HathiTrust Record")</f>
        <v/>
      </c>
      <c r="AS658">
        <f>HYPERLINK("https://creighton-primo.hosted.exlibrisgroup.com/primo-explore/search?tab=default_tab&amp;search_scope=EVERYTHING&amp;vid=01CRU&amp;lang=en_US&amp;offset=0&amp;query=any,contains,991002034659702656","Catalog Record")</f>
        <v/>
      </c>
      <c r="AT658">
        <f>HYPERLINK("http://www.worldcat.org/oclc/25915094","WorldCat Record")</f>
        <v/>
      </c>
      <c r="AU658" t="inlineStr">
        <is>
          <t>28537696:eng</t>
        </is>
      </c>
      <c r="AV658" t="inlineStr">
        <is>
          <t>25915094</t>
        </is>
      </c>
      <c r="AW658" t="inlineStr">
        <is>
          <t>991002034659702656</t>
        </is>
      </c>
      <c r="AX658" t="inlineStr">
        <is>
          <t>991002034659702656</t>
        </is>
      </c>
      <c r="AY658" t="inlineStr">
        <is>
          <t>2269789820002656</t>
        </is>
      </c>
      <c r="AZ658" t="inlineStr">
        <is>
          <t>BOOK</t>
        </is>
      </c>
      <c r="BB658" t="inlineStr">
        <is>
          <t>9780930607135</t>
        </is>
      </c>
      <c r="BC658" t="inlineStr">
        <is>
          <t>32285001840569</t>
        </is>
      </c>
      <c r="BD658" t="inlineStr">
        <is>
          <t>893433413</t>
        </is>
      </c>
    </row>
    <row r="659">
      <c r="A659" t="inlineStr">
        <is>
          <t>No</t>
        </is>
      </c>
      <c r="B659" t="inlineStr">
        <is>
          <t>E183.8.J3 U74</t>
        </is>
      </c>
      <c r="C659" t="inlineStr">
        <is>
          <t>0                      E  0183800J  3                  U  74</t>
        </is>
      </c>
      <c r="D659" t="inlineStr">
        <is>
          <t>U.S.-Japan relations and the security of East Asia : the next decade / edited by Franklin B. Weinstein.</t>
        </is>
      </c>
      <c r="F659" t="inlineStr">
        <is>
          <t>No</t>
        </is>
      </c>
      <c r="G659" t="inlineStr">
        <is>
          <t>1</t>
        </is>
      </c>
      <c r="H659" t="inlineStr">
        <is>
          <t>No</t>
        </is>
      </c>
      <c r="I659" t="inlineStr">
        <is>
          <t>No</t>
        </is>
      </c>
      <c r="J659" t="inlineStr">
        <is>
          <t>0</t>
        </is>
      </c>
      <c r="L659" t="inlineStr">
        <is>
          <t>Boulder, Colo. : Westview Press, 1978.</t>
        </is>
      </c>
      <c r="M659" t="inlineStr">
        <is>
          <t>1978</t>
        </is>
      </c>
      <c r="O659" t="inlineStr">
        <is>
          <t>eng</t>
        </is>
      </c>
      <c r="P659" t="inlineStr">
        <is>
          <t>cou</t>
        </is>
      </c>
      <c r="Q659" t="inlineStr">
        <is>
          <t>Westview special studies in international relations and foreign policy</t>
        </is>
      </c>
      <c r="R659" t="inlineStr">
        <is>
          <t xml:space="preserve">E  </t>
        </is>
      </c>
      <c r="S659" t="n">
        <v>9</v>
      </c>
      <c r="T659" t="n">
        <v>9</v>
      </c>
      <c r="U659" t="inlineStr">
        <is>
          <t>1998-12-09</t>
        </is>
      </c>
      <c r="V659" t="inlineStr">
        <is>
          <t>1998-12-09</t>
        </is>
      </c>
      <c r="W659" t="inlineStr">
        <is>
          <t>1992-03-03</t>
        </is>
      </c>
      <c r="X659" t="inlineStr">
        <is>
          <t>1992-03-03</t>
        </is>
      </c>
      <c r="Y659" t="n">
        <v>479</v>
      </c>
      <c r="Z659" t="n">
        <v>408</v>
      </c>
      <c r="AA659" t="n">
        <v>416</v>
      </c>
      <c r="AB659" t="n">
        <v>3</v>
      </c>
      <c r="AC659" t="n">
        <v>3</v>
      </c>
      <c r="AD659" t="n">
        <v>19</v>
      </c>
      <c r="AE659" t="n">
        <v>19</v>
      </c>
      <c r="AF659" t="n">
        <v>5</v>
      </c>
      <c r="AG659" t="n">
        <v>5</v>
      </c>
      <c r="AH659" t="n">
        <v>8</v>
      </c>
      <c r="AI659" t="n">
        <v>8</v>
      </c>
      <c r="AJ659" t="n">
        <v>10</v>
      </c>
      <c r="AK659" t="n">
        <v>10</v>
      </c>
      <c r="AL659" t="n">
        <v>2</v>
      </c>
      <c r="AM659" t="n">
        <v>2</v>
      </c>
      <c r="AN659" t="n">
        <v>1</v>
      </c>
      <c r="AO659" t="n">
        <v>1</v>
      </c>
      <c r="AP659" t="inlineStr">
        <is>
          <t>No</t>
        </is>
      </c>
      <c r="AQ659" t="inlineStr">
        <is>
          <t>Yes</t>
        </is>
      </c>
      <c r="AR659">
        <f>HYPERLINK("http://catalog.hathitrust.org/Record/000748334","HathiTrust Record")</f>
        <v/>
      </c>
      <c r="AS659">
        <f>HYPERLINK("https://creighton-primo.hosted.exlibrisgroup.com/primo-explore/search?tab=default_tab&amp;search_scope=EVERYTHING&amp;vid=01CRU&amp;lang=en_US&amp;offset=0&amp;query=any,contains,991004402669702656","Catalog Record")</f>
        <v/>
      </c>
      <c r="AT659">
        <f>HYPERLINK("http://www.worldcat.org/oclc/3310520","WorldCat Record")</f>
        <v/>
      </c>
      <c r="AU659" t="inlineStr">
        <is>
          <t>896737520:eng</t>
        </is>
      </c>
      <c r="AV659" t="inlineStr">
        <is>
          <t>3310520</t>
        </is>
      </c>
      <c r="AW659" t="inlineStr">
        <is>
          <t>991004402669702656</t>
        </is>
      </c>
      <c r="AX659" t="inlineStr">
        <is>
          <t>991004402669702656</t>
        </is>
      </c>
      <c r="AY659" t="inlineStr">
        <is>
          <t>2269954180002656</t>
        </is>
      </c>
      <c r="AZ659" t="inlineStr">
        <is>
          <t>BOOK</t>
        </is>
      </c>
      <c r="BC659" t="inlineStr">
        <is>
          <t>32285000990654</t>
        </is>
      </c>
      <c r="BD659" t="inlineStr">
        <is>
          <t>893411490</t>
        </is>
      </c>
    </row>
    <row r="660">
      <c r="A660" t="inlineStr">
        <is>
          <t>No</t>
        </is>
      </c>
      <c r="B660" t="inlineStr">
        <is>
          <t>E183.8.J3 U75</t>
        </is>
      </c>
      <c r="C660" t="inlineStr">
        <is>
          <t>0                      E  0183800J  3                  U  75</t>
        </is>
      </c>
      <c r="D660" t="inlineStr">
        <is>
          <t>United States-Japanese political relations: the critical issues affecting Asia's future.</t>
        </is>
      </c>
      <c r="F660" t="inlineStr">
        <is>
          <t>No</t>
        </is>
      </c>
      <c r="G660" t="inlineStr">
        <is>
          <t>1</t>
        </is>
      </c>
      <c r="H660" t="inlineStr">
        <is>
          <t>No</t>
        </is>
      </c>
      <c r="I660" t="inlineStr">
        <is>
          <t>No</t>
        </is>
      </c>
      <c r="J660" t="inlineStr">
        <is>
          <t>0</t>
        </is>
      </c>
      <c r="L660" t="inlineStr">
        <is>
          <t>Washington, Center for Strategic Studies, Georgetown University, 1968.</t>
        </is>
      </c>
      <c r="M660" t="inlineStr">
        <is>
          <t>1968</t>
        </is>
      </c>
      <c r="O660" t="inlineStr">
        <is>
          <t>eng</t>
        </is>
      </c>
      <c r="P660" t="inlineStr">
        <is>
          <t>dcu</t>
        </is>
      </c>
      <c r="Q660" t="inlineStr">
        <is>
          <t>Center for Strategic Studies, Georgetown University. Special report series, no. 7</t>
        </is>
      </c>
      <c r="R660" t="inlineStr">
        <is>
          <t xml:space="preserve">E  </t>
        </is>
      </c>
      <c r="S660" t="n">
        <v>1</v>
      </c>
      <c r="T660" t="n">
        <v>1</v>
      </c>
      <c r="U660" t="inlineStr">
        <is>
          <t>1996-09-22</t>
        </is>
      </c>
      <c r="V660" t="inlineStr">
        <is>
          <t>1996-09-22</t>
        </is>
      </c>
      <c r="W660" t="inlineStr">
        <is>
          <t>1996-07-16</t>
        </is>
      </c>
      <c r="X660" t="inlineStr">
        <is>
          <t>1996-07-16</t>
        </is>
      </c>
      <c r="Y660" t="n">
        <v>259</v>
      </c>
      <c r="Z660" t="n">
        <v>219</v>
      </c>
      <c r="AA660" t="n">
        <v>220</v>
      </c>
      <c r="AB660" t="n">
        <v>3</v>
      </c>
      <c r="AC660" t="n">
        <v>3</v>
      </c>
      <c r="AD660" t="n">
        <v>12</v>
      </c>
      <c r="AE660" t="n">
        <v>12</v>
      </c>
      <c r="AF660" t="n">
        <v>2</v>
      </c>
      <c r="AG660" t="n">
        <v>2</v>
      </c>
      <c r="AH660" t="n">
        <v>2</v>
      </c>
      <c r="AI660" t="n">
        <v>2</v>
      </c>
      <c r="AJ660" t="n">
        <v>9</v>
      </c>
      <c r="AK660" t="n">
        <v>9</v>
      </c>
      <c r="AL660" t="n">
        <v>2</v>
      </c>
      <c r="AM660" t="n">
        <v>2</v>
      </c>
      <c r="AN660" t="n">
        <v>1</v>
      </c>
      <c r="AO660" t="n">
        <v>1</v>
      </c>
      <c r="AP660" t="inlineStr">
        <is>
          <t>No</t>
        </is>
      </c>
      <c r="AQ660" t="inlineStr">
        <is>
          <t>Yes</t>
        </is>
      </c>
      <c r="AR660">
        <f>HYPERLINK("http://catalog.hathitrust.org/Record/000335085","HathiTrust Record")</f>
        <v/>
      </c>
      <c r="AS660">
        <f>HYPERLINK("https://creighton-primo.hosted.exlibrisgroup.com/primo-explore/search?tab=default_tab&amp;search_scope=EVERYTHING&amp;vid=01CRU&amp;lang=en_US&amp;offset=0&amp;query=any,contains,991005433769702656","Catalog Record")</f>
        <v/>
      </c>
      <c r="AT660">
        <f>HYPERLINK("http://www.worldcat.org/oclc/2093","WorldCat Record")</f>
        <v/>
      </c>
      <c r="AU660" t="inlineStr">
        <is>
          <t>5610134056:eng</t>
        </is>
      </c>
      <c r="AV660" t="inlineStr">
        <is>
          <t>2093</t>
        </is>
      </c>
      <c r="AW660" t="inlineStr">
        <is>
          <t>991005433769702656</t>
        </is>
      </c>
      <c r="AX660" t="inlineStr">
        <is>
          <t>991005433769702656</t>
        </is>
      </c>
      <c r="AY660" t="inlineStr">
        <is>
          <t>2262784880002656</t>
        </is>
      </c>
      <c r="AZ660" t="inlineStr">
        <is>
          <t>BOOK</t>
        </is>
      </c>
      <c r="BC660" t="inlineStr">
        <is>
          <t>32285002121589</t>
        </is>
      </c>
      <c r="BD660" t="inlineStr">
        <is>
          <t>893796226</t>
        </is>
      </c>
    </row>
    <row r="661">
      <c r="A661" t="inlineStr">
        <is>
          <t>No</t>
        </is>
      </c>
      <c r="B661" t="inlineStr">
        <is>
          <t>E183.8.J3 U76</t>
        </is>
      </c>
      <c r="C661" t="inlineStr">
        <is>
          <t>0                      E  0183800J  3                  U  76</t>
        </is>
      </c>
      <c r="D661" t="inlineStr">
        <is>
          <t>United States-Japanese relations, the 1970's / edited by Priscilla Clapp and Morton H. Halperin.</t>
        </is>
      </c>
      <c r="F661" t="inlineStr">
        <is>
          <t>No</t>
        </is>
      </c>
      <c r="G661" t="inlineStr">
        <is>
          <t>1</t>
        </is>
      </c>
      <c r="H661" t="inlineStr">
        <is>
          <t>No</t>
        </is>
      </c>
      <c r="I661" t="inlineStr">
        <is>
          <t>No</t>
        </is>
      </c>
      <c r="J661" t="inlineStr">
        <is>
          <t>0</t>
        </is>
      </c>
      <c r="L661" t="inlineStr">
        <is>
          <t>Cambridge : Harvard University Press, c1974, 1975 printing.</t>
        </is>
      </c>
      <c r="M661" t="inlineStr">
        <is>
          <t>1974</t>
        </is>
      </c>
      <c r="O661" t="inlineStr">
        <is>
          <t>eng</t>
        </is>
      </c>
      <c r="P661" t="inlineStr">
        <is>
          <t>mau</t>
        </is>
      </c>
      <c r="R661" t="inlineStr">
        <is>
          <t xml:space="preserve">E  </t>
        </is>
      </c>
      <c r="S661" t="n">
        <v>5</v>
      </c>
      <c r="T661" t="n">
        <v>5</v>
      </c>
      <c r="U661" t="inlineStr">
        <is>
          <t>1996-04-08</t>
        </is>
      </c>
      <c r="V661" t="inlineStr">
        <is>
          <t>1996-04-08</t>
        </is>
      </c>
      <c r="W661" t="inlineStr">
        <is>
          <t>1991-02-06</t>
        </is>
      </c>
      <c r="X661" t="inlineStr">
        <is>
          <t>1991-02-06</t>
        </is>
      </c>
      <c r="Y661" t="n">
        <v>832</v>
      </c>
      <c r="Z661" t="n">
        <v>715</v>
      </c>
      <c r="AA661" t="n">
        <v>724</v>
      </c>
      <c r="AB661" t="n">
        <v>5</v>
      </c>
      <c r="AC661" t="n">
        <v>5</v>
      </c>
      <c r="AD661" t="n">
        <v>31</v>
      </c>
      <c r="AE661" t="n">
        <v>31</v>
      </c>
      <c r="AF661" t="n">
        <v>14</v>
      </c>
      <c r="AG661" t="n">
        <v>14</v>
      </c>
      <c r="AH661" t="n">
        <v>7</v>
      </c>
      <c r="AI661" t="n">
        <v>7</v>
      </c>
      <c r="AJ661" t="n">
        <v>15</v>
      </c>
      <c r="AK661" t="n">
        <v>15</v>
      </c>
      <c r="AL661" t="n">
        <v>4</v>
      </c>
      <c r="AM661" t="n">
        <v>4</v>
      </c>
      <c r="AN661" t="n">
        <v>0</v>
      </c>
      <c r="AO661" t="n">
        <v>0</v>
      </c>
      <c r="AP661" t="inlineStr">
        <is>
          <t>No</t>
        </is>
      </c>
      <c r="AQ661" t="inlineStr">
        <is>
          <t>Yes</t>
        </is>
      </c>
      <c r="AR661">
        <f>HYPERLINK("http://catalog.hathitrust.org/Record/000335499","HathiTrust Record")</f>
        <v/>
      </c>
      <c r="AS661">
        <f>HYPERLINK("https://creighton-primo.hosted.exlibrisgroup.com/primo-explore/search?tab=default_tab&amp;search_scope=EVERYTHING&amp;vid=01CRU&amp;lang=en_US&amp;offset=0&amp;query=any,contains,991003551979702656","Catalog Record")</f>
        <v/>
      </c>
      <c r="AT661">
        <f>HYPERLINK("http://www.worldcat.org/oclc/1119963","WorldCat Record")</f>
        <v/>
      </c>
      <c r="AU661" t="inlineStr">
        <is>
          <t>502424794:eng</t>
        </is>
      </c>
      <c r="AV661" t="inlineStr">
        <is>
          <t>1119963</t>
        </is>
      </c>
      <c r="AW661" t="inlineStr">
        <is>
          <t>991003551979702656</t>
        </is>
      </c>
      <c r="AX661" t="inlineStr">
        <is>
          <t>991003551979702656</t>
        </is>
      </c>
      <c r="AY661" t="inlineStr">
        <is>
          <t>2255959240002656</t>
        </is>
      </c>
      <c r="AZ661" t="inlineStr">
        <is>
          <t>BOOK</t>
        </is>
      </c>
      <c r="BB661" t="inlineStr">
        <is>
          <t>9780674925717</t>
        </is>
      </c>
      <c r="BC661" t="inlineStr">
        <is>
          <t>32285000481639</t>
        </is>
      </c>
      <c r="BD661" t="inlineStr">
        <is>
          <t>893900110</t>
        </is>
      </c>
    </row>
    <row r="662">
      <c r="A662" t="inlineStr">
        <is>
          <t>No</t>
        </is>
      </c>
      <c r="B662" t="inlineStr">
        <is>
          <t>E183.8.J3 W2413 2002</t>
        </is>
      </c>
      <c r="C662" t="inlineStr">
        <is>
          <t>0                      E  0183800J  3                  W  2413        2002</t>
        </is>
      </c>
      <c r="D662" t="inlineStr">
        <is>
          <t>The best course available : a personal account of the secret U.S.-Japan Okinawa reversion negotiations / Wakaizumi Kei ; edited by John Swenson-Wright.</t>
        </is>
      </c>
      <c r="F662" t="inlineStr">
        <is>
          <t>No</t>
        </is>
      </c>
      <c r="G662" t="inlineStr">
        <is>
          <t>1</t>
        </is>
      </c>
      <c r="H662" t="inlineStr">
        <is>
          <t>No</t>
        </is>
      </c>
      <c r="I662" t="inlineStr">
        <is>
          <t>No</t>
        </is>
      </c>
      <c r="J662" t="inlineStr">
        <is>
          <t>0</t>
        </is>
      </c>
      <c r="K662" t="inlineStr">
        <is>
          <t>Wakaizumi, Kei, 1930-1996.</t>
        </is>
      </c>
      <c r="L662" t="inlineStr">
        <is>
          <t>[Honolulu]: University of Hawai'i Press, c2002.</t>
        </is>
      </c>
      <c r="M662" t="inlineStr">
        <is>
          <t>2002</t>
        </is>
      </c>
      <c r="O662" t="inlineStr">
        <is>
          <t>eng</t>
        </is>
      </c>
      <c r="P662" t="inlineStr">
        <is>
          <t>hiu</t>
        </is>
      </c>
      <c r="R662" t="inlineStr">
        <is>
          <t xml:space="preserve">E  </t>
        </is>
      </c>
      <c r="S662" t="n">
        <v>1</v>
      </c>
      <c r="T662" t="n">
        <v>1</v>
      </c>
      <c r="U662" t="inlineStr">
        <is>
          <t>2003-03-27</t>
        </is>
      </c>
      <c r="V662" t="inlineStr">
        <is>
          <t>2003-03-27</t>
        </is>
      </c>
      <c r="W662" t="inlineStr">
        <is>
          <t>2003-03-27</t>
        </is>
      </c>
      <c r="X662" t="inlineStr">
        <is>
          <t>2003-03-27</t>
        </is>
      </c>
      <c r="Y662" t="n">
        <v>241</v>
      </c>
      <c r="Z662" t="n">
        <v>208</v>
      </c>
      <c r="AA662" t="n">
        <v>747</v>
      </c>
      <c r="AB662" t="n">
        <v>2</v>
      </c>
      <c r="AC662" t="n">
        <v>3</v>
      </c>
      <c r="AD662" t="n">
        <v>10</v>
      </c>
      <c r="AE662" t="n">
        <v>21</v>
      </c>
      <c r="AF662" t="n">
        <v>2</v>
      </c>
      <c r="AG662" t="n">
        <v>8</v>
      </c>
      <c r="AH662" t="n">
        <v>4</v>
      </c>
      <c r="AI662" t="n">
        <v>7</v>
      </c>
      <c r="AJ662" t="n">
        <v>6</v>
      </c>
      <c r="AK662" t="n">
        <v>11</v>
      </c>
      <c r="AL662" t="n">
        <v>1</v>
      </c>
      <c r="AM662" t="n">
        <v>2</v>
      </c>
      <c r="AN662" t="n">
        <v>0</v>
      </c>
      <c r="AO662" t="n">
        <v>0</v>
      </c>
      <c r="AP662" t="inlineStr">
        <is>
          <t>No</t>
        </is>
      </c>
      <c r="AQ662" t="inlineStr">
        <is>
          <t>Yes</t>
        </is>
      </c>
      <c r="AR662">
        <f>HYPERLINK("http://catalog.hathitrust.org/Record/004241680","HathiTrust Record")</f>
        <v/>
      </c>
      <c r="AS662">
        <f>HYPERLINK("https://creighton-primo.hosted.exlibrisgroup.com/primo-explore/search?tab=default_tab&amp;search_scope=EVERYTHING&amp;vid=01CRU&amp;lang=en_US&amp;offset=0&amp;query=any,contains,991003990419702656","Catalog Record")</f>
        <v/>
      </c>
      <c r="AT662">
        <f>HYPERLINK("http://www.worldcat.org/oclc/48256849","WorldCat Record")</f>
        <v/>
      </c>
      <c r="AU662" t="inlineStr">
        <is>
          <t>633767826:eng</t>
        </is>
      </c>
      <c r="AV662" t="inlineStr">
        <is>
          <t>48256849</t>
        </is>
      </c>
      <c r="AW662" t="inlineStr">
        <is>
          <t>991003990419702656</t>
        </is>
      </c>
      <c r="AX662" t="inlineStr">
        <is>
          <t>991003990419702656</t>
        </is>
      </c>
      <c r="AY662" t="inlineStr">
        <is>
          <t>2260244200002656</t>
        </is>
      </c>
      <c r="AZ662" t="inlineStr">
        <is>
          <t>BOOK</t>
        </is>
      </c>
      <c r="BB662" t="inlineStr">
        <is>
          <t>9780824821463</t>
        </is>
      </c>
      <c r="BC662" t="inlineStr">
        <is>
          <t>32285004687702</t>
        </is>
      </c>
      <c r="BD662" t="inlineStr">
        <is>
          <t>893699682</t>
        </is>
      </c>
    </row>
    <row r="663">
      <c r="A663" t="inlineStr">
        <is>
          <t>No</t>
        </is>
      </c>
      <c r="B663" t="inlineStr">
        <is>
          <t>E183.8.J3 W33 1984</t>
        </is>
      </c>
      <c r="C663" t="inlineStr">
        <is>
          <t>0                      E  0183800J  3                  W  33          1984</t>
        </is>
      </c>
      <c r="D663" t="inlineStr">
        <is>
          <t>The United States and Japan : a troubled partnership / by William Watts.</t>
        </is>
      </c>
      <c r="F663" t="inlineStr">
        <is>
          <t>No</t>
        </is>
      </c>
      <c r="G663" t="inlineStr">
        <is>
          <t>1</t>
        </is>
      </c>
      <c r="H663" t="inlineStr">
        <is>
          <t>No</t>
        </is>
      </c>
      <c r="I663" t="inlineStr">
        <is>
          <t>No</t>
        </is>
      </c>
      <c r="J663" t="inlineStr">
        <is>
          <t>0</t>
        </is>
      </c>
      <c r="K663" t="inlineStr">
        <is>
          <t>Watts, William, 1930-</t>
        </is>
      </c>
      <c r="L663" t="inlineStr">
        <is>
          <t>Cambridge, Mass. : Ballinger Pub. Co., c1984.</t>
        </is>
      </c>
      <c r="M663" t="inlineStr">
        <is>
          <t>1984</t>
        </is>
      </c>
      <c r="O663" t="inlineStr">
        <is>
          <t>eng</t>
        </is>
      </c>
      <c r="P663" t="inlineStr">
        <is>
          <t>mau</t>
        </is>
      </c>
      <c r="R663" t="inlineStr">
        <is>
          <t xml:space="preserve">E  </t>
        </is>
      </c>
      <c r="S663" t="n">
        <v>9</v>
      </c>
      <c r="T663" t="n">
        <v>9</v>
      </c>
      <c r="U663" t="inlineStr">
        <is>
          <t>2000-10-26</t>
        </is>
      </c>
      <c r="V663" t="inlineStr">
        <is>
          <t>2000-10-26</t>
        </is>
      </c>
      <c r="W663" t="inlineStr">
        <is>
          <t>1991-02-06</t>
        </is>
      </c>
      <c r="X663" t="inlineStr">
        <is>
          <t>1991-02-06</t>
        </is>
      </c>
      <c r="Y663" t="n">
        <v>301</v>
      </c>
      <c r="Z663" t="n">
        <v>237</v>
      </c>
      <c r="AA663" t="n">
        <v>239</v>
      </c>
      <c r="AB663" t="n">
        <v>3</v>
      </c>
      <c r="AC663" t="n">
        <v>3</v>
      </c>
      <c r="AD663" t="n">
        <v>7</v>
      </c>
      <c r="AE663" t="n">
        <v>7</v>
      </c>
      <c r="AF663" t="n">
        <v>2</v>
      </c>
      <c r="AG663" t="n">
        <v>2</v>
      </c>
      <c r="AH663" t="n">
        <v>1</v>
      </c>
      <c r="AI663" t="n">
        <v>1</v>
      </c>
      <c r="AJ663" t="n">
        <v>4</v>
      </c>
      <c r="AK663" t="n">
        <v>4</v>
      </c>
      <c r="AL663" t="n">
        <v>2</v>
      </c>
      <c r="AM663" t="n">
        <v>2</v>
      </c>
      <c r="AN663" t="n">
        <v>0</v>
      </c>
      <c r="AO663" t="n">
        <v>0</v>
      </c>
      <c r="AP663" t="inlineStr">
        <is>
          <t>No</t>
        </is>
      </c>
      <c r="AQ663" t="inlineStr">
        <is>
          <t>Yes</t>
        </is>
      </c>
      <c r="AR663">
        <f>HYPERLINK("http://catalog.hathitrust.org/Record/000284645","HathiTrust Record")</f>
        <v/>
      </c>
      <c r="AS663">
        <f>HYPERLINK("https://creighton-primo.hosted.exlibrisgroup.com/primo-explore/search?tab=default_tab&amp;search_scope=EVERYTHING&amp;vid=01CRU&amp;lang=en_US&amp;offset=0&amp;query=any,contains,991000334609702656","Catalog Record")</f>
        <v/>
      </c>
      <c r="AT663">
        <f>HYPERLINK("http://www.worldcat.org/oclc/10228747","WorldCat Record")</f>
        <v/>
      </c>
      <c r="AU663" t="inlineStr">
        <is>
          <t>811228823:eng</t>
        </is>
      </c>
      <c r="AV663" t="inlineStr">
        <is>
          <t>10228747</t>
        </is>
      </c>
      <c r="AW663" t="inlineStr">
        <is>
          <t>991000334609702656</t>
        </is>
      </c>
      <c r="AX663" t="inlineStr">
        <is>
          <t>991000334609702656</t>
        </is>
      </c>
      <c r="AY663" t="inlineStr">
        <is>
          <t>2264254770002656</t>
        </is>
      </c>
      <c r="AZ663" t="inlineStr">
        <is>
          <t>BOOK</t>
        </is>
      </c>
      <c r="BB663" t="inlineStr">
        <is>
          <t>9780884109938</t>
        </is>
      </c>
      <c r="BC663" t="inlineStr">
        <is>
          <t>32285000481647</t>
        </is>
      </c>
      <c r="BD663" t="inlineStr">
        <is>
          <t>893614094</t>
        </is>
      </c>
    </row>
    <row r="664">
      <c r="A664" t="inlineStr">
        <is>
          <t>No</t>
        </is>
      </c>
      <c r="B664" t="inlineStr">
        <is>
          <t>E183.8.K6 B36 1996</t>
        </is>
      </c>
      <c r="C664" t="inlineStr">
        <is>
          <t>0                      E  0183800K  6                  B  36          1996</t>
        </is>
      </c>
      <c r="D664" t="inlineStr">
        <is>
          <t>Tripwire : Korea and U.S. foreign policy in a changed world / Doug Bandow.</t>
        </is>
      </c>
      <c r="F664" t="inlineStr">
        <is>
          <t>No</t>
        </is>
      </c>
      <c r="G664" t="inlineStr">
        <is>
          <t>1</t>
        </is>
      </c>
      <c r="H664" t="inlineStr">
        <is>
          <t>No</t>
        </is>
      </c>
      <c r="I664" t="inlineStr">
        <is>
          <t>No</t>
        </is>
      </c>
      <c r="J664" t="inlineStr">
        <is>
          <t>0</t>
        </is>
      </c>
      <c r="K664" t="inlineStr">
        <is>
          <t>Bandow, Doug.</t>
        </is>
      </c>
      <c r="L664" t="inlineStr">
        <is>
          <t>Washington, D.C. : CATO Institute, c1996.</t>
        </is>
      </c>
      <c r="M664" t="inlineStr">
        <is>
          <t>1996</t>
        </is>
      </c>
      <c r="O664" t="inlineStr">
        <is>
          <t>eng</t>
        </is>
      </c>
      <c r="P664" t="inlineStr">
        <is>
          <t>dcu</t>
        </is>
      </c>
      <c r="R664" t="inlineStr">
        <is>
          <t xml:space="preserve">E  </t>
        </is>
      </c>
      <c r="S664" t="n">
        <v>1</v>
      </c>
      <c r="T664" t="n">
        <v>1</v>
      </c>
      <c r="U664" t="inlineStr">
        <is>
          <t>2002-08-22</t>
        </is>
      </c>
      <c r="V664" t="inlineStr">
        <is>
          <t>2002-08-22</t>
        </is>
      </c>
      <c r="W664" t="inlineStr">
        <is>
          <t>1998-11-18</t>
        </is>
      </c>
      <c r="X664" t="inlineStr">
        <is>
          <t>1998-11-18</t>
        </is>
      </c>
      <c r="Y664" t="n">
        <v>413</v>
      </c>
      <c r="Z664" t="n">
        <v>360</v>
      </c>
      <c r="AA664" t="n">
        <v>366</v>
      </c>
      <c r="AB664" t="n">
        <v>3</v>
      </c>
      <c r="AC664" t="n">
        <v>3</v>
      </c>
      <c r="AD664" t="n">
        <v>14</v>
      </c>
      <c r="AE664" t="n">
        <v>14</v>
      </c>
      <c r="AF664" t="n">
        <v>4</v>
      </c>
      <c r="AG664" t="n">
        <v>4</v>
      </c>
      <c r="AH664" t="n">
        <v>4</v>
      </c>
      <c r="AI664" t="n">
        <v>4</v>
      </c>
      <c r="AJ664" t="n">
        <v>8</v>
      </c>
      <c r="AK664" t="n">
        <v>8</v>
      </c>
      <c r="AL664" t="n">
        <v>2</v>
      </c>
      <c r="AM664" t="n">
        <v>2</v>
      </c>
      <c r="AN664" t="n">
        <v>0</v>
      </c>
      <c r="AO664" t="n">
        <v>0</v>
      </c>
      <c r="AP664" t="inlineStr">
        <is>
          <t>No</t>
        </is>
      </c>
      <c r="AQ664" t="inlineStr">
        <is>
          <t>Yes</t>
        </is>
      </c>
      <c r="AR664">
        <f>HYPERLINK("http://catalog.hathitrust.org/Record/003089055","HathiTrust Record")</f>
        <v/>
      </c>
      <c r="AS664">
        <f>HYPERLINK("https://creighton-primo.hosted.exlibrisgroup.com/primo-explore/search?tab=default_tab&amp;search_scope=EVERYTHING&amp;vid=01CRU&amp;lang=en_US&amp;offset=0&amp;query=any,contains,991002634969702656","Catalog Record")</f>
        <v/>
      </c>
      <c r="AT664">
        <f>HYPERLINK("http://www.worldcat.org/oclc/34517554","WorldCat Record")</f>
        <v/>
      </c>
      <c r="AU664" t="inlineStr">
        <is>
          <t>474980665:eng</t>
        </is>
      </c>
      <c r="AV664" t="inlineStr">
        <is>
          <t>34517554</t>
        </is>
      </c>
      <c r="AW664" t="inlineStr">
        <is>
          <t>991002634969702656</t>
        </is>
      </c>
      <c r="AX664" t="inlineStr">
        <is>
          <t>991002634969702656</t>
        </is>
      </c>
      <c r="AY664" t="inlineStr">
        <is>
          <t>2271304140002656</t>
        </is>
      </c>
      <c r="AZ664" t="inlineStr">
        <is>
          <t>BOOK</t>
        </is>
      </c>
      <c r="BB664" t="inlineStr">
        <is>
          <t>9781882577293</t>
        </is>
      </c>
      <c r="BC664" t="inlineStr">
        <is>
          <t>32285003490306</t>
        </is>
      </c>
      <c r="BD664" t="inlineStr">
        <is>
          <t>893792694</t>
        </is>
      </c>
    </row>
    <row r="665">
      <c r="A665" t="inlineStr">
        <is>
          <t>No</t>
        </is>
      </c>
      <c r="B665" t="inlineStr">
        <is>
          <t>E183.8.K6 B87</t>
        </is>
      </c>
      <c r="C665" t="inlineStr">
        <is>
          <t>0                      E  0183800K  6                  B  87</t>
        </is>
      </c>
      <c r="D665" t="inlineStr">
        <is>
          <t>The United States and the Republic of Korea : background for policy / Claude A. Buss.</t>
        </is>
      </c>
      <c r="F665" t="inlineStr">
        <is>
          <t>No</t>
        </is>
      </c>
      <c r="G665" t="inlineStr">
        <is>
          <t>1</t>
        </is>
      </c>
      <c r="H665" t="inlineStr">
        <is>
          <t>No</t>
        </is>
      </c>
      <c r="I665" t="inlineStr">
        <is>
          <t>No</t>
        </is>
      </c>
      <c r="J665" t="inlineStr">
        <is>
          <t>0</t>
        </is>
      </c>
      <c r="K665" t="inlineStr">
        <is>
          <t>Buss, Claude Albert.</t>
        </is>
      </c>
      <c r="L665" t="inlineStr">
        <is>
          <t>Stanford, Calif. : Hoover Institution Press, Stanford University, c1982.</t>
        </is>
      </c>
      <c r="M665" t="inlineStr">
        <is>
          <t>1982</t>
        </is>
      </c>
      <c r="O665" t="inlineStr">
        <is>
          <t>eng</t>
        </is>
      </c>
      <c r="P665" t="inlineStr">
        <is>
          <t>cau</t>
        </is>
      </c>
      <c r="Q665" t="inlineStr">
        <is>
          <t>Hoover international studies</t>
        </is>
      </c>
      <c r="R665" t="inlineStr">
        <is>
          <t xml:space="preserve">E  </t>
        </is>
      </c>
      <c r="S665" t="n">
        <v>2</v>
      </c>
      <c r="T665" t="n">
        <v>2</v>
      </c>
      <c r="U665" t="inlineStr">
        <is>
          <t>1993-10-11</t>
        </is>
      </c>
      <c r="V665" t="inlineStr">
        <is>
          <t>1993-10-11</t>
        </is>
      </c>
      <c r="W665" t="inlineStr">
        <is>
          <t>1991-02-06</t>
        </is>
      </c>
      <c r="X665" t="inlineStr">
        <is>
          <t>1991-02-06</t>
        </is>
      </c>
      <c r="Y665" t="n">
        <v>453</v>
      </c>
      <c r="Z665" t="n">
        <v>389</v>
      </c>
      <c r="AA665" t="n">
        <v>396</v>
      </c>
      <c r="AB665" t="n">
        <v>3</v>
      </c>
      <c r="AC665" t="n">
        <v>3</v>
      </c>
      <c r="AD665" t="n">
        <v>18</v>
      </c>
      <c r="AE665" t="n">
        <v>18</v>
      </c>
      <c r="AF665" t="n">
        <v>6</v>
      </c>
      <c r="AG665" t="n">
        <v>6</v>
      </c>
      <c r="AH665" t="n">
        <v>5</v>
      </c>
      <c r="AI665" t="n">
        <v>5</v>
      </c>
      <c r="AJ665" t="n">
        <v>9</v>
      </c>
      <c r="AK665" t="n">
        <v>9</v>
      </c>
      <c r="AL665" t="n">
        <v>2</v>
      </c>
      <c r="AM665" t="n">
        <v>2</v>
      </c>
      <c r="AN665" t="n">
        <v>0</v>
      </c>
      <c r="AO665" t="n">
        <v>0</v>
      </c>
      <c r="AP665" t="inlineStr">
        <is>
          <t>No</t>
        </is>
      </c>
      <c r="AQ665" t="inlineStr">
        <is>
          <t>Yes</t>
        </is>
      </c>
      <c r="AR665">
        <f>HYPERLINK("http://catalog.hathitrust.org/Record/000263354","HathiTrust Record")</f>
        <v/>
      </c>
      <c r="AS665">
        <f>HYPERLINK("https://creighton-primo.hosted.exlibrisgroup.com/primo-explore/search?tab=default_tab&amp;search_scope=EVERYTHING&amp;vid=01CRU&amp;lang=en_US&amp;offset=0&amp;query=any,contains,991005215349702656","Catalog Record")</f>
        <v/>
      </c>
      <c r="AT665">
        <f>HYPERLINK("http://www.worldcat.org/oclc/8184429","WorldCat Record")</f>
        <v/>
      </c>
      <c r="AU665" t="inlineStr">
        <is>
          <t>20977861:eng</t>
        </is>
      </c>
      <c r="AV665" t="inlineStr">
        <is>
          <t>8184429</t>
        </is>
      </c>
      <c r="AW665" t="inlineStr">
        <is>
          <t>991005215349702656</t>
        </is>
      </c>
      <c r="AX665" t="inlineStr">
        <is>
          <t>991005215349702656</t>
        </is>
      </c>
      <c r="AY665" t="inlineStr">
        <is>
          <t>2267340120002656</t>
        </is>
      </c>
      <c r="AZ665" t="inlineStr">
        <is>
          <t>BOOK</t>
        </is>
      </c>
      <c r="BB665" t="inlineStr">
        <is>
          <t>9780817975425</t>
        </is>
      </c>
      <c r="BC665" t="inlineStr">
        <is>
          <t>32285000481654</t>
        </is>
      </c>
      <c r="BD665" t="inlineStr">
        <is>
          <t>893230387</t>
        </is>
      </c>
    </row>
    <row r="666">
      <c r="A666" t="inlineStr">
        <is>
          <t>No</t>
        </is>
      </c>
      <c r="B666" t="inlineStr">
        <is>
          <t>E183.8.K7 B34 1974</t>
        </is>
      </c>
      <c r="C666" t="inlineStr">
        <is>
          <t>0                      E  0183800K  7                  B  34          1974</t>
        </is>
      </c>
      <c r="D666" t="inlineStr">
        <is>
          <t>Without parallel; the American-Korean relationship since 1945. Edited by Frank Baldwin.</t>
        </is>
      </c>
      <c r="F666" t="inlineStr">
        <is>
          <t>No</t>
        </is>
      </c>
      <c r="G666" t="inlineStr">
        <is>
          <t>1</t>
        </is>
      </c>
      <c r="H666" t="inlineStr">
        <is>
          <t>No</t>
        </is>
      </c>
      <c r="I666" t="inlineStr">
        <is>
          <t>No</t>
        </is>
      </c>
      <c r="J666" t="inlineStr">
        <is>
          <t>0</t>
        </is>
      </c>
      <c r="K666" t="inlineStr">
        <is>
          <t>Baldwin, Frank.</t>
        </is>
      </c>
      <c r="L666" t="inlineStr">
        <is>
          <t>New York, Pantheon Books [1974]</t>
        </is>
      </c>
      <c r="M666" t="inlineStr">
        <is>
          <t>1974</t>
        </is>
      </c>
      <c r="N666" t="inlineStr">
        <is>
          <t>[1st ed.]</t>
        </is>
      </c>
      <c r="O666" t="inlineStr">
        <is>
          <t>eng</t>
        </is>
      </c>
      <c r="P666" t="inlineStr">
        <is>
          <t>nyu</t>
        </is>
      </c>
      <c r="Q666" t="inlineStr">
        <is>
          <t>The Pantheon Asia library [new approaches to the new Asia]</t>
        </is>
      </c>
      <c r="R666" t="inlineStr">
        <is>
          <t xml:space="preserve">E  </t>
        </is>
      </c>
      <c r="S666" t="n">
        <v>2</v>
      </c>
      <c r="T666" t="n">
        <v>2</v>
      </c>
      <c r="U666" t="inlineStr">
        <is>
          <t>1997-09-23</t>
        </is>
      </c>
      <c r="V666" t="inlineStr">
        <is>
          <t>1997-09-23</t>
        </is>
      </c>
      <c r="W666" t="inlineStr">
        <is>
          <t>1991-02-06</t>
        </is>
      </c>
      <c r="X666" t="inlineStr">
        <is>
          <t>1991-02-06</t>
        </is>
      </c>
      <c r="Y666" t="n">
        <v>473</v>
      </c>
      <c r="Z666" t="n">
        <v>405</v>
      </c>
      <c r="AA666" t="n">
        <v>412</v>
      </c>
      <c r="AB666" t="n">
        <v>3</v>
      </c>
      <c r="AC666" t="n">
        <v>3</v>
      </c>
      <c r="AD666" t="n">
        <v>18</v>
      </c>
      <c r="AE666" t="n">
        <v>18</v>
      </c>
      <c r="AF666" t="n">
        <v>6</v>
      </c>
      <c r="AG666" t="n">
        <v>6</v>
      </c>
      <c r="AH666" t="n">
        <v>4</v>
      </c>
      <c r="AI666" t="n">
        <v>4</v>
      </c>
      <c r="AJ666" t="n">
        <v>10</v>
      </c>
      <c r="AK666" t="n">
        <v>10</v>
      </c>
      <c r="AL666" t="n">
        <v>2</v>
      </c>
      <c r="AM666" t="n">
        <v>2</v>
      </c>
      <c r="AN666" t="n">
        <v>0</v>
      </c>
      <c r="AO666" t="n">
        <v>0</v>
      </c>
      <c r="AP666" t="inlineStr">
        <is>
          <t>No</t>
        </is>
      </c>
      <c r="AQ666" t="inlineStr">
        <is>
          <t>Yes</t>
        </is>
      </c>
      <c r="AR666">
        <f>HYPERLINK("http://catalog.hathitrust.org/Record/000335500","HathiTrust Record")</f>
        <v/>
      </c>
      <c r="AS666">
        <f>HYPERLINK("https://creighton-primo.hosted.exlibrisgroup.com/primo-explore/search?tab=default_tab&amp;search_scope=EVERYTHING&amp;vid=01CRU&amp;lang=en_US&amp;offset=0&amp;query=any,contains,991003334329702656","Catalog Record")</f>
        <v/>
      </c>
      <c r="AT666">
        <f>HYPERLINK("http://www.worldcat.org/oclc/865980","WorldCat Record")</f>
        <v/>
      </c>
      <c r="AU666" t="inlineStr">
        <is>
          <t>887601988:eng</t>
        </is>
      </c>
      <c r="AV666" t="inlineStr">
        <is>
          <t>865980</t>
        </is>
      </c>
      <c r="AW666" t="inlineStr">
        <is>
          <t>991003334329702656</t>
        </is>
      </c>
      <c r="AX666" t="inlineStr">
        <is>
          <t>991003334329702656</t>
        </is>
      </c>
      <c r="AY666" t="inlineStr">
        <is>
          <t>2264742880002656</t>
        </is>
      </c>
      <c r="AZ666" t="inlineStr">
        <is>
          <t>BOOK</t>
        </is>
      </c>
      <c r="BB666" t="inlineStr">
        <is>
          <t>9780394475462</t>
        </is>
      </c>
      <c r="BC666" t="inlineStr">
        <is>
          <t>32285000481696</t>
        </is>
      </c>
      <c r="BD666" t="inlineStr">
        <is>
          <t>893422471</t>
        </is>
      </c>
    </row>
    <row r="667">
      <c r="A667" t="inlineStr">
        <is>
          <t>No</t>
        </is>
      </c>
      <c r="B667" t="inlineStr">
        <is>
          <t>E183.8.K7 G59 1999</t>
        </is>
      </c>
      <c r="C667" t="inlineStr">
        <is>
          <t>0                      E  0183800K  7                  G  59          1999</t>
        </is>
      </c>
      <c r="D667" t="inlineStr">
        <is>
          <t>Massive entanglement, marginal influence : Carter and Korea in crisis / William H. Gleysteen Jr.</t>
        </is>
      </c>
      <c r="F667" t="inlineStr">
        <is>
          <t>No</t>
        </is>
      </c>
      <c r="G667" t="inlineStr">
        <is>
          <t>1</t>
        </is>
      </c>
      <c r="H667" t="inlineStr">
        <is>
          <t>No</t>
        </is>
      </c>
      <c r="I667" t="inlineStr">
        <is>
          <t>No</t>
        </is>
      </c>
      <c r="J667" t="inlineStr">
        <is>
          <t>0</t>
        </is>
      </c>
      <c r="K667" t="inlineStr">
        <is>
          <t>Gleysteen, William H.</t>
        </is>
      </c>
      <c r="L667" t="inlineStr">
        <is>
          <t>Washington, D.C. : Brookings Institution Press, c1999.</t>
        </is>
      </c>
      <c r="M667" t="inlineStr">
        <is>
          <t>1999</t>
        </is>
      </c>
      <c r="O667" t="inlineStr">
        <is>
          <t>eng</t>
        </is>
      </c>
      <c r="P667" t="inlineStr">
        <is>
          <t>dcu</t>
        </is>
      </c>
      <c r="R667" t="inlineStr">
        <is>
          <t xml:space="preserve">E  </t>
        </is>
      </c>
      <c r="S667" t="n">
        <v>0</v>
      </c>
      <c r="T667" t="n">
        <v>0</v>
      </c>
      <c r="U667" t="inlineStr">
        <is>
          <t>2003-04-14</t>
        </is>
      </c>
      <c r="V667" t="inlineStr">
        <is>
          <t>2003-04-14</t>
        </is>
      </c>
      <c r="W667" t="inlineStr">
        <is>
          <t>2000-02-23</t>
        </is>
      </c>
      <c r="X667" t="inlineStr">
        <is>
          <t>2000-02-23</t>
        </is>
      </c>
      <c r="Y667" t="n">
        <v>479</v>
      </c>
      <c r="Z667" t="n">
        <v>423</v>
      </c>
      <c r="AA667" t="n">
        <v>595</v>
      </c>
      <c r="AB667" t="n">
        <v>3</v>
      </c>
      <c r="AC667" t="n">
        <v>3</v>
      </c>
      <c r="AD667" t="n">
        <v>22</v>
      </c>
      <c r="AE667" t="n">
        <v>31</v>
      </c>
      <c r="AF667" t="n">
        <v>6</v>
      </c>
      <c r="AG667" t="n">
        <v>13</v>
      </c>
      <c r="AH667" t="n">
        <v>7</v>
      </c>
      <c r="AI667" t="n">
        <v>9</v>
      </c>
      <c r="AJ667" t="n">
        <v>12</v>
      </c>
      <c r="AK667" t="n">
        <v>15</v>
      </c>
      <c r="AL667" t="n">
        <v>2</v>
      </c>
      <c r="AM667" t="n">
        <v>2</v>
      </c>
      <c r="AN667" t="n">
        <v>1</v>
      </c>
      <c r="AO667" t="n">
        <v>1</v>
      </c>
      <c r="AP667" t="inlineStr">
        <is>
          <t>No</t>
        </is>
      </c>
      <c r="AQ667" t="inlineStr">
        <is>
          <t>No</t>
        </is>
      </c>
      <c r="AS667">
        <f>HYPERLINK("https://creighton-primo.hosted.exlibrisgroup.com/primo-explore/search?tab=default_tab&amp;search_scope=EVERYTHING&amp;vid=01CRU&amp;lang=en_US&amp;offset=0&amp;query=any,contains,991003043499702656","Catalog Record")</f>
        <v/>
      </c>
      <c r="AT667">
        <f>HYPERLINK("http://www.worldcat.org/oclc/42365521","WorldCat Record")</f>
        <v/>
      </c>
      <c r="AU667" t="inlineStr">
        <is>
          <t>836954813:eng</t>
        </is>
      </c>
      <c r="AV667" t="inlineStr">
        <is>
          <t>42365521</t>
        </is>
      </c>
      <c r="AW667" t="inlineStr">
        <is>
          <t>991003043499702656</t>
        </is>
      </c>
      <c r="AX667" t="inlineStr">
        <is>
          <t>991003043499702656</t>
        </is>
      </c>
      <c r="AY667" t="inlineStr">
        <is>
          <t>2266573210002656</t>
        </is>
      </c>
      <c r="AZ667" t="inlineStr">
        <is>
          <t>BOOK</t>
        </is>
      </c>
      <c r="BB667" t="inlineStr">
        <is>
          <t>9780815731702</t>
        </is>
      </c>
      <c r="BC667" t="inlineStr">
        <is>
          <t>32285003663126</t>
        </is>
      </c>
      <c r="BD667" t="inlineStr">
        <is>
          <t>893616936</t>
        </is>
      </c>
    </row>
    <row r="668">
      <c r="A668" t="inlineStr">
        <is>
          <t>No</t>
        </is>
      </c>
      <c r="B668" t="inlineStr">
        <is>
          <t>E183.8.K7 S43</t>
        </is>
      </c>
      <c r="C668" t="inlineStr">
        <is>
          <t>0                      E  0183800K  7                  S  43</t>
        </is>
      </c>
      <c r="D668" t="inlineStr">
        <is>
          <t>The Security of Korea : U.S. and Japanese perspectives on the 1980s / coauthors, Selig S. Harrison ... [et al.] ; edited by Franklin B. Weinstein and Fuji Kamiya.</t>
        </is>
      </c>
      <c r="F668" t="inlineStr">
        <is>
          <t>No</t>
        </is>
      </c>
      <c r="G668" t="inlineStr">
        <is>
          <t>1</t>
        </is>
      </c>
      <c r="H668" t="inlineStr">
        <is>
          <t>No</t>
        </is>
      </c>
      <c r="I668" t="inlineStr">
        <is>
          <t>No</t>
        </is>
      </c>
      <c r="J668" t="inlineStr">
        <is>
          <t>0</t>
        </is>
      </c>
      <c r="L668" t="inlineStr">
        <is>
          <t>Boulder, Colo. : Westview Press, 1980.</t>
        </is>
      </c>
      <c r="M668" t="inlineStr">
        <is>
          <t>1980</t>
        </is>
      </c>
      <c r="O668" t="inlineStr">
        <is>
          <t>eng</t>
        </is>
      </c>
      <c r="P668" t="inlineStr">
        <is>
          <t>cou</t>
        </is>
      </c>
      <c r="Q668" t="inlineStr">
        <is>
          <t>Westview special studies in international relations</t>
        </is>
      </c>
      <c r="R668" t="inlineStr">
        <is>
          <t xml:space="preserve">E  </t>
        </is>
      </c>
      <c r="S668" t="n">
        <v>8</v>
      </c>
      <c r="T668" t="n">
        <v>8</v>
      </c>
      <c r="U668" t="inlineStr">
        <is>
          <t>1995-10-31</t>
        </is>
      </c>
      <c r="V668" t="inlineStr">
        <is>
          <t>1995-10-31</t>
        </is>
      </c>
      <c r="W668" t="inlineStr">
        <is>
          <t>1991-02-06</t>
        </is>
      </c>
      <c r="X668" t="inlineStr">
        <is>
          <t>1991-02-06</t>
        </is>
      </c>
      <c r="Y668" t="n">
        <v>348</v>
      </c>
      <c r="Z668" t="n">
        <v>271</v>
      </c>
      <c r="AA668" t="n">
        <v>291</v>
      </c>
      <c r="AB668" t="n">
        <v>2</v>
      </c>
      <c r="AC668" t="n">
        <v>2</v>
      </c>
      <c r="AD668" t="n">
        <v>12</v>
      </c>
      <c r="AE668" t="n">
        <v>12</v>
      </c>
      <c r="AF668" t="n">
        <v>4</v>
      </c>
      <c r="AG668" t="n">
        <v>4</v>
      </c>
      <c r="AH668" t="n">
        <v>3</v>
      </c>
      <c r="AI668" t="n">
        <v>3</v>
      </c>
      <c r="AJ668" t="n">
        <v>7</v>
      </c>
      <c r="AK668" t="n">
        <v>7</v>
      </c>
      <c r="AL668" t="n">
        <v>1</v>
      </c>
      <c r="AM668" t="n">
        <v>1</v>
      </c>
      <c r="AN668" t="n">
        <v>0</v>
      </c>
      <c r="AO668" t="n">
        <v>0</v>
      </c>
      <c r="AP668" t="inlineStr">
        <is>
          <t>No</t>
        </is>
      </c>
      <c r="AQ668" t="inlineStr">
        <is>
          <t>Yes</t>
        </is>
      </c>
      <c r="AR668">
        <f>HYPERLINK("http://catalog.hathitrust.org/Record/000709923","HathiTrust Record")</f>
        <v/>
      </c>
      <c r="AS668">
        <f>HYPERLINK("https://creighton-primo.hosted.exlibrisgroup.com/primo-explore/search?tab=default_tab&amp;search_scope=EVERYTHING&amp;vid=01CRU&amp;lang=en_US&amp;offset=0&amp;query=any,contains,991004943489702656","Catalog Record")</f>
        <v/>
      </c>
      <c r="AT668">
        <f>HYPERLINK("http://www.worldcat.org/oclc/6196250","WorldCat Record")</f>
        <v/>
      </c>
      <c r="AU668" t="inlineStr">
        <is>
          <t>982496082:eng</t>
        </is>
      </c>
      <c r="AV668" t="inlineStr">
        <is>
          <t>6196250</t>
        </is>
      </c>
      <c r="AW668" t="inlineStr">
        <is>
          <t>991004943489702656</t>
        </is>
      </c>
      <c r="AX668" t="inlineStr">
        <is>
          <t>991004943489702656</t>
        </is>
      </c>
      <c r="AY668" t="inlineStr">
        <is>
          <t>2266307760002656</t>
        </is>
      </c>
      <c r="AZ668" t="inlineStr">
        <is>
          <t>BOOK</t>
        </is>
      </c>
      <c r="BB668" t="inlineStr">
        <is>
          <t>9780891586685</t>
        </is>
      </c>
      <c r="BC668" t="inlineStr">
        <is>
          <t>32285000481720</t>
        </is>
      </c>
      <c r="BD668" t="inlineStr">
        <is>
          <t>893612943</t>
        </is>
      </c>
    </row>
    <row r="669">
      <c r="A669" t="inlineStr">
        <is>
          <t>No</t>
        </is>
      </c>
      <c r="B669" t="inlineStr">
        <is>
          <t>E183.8.K8 A2 1982</t>
        </is>
      </c>
      <c r="C669" t="inlineStr">
        <is>
          <t>0                      E  0183800K  8                  A  2           1982</t>
        </is>
      </c>
      <c r="D669" t="inlineStr">
        <is>
          <t>After one hundred years : continuity and change in Korean-American relations / Sung-joo Han, editor.</t>
        </is>
      </c>
      <c r="F669" t="inlineStr">
        <is>
          <t>No</t>
        </is>
      </c>
      <c r="G669" t="inlineStr">
        <is>
          <t>1</t>
        </is>
      </c>
      <c r="H669" t="inlineStr">
        <is>
          <t>No</t>
        </is>
      </c>
      <c r="I669" t="inlineStr">
        <is>
          <t>No</t>
        </is>
      </c>
      <c r="J669" t="inlineStr">
        <is>
          <t>0</t>
        </is>
      </c>
      <c r="L669" t="inlineStr">
        <is>
          <t>[Seoul] : Asiatic Research Center, Korea University, 1982.</t>
        </is>
      </c>
      <c r="M669" t="inlineStr">
        <is>
          <t>1982</t>
        </is>
      </c>
      <c r="O669" t="inlineStr">
        <is>
          <t>eng</t>
        </is>
      </c>
      <c r="P669" t="inlineStr">
        <is>
          <t xml:space="preserve">ko </t>
        </is>
      </c>
      <c r="Q669" t="inlineStr">
        <is>
          <t>ARC foreign policy studies ; no. 3</t>
        </is>
      </c>
      <c r="R669" t="inlineStr">
        <is>
          <t xml:space="preserve">E  </t>
        </is>
      </c>
      <c r="S669" t="n">
        <v>3</v>
      </c>
      <c r="T669" t="n">
        <v>3</v>
      </c>
      <c r="U669" t="inlineStr">
        <is>
          <t>1997-11-10</t>
        </is>
      </c>
      <c r="V669" t="inlineStr">
        <is>
          <t>1997-11-10</t>
        </is>
      </c>
      <c r="W669" t="inlineStr">
        <is>
          <t>1991-02-06</t>
        </is>
      </c>
      <c r="X669" t="inlineStr">
        <is>
          <t>1991-02-06</t>
        </is>
      </c>
      <c r="Y669" t="n">
        <v>274</v>
      </c>
      <c r="Z669" t="n">
        <v>208</v>
      </c>
      <c r="AA669" t="n">
        <v>209</v>
      </c>
      <c r="AB669" t="n">
        <v>2</v>
      </c>
      <c r="AC669" t="n">
        <v>2</v>
      </c>
      <c r="AD669" t="n">
        <v>11</v>
      </c>
      <c r="AE669" t="n">
        <v>11</v>
      </c>
      <c r="AF669" t="n">
        <v>5</v>
      </c>
      <c r="AG669" t="n">
        <v>5</v>
      </c>
      <c r="AH669" t="n">
        <v>2</v>
      </c>
      <c r="AI669" t="n">
        <v>2</v>
      </c>
      <c r="AJ669" t="n">
        <v>5</v>
      </c>
      <c r="AK669" t="n">
        <v>5</v>
      </c>
      <c r="AL669" t="n">
        <v>1</v>
      </c>
      <c r="AM669" t="n">
        <v>1</v>
      </c>
      <c r="AN669" t="n">
        <v>0</v>
      </c>
      <c r="AO669" t="n">
        <v>0</v>
      </c>
      <c r="AP669" t="inlineStr">
        <is>
          <t>No</t>
        </is>
      </c>
      <c r="AQ669" t="inlineStr">
        <is>
          <t>No</t>
        </is>
      </c>
      <c r="AS669">
        <f>HYPERLINK("https://creighton-primo.hosted.exlibrisgroup.com/primo-explore/search?tab=default_tab&amp;search_scope=EVERYTHING&amp;vid=01CRU&amp;lang=en_US&amp;offset=0&amp;query=any,contains,991000073269702656","Catalog Record")</f>
        <v/>
      </c>
      <c r="AT669">
        <f>HYPERLINK("http://www.worldcat.org/oclc/8793016","WorldCat Record")</f>
        <v/>
      </c>
      <c r="AU669" t="inlineStr">
        <is>
          <t>894352940:eng</t>
        </is>
      </c>
      <c r="AV669" t="inlineStr">
        <is>
          <t>8793016</t>
        </is>
      </c>
      <c r="AW669" t="inlineStr">
        <is>
          <t>991000073269702656</t>
        </is>
      </c>
      <c r="AX669" t="inlineStr">
        <is>
          <t>991000073269702656</t>
        </is>
      </c>
      <c r="AY669" t="inlineStr">
        <is>
          <t>2264073080002656</t>
        </is>
      </c>
      <c r="AZ669" t="inlineStr">
        <is>
          <t>BOOK</t>
        </is>
      </c>
      <c r="BC669" t="inlineStr">
        <is>
          <t>32285000481738</t>
        </is>
      </c>
      <c r="BD669" t="inlineStr">
        <is>
          <t>893701808</t>
        </is>
      </c>
    </row>
    <row r="670">
      <c r="A670" t="inlineStr">
        <is>
          <t>No</t>
        </is>
      </c>
      <c r="B670" t="inlineStr">
        <is>
          <t>E183.8.L8 V57 1990</t>
        </is>
      </c>
      <c r="C670" t="inlineStr">
        <is>
          <t>0                      E  0183800L  8                  V  57          1990</t>
        </is>
      </c>
      <c r="D670" t="inlineStr">
        <is>
          <t>The United States and Lithuania : the Stimson doctrine of nonrecognition / Robert A. Vitas.</t>
        </is>
      </c>
      <c r="F670" t="inlineStr">
        <is>
          <t>No</t>
        </is>
      </c>
      <c r="G670" t="inlineStr">
        <is>
          <t>1</t>
        </is>
      </c>
      <c r="H670" t="inlineStr">
        <is>
          <t>No</t>
        </is>
      </c>
      <c r="I670" t="inlineStr">
        <is>
          <t>No</t>
        </is>
      </c>
      <c r="J670" t="inlineStr">
        <is>
          <t>0</t>
        </is>
      </c>
      <c r="K670" t="inlineStr">
        <is>
          <t>Vitas, Robert A.</t>
        </is>
      </c>
      <c r="L670" t="inlineStr">
        <is>
          <t>New York : Praeger, 1990.</t>
        </is>
      </c>
      <c r="M670" t="inlineStr">
        <is>
          <t>1990</t>
        </is>
      </c>
      <c r="O670" t="inlineStr">
        <is>
          <t>eng</t>
        </is>
      </c>
      <c r="P670" t="inlineStr">
        <is>
          <t>nyu</t>
        </is>
      </c>
      <c r="R670" t="inlineStr">
        <is>
          <t xml:space="preserve">E  </t>
        </is>
      </c>
      <c r="S670" t="n">
        <v>1</v>
      </c>
      <c r="T670" t="n">
        <v>1</v>
      </c>
      <c r="U670" t="inlineStr">
        <is>
          <t>1997-01-27</t>
        </is>
      </c>
      <c r="V670" t="inlineStr">
        <is>
          <t>1997-01-27</t>
        </is>
      </c>
      <c r="W670" t="inlineStr">
        <is>
          <t>1990-09-04</t>
        </is>
      </c>
      <c r="X670" t="inlineStr">
        <is>
          <t>1990-09-04</t>
        </is>
      </c>
      <c r="Y670" t="n">
        <v>296</v>
      </c>
      <c r="Z670" t="n">
        <v>237</v>
      </c>
      <c r="AA670" t="n">
        <v>244</v>
      </c>
      <c r="AB670" t="n">
        <v>3</v>
      </c>
      <c r="AC670" t="n">
        <v>3</v>
      </c>
      <c r="AD670" t="n">
        <v>18</v>
      </c>
      <c r="AE670" t="n">
        <v>18</v>
      </c>
      <c r="AF670" t="n">
        <v>5</v>
      </c>
      <c r="AG670" t="n">
        <v>5</v>
      </c>
      <c r="AH670" t="n">
        <v>5</v>
      </c>
      <c r="AI670" t="n">
        <v>5</v>
      </c>
      <c r="AJ670" t="n">
        <v>8</v>
      </c>
      <c r="AK670" t="n">
        <v>8</v>
      </c>
      <c r="AL670" t="n">
        <v>2</v>
      </c>
      <c r="AM670" t="n">
        <v>2</v>
      </c>
      <c r="AN670" t="n">
        <v>3</v>
      </c>
      <c r="AO670" t="n">
        <v>3</v>
      </c>
      <c r="AP670" t="inlineStr">
        <is>
          <t>No</t>
        </is>
      </c>
      <c r="AQ670" t="inlineStr">
        <is>
          <t>Yes</t>
        </is>
      </c>
      <c r="AR670">
        <f>HYPERLINK("http://catalog.hathitrust.org/Record/002165575","HathiTrust Record")</f>
        <v/>
      </c>
      <c r="AS670">
        <f>HYPERLINK("https://creighton-primo.hosted.exlibrisgroup.com/primo-explore/search?tab=default_tab&amp;search_scope=EVERYTHING&amp;vid=01CRU&amp;lang=en_US&amp;offset=0&amp;query=any,contains,991001524329702656","Catalog Record")</f>
        <v/>
      </c>
      <c r="AT670">
        <f>HYPERLINK("http://www.worldcat.org/oclc/20012112","WorldCat Record")</f>
        <v/>
      </c>
      <c r="AU670" t="inlineStr">
        <is>
          <t>365057905:eng</t>
        </is>
      </c>
      <c r="AV670" t="inlineStr">
        <is>
          <t>20012112</t>
        </is>
      </c>
      <c r="AW670" t="inlineStr">
        <is>
          <t>991001524329702656</t>
        </is>
      </c>
      <c r="AX670" t="inlineStr">
        <is>
          <t>991001524329702656</t>
        </is>
      </c>
      <c r="AY670" t="inlineStr">
        <is>
          <t>2263027070002656</t>
        </is>
      </c>
      <c r="AZ670" t="inlineStr">
        <is>
          <t>BOOK</t>
        </is>
      </c>
      <c r="BB670" t="inlineStr">
        <is>
          <t>9780275934125</t>
        </is>
      </c>
      <c r="BC670" t="inlineStr">
        <is>
          <t>32285000275999</t>
        </is>
      </c>
      <c r="BD670" t="inlineStr">
        <is>
          <t>893414292</t>
        </is>
      </c>
    </row>
    <row r="671">
      <c r="A671" t="inlineStr">
        <is>
          <t>No</t>
        </is>
      </c>
      <c r="B671" t="inlineStr">
        <is>
          <t>E183.8.M6 .M39 2001</t>
        </is>
      </c>
      <c r="C671" t="inlineStr">
        <is>
          <t>0                      E  0183800M  6                  M  39          2001</t>
        </is>
      </c>
      <c r="D671" t="inlineStr">
        <is>
          <t>Don't disturb the neighbors : the United States and democracy in Mexico, 1980-1995 / Jacqueline Mazza.</t>
        </is>
      </c>
      <c r="F671" t="inlineStr">
        <is>
          <t>No</t>
        </is>
      </c>
      <c r="G671" t="inlineStr">
        <is>
          <t>1</t>
        </is>
      </c>
      <c r="H671" t="inlineStr">
        <is>
          <t>No</t>
        </is>
      </c>
      <c r="I671" t="inlineStr">
        <is>
          <t>No</t>
        </is>
      </c>
      <c r="J671" t="inlineStr">
        <is>
          <t>0</t>
        </is>
      </c>
      <c r="K671" t="inlineStr">
        <is>
          <t>Mazza, Jacqueline.</t>
        </is>
      </c>
      <c r="L671" t="inlineStr">
        <is>
          <t>New York : Routledge, 2001.</t>
        </is>
      </c>
      <c r="M671" t="inlineStr">
        <is>
          <t>2001</t>
        </is>
      </c>
      <c r="O671" t="inlineStr">
        <is>
          <t>eng</t>
        </is>
      </c>
      <c r="P671" t="inlineStr">
        <is>
          <t>nyu</t>
        </is>
      </c>
      <c r="R671" t="inlineStr">
        <is>
          <t xml:space="preserve">E  </t>
        </is>
      </c>
      <c r="S671" t="n">
        <v>8</v>
      </c>
      <c r="T671" t="n">
        <v>8</v>
      </c>
      <c r="U671" t="inlineStr">
        <is>
          <t>2003-06-26</t>
        </is>
      </c>
      <c r="V671" t="inlineStr">
        <is>
          <t>2003-06-26</t>
        </is>
      </c>
      <c r="W671" t="inlineStr">
        <is>
          <t>2001-07-10</t>
        </is>
      </c>
      <c r="X671" t="inlineStr">
        <is>
          <t>2001-07-10</t>
        </is>
      </c>
      <c r="Y671" t="n">
        <v>306</v>
      </c>
      <c r="Z671" t="n">
        <v>256</v>
      </c>
      <c r="AA671" t="n">
        <v>330</v>
      </c>
      <c r="AB671" t="n">
        <v>4</v>
      </c>
      <c r="AC671" t="n">
        <v>4</v>
      </c>
      <c r="AD671" t="n">
        <v>14</v>
      </c>
      <c r="AE671" t="n">
        <v>14</v>
      </c>
      <c r="AF671" t="n">
        <v>4</v>
      </c>
      <c r="AG671" t="n">
        <v>4</v>
      </c>
      <c r="AH671" t="n">
        <v>6</v>
      </c>
      <c r="AI671" t="n">
        <v>6</v>
      </c>
      <c r="AJ671" t="n">
        <v>5</v>
      </c>
      <c r="AK671" t="n">
        <v>5</v>
      </c>
      <c r="AL671" t="n">
        <v>3</v>
      </c>
      <c r="AM671" t="n">
        <v>3</v>
      </c>
      <c r="AN671" t="n">
        <v>0</v>
      </c>
      <c r="AO671" t="n">
        <v>0</v>
      </c>
      <c r="AP671" t="inlineStr">
        <is>
          <t>No</t>
        </is>
      </c>
      <c r="AQ671" t="inlineStr">
        <is>
          <t>No</t>
        </is>
      </c>
      <c r="AS671">
        <f>HYPERLINK("https://creighton-primo.hosted.exlibrisgroup.com/primo-explore/search?tab=default_tab&amp;search_scope=EVERYTHING&amp;vid=01CRU&amp;lang=en_US&amp;offset=0&amp;query=any,contains,991003538699702656","Catalog Record")</f>
        <v/>
      </c>
      <c r="AT671">
        <f>HYPERLINK("http://www.worldcat.org/oclc/44019320","WorldCat Record")</f>
        <v/>
      </c>
      <c r="AU671" t="inlineStr">
        <is>
          <t>800133852:eng</t>
        </is>
      </c>
      <c r="AV671" t="inlineStr">
        <is>
          <t>44019320</t>
        </is>
      </c>
      <c r="AW671" t="inlineStr">
        <is>
          <t>991003538699702656</t>
        </is>
      </c>
      <c r="AX671" t="inlineStr">
        <is>
          <t>991003538699702656</t>
        </is>
      </c>
      <c r="AY671" t="inlineStr">
        <is>
          <t>2262492870002656</t>
        </is>
      </c>
      <c r="AZ671" t="inlineStr">
        <is>
          <t>BOOK</t>
        </is>
      </c>
      <c r="BB671" t="inlineStr">
        <is>
          <t>9780415923040</t>
        </is>
      </c>
      <c r="BC671" t="inlineStr">
        <is>
          <t>32285004331186</t>
        </is>
      </c>
      <c r="BD671" t="inlineStr">
        <is>
          <t>893518583</t>
        </is>
      </c>
    </row>
    <row r="672">
      <c r="A672" t="inlineStr">
        <is>
          <t>No</t>
        </is>
      </c>
      <c r="B672" t="inlineStr">
        <is>
          <t>E183.8.M6 B72</t>
        </is>
      </c>
      <c r="C672" t="inlineStr">
        <is>
          <t>0                      E  0183800M  6                  B  72</t>
        </is>
      </c>
      <c r="D672" t="inlineStr">
        <is>
          <t>Mexico views manifest destiny, 1821-1846 : an essay on the origins of the Mexican War / Gene M. Brack.</t>
        </is>
      </c>
      <c r="F672" t="inlineStr">
        <is>
          <t>No</t>
        </is>
      </c>
      <c r="G672" t="inlineStr">
        <is>
          <t>1</t>
        </is>
      </c>
      <c r="H672" t="inlineStr">
        <is>
          <t>No</t>
        </is>
      </c>
      <c r="I672" t="inlineStr">
        <is>
          <t>No</t>
        </is>
      </c>
      <c r="J672" t="inlineStr">
        <is>
          <t>0</t>
        </is>
      </c>
      <c r="K672" t="inlineStr">
        <is>
          <t>Brack, Gene M.</t>
        </is>
      </c>
      <c r="L672" t="inlineStr">
        <is>
          <t>Albuquerque : University of New Mexico Press, c1975.</t>
        </is>
      </c>
      <c r="M672" t="inlineStr">
        <is>
          <t>1975</t>
        </is>
      </c>
      <c r="N672" t="inlineStr">
        <is>
          <t>1st ed.</t>
        </is>
      </c>
      <c r="O672" t="inlineStr">
        <is>
          <t>eng</t>
        </is>
      </c>
      <c r="P672" t="inlineStr">
        <is>
          <t>nmu</t>
        </is>
      </c>
      <c r="R672" t="inlineStr">
        <is>
          <t xml:space="preserve">E  </t>
        </is>
      </c>
      <c r="S672" t="n">
        <v>14</v>
      </c>
      <c r="T672" t="n">
        <v>14</v>
      </c>
      <c r="U672" t="inlineStr">
        <is>
          <t>1999-11-01</t>
        </is>
      </c>
      <c r="V672" t="inlineStr">
        <is>
          <t>1999-11-01</t>
        </is>
      </c>
      <c r="W672" t="inlineStr">
        <is>
          <t>1991-02-06</t>
        </is>
      </c>
      <c r="X672" t="inlineStr">
        <is>
          <t>1991-02-06</t>
        </is>
      </c>
      <c r="Y672" t="n">
        <v>708</v>
      </c>
      <c r="Z672" t="n">
        <v>648</v>
      </c>
      <c r="AA672" t="n">
        <v>650</v>
      </c>
      <c r="AB672" t="n">
        <v>4</v>
      </c>
      <c r="AC672" t="n">
        <v>4</v>
      </c>
      <c r="AD672" t="n">
        <v>29</v>
      </c>
      <c r="AE672" t="n">
        <v>29</v>
      </c>
      <c r="AF672" t="n">
        <v>11</v>
      </c>
      <c r="AG672" t="n">
        <v>11</v>
      </c>
      <c r="AH672" t="n">
        <v>8</v>
      </c>
      <c r="AI672" t="n">
        <v>8</v>
      </c>
      <c r="AJ672" t="n">
        <v>16</v>
      </c>
      <c r="AK672" t="n">
        <v>16</v>
      </c>
      <c r="AL672" t="n">
        <v>3</v>
      </c>
      <c r="AM672" t="n">
        <v>3</v>
      </c>
      <c r="AN672" t="n">
        <v>0</v>
      </c>
      <c r="AO672" t="n">
        <v>0</v>
      </c>
      <c r="AP672" t="inlineStr">
        <is>
          <t>No</t>
        </is>
      </c>
      <c r="AQ672" t="inlineStr">
        <is>
          <t>Yes</t>
        </is>
      </c>
      <c r="AR672">
        <f>HYPERLINK("http://catalog.hathitrust.org/Record/000704296","HathiTrust Record")</f>
        <v/>
      </c>
      <c r="AS672">
        <f>HYPERLINK("https://creighton-primo.hosted.exlibrisgroup.com/primo-explore/search?tab=default_tab&amp;search_scope=EVERYTHING&amp;vid=01CRU&amp;lang=en_US&amp;offset=0&amp;query=any,contains,991003977309702656","Catalog Record")</f>
        <v/>
      </c>
      <c r="AT672">
        <f>HYPERLINK("http://www.worldcat.org/oclc/2008872","WorldCat Record")</f>
        <v/>
      </c>
      <c r="AU672" t="inlineStr">
        <is>
          <t>2635678:eng</t>
        </is>
      </c>
      <c r="AV672" t="inlineStr">
        <is>
          <t>2008872</t>
        </is>
      </c>
      <c r="AW672" t="inlineStr">
        <is>
          <t>991003977309702656</t>
        </is>
      </c>
      <c r="AX672" t="inlineStr">
        <is>
          <t>991003977309702656</t>
        </is>
      </c>
      <c r="AY672" t="inlineStr">
        <is>
          <t>2263850870002656</t>
        </is>
      </c>
      <c r="AZ672" t="inlineStr">
        <is>
          <t>BOOK</t>
        </is>
      </c>
      <c r="BB672" t="inlineStr">
        <is>
          <t>9780826303936</t>
        </is>
      </c>
      <c r="BC672" t="inlineStr">
        <is>
          <t>32285000481753</t>
        </is>
      </c>
      <c r="BD672" t="inlineStr">
        <is>
          <t>893410962</t>
        </is>
      </c>
    </row>
    <row r="673">
      <c r="A673" t="inlineStr">
        <is>
          <t>No</t>
        </is>
      </c>
      <c r="B673" t="inlineStr">
        <is>
          <t>E183.8.M6 B75 1997</t>
        </is>
      </c>
      <c r="C673" t="inlineStr">
        <is>
          <t>0                      E  0183800M  6                  B  75          1997</t>
        </is>
      </c>
      <c r="D673" t="inlineStr">
        <is>
          <t>Bridging the border : transforming Mexico-U.S. relations / edited by Rodolfo O. de la Garza and Jesús Velasco.</t>
        </is>
      </c>
      <c r="F673" t="inlineStr">
        <is>
          <t>No</t>
        </is>
      </c>
      <c r="G673" t="inlineStr">
        <is>
          <t>1</t>
        </is>
      </c>
      <c r="H673" t="inlineStr">
        <is>
          <t>No</t>
        </is>
      </c>
      <c r="I673" t="inlineStr">
        <is>
          <t>No</t>
        </is>
      </c>
      <c r="J673" t="inlineStr">
        <is>
          <t>0</t>
        </is>
      </c>
      <c r="L673" t="inlineStr">
        <is>
          <t>Lanham, Md. : Rowman &amp; Littlefield, c1997.</t>
        </is>
      </c>
      <c r="M673" t="inlineStr">
        <is>
          <t>1997</t>
        </is>
      </c>
      <c r="O673" t="inlineStr">
        <is>
          <t>eng</t>
        </is>
      </c>
      <c r="P673" t="inlineStr">
        <is>
          <t>mdu</t>
        </is>
      </c>
      <c r="R673" t="inlineStr">
        <is>
          <t xml:space="preserve">E  </t>
        </is>
      </c>
      <c r="S673" t="n">
        <v>3</v>
      </c>
      <c r="T673" t="n">
        <v>3</v>
      </c>
      <c r="U673" t="inlineStr">
        <is>
          <t>2002-10-07</t>
        </is>
      </c>
      <c r="V673" t="inlineStr">
        <is>
          <t>2002-10-07</t>
        </is>
      </c>
      <c r="W673" t="inlineStr">
        <is>
          <t>1998-03-24</t>
        </is>
      </c>
      <c r="X673" t="inlineStr">
        <is>
          <t>1998-03-24</t>
        </is>
      </c>
      <c r="Y673" t="n">
        <v>438</v>
      </c>
      <c r="Z673" t="n">
        <v>392</v>
      </c>
      <c r="AA673" t="n">
        <v>399</v>
      </c>
      <c r="AB673" t="n">
        <v>3</v>
      </c>
      <c r="AC673" t="n">
        <v>3</v>
      </c>
      <c r="AD673" t="n">
        <v>17</v>
      </c>
      <c r="AE673" t="n">
        <v>17</v>
      </c>
      <c r="AF673" t="n">
        <v>3</v>
      </c>
      <c r="AG673" t="n">
        <v>3</v>
      </c>
      <c r="AH673" t="n">
        <v>6</v>
      </c>
      <c r="AI673" t="n">
        <v>6</v>
      </c>
      <c r="AJ673" t="n">
        <v>11</v>
      </c>
      <c r="AK673" t="n">
        <v>11</v>
      </c>
      <c r="AL673" t="n">
        <v>2</v>
      </c>
      <c r="AM673" t="n">
        <v>2</v>
      </c>
      <c r="AN673" t="n">
        <v>1</v>
      </c>
      <c r="AO673" t="n">
        <v>1</v>
      </c>
      <c r="AP673" t="inlineStr">
        <is>
          <t>No</t>
        </is>
      </c>
      <c r="AQ673" t="inlineStr">
        <is>
          <t>Yes</t>
        </is>
      </c>
      <c r="AR673">
        <f>HYPERLINK("http://catalog.hathitrust.org/Record/003183139","HathiTrust Record")</f>
        <v/>
      </c>
      <c r="AS673">
        <f>HYPERLINK("https://creighton-primo.hosted.exlibrisgroup.com/primo-explore/search?tab=default_tab&amp;search_scope=EVERYTHING&amp;vid=01CRU&amp;lang=en_US&amp;offset=0&amp;query=any,contains,991002801629702656","Catalog Record")</f>
        <v/>
      </c>
      <c r="AT673">
        <f>HYPERLINK("http://www.worldcat.org/oclc/36800680","WorldCat Record")</f>
        <v/>
      </c>
      <c r="AU673" t="inlineStr">
        <is>
          <t>836948379:eng</t>
        </is>
      </c>
      <c r="AV673" t="inlineStr">
        <is>
          <t>36800680</t>
        </is>
      </c>
      <c r="AW673" t="inlineStr">
        <is>
          <t>991002801629702656</t>
        </is>
      </c>
      <c r="AX673" t="inlineStr">
        <is>
          <t>991002801629702656</t>
        </is>
      </c>
      <c r="AY673" t="inlineStr">
        <is>
          <t>2256835670002656</t>
        </is>
      </c>
      <c r="AZ673" t="inlineStr">
        <is>
          <t>BOOK</t>
        </is>
      </c>
      <c r="BB673" t="inlineStr">
        <is>
          <t>9780847684380</t>
        </is>
      </c>
      <c r="BC673" t="inlineStr">
        <is>
          <t>32285003380275</t>
        </is>
      </c>
      <c r="BD673" t="inlineStr">
        <is>
          <t>893511213</t>
        </is>
      </c>
    </row>
    <row r="674">
      <c r="A674" t="inlineStr">
        <is>
          <t>No</t>
        </is>
      </c>
      <c r="B674" t="inlineStr">
        <is>
          <t>E183.8.M6 L283 1991</t>
        </is>
      </c>
      <c r="C674" t="inlineStr">
        <is>
          <t>0                      E  0183800M  6                  L  283         1991</t>
        </is>
      </c>
      <c r="D674" t="inlineStr">
        <is>
          <t>Mexico and the United States : the fragile relationship / Lester D. Langley.</t>
        </is>
      </c>
      <c r="F674" t="inlineStr">
        <is>
          <t>No</t>
        </is>
      </c>
      <c r="G674" t="inlineStr">
        <is>
          <t>1</t>
        </is>
      </c>
      <c r="H674" t="inlineStr">
        <is>
          <t>No</t>
        </is>
      </c>
      <c r="I674" t="inlineStr">
        <is>
          <t>No</t>
        </is>
      </c>
      <c r="J674" t="inlineStr">
        <is>
          <t>0</t>
        </is>
      </c>
      <c r="K674" t="inlineStr">
        <is>
          <t>Langley, Lester D.</t>
        </is>
      </c>
      <c r="L674" t="inlineStr">
        <is>
          <t>Boston : Twayne Publishers, c1991.</t>
        </is>
      </c>
      <c r="M674" t="inlineStr">
        <is>
          <t>1991</t>
        </is>
      </c>
      <c r="O674" t="inlineStr">
        <is>
          <t>eng</t>
        </is>
      </c>
      <c r="P674" t="inlineStr">
        <is>
          <t>mau</t>
        </is>
      </c>
      <c r="Q674" t="inlineStr">
        <is>
          <t>Twayne's international history series ; no. 8</t>
        </is>
      </c>
      <c r="R674" t="inlineStr">
        <is>
          <t xml:space="preserve">E  </t>
        </is>
      </c>
      <c r="S674" t="n">
        <v>10</v>
      </c>
      <c r="T674" t="n">
        <v>10</v>
      </c>
      <c r="U674" t="inlineStr">
        <is>
          <t>1999-10-18</t>
        </is>
      </c>
      <c r="V674" t="inlineStr">
        <is>
          <t>1999-10-18</t>
        </is>
      </c>
      <c r="W674" t="inlineStr">
        <is>
          <t>1991-11-04</t>
        </is>
      </c>
      <c r="X674" t="inlineStr">
        <is>
          <t>1991-11-04</t>
        </is>
      </c>
      <c r="Y674" t="n">
        <v>738</v>
      </c>
      <c r="Z674" t="n">
        <v>679</v>
      </c>
      <c r="AA674" t="n">
        <v>687</v>
      </c>
      <c r="AB674" t="n">
        <v>4</v>
      </c>
      <c r="AC674" t="n">
        <v>4</v>
      </c>
      <c r="AD674" t="n">
        <v>27</v>
      </c>
      <c r="AE674" t="n">
        <v>27</v>
      </c>
      <c r="AF674" t="n">
        <v>11</v>
      </c>
      <c r="AG674" t="n">
        <v>11</v>
      </c>
      <c r="AH674" t="n">
        <v>7</v>
      </c>
      <c r="AI674" t="n">
        <v>7</v>
      </c>
      <c r="AJ674" t="n">
        <v>13</v>
      </c>
      <c r="AK674" t="n">
        <v>13</v>
      </c>
      <c r="AL674" t="n">
        <v>2</v>
      </c>
      <c r="AM674" t="n">
        <v>2</v>
      </c>
      <c r="AN674" t="n">
        <v>0</v>
      </c>
      <c r="AO674" t="n">
        <v>0</v>
      </c>
      <c r="AP674" t="inlineStr">
        <is>
          <t>No</t>
        </is>
      </c>
      <c r="AQ674" t="inlineStr">
        <is>
          <t>Yes</t>
        </is>
      </c>
      <c r="AR674">
        <f>HYPERLINK("http://catalog.hathitrust.org/Record/002481942","HathiTrust Record")</f>
        <v/>
      </c>
      <c r="AS674">
        <f>HYPERLINK("https://creighton-primo.hosted.exlibrisgroup.com/primo-explore/search?tab=default_tab&amp;search_scope=EVERYTHING&amp;vid=01CRU&amp;lang=en_US&amp;offset=0&amp;query=any,contains,991001827209702656","Catalog Record")</f>
        <v/>
      </c>
      <c r="AT674">
        <f>HYPERLINK("http://www.worldcat.org/oclc/22954039","WorldCat Record")</f>
        <v/>
      </c>
      <c r="AU674" t="inlineStr">
        <is>
          <t>890264648:eng</t>
        </is>
      </c>
      <c r="AV674" t="inlineStr">
        <is>
          <t>22954039</t>
        </is>
      </c>
      <c r="AW674" t="inlineStr">
        <is>
          <t>991001827209702656</t>
        </is>
      </c>
      <c r="AX674" t="inlineStr">
        <is>
          <t>991001827209702656</t>
        </is>
      </c>
      <c r="AY674" t="inlineStr">
        <is>
          <t>2263933920002656</t>
        </is>
      </c>
      <c r="AZ674" t="inlineStr">
        <is>
          <t>BOOK</t>
        </is>
      </c>
      <c r="BB674" t="inlineStr">
        <is>
          <t>9780805792096</t>
        </is>
      </c>
      <c r="BC674" t="inlineStr">
        <is>
          <t>32285000729086</t>
        </is>
      </c>
      <c r="BD674" t="inlineStr">
        <is>
          <t>893779113</t>
        </is>
      </c>
    </row>
    <row r="675">
      <c r="A675" t="inlineStr">
        <is>
          <t>No</t>
        </is>
      </c>
      <c r="B675" t="inlineStr">
        <is>
          <t>E183.8.M6 L53 1998</t>
        </is>
      </c>
      <c r="C675" t="inlineStr">
        <is>
          <t>0                      E  0183800M  6                  L  53          1998</t>
        </is>
      </c>
      <c r="D675" t="inlineStr">
        <is>
          <t>American encounters : greater Mexico, the United States, and the erotics of culture / Jose E. Limon.</t>
        </is>
      </c>
      <c r="F675" t="inlineStr">
        <is>
          <t>No</t>
        </is>
      </c>
      <c r="G675" t="inlineStr">
        <is>
          <t>1</t>
        </is>
      </c>
      <c r="H675" t="inlineStr">
        <is>
          <t>No</t>
        </is>
      </c>
      <c r="I675" t="inlineStr">
        <is>
          <t>No</t>
        </is>
      </c>
      <c r="J675" t="inlineStr">
        <is>
          <t>0</t>
        </is>
      </c>
      <c r="K675" t="inlineStr">
        <is>
          <t>Limón, José Eduardo.</t>
        </is>
      </c>
      <c r="L675" t="inlineStr">
        <is>
          <t>Boston : Beacon Press, c1998.</t>
        </is>
      </c>
      <c r="M675" t="inlineStr">
        <is>
          <t>1998</t>
        </is>
      </c>
      <c r="O675" t="inlineStr">
        <is>
          <t>eng</t>
        </is>
      </c>
      <c r="P675" t="inlineStr">
        <is>
          <t>mau</t>
        </is>
      </c>
      <c r="R675" t="inlineStr">
        <is>
          <t xml:space="preserve">E  </t>
        </is>
      </c>
      <c r="S675" t="n">
        <v>1</v>
      </c>
      <c r="T675" t="n">
        <v>1</v>
      </c>
      <c r="U675" t="inlineStr">
        <is>
          <t>2004-03-03</t>
        </is>
      </c>
      <c r="V675" t="inlineStr">
        <is>
          <t>2004-03-03</t>
        </is>
      </c>
      <c r="W675" t="inlineStr">
        <is>
          <t>2004-03-03</t>
        </is>
      </c>
      <c r="X675" t="inlineStr">
        <is>
          <t>2004-03-03</t>
        </is>
      </c>
      <c r="Y675" t="n">
        <v>435</v>
      </c>
      <c r="Z675" t="n">
        <v>403</v>
      </c>
      <c r="AA675" t="n">
        <v>410</v>
      </c>
      <c r="AB675" t="n">
        <v>3</v>
      </c>
      <c r="AC675" t="n">
        <v>3</v>
      </c>
      <c r="AD675" t="n">
        <v>20</v>
      </c>
      <c r="AE675" t="n">
        <v>20</v>
      </c>
      <c r="AF675" t="n">
        <v>6</v>
      </c>
      <c r="AG675" t="n">
        <v>6</v>
      </c>
      <c r="AH675" t="n">
        <v>6</v>
      </c>
      <c r="AI675" t="n">
        <v>6</v>
      </c>
      <c r="AJ675" t="n">
        <v>10</v>
      </c>
      <c r="AK675" t="n">
        <v>10</v>
      </c>
      <c r="AL675" t="n">
        <v>2</v>
      </c>
      <c r="AM675" t="n">
        <v>2</v>
      </c>
      <c r="AN675" t="n">
        <v>0</v>
      </c>
      <c r="AO675" t="n">
        <v>0</v>
      </c>
      <c r="AP675" t="inlineStr">
        <is>
          <t>No</t>
        </is>
      </c>
      <c r="AQ675" t="inlineStr">
        <is>
          <t>Yes</t>
        </is>
      </c>
      <c r="AR675">
        <f>HYPERLINK("http://catalog.hathitrust.org/Record/004005352","HathiTrust Record")</f>
        <v/>
      </c>
      <c r="AS675">
        <f>HYPERLINK("https://creighton-primo.hosted.exlibrisgroup.com/primo-explore/search?tab=default_tab&amp;search_scope=EVERYTHING&amp;vid=01CRU&amp;lang=en_US&amp;offset=0&amp;query=any,contains,991004246749702656","Catalog Record")</f>
        <v/>
      </c>
      <c r="AT675">
        <f>HYPERLINK("http://www.worldcat.org/oclc/38890831","WorldCat Record")</f>
        <v/>
      </c>
      <c r="AU675" t="inlineStr">
        <is>
          <t>287236967:eng</t>
        </is>
      </c>
      <c r="AV675" t="inlineStr">
        <is>
          <t>38890831</t>
        </is>
      </c>
      <c r="AW675" t="inlineStr">
        <is>
          <t>991004246749702656</t>
        </is>
      </c>
      <c r="AX675" t="inlineStr">
        <is>
          <t>991004246749702656</t>
        </is>
      </c>
      <c r="AY675" t="inlineStr">
        <is>
          <t>2265185680002656</t>
        </is>
      </c>
      <c r="AZ675" t="inlineStr">
        <is>
          <t>BOOK</t>
        </is>
      </c>
      <c r="BB675" t="inlineStr">
        <is>
          <t>9780807002360</t>
        </is>
      </c>
      <c r="BC675" t="inlineStr">
        <is>
          <t>32285004891650</t>
        </is>
      </c>
      <c r="BD675" t="inlineStr">
        <is>
          <t>893706144</t>
        </is>
      </c>
    </row>
    <row r="676">
      <c r="A676" t="inlineStr">
        <is>
          <t>No</t>
        </is>
      </c>
      <c r="B676" t="inlineStr">
        <is>
          <t>E183.8.M6 M464 1988</t>
        </is>
      </c>
      <c r="C676" t="inlineStr">
        <is>
          <t>0                      E  0183800M  6                  M  464         1988</t>
        </is>
      </c>
      <c r="D676" t="inlineStr">
        <is>
          <t>Mexico and the United States : managing the relationship / edited by Riordan Roett.</t>
        </is>
      </c>
      <c r="F676" t="inlineStr">
        <is>
          <t>No</t>
        </is>
      </c>
      <c r="G676" t="inlineStr">
        <is>
          <t>1</t>
        </is>
      </c>
      <c r="H676" t="inlineStr">
        <is>
          <t>No</t>
        </is>
      </c>
      <c r="I676" t="inlineStr">
        <is>
          <t>No</t>
        </is>
      </c>
      <c r="J676" t="inlineStr">
        <is>
          <t>0</t>
        </is>
      </c>
      <c r="L676" t="inlineStr">
        <is>
          <t>Boulder : Westview Press, 1988.</t>
        </is>
      </c>
      <c r="M676" t="inlineStr">
        <is>
          <t>1988</t>
        </is>
      </c>
      <c r="O676" t="inlineStr">
        <is>
          <t>eng</t>
        </is>
      </c>
      <c r="P676" t="inlineStr">
        <is>
          <t>cou</t>
        </is>
      </c>
      <c r="Q676" t="inlineStr">
        <is>
          <t>Westview special studies on Latin America and the Caribbean</t>
        </is>
      </c>
      <c r="R676" t="inlineStr">
        <is>
          <t xml:space="preserve">E  </t>
        </is>
      </c>
      <c r="S676" t="n">
        <v>6</v>
      </c>
      <c r="T676" t="n">
        <v>6</v>
      </c>
      <c r="U676" t="inlineStr">
        <is>
          <t>2002-10-07</t>
        </is>
      </c>
      <c r="V676" t="inlineStr">
        <is>
          <t>2002-10-07</t>
        </is>
      </c>
      <c r="W676" t="inlineStr">
        <is>
          <t>1992-12-15</t>
        </is>
      </c>
      <c r="X676" t="inlineStr">
        <is>
          <t>1992-12-15</t>
        </is>
      </c>
      <c r="Y676" t="n">
        <v>428</v>
      </c>
      <c r="Z676" t="n">
        <v>369</v>
      </c>
      <c r="AA676" t="n">
        <v>376</v>
      </c>
      <c r="AB676" t="n">
        <v>5</v>
      </c>
      <c r="AC676" t="n">
        <v>5</v>
      </c>
      <c r="AD676" t="n">
        <v>19</v>
      </c>
      <c r="AE676" t="n">
        <v>19</v>
      </c>
      <c r="AF676" t="n">
        <v>5</v>
      </c>
      <c r="AG676" t="n">
        <v>5</v>
      </c>
      <c r="AH676" t="n">
        <v>5</v>
      </c>
      <c r="AI676" t="n">
        <v>5</v>
      </c>
      <c r="AJ676" t="n">
        <v>11</v>
      </c>
      <c r="AK676" t="n">
        <v>11</v>
      </c>
      <c r="AL676" t="n">
        <v>4</v>
      </c>
      <c r="AM676" t="n">
        <v>4</v>
      </c>
      <c r="AN676" t="n">
        <v>0</v>
      </c>
      <c r="AO676" t="n">
        <v>0</v>
      </c>
      <c r="AP676" t="inlineStr">
        <is>
          <t>No</t>
        </is>
      </c>
      <c r="AQ676" t="inlineStr">
        <is>
          <t>Yes</t>
        </is>
      </c>
      <c r="AR676">
        <f>HYPERLINK("http://catalog.hathitrust.org/Record/001072318","HathiTrust Record")</f>
        <v/>
      </c>
      <c r="AS676">
        <f>HYPERLINK("https://creighton-primo.hosted.exlibrisgroup.com/primo-explore/search?tab=default_tab&amp;search_scope=EVERYTHING&amp;vid=01CRU&amp;lang=en_US&amp;offset=0&amp;query=any,contains,991001341539702656","Catalog Record")</f>
        <v/>
      </c>
      <c r="AT676">
        <f>HYPERLINK("http://www.worldcat.org/oclc/18383039","WorldCat Record")</f>
        <v/>
      </c>
      <c r="AU676" t="inlineStr">
        <is>
          <t>836718542:eng</t>
        </is>
      </c>
      <c r="AV676" t="inlineStr">
        <is>
          <t>18383039</t>
        </is>
      </c>
      <c r="AW676" t="inlineStr">
        <is>
          <t>991001341539702656</t>
        </is>
      </c>
      <c r="AX676" t="inlineStr">
        <is>
          <t>991001341539702656</t>
        </is>
      </c>
      <c r="AY676" t="inlineStr">
        <is>
          <t>2259102420002656</t>
        </is>
      </c>
      <c r="AZ676" t="inlineStr">
        <is>
          <t>BOOK</t>
        </is>
      </c>
      <c r="BB676" t="inlineStr">
        <is>
          <t>9780813376585</t>
        </is>
      </c>
      <c r="BC676" t="inlineStr">
        <is>
          <t>32285001442515</t>
        </is>
      </c>
      <c r="BD676" t="inlineStr">
        <is>
          <t>893878810</t>
        </is>
      </c>
    </row>
    <row r="677">
      <c r="A677" t="inlineStr">
        <is>
          <t>No</t>
        </is>
      </c>
      <c r="B677" t="inlineStr">
        <is>
          <t>E183.8.M6 P23 1988</t>
        </is>
      </c>
      <c r="C677" t="inlineStr">
        <is>
          <t>0                      E  0183800M  6                  P  23          1988</t>
        </is>
      </c>
      <c r="D677" t="inlineStr">
        <is>
          <t>Limits to friendship : the United States and Mexico / Robert A. Pastor and Jorge G. Castañeda.</t>
        </is>
      </c>
      <c r="F677" t="inlineStr">
        <is>
          <t>No</t>
        </is>
      </c>
      <c r="G677" t="inlineStr">
        <is>
          <t>1</t>
        </is>
      </c>
      <c r="H677" t="inlineStr">
        <is>
          <t>No</t>
        </is>
      </c>
      <c r="I677" t="inlineStr">
        <is>
          <t>No</t>
        </is>
      </c>
      <c r="J677" t="inlineStr">
        <is>
          <t>0</t>
        </is>
      </c>
      <c r="K677" t="inlineStr">
        <is>
          <t>Pastor, Robert A.</t>
        </is>
      </c>
      <c r="L677" t="inlineStr">
        <is>
          <t>New York : Knopf : Distributed by Random House, 1988.</t>
        </is>
      </c>
      <c r="M677" t="inlineStr">
        <is>
          <t>1988</t>
        </is>
      </c>
      <c r="N677" t="inlineStr">
        <is>
          <t>1st ed.</t>
        </is>
      </c>
      <c r="O677" t="inlineStr">
        <is>
          <t>eng</t>
        </is>
      </c>
      <c r="P677" t="inlineStr">
        <is>
          <t>nyu</t>
        </is>
      </c>
      <c r="R677" t="inlineStr">
        <is>
          <t xml:space="preserve">E  </t>
        </is>
      </c>
      <c r="S677" t="n">
        <v>5</v>
      </c>
      <c r="T677" t="n">
        <v>5</v>
      </c>
      <c r="U677" t="inlineStr">
        <is>
          <t>1999-10-18</t>
        </is>
      </c>
      <c r="V677" t="inlineStr">
        <is>
          <t>1999-10-18</t>
        </is>
      </c>
      <c r="W677" t="inlineStr">
        <is>
          <t>1990-05-10</t>
        </is>
      </c>
      <c r="X677" t="inlineStr">
        <is>
          <t>1990-05-10</t>
        </is>
      </c>
      <c r="Y677" t="n">
        <v>830</v>
      </c>
      <c r="Z677" t="n">
        <v>775</v>
      </c>
      <c r="AA677" t="n">
        <v>954</v>
      </c>
      <c r="AB677" t="n">
        <v>2</v>
      </c>
      <c r="AC677" t="n">
        <v>3</v>
      </c>
      <c r="AD677" t="n">
        <v>23</v>
      </c>
      <c r="AE677" t="n">
        <v>31</v>
      </c>
      <c r="AF677" t="n">
        <v>10</v>
      </c>
      <c r="AG677" t="n">
        <v>13</v>
      </c>
      <c r="AH677" t="n">
        <v>6</v>
      </c>
      <c r="AI677" t="n">
        <v>7</v>
      </c>
      <c r="AJ677" t="n">
        <v>12</v>
      </c>
      <c r="AK677" t="n">
        <v>16</v>
      </c>
      <c r="AL677" t="n">
        <v>1</v>
      </c>
      <c r="AM677" t="n">
        <v>2</v>
      </c>
      <c r="AN677" t="n">
        <v>0</v>
      </c>
      <c r="AO677" t="n">
        <v>0</v>
      </c>
      <c r="AP677" t="inlineStr">
        <is>
          <t>No</t>
        </is>
      </c>
      <c r="AQ677" t="inlineStr">
        <is>
          <t>Yes</t>
        </is>
      </c>
      <c r="AR677">
        <f>HYPERLINK("http://catalog.hathitrust.org/Record/001085396","HathiTrust Record")</f>
        <v/>
      </c>
      <c r="AS677">
        <f>HYPERLINK("https://creighton-primo.hosted.exlibrisgroup.com/primo-explore/search?tab=default_tab&amp;search_scope=EVERYTHING&amp;vid=01CRU&amp;lang=en_US&amp;offset=0&amp;query=any,contains,991001347519702656","Catalog Record")</f>
        <v/>
      </c>
      <c r="AT677">
        <f>HYPERLINK("http://www.worldcat.org/oclc/18415849","WorldCat Record")</f>
        <v/>
      </c>
      <c r="AU677" t="inlineStr">
        <is>
          <t>17480279:eng</t>
        </is>
      </c>
      <c r="AV677" t="inlineStr">
        <is>
          <t>18415849</t>
        </is>
      </c>
      <c r="AW677" t="inlineStr">
        <is>
          <t>991001347519702656</t>
        </is>
      </c>
      <c r="AX677" t="inlineStr">
        <is>
          <t>991001347519702656</t>
        </is>
      </c>
      <c r="AY677" t="inlineStr">
        <is>
          <t>2258740330002656</t>
        </is>
      </c>
      <c r="AZ677" t="inlineStr">
        <is>
          <t>BOOK</t>
        </is>
      </c>
      <c r="BB677" t="inlineStr">
        <is>
          <t>9780394558400</t>
        </is>
      </c>
      <c r="BC677" t="inlineStr">
        <is>
          <t>32285000135920</t>
        </is>
      </c>
      <c r="BD677" t="inlineStr">
        <is>
          <t>893709189</t>
        </is>
      </c>
    </row>
    <row r="678">
      <c r="A678" t="inlineStr">
        <is>
          <t>No</t>
        </is>
      </c>
      <c r="B678" t="inlineStr">
        <is>
          <t>E183.8.M6 T6513 1992</t>
        </is>
      </c>
      <c r="C678" t="inlineStr">
        <is>
          <t>0                      E  0183800M  6                  T  6513        1992</t>
        </is>
      </c>
      <c r="D678" t="inlineStr">
        <is>
          <t>The difficult triangle : Mexico, Central America, and the United States / H. Rodrigo Jauberth ... [et al.].</t>
        </is>
      </c>
      <c r="F678" t="inlineStr">
        <is>
          <t>No</t>
        </is>
      </c>
      <c r="G678" t="inlineStr">
        <is>
          <t>1</t>
        </is>
      </c>
      <c r="H678" t="inlineStr">
        <is>
          <t>No</t>
        </is>
      </c>
      <c r="I678" t="inlineStr">
        <is>
          <t>No</t>
        </is>
      </c>
      <c r="J678" t="inlineStr">
        <is>
          <t>0</t>
        </is>
      </c>
      <c r="K678" t="inlineStr">
        <is>
          <t>Triangulación Centroamérica-México-EUA. English.</t>
        </is>
      </c>
      <c r="L678" t="inlineStr">
        <is>
          <t>Boulder : Westview Press, 1992.</t>
        </is>
      </c>
      <c r="M678" t="inlineStr">
        <is>
          <t>1992</t>
        </is>
      </c>
      <c r="O678" t="inlineStr">
        <is>
          <t>eng</t>
        </is>
      </c>
      <c r="P678" t="inlineStr">
        <is>
          <t>cou</t>
        </is>
      </c>
      <c r="R678" t="inlineStr">
        <is>
          <t xml:space="preserve">E  </t>
        </is>
      </c>
      <c r="S678" t="n">
        <v>2</v>
      </c>
      <c r="T678" t="n">
        <v>2</v>
      </c>
      <c r="U678" t="inlineStr">
        <is>
          <t>1993-04-21</t>
        </is>
      </c>
      <c r="V678" t="inlineStr">
        <is>
          <t>1993-04-21</t>
        </is>
      </c>
      <c r="W678" t="inlineStr">
        <is>
          <t>1993-01-05</t>
        </is>
      </c>
      <c r="X678" t="inlineStr">
        <is>
          <t>1993-01-05</t>
        </is>
      </c>
      <c r="Y678" t="n">
        <v>448</v>
      </c>
      <c r="Z678" t="n">
        <v>393</v>
      </c>
      <c r="AA678" t="n">
        <v>415</v>
      </c>
      <c r="AB678" t="n">
        <v>4</v>
      </c>
      <c r="AC678" t="n">
        <v>4</v>
      </c>
      <c r="AD678" t="n">
        <v>17</v>
      </c>
      <c r="AE678" t="n">
        <v>17</v>
      </c>
      <c r="AF678" t="n">
        <v>5</v>
      </c>
      <c r="AG678" t="n">
        <v>5</v>
      </c>
      <c r="AH678" t="n">
        <v>7</v>
      </c>
      <c r="AI678" t="n">
        <v>7</v>
      </c>
      <c r="AJ678" t="n">
        <v>8</v>
      </c>
      <c r="AK678" t="n">
        <v>8</v>
      </c>
      <c r="AL678" t="n">
        <v>3</v>
      </c>
      <c r="AM678" t="n">
        <v>3</v>
      </c>
      <c r="AN678" t="n">
        <v>0</v>
      </c>
      <c r="AO678" t="n">
        <v>0</v>
      </c>
      <c r="AP678" t="inlineStr">
        <is>
          <t>No</t>
        </is>
      </c>
      <c r="AQ678" t="inlineStr">
        <is>
          <t>Yes</t>
        </is>
      </c>
      <c r="AR678">
        <f>HYPERLINK("http://catalog.hathitrust.org/Record/002536533","HathiTrust Record")</f>
        <v/>
      </c>
      <c r="AS678">
        <f>HYPERLINK("https://creighton-primo.hosted.exlibrisgroup.com/primo-explore/search?tab=default_tab&amp;search_scope=EVERYTHING&amp;vid=01CRU&amp;lang=en_US&amp;offset=0&amp;query=any,contains,991001951789702656","Catalog Record")</f>
        <v/>
      </c>
      <c r="AT678">
        <f>HYPERLINK("http://www.worldcat.org/oclc/24670418","WorldCat Record")</f>
        <v/>
      </c>
      <c r="AU678" t="inlineStr">
        <is>
          <t>26738324:eng</t>
        </is>
      </c>
      <c r="AV678" t="inlineStr">
        <is>
          <t>24670418</t>
        </is>
      </c>
      <c r="AW678" t="inlineStr">
        <is>
          <t>991001951789702656</t>
        </is>
      </c>
      <c r="AX678" t="inlineStr">
        <is>
          <t>991001951789702656</t>
        </is>
      </c>
      <c r="AY678" t="inlineStr">
        <is>
          <t>2267355180002656</t>
        </is>
      </c>
      <c r="AZ678" t="inlineStr">
        <is>
          <t>BOOK</t>
        </is>
      </c>
      <c r="BB678" t="inlineStr">
        <is>
          <t>9780813382036</t>
        </is>
      </c>
      <c r="BC678" t="inlineStr">
        <is>
          <t>32285001404226</t>
        </is>
      </c>
      <c r="BD678" t="inlineStr">
        <is>
          <t>893866622</t>
        </is>
      </c>
    </row>
    <row r="679">
      <c r="A679" t="inlineStr">
        <is>
          <t>No</t>
        </is>
      </c>
      <c r="B679" t="inlineStr">
        <is>
          <t>E183.8.M6 U582 1987</t>
        </is>
      </c>
      <c r="C679" t="inlineStr">
        <is>
          <t>0                      E  0183800M  6                  U  582         1987</t>
        </is>
      </c>
      <c r="D679" t="inlineStr">
        <is>
          <t>The United States and Mexico : face to face with new technology / [edited by] Cathryn L. Thorup ; and contributors, Alan Madian ... [et al.].</t>
        </is>
      </c>
      <c r="F679" t="inlineStr">
        <is>
          <t>No</t>
        </is>
      </c>
      <c r="G679" t="inlineStr">
        <is>
          <t>1</t>
        </is>
      </c>
      <c r="H679" t="inlineStr">
        <is>
          <t>No</t>
        </is>
      </c>
      <c r="I679" t="inlineStr">
        <is>
          <t>No</t>
        </is>
      </c>
      <c r="J679" t="inlineStr">
        <is>
          <t>0</t>
        </is>
      </c>
      <c r="L679" t="inlineStr">
        <is>
          <t>New Brunswick (USA) : Transaction Books, c1987.</t>
        </is>
      </c>
      <c r="M679" t="inlineStr">
        <is>
          <t>1987</t>
        </is>
      </c>
      <c r="O679" t="inlineStr">
        <is>
          <t>eng</t>
        </is>
      </c>
      <c r="P679" t="inlineStr">
        <is>
          <t>nju</t>
        </is>
      </c>
      <c r="Q679" t="inlineStr">
        <is>
          <t>U.S.-Third World policy perspectives ; no. 8</t>
        </is>
      </c>
      <c r="R679" t="inlineStr">
        <is>
          <t xml:space="preserve">E  </t>
        </is>
      </c>
      <c r="S679" t="n">
        <v>2</v>
      </c>
      <c r="T679" t="n">
        <v>2</v>
      </c>
      <c r="U679" t="inlineStr">
        <is>
          <t>1992-09-29</t>
        </is>
      </c>
      <c r="V679" t="inlineStr">
        <is>
          <t>1992-09-29</t>
        </is>
      </c>
      <c r="W679" t="inlineStr">
        <is>
          <t>1991-02-06</t>
        </is>
      </c>
      <c r="X679" t="inlineStr">
        <is>
          <t>1991-02-06</t>
        </is>
      </c>
      <c r="Y679" t="n">
        <v>373</v>
      </c>
      <c r="Z679" t="n">
        <v>315</v>
      </c>
      <c r="AA679" t="n">
        <v>332</v>
      </c>
      <c r="AB679" t="n">
        <v>4</v>
      </c>
      <c r="AC679" t="n">
        <v>4</v>
      </c>
      <c r="AD679" t="n">
        <v>11</v>
      </c>
      <c r="AE679" t="n">
        <v>13</v>
      </c>
      <c r="AF679" t="n">
        <v>1</v>
      </c>
      <c r="AG679" t="n">
        <v>2</v>
      </c>
      <c r="AH679" t="n">
        <v>3</v>
      </c>
      <c r="AI679" t="n">
        <v>4</v>
      </c>
      <c r="AJ679" t="n">
        <v>7</v>
      </c>
      <c r="AK679" t="n">
        <v>7</v>
      </c>
      <c r="AL679" t="n">
        <v>3</v>
      </c>
      <c r="AM679" t="n">
        <v>3</v>
      </c>
      <c r="AN679" t="n">
        <v>0</v>
      </c>
      <c r="AO679" t="n">
        <v>0</v>
      </c>
      <c r="AP679" t="inlineStr">
        <is>
          <t>No</t>
        </is>
      </c>
      <c r="AQ679" t="inlineStr">
        <is>
          <t>Yes</t>
        </is>
      </c>
      <c r="AR679">
        <f>HYPERLINK("http://catalog.hathitrust.org/Record/000949382","HathiTrust Record")</f>
        <v/>
      </c>
      <c r="AS679">
        <f>HYPERLINK("https://creighton-primo.hosted.exlibrisgroup.com/primo-explore/search?tab=default_tab&amp;search_scope=EVERYTHING&amp;vid=01CRU&amp;lang=en_US&amp;offset=0&amp;query=any,contains,991000866909702656","Catalog Record")</f>
        <v/>
      </c>
      <c r="AT679">
        <f>HYPERLINK("http://www.worldcat.org/oclc/13760005","WorldCat Record")</f>
        <v/>
      </c>
      <c r="AU679" t="inlineStr">
        <is>
          <t>836654615:eng</t>
        </is>
      </c>
      <c r="AV679" t="inlineStr">
        <is>
          <t>13760005</t>
        </is>
      </c>
      <c r="AW679" t="inlineStr">
        <is>
          <t>991000866909702656</t>
        </is>
      </c>
      <c r="AX679" t="inlineStr">
        <is>
          <t>991000866909702656</t>
        </is>
      </c>
      <c r="AY679" t="inlineStr">
        <is>
          <t>2266351710002656</t>
        </is>
      </c>
      <c r="AZ679" t="inlineStr">
        <is>
          <t>BOOK</t>
        </is>
      </c>
      <c r="BB679" t="inlineStr">
        <is>
          <t>9780887381201</t>
        </is>
      </c>
      <c r="BC679" t="inlineStr">
        <is>
          <t>32285000481860</t>
        </is>
      </c>
      <c r="BD679" t="inlineStr">
        <is>
          <t>893225393</t>
        </is>
      </c>
    </row>
    <row r="680">
      <c r="A680" t="inlineStr">
        <is>
          <t>No</t>
        </is>
      </c>
      <c r="B680" t="inlineStr">
        <is>
          <t>E183.8.M6 U6</t>
        </is>
      </c>
      <c r="C680" t="inlineStr">
        <is>
          <t>0                      E  0183800M  6                  U  6</t>
        </is>
      </c>
      <c r="D680" t="inlineStr">
        <is>
          <t>United States relations with Mexico : context and content / edited by Richard D. Erb and Stanley R. Ross.</t>
        </is>
      </c>
      <c r="F680" t="inlineStr">
        <is>
          <t>No</t>
        </is>
      </c>
      <c r="G680" t="inlineStr">
        <is>
          <t>1</t>
        </is>
      </c>
      <c r="H680" t="inlineStr">
        <is>
          <t>No</t>
        </is>
      </c>
      <c r="I680" t="inlineStr">
        <is>
          <t>No</t>
        </is>
      </c>
      <c r="J680" t="inlineStr">
        <is>
          <t>0</t>
        </is>
      </c>
      <c r="L680" t="inlineStr">
        <is>
          <t>Washington : American Enterprise Institute for Public Policy Research, c1981.</t>
        </is>
      </c>
      <c r="M680" t="inlineStr">
        <is>
          <t>1981</t>
        </is>
      </c>
      <c r="O680" t="inlineStr">
        <is>
          <t>eng</t>
        </is>
      </c>
      <c r="P680" t="inlineStr">
        <is>
          <t>dcu</t>
        </is>
      </c>
      <c r="R680" t="inlineStr">
        <is>
          <t xml:space="preserve">E  </t>
        </is>
      </c>
      <c r="S680" t="n">
        <v>5</v>
      </c>
      <c r="T680" t="n">
        <v>5</v>
      </c>
      <c r="U680" t="inlineStr">
        <is>
          <t>2000-02-08</t>
        </is>
      </c>
      <c r="V680" t="inlineStr">
        <is>
          <t>2000-02-08</t>
        </is>
      </c>
      <c r="W680" t="inlineStr">
        <is>
          <t>1991-02-06</t>
        </is>
      </c>
      <c r="X680" t="inlineStr">
        <is>
          <t>1991-02-06</t>
        </is>
      </c>
      <c r="Y680" t="n">
        <v>691</v>
      </c>
      <c r="Z680" t="n">
        <v>632</v>
      </c>
      <c r="AA680" t="n">
        <v>653</v>
      </c>
      <c r="AB680" t="n">
        <v>6</v>
      </c>
      <c r="AC680" t="n">
        <v>6</v>
      </c>
      <c r="AD680" t="n">
        <v>27</v>
      </c>
      <c r="AE680" t="n">
        <v>28</v>
      </c>
      <c r="AF680" t="n">
        <v>8</v>
      </c>
      <c r="AG680" t="n">
        <v>8</v>
      </c>
      <c r="AH680" t="n">
        <v>7</v>
      </c>
      <c r="AI680" t="n">
        <v>7</v>
      </c>
      <c r="AJ680" t="n">
        <v>14</v>
      </c>
      <c r="AK680" t="n">
        <v>14</v>
      </c>
      <c r="AL680" t="n">
        <v>5</v>
      </c>
      <c r="AM680" t="n">
        <v>5</v>
      </c>
      <c r="AN680" t="n">
        <v>2</v>
      </c>
      <c r="AO680" t="n">
        <v>3</v>
      </c>
      <c r="AP680" t="inlineStr">
        <is>
          <t>No</t>
        </is>
      </c>
      <c r="AQ680" t="inlineStr">
        <is>
          <t>Yes</t>
        </is>
      </c>
      <c r="AR680">
        <f>HYPERLINK("http://catalog.hathitrust.org/Record/000263239","HathiTrust Record")</f>
        <v/>
      </c>
      <c r="AS680">
        <f>HYPERLINK("https://creighton-primo.hosted.exlibrisgroup.com/primo-explore/search?tab=default_tab&amp;search_scope=EVERYTHING&amp;vid=01CRU&amp;lang=en_US&amp;offset=0&amp;query=any,contains,991005178939702656","Catalog Record")</f>
        <v/>
      </c>
      <c r="AT680">
        <f>HYPERLINK("http://www.worldcat.org/oclc/7935752","WorldCat Record")</f>
        <v/>
      </c>
      <c r="AU680" t="inlineStr">
        <is>
          <t>365481134:eng</t>
        </is>
      </c>
      <c r="AV680" t="inlineStr">
        <is>
          <t>7935752</t>
        </is>
      </c>
      <c r="AW680" t="inlineStr">
        <is>
          <t>991005178939702656</t>
        </is>
      </c>
      <c r="AX680" t="inlineStr">
        <is>
          <t>991005178939702656</t>
        </is>
      </c>
      <c r="AY680" t="inlineStr">
        <is>
          <t>2270170860002656</t>
        </is>
      </c>
      <c r="AZ680" t="inlineStr">
        <is>
          <t>BOOK</t>
        </is>
      </c>
      <c r="BB680" t="inlineStr">
        <is>
          <t>9780844713434</t>
        </is>
      </c>
      <c r="BC680" t="inlineStr">
        <is>
          <t>32285000481878</t>
        </is>
      </c>
      <c r="BD680" t="inlineStr">
        <is>
          <t>893507739</t>
        </is>
      </c>
    </row>
    <row r="681">
      <c r="A681" t="inlineStr">
        <is>
          <t>No</t>
        </is>
      </c>
      <c r="B681" t="inlineStr">
        <is>
          <t>E183.8.M6 V5</t>
        </is>
      </c>
      <c r="C681" t="inlineStr">
        <is>
          <t>0                      E  0183800M  6                  V  5</t>
        </is>
      </c>
      <c r="D681" t="inlineStr">
        <is>
          <t>Views across the border : the United States and Mexico / edited with an introduction by Stanley R. Ross. --</t>
        </is>
      </c>
      <c r="F681" t="inlineStr">
        <is>
          <t>No</t>
        </is>
      </c>
      <c r="G681" t="inlineStr">
        <is>
          <t>1</t>
        </is>
      </c>
      <c r="H681" t="inlineStr">
        <is>
          <t>No</t>
        </is>
      </c>
      <c r="I681" t="inlineStr">
        <is>
          <t>No</t>
        </is>
      </c>
      <c r="J681" t="inlineStr">
        <is>
          <t>0</t>
        </is>
      </c>
      <c r="L681" t="inlineStr">
        <is>
          <t>Albuquerque : University of New Mexico Press, c1978.</t>
        </is>
      </c>
      <c r="M681" t="inlineStr">
        <is>
          <t>1978</t>
        </is>
      </c>
      <c r="N681" t="inlineStr">
        <is>
          <t>1st ed.</t>
        </is>
      </c>
      <c r="O681" t="inlineStr">
        <is>
          <t>eng</t>
        </is>
      </c>
      <c r="P681" t="inlineStr">
        <is>
          <t>nmu</t>
        </is>
      </c>
      <c r="R681" t="inlineStr">
        <is>
          <t xml:space="preserve">E  </t>
        </is>
      </c>
      <c r="S681" t="n">
        <v>3</v>
      </c>
      <c r="T681" t="n">
        <v>3</v>
      </c>
      <c r="U681" t="inlineStr">
        <is>
          <t>2003-04-15</t>
        </is>
      </c>
      <c r="V681" t="inlineStr">
        <is>
          <t>2003-04-15</t>
        </is>
      </c>
      <c r="W681" t="inlineStr">
        <is>
          <t>1991-02-06</t>
        </is>
      </c>
      <c r="X681" t="inlineStr">
        <is>
          <t>1991-02-06</t>
        </is>
      </c>
      <c r="Y681" t="n">
        <v>607</v>
      </c>
      <c r="Z681" t="n">
        <v>561</v>
      </c>
      <c r="AA681" t="n">
        <v>574</v>
      </c>
      <c r="AB681" t="n">
        <v>4</v>
      </c>
      <c r="AC681" t="n">
        <v>4</v>
      </c>
      <c r="AD681" t="n">
        <v>21</v>
      </c>
      <c r="AE681" t="n">
        <v>23</v>
      </c>
      <c r="AF681" t="n">
        <v>5</v>
      </c>
      <c r="AG681" t="n">
        <v>6</v>
      </c>
      <c r="AH681" t="n">
        <v>6</v>
      </c>
      <c r="AI681" t="n">
        <v>7</v>
      </c>
      <c r="AJ681" t="n">
        <v>10</v>
      </c>
      <c r="AK681" t="n">
        <v>11</v>
      </c>
      <c r="AL681" t="n">
        <v>3</v>
      </c>
      <c r="AM681" t="n">
        <v>3</v>
      </c>
      <c r="AN681" t="n">
        <v>0</v>
      </c>
      <c r="AO681" t="n">
        <v>0</v>
      </c>
      <c r="AP681" t="inlineStr">
        <is>
          <t>No</t>
        </is>
      </c>
      <c r="AQ681" t="inlineStr">
        <is>
          <t>Yes</t>
        </is>
      </c>
      <c r="AR681">
        <f>HYPERLINK("http://catalog.hathitrust.org/Record/000226553","HathiTrust Record")</f>
        <v/>
      </c>
      <c r="AS681">
        <f>HYPERLINK("https://creighton-primo.hosted.exlibrisgroup.com/primo-explore/search?tab=default_tab&amp;search_scope=EVERYTHING&amp;vid=01CRU&amp;lang=en_US&amp;offset=0&amp;query=any,contains,991004369249702656","Catalog Record")</f>
        <v/>
      </c>
      <c r="AT681">
        <f>HYPERLINK("http://www.worldcat.org/oclc/3186048","WorldCat Record")</f>
        <v/>
      </c>
      <c r="AU681" t="inlineStr">
        <is>
          <t>896754528:eng</t>
        </is>
      </c>
      <c r="AV681" t="inlineStr">
        <is>
          <t>3186048</t>
        </is>
      </c>
      <c r="AW681" t="inlineStr">
        <is>
          <t>991004369249702656</t>
        </is>
      </c>
      <c r="AX681" t="inlineStr">
        <is>
          <t>991004369249702656</t>
        </is>
      </c>
      <c r="AY681" t="inlineStr">
        <is>
          <t>2259903310002656</t>
        </is>
      </c>
      <c r="AZ681" t="inlineStr">
        <is>
          <t>BOOK</t>
        </is>
      </c>
      <c r="BB681" t="inlineStr">
        <is>
          <t>9780826304452</t>
        </is>
      </c>
      <c r="BC681" t="inlineStr">
        <is>
          <t>32285000481894</t>
        </is>
      </c>
      <c r="BD681" t="inlineStr">
        <is>
          <t>893605933</t>
        </is>
      </c>
    </row>
    <row r="682">
      <c r="A682" t="inlineStr">
        <is>
          <t>No</t>
        </is>
      </c>
      <c r="B682" t="inlineStr">
        <is>
          <t>E183.8.N5 B48 1987</t>
        </is>
      </c>
      <c r="C682" t="inlineStr">
        <is>
          <t>0                      E  0183800N  5                  B  48          1987</t>
        </is>
      </c>
      <c r="D682" t="inlineStr">
        <is>
          <t>At war in Nicaragua : the Reagan doctrine and the politics of nostalgia / E. Bradford Burns.</t>
        </is>
      </c>
      <c r="F682" t="inlineStr">
        <is>
          <t>No</t>
        </is>
      </c>
      <c r="G682" t="inlineStr">
        <is>
          <t>1</t>
        </is>
      </c>
      <c r="H682" t="inlineStr">
        <is>
          <t>No</t>
        </is>
      </c>
      <c r="I682" t="inlineStr">
        <is>
          <t>No</t>
        </is>
      </c>
      <c r="J682" t="inlineStr">
        <is>
          <t>0</t>
        </is>
      </c>
      <c r="K682" t="inlineStr">
        <is>
          <t>Burns, E. Bradford.</t>
        </is>
      </c>
      <c r="L682" t="inlineStr">
        <is>
          <t>New York : Harper &amp; Row, c1987.</t>
        </is>
      </c>
      <c r="M682" t="inlineStr">
        <is>
          <t>1987</t>
        </is>
      </c>
      <c r="N682" t="inlineStr">
        <is>
          <t>1st ed.</t>
        </is>
      </c>
      <c r="O682" t="inlineStr">
        <is>
          <t>eng</t>
        </is>
      </c>
      <c r="P682" t="inlineStr">
        <is>
          <t>nyu</t>
        </is>
      </c>
      <c r="R682" t="inlineStr">
        <is>
          <t xml:space="preserve">E  </t>
        </is>
      </c>
      <c r="S682" t="n">
        <v>12</v>
      </c>
      <c r="T682" t="n">
        <v>12</v>
      </c>
      <c r="U682" t="inlineStr">
        <is>
          <t>2000-04-19</t>
        </is>
      </c>
      <c r="V682" t="inlineStr">
        <is>
          <t>2000-04-19</t>
        </is>
      </c>
      <c r="W682" t="inlineStr">
        <is>
          <t>1991-07-03</t>
        </is>
      </c>
      <c r="X682" t="inlineStr">
        <is>
          <t>1991-07-03</t>
        </is>
      </c>
      <c r="Y682" t="n">
        <v>808</v>
      </c>
      <c r="Z682" t="n">
        <v>739</v>
      </c>
      <c r="AA682" t="n">
        <v>779</v>
      </c>
      <c r="AB682" t="n">
        <v>4</v>
      </c>
      <c r="AC682" t="n">
        <v>4</v>
      </c>
      <c r="AD682" t="n">
        <v>32</v>
      </c>
      <c r="AE682" t="n">
        <v>33</v>
      </c>
      <c r="AF682" t="n">
        <v>11</v>
      </c>
      <c r="AG682" t="n">
        <v>12</v>
      </c>
      <c r="AH682" t="n">
        <v>9</v>
      </c>
      <c r="AI682" t="n">
        <v>9</v>
      </c>
      <c r="AJ682" t="n">
        <v>18</v>
      </c>
      <c r="AK682" t="n">
        <v>18</v>
      </c>
      <c r="AL682" t="n">
        <v>3</v>
      </c>
      <c r="AM682" t="n">
        <v>3</v>
      </c>
      <c r="AN682" t="n">
        <v>1</v>
      </c>
      <c r="AO682" t="n">
        <v>1</v>
      </c>
      <c r="AP682" t="inlineStr">
        <is>
          <t>No</t>
        </is>
      </c>
      <c r="AQ682" t="inlineStr">
        <is>
          <t>Yes</t>
        </is>
      </c>
      <c r="AR682">
        <f>HYPERLINK("http://catalog.hathitrust.org/Record/000829196","HathiTrust Record")</f>
        <v/>
      </c>
      <c r="AS682">
        <f>HYPERLINK("https://creighton-primo.hosted.exlibrisgroup.com/primo-explore/search?tab=default_tab&amp;search_scope=EVERYTHING&amp;vid=01CRU&amp;lang=en_US&amp;offset=0&amp;query=any,contains,991000944279702656","Catalog Record")</f>
        <v/>
      </c>
      <c r="AT682">
        <f>HYPERLINK("http://www.worldcat.org/oclc/14518414","WorldCat Record")</f>
        <v/>
      </c>
      <c r="AU682" t="inlineStr">
        <is>
          <t>8492974:eng</t>
        </is>
      </c>
      <c r="AV682" t="inlineStr">
        <is>
          <t>14518414</t>
        </is>
      </c>
      <c r="AW682" t="inlineStr">
        <is>
          <t>991000944279702656</t>
        </is>
      </c>
      <c r="AX682" t="inlineStr">
        <is>
          <t>991000944279702656</t>
        </is>
      </c>
      <c r="AY682" t="inlineStr">
        <is>
          <t>2255397660002656</t>
        </is>
      </c>
      <c r="AZ682" t="inlineStr">
        <is>
          <t>BOOK</t>
        </is>
      </c>
      <c r="BB682" t="inlineStr">
        <is>
          <t>9780060961886</t>
        </is>
      </c>
      <c r="BC682" t="inlineStr">
        <is>
          <t>32285000673003</t>
        </is>
      </c>
      <c r="BD682" t="inlineStr">
        <is>
          <t>893865817</t>
        </is>
      </c>
    </row>
    <row r="683">
      <c r="A683" t="inlineStr">
        <is>
          <t>No</t>
        </is>
      </c>
      <c r="B683" t="inlineStr">
        <is>
          <t>E183.8.N5 G87 1988</t>
        </is>
      </c>
      <c r="C683" t="inlineStr">
        <is>
          <t>0                      E  0183800N  5                  G  87          1988</t>
        </is>
      </c>
      <c r="D683" t="inlineStr">
        <is>
          <t>Banana diplomacy : the making of American policy in Nicaragua, 1981-1987 / Roy Gutman.</t>
        </is>
      </c>
      <c r="F683" t="inlineStr">
        <is>
          <t>No</t>
        </is>
      </c>
      <c r="G683" t="inlineStr">
        <is>
          <t>1</t>
        </is>
      </c>
      <c r="H683" t="inlineStr">
        <is>
          <t>No</t>
        </is>
      </c>
      <c r="I683" t="inlineStr">
        <is>
          <t>No</t>
        </is>
      </c>
      <c r="J683" t="inlineStr">
        <is>
          <t>0</t>
        </is>
      </c>
      <c r="K683" t="inlineStr">
        <is>
          <t>Gutman, Roy.</t>
        </is>
      </c>
      <c r="L683" t="inlineStr">
        <is>
          <t>New York : Simon and Schuster, c1988.</t>
        </is>
      </c>
      <c r="M683" t="inlineStr">
        <is>
          <t>1988</t>
        </is>
      </c>
      <c r="O683" t="inlineStr">
        <is>
          <t>eng</t>
        </is>
      </c>
      <c r="P683" t="inlineStr">
        <is>
          <t>nyu</t>
        </is>
      </c>
      <c r="R683" t="inlineStr">
        <is>
          <t xml:space="preserve">E  </t>
        </is>
      </c>
      <c r="S683" t="n">
        <v>3</v>
      </c>
      <c r="T683" t="n">
        <v>3</v>
      </c>
      <c r="U683" t="inlineStr">
        <is>
          <t>1996-02-25</t>
        </is>
      </c>
      <c r="V683" t="inlineStr">
        <is>
          <t>1996-02-25</t>
        </is>
      </c>
      <c r="W683" t="inlineStr">
        <is>
          <t>1990-02-09</t>
        </is>
      </c>
      <c r="X683" t="inlineStr">
        <is>
          <t>1990-02-09</t>
        </is>
      </c>
      <c r="Y683" t="n">
        <v>1073</v>
      </c>
      <c r="Z683" t="n">
        <v>954</v>
      </c>
      <c r="AA683" t="n">
        <v>988</v>
      </c>
      <c r="AB683" t="n">
        <v>6</v>
      </c>
      <c r="AC683" t="n">
        <v>6</v>
      </c>
      <c r="AD683" t="n">
        <v>30</v>
      </c>
      <c r="AE683" t="n">
        <v>30</v>
      </c>
      <c r="AF683" t="n">
        <v>13</v>
      </c>
      <c r="AG683" t="n">
        <v>13</v>
      </c>
      <c r="AH683" t="n">
        <v>5</v>
      </c>
      <c r="AI683" t="n">
        <v>5</v>
      </c>
      <c r="AJ683" t="n">
        <v>17</v>
      </c>
      <c r="AK683" t="n">
        <v>17</v>
      </c>
      <c r="AL683" t="n">
        <v>3</v>
      </c>
      <c r="AM683" t="n">
        <v>3</v>
      </c>
      <c r="AN683" t="n">
        <v>1</v>
      </c>
      <c r="AO683" t="n">
        <v>1</v>
      </c>
      <c r="AP683" t="inlineStr">
        <is>
          <t>No</t>
        </is>
      </c>
      <c r="AQ683" t="inlineStr">
        <is>
          <t>Yes</t>
        </is>
      </c>
      <c r="AR683">
        <f>HYPERLINK("http://catalog.hathitrust.org/Record/000917465","HathiTrust Record")</f>
        <v/>
      </c>
      <c r="AS683">
        <f>HYPERLINK("https://creighton-primo.hosted.exlibrisgroup.com/primo-explore/search?tab=default_tab&amp;search_scope=EVERYTHING&amp;vid=01CRU&amp;lang=en_US&amp;offset=0&amp;query=any,contains,991001227209702656","Catalog Record")</f>
        <v/>
      </c>
      <c r="AT683">
        <f>HYPERLINK("http://www.worldcat.org/oclc/17509305","WorldCat Record")</f>
        <v/>
      </c>
      <c r="AU683" t="inlineStr">
        <is>
          <t>15540292:eng</t>
        </is>
      </c>
      <c r="AV683" t="inlineStr">
        <is>
          <t>17509305</t>
        </is>
      </c>
      <c r="AW683" t="inlineStr">
        <is>
          <t>991001227209702656</t>
        </is>
      </c>
      <c r="AX683" t="inlineStr">
        <is>
          <t>991001227209702656</t>
        </is>
      </c>
      <c r="AY683" t="inlineStr">
        <is>
          <t>2266052660002656</t>
        </is>
      </c>
      <c r="AZ683" t="inlineStr">
        <is>
          <t>BOOK</t>
        </is>
      </c>
      <c r="BB683" t="inlineStr">
        <is>
          <t>9780671606268</t>
        </is>
      </c>
      <c r="BC683" t="inlineStr">
        <is>
          <t>32285000045160</t>
        </is>
      </c>
      <c r="BD683" t="inlineStr">
        <is>
          <t>893709104</t>
        </is>
      </c>
    </row>
    <row r="684">
      <c r="A684" t="inlineStr">
        <is>
          <t>No</t>
        </is>
      </c>
      <c r="B684" t="inlineStr">
        <is>
          <t>E183.8.N5 K28 1996</t>
        </is>
      </c>
      <c r="C684" t="inlineStr">
        <is>
          <t>0                      E  0183800N  5                  K  28          1996</t>
        </is>
      </c>
      <c r="D684" t="inlineStr">
        <is>
          <t>A twilight struggle : American power and Nicaragua, 1977-1990 / Robert Kagan.</t>
        </is>
      </c>
      <c r="F684" t="inlineStr">
        <is>
          <t>No</t>
        </is>
      </c>
      <c r="G684" t="inlineStr">
        <is>
          <t>1</t>
        </is>
      </c>
      <c r="H684" t="inlineStr">
        <is>
          <t>No</t>
        </is>
      </c>
      <c r="I684" t="inlineStr">
        <is>
          <t>No</t>
        </is>
      </c>
      <c r="J684" t="inlineStr">
        <is>
          <t>0</t>
        </is>
      </c>
      <c r="K684" t="inlineStr">
        <is>
          <t>Kagan, Robert.</t>
        </is>
      </c>
      <c r="L684" t="inlineStr">
        <is>
          <t>New York : Free Press, c1996.</t>
        </is>
      </c>
      <c r="M684" t="inlineStr">
        <is>
          <t>1996</t>
        </is>
      </c>
      <c r="O684" t="inlineStr">
        <is>
          <t>eng</t>
        </is>
      </c>
      <c r="P684" t="inlineStr">
        <is>
          <t>nyu</t>
        </is>
      </c>
      <c r="R684" t="inlineStr">
        <is>
          <t xml:space="preserve">E  </t>
        </is>
      </c>
      <c r="S684" t="n">
        <v>9</v>
      </c>
      <c r="T684" t="n">
        <v>9</v>
      </c>
      <c r="U684" t="inlineStr">
        <is>
          <t>1998-09-16</t>
        </is>
      </c>
      <c r="V684" t="inlineStr">
        <is>
          <t>1998-09-16</t>
        </is>
      </c>
      <c r="W684" t="inlineStr">
        <is>
          <t>1996-05-15</t>
        </is>
      </c>
      <c r="X684" t="inlineStr">
        <is>
          <t>1996-05-15</t>
        </is>
      </c>
      <c r="Y684" t="n">
        <v>813</v>
      </c>
      <c r="Z684" t="n">
        <v>727</v>
      </c>
      <c r="AA684" t="n">
        <v>733</v>
      </c>
      <c r="AB684" t="n">
        <v>4</v>
      </c>
      <c r="AC684" t="n">
        <v>4</v>
      </c>
      <c r="AD684" t="n">
        <v>33</v>
      </c>
      <c r="AE684" t="n">
        <v>33</v>
      </c>
      <c r="AF684" t="n">
        <v>14</v>
      </c>
      <c r="AG684" t="n">
        <v>14</v>
      </c>
      <c r="AH684" t="n">
        <v>9</v>
      </c>
      <c r="AI684" t="n">
        <v>9</v>
      </c>
      <c r="AJ684" t="n">
        <v>15</v>
      </c>
      <c r="AK684" t="n">
        <v>15</v>
      </c>
      <c r="AL684" t="n">
        <v>3</v>
      </c>
      <c r="AM684" t="n">
        <v>3</v>
      </c>
      <c r="AN684" t="n">
        <v>1</v>
      </c>
      <c r="AO684" t="n">
        <v>1</v>
      </c>
      <c r="AP684" t="inlineStr">
        <is>
          <t>No</t>
        </is>
      </c>
      <c r="AQ684" t="inlineStr">
        <is>
          <t>Yes</t>
        </is>
      </c>
      <c r="AR684">
        <f>HYPERLINK("http://catalog.hathitrust.org/Record/003040351","HathiTrust Record")</f>
        <v/>
      </c>
      <c r="AS684">
        <f>HYPERLINK("https://creighton-primo.hosted.exlibrisgroup.com/primo-explore/search?tab=default_tab&amp;search_scope=EVERYTHING&amp;vid=01CRU&amp;lang=en_US&amp;offset=0&amp;query=any,contains,991002576999702656","Catalog Record")</f>
        <v/>
      </c>
      <c r="AT684">
        <f>HYPERLINK("http://www.worldcat.org/oclc/33665339","WorldCat Record")</f>
        <v/>
      </c>
      <c r="AU684" t="inlineStr">
        <is>
          <t>9520658:eng</t>
        </is>
      </c>
      <c r="AV684" t="inlineStr">
        <is>
          <t>33665339</t>
        </is>
      </c>
      <c r="AW684" t="inlineStr">
        <is>
          <t>991002576999702656</t>
        </is>
      </c>
      <c r="AX684" t="inlineStr">
        <is>
          <t>991002576999702656</t>
        </is>
      </c>
      <c r="AY684" t="inlineStr">
        <is>
          <t>2259816890002656</t>
        </is>
      </c>
      <c r="AZ684" t="inlineStr">
        <is>
          <t>BOOK</t>
        </is>
      </c>
      <c r="BB684" t="inlineStr">
        <is>
          <t>9780028740577</t>
        </is>
      </c>
      <c r="BC684" t="inlineStr">
        <is>
          <t>32285002168226</t>
        </is>
      </c>
      <c r="BD684" t="inlineStr">
        <is>
          <t>893798742</t>
        </is>
      </c>
    </row>
    <row r="685">
      <c r="A685" t="inlineStr">
        <is>
          <t>No</t>
        </is>
      </c>
      <c r="B685" t="inlineStr">
        <is>
          <t>E183.8.N5 K67 1987</t>
        </is>
      </c>
      <c r="C685" t="inlineStr">
        <is>
          <t>0                      E  0183800N  5                  K  67          1987</t>
        </is>
      </c>
      <c r="D685" t="inlineStr">
        <is>
          <t>Nicaragua, the price of intervention : Reagan's wars against the Sandinistas / Peter Kornbluh.</t>
        </is>
      </c>
      <c r="F685" t="inlineStr">
        <is>
          <t>No</t>
        </is>
      </c>
      <c r="G685" t="inlineStr">
        <is>
          <t>1</t>
        </is>
      </c>
      <c r="H685" t="inlineStr">
        <is>
          <t>No</t>
        </is>
      </c>
      <c r="I685" t="inlineStr">
        <is>
          <t>No</t>
        </is>
      </c>
      <c r="J685" t="inlineStr">
        <is>
          <t>0</t>
        </is>
      </c>
      <c r="K685" t="inlineStr">
        <is>
          <t>Kornbluh, Peter.</t>
        </is>
      </c>
      <c r="L685" t="inlineStr">
        <is>
          <t>Washington, D.C. : Institute for Policy Studies, c1987.</t>
        </is>
      </c>
      <c r="M685" t="inlineStr">
        <is>
          <t>1987</t>
        </is>
      </c>
      <c r="N685" t="inlineStr">
        <is>
          <t>1st ed.</t>
        </is>
      </c>
      <c r="O685" t="inlineStr">
        <is>
          <t>eng</t>
        </is>
      </c>
      <c r="P685" t="inlineStr">
        <is>
          <t>dcu</t>
        </is>
      </c>
      <c r="R685" t="inlineStr">
        <is>
          <t xml:space="preserve">E  </t>
        </is>
      </c>
      <c r="S685" t="n">
        <v>9</v>
      </c>
      <c r="T685" t="n">
        <v>9</v>
      </c>
      <c r="U685" t="inlineStr">
        <is>
          <t>1996-04-08</t>
        </is>
      </c>
      <c r="V685" t="inlineStr">
        <is>
          <t>1996-04-08</t>
        </is>
      </c>
      <c r="W685" t="inlineStr">
        <is>
          <t>1996-05-29</t>
        </is>
      </c>
      <c r="X685" t="inlineStr">
        <is>
          <t>1996-05-29</t>
        </is>
      </c>
      <c r="Y685" t="n">
        <v>649</v>
      </c>
      <c r="Z685" t="n">
        <v>573</v>
      </c>
      <c r="AA685" t="n">
        <v>587</v>
      </c>
      <c r="AB685" t="n">
        <v>2</v>
      </c>
      <c r="AC685" t="n">
        <v>2</v>
      </c>
      <c r="AD685" t="n">
        <v>24</v>
      </c>
      <c r="AE685" t="n">
        <v>25</v>
      </c>
      <c r="AF685" t="n">
        <v>7</v>
      </c>
      <c r="AG685" t="n">
        <v>8</v>
      </c>
      <c r="AH685" t="n">
        <v>8</v>
      </c>
      <c r="AI685" t="n">
        <v>8</v>
      </c>
      <c r="AJ685" t="n">
        <v>15</v>
      </c>
      <c r="AK685" t="n">
        <v>15</v>
      </c>
      <c r="AL685" t="n">
        <v>1</v>
      </c>
      <c r="AM685" t="n">
        <v>1</v>
      </c>
      <c r="AN685" t="n">
        <v>0</v>
      </c>
      <c r="AO685" t="n">
        <v>0</v>
      </c>
      <c r="AP685" t="inlineStr">
        <is>
          <t>No</t>
        </is>
      </c>
      <c r="AQ685" t="inlineStr">
        <is>
          <t>Yes</t>
        </is>
      </c>
      <c r="AR685">
        <f>HYPERLINK("http://catalog.hathitrust.org/Record/001081079","HathiTrust Record")</f>
        <v/>
      </c>
      <c r="AS685">
        <f>HYPERLINK("https://creighton-primo.hosted.exlibrisgroup.com/primo-explore/search?tab=default_tab&amp;search_scope=EVERYTHING&amp;vid=01CRU&amp;lang=en_US&amp;offset=0&amp;query=any,contains,991001135539702656","Catalog Record")</f>
        <v/>
      </c>
      <c r="AT685">
        <f>HYPERLINK("http://www.worldcat.org/oclc/16710656","WorldCat Record")</f>
        <v/>
      </c>
      <c r="AU685" t="inlineStr">
        <is>
          <t>827743181:eng</t>
        </is>
      </c>
      <c r="AV685" t="inlineStr">
        <is>
          <t>16710656</t>
        </is>
      </c>
      <c r="AW685" t="inlineStr">
        <is>
          <t>991001135539702656</t>
        </is>
      </c>
      <c r="AX685" t="inlineStr">
        <is>
          <t>991001135539702656</t>
        </is>
      </c>
      <c r="AY685" t="inlineStr">
        <is>
          <t>2261103910002656</t>
        </is>
      </c>
      <c r="AZ685" t="inlineStr">
        <is>
          <t>BOOK</t>
        </is>
      </c>
      <c r="BB685" t="inlineStr">
        <is>
          <t>9780897580403</t>
        </is>
      </c>
      <c r="BC685" t="inlineStr">
        <is>
          <t>32285002121357</t>
        </is>
      </c>
      <c r="BD685" t="inlineStr">
        <is>
          <t>893885069</t>
        </is>
      </c>
    </row>
    <row r="686">
      <c r="A686" t="inlineStr">
        <is>
          <t>No</t>
        </is>
      </c>
      <c r="B686" t="inlineStr">
        <is>
          <t>E183.8.N5 L35 1989</t>
        </is>
      </c>
      <c r="C686" t="inlineStr">
        <is>
          <t>0                      E  0183800N  5                  L  35          1989</t>
        </is>
      </c>
      <c r="D686" t="inlineStr">
        <is>
          <t>Somoza falling / Anthony Lake.</t>
        </is>
      </c>
      <c r="F686" t="inlineStr">
        <is>
          <t>No</t>
        </is>
      </c>
      <c r="G686" t="inlineStr">
        <is>
          <t>1</t>
        </is>
      </c>
      <c r="H686" t="inlineStr">
        <is>
          <t>No</t>
        </is>
      </c>
      <c r="I686" t="inlineStr">
        <is>
          <t>No</t>
        </is>
      </c>
      <c r="J686" t="inlineStr">
        <is>
          <t>0</t>
        </is>
      </c>
      <c r="K686" t="inlineStr">
        <is>
          <t>Lake, Anthony.</t>
        </is>
      </c>
      <c r="L686" t="inlineStr">
        <is>
          <t>Boston : Houghton Mifflin, 1989.</t>
        </is>
      </c>
      <c r="M686" t="inlineStr">
        <is>
          <t>1989</t>
        </is>
      </c>
      <c r="O686" t="inlineStr">
        <is>
          <t>eng</t>
        </is>
      </c>
      <c r="P686" t="inlineStr">
        <is>
          <t>mau</t>
        </is>
      </c>
      <c r="R686" t="inlineStr">
        <is>
          <t xml:space="preserve">E  </t>
        </is>
      </c>
      <c r="S686" t="n">
        <v>3</v>
      </c>
      <c r="T686" t="n">
        <v>3</v>
      </c>
      <c r="U686" t="inlineStr">
        <is>
          <t>1997-04-15</t>
        </is>
      </c>
      <c r="V686" t="inlineStr">
        <is>
          <t>1997-04-15</t>
        </is>
      </c>
      <c r="W686" t="inlineStr">
        <is>
          <t>1989-10-20</t>
        </is>
      </c>
      <c r="X686" t="inlineStr">
        <is>
          <t>1989-10-20</t>
        </is>
      </c>
      <c r="Y686" t="n">
        <v>735</v>
      </c>
      <c r="Z686" t="n">
        <v>686</v>
      </c>
      <c r="AA686" t="n">
        <v>751</v>
      </c>
      <c r="AB686" t="n">
        <v>5</v>
      </c>
      <c r="AC686" t="n">
        <v>6</v>
      </c>
      <c r="AD686" t="n">
        <v>31</v>
      </c>
      <c r="AE686" t="n">
        <v>33</v>
      </c>
      <c r="AF686" t="n">
        <v>13</v>
      </c>
      <c r="AG686" t="n">
        <v>14</v>
      </c>
      <c r="AH686" t="n">
        <v>7</v>
      </c>
      <c r="AI686" t="n">
        <v>7</v>
      </c>
      <c r="AJ686" t="n">
        <v>15</v>
      </c>
      <c r="AK686" t="n">
        <v>16</v>
      </c>
      <c r="AL686" t="n">
        <v>4</v>
      </c>
      <c r="AM686" t="n">
        <v>5</v>
      </c>
      <c r="AN686" t="n">
        <v>0</v>
      </c>
      <c r="AO686" t="n">
        <v>0</v>
      </c>
      <c r="AP686" t="inlineStr">
        <is>
          <t>No</t>
        </is>
      </c>
      <c r="AQ686" t="inlineStr">
        <is>
          <t>No</t>
        </is>
      </c>
      <c r="AS686">
        <f>HYPERLINK("https://creighton-primo.hosted.exlibrisgroup.com/primo-explore/search?tab=default_tab&amp;search_scope=EVERYTHING&amp;vid=01CRU&amp;lang=en_US&amp;offset=0&amp;query=any,contains,991001387549702656","Catalog Record")</f>
        <v/>
      </c>
      <c r="AT686">
        <f>HYPERLINK("http://www.worldcat.org/oclc/18739417","WorldCat Record")</f>
        <v/>
      </c>
      <c r="AU686" t="inlineStr">
        <is>
          <t>18993722:eng</t>
        </is>
      </c>
      <c r="AV686" t="inlineStr">
        <is>
          <t>18739417</t>
        </is>
      </c>
      <c r="AW686" t="inlineStr">
        <is>
          <t>991001387549702656</t>
        </is>
      </c>
      <c r="AX686" t="inlineStr">
        <is>
          <t>991001387549702656</t>
        </is>
      </c>
      <c r="AY686" t="inlineStr">
        <is>
          <t>2261563370002656</t>
        </is>
      </c>
      <c r="AZ686" t="inlineStr">
        <is>
          <t>BOOK</t>
        </is>
      </c>
      <c r="BB686" t="inlineStr">
        <is>
          <t>9780395419830</t>
        </is>
      </c>
      <c r="BC686" t="inlineStr">
        <is>
          <t>32285000001312</t>
        </is>
      </c>
      <c r="BD686" t="inlineStr">
        <is>
          <t>893509592</t>
        </is>
      </c>
    </row>
    <row r="687">
      <c r="A687" t="inlineStr">
        <is>
          <t>No</t>
        </is>
      </c>
      <c r="B687" t="inlineStr">
        <is>
          <t>E183.8.N5 M67 1994</t>
        </is>
      </c>
      <c r="C687" t="inlineStr">
        <is>
          <t>0                      E  0183800N  5                  M  67          1994</t>
        </is>
      </c>
      <c r="D687" t="inlineStr">
        <is>
          <t>Washington, Somoza, and the Sandinistas : state and regime in U.S. policy toward Nicaragua, 1969-1981 / Morris H. Morley.</t>
        </is>
      </c>
      <c r="F687" t="inlineStr">
        <is>
          <t>No</t>
        </is>
      </c>
      <c r="G687" t="inlineStr">
        <is>
          <t>1</t>
        </is>
      </c>
      <c r="H687" t="inlineStr">
        <is>
          <t>No</t>
        </is>
      </c>
      <c r="I687" t="inlineStr">
        <is>
          <t>No</t>
        </is>
      </c>
      <c r="J687" t="inlineStr">
        <is>
          <t>0</t>
        </is>
      </c>
      <c r="K687" t="inlineStr">
        <is>
          <t>Morley, Morris H.</t>
        </is>
      </c>
      <c r="L687" t="inlineStr">
        <is>
          <t>Cambridge [England] ; New York : Cambridge University Press, 1994.</t>
        </is>
      </c>
      <c r="M687" t="inlineStr">
        <is>
          <t>1994</t>
        </is>
      </c>
      <c r="O687" t="inlineStr">
        <is>
          <t>eng</t>
        </is>
      </c>
      <c r="P687" t="inlineStr">
        <is>
          <t>enk</t>
        </is>
      </c>
      <c r="R687" t="inlineStr">
        <is>
          <t xml:space="preserve">E  </t>
        </is>
      </c>
      <c r="S687" t="n">
        <v>9</v>
      </c>
      <c r="T687" t="n">
        <v>9</v>
      </c>
      <c r="U687" t="inlineStr">
        <is>
          <t>2005-12-07</t>
        </is>
      </c>
      <c r="V687" t="inlineStr">
        <is>
          <t>2005-12-07</t>
        </is>
      </c>
      <c r="W687" t="inlineStr">
        <is>
          <t>1994-08-02</t>
        </is>
      </c>
      <c r="X687" t="inlineStr">
        <is>
          <t>1994-08-02</t>
        </is>
      </c>
      <c r="Y687" t="n">
        <v>394</v>
      </c>
      <c r="Z687" t="n">
        <v>310</v>
      </c>
      <c r="AA687" t="n">
        <v>324</v>
      </c>
      <c r="AB687" t="n">
        <v>2</v>
      </c>
      <c r="AC687" t="n">
        <v>2</v>
      </c>
      <c r="AD687" t="n">
        <v>21</v>
      </c>
      <c r="AE687" t="n">
        <v>21</v>
      </c>
      <c r="AF687" t="n">
        <v>10</v>
      </c>
      <c r="AG687" t="n">
        <v>10</v>
      </c>
      <c r="AH687" t="n">
        <v>4</v>
      </c>
      <c r="AI687" t="n">
        <v>4</v>
      </c>
      <c r="AJ687" t="n">
        <v>13</v>
      </c>
      <c r="AK687" t="n">
        <v>13</v>
      </c>
      <c r="AL687" t="n">
        <v>1</v>
      </c>
      <c r="AM687" t="n">
        <v>1</v>
      </c>
      <c r="AN687" t="n">
        <v>0</v>
      </c>
      <c r="AO687" t="n">
        <v>0</v>
      </c>
      <c r="AP687" t="inlineStr">
        <is>
          <t>No</t>
        </is>
      </c>
      <c r="AQ687" t="inlineStr">
        <is>
          <t>No</t>
        </is>
      </c>
      <c r="AS687">
        <f>HYPERLINK("https://creighton-primo.hosted.exlibrisgroup.com/primo-explore/search?tab=default_tab&amp;search_scope=EVERYTHING&amp;vid=01CRU&amp;lang=en_US&amp;offset=0&amp;query=any,contains,991002235999702656","Catalog Record")</f>
        <v/>
      </c>
      <c r="AT687">
        <f>HYPERLINK("http://www.worldcat.org/oclc/28846044","WorldCat Record")</f>
        <v/>
      </c>
      <c r="AU687" t="inlineStr">
        <is>
          <t>836902227:eng</t>
        </is>
      </c>
      <c r="AV687" t="inlineStr">
        <is>
          <t>28846044</t>
        </is>
      </c>
      <c r="AW687" t="inlineStr">
        <is>
          <t>991002235999702656</t>
        </is>
      </c>
      <c r="AX687" t="inlineStr">
        <is>
          <t>991002235999702656</t>
        </is>
      </c>
      <c r="AY687" t="inlineStr">
        <is>
          <t>2266006370002656</t>
        </is>
      </c>
      <c r="AZ687" t="inlineStr">
        <is>
          <t>BOOK</t>
        </is>
      </c>
      <c r="BB687" t="inlineStr">
        <is>
          <t>9780521450812</t>
        </is>
      </c>
      <c r="BC687" t="inlineStr">
        <is>
          <t>32285001940096</t>
        </is>
      </c>
      <c r="BD687" t="inlineStr">
        <is>
          <t>893609622</t>
        </is>
      </c>
    </row>
    <row r="688">
      <c r="A688" t="inlineStr">
        <is>
          <t>No</t>
        </is>
      </c>
      <c r="B688" t="inlineStr">
        <is>
          <t>E183.8.N5 P83 1993</t>
        </is>
      </c>
      <c r="C688" t="inlineStr">
        <is>
          <t>0                      E  0183800N  5                  P  83          1993</t>
        </is>
      </c>
      <c r="D688" t="inlineStr">
        <is>
          <t>Public opinion in U.S. foreign policy : the controversy over Contra aid / Richard Sobel, editor ; foreword by Everett C. Ladd.</t>
        </is>
      </c>
      <c r="F688" t="inlineStr">
        <is>
          <t>No</t>
        </is>
      </c>
      <c r="G688" t="inlineStr">
        <is>
          <t>1</t>
        </is>
      </c>
      <c r="H688" t="inlineStr">
        <is>
          <t>No</t>
        </is>
      </c>
      <c r="I688" t="inlineStr">
        <is>
          <t>No</t>
        </is>
      </c>
      <c r="J688" t="inlineStr">
        <is>
          <t>0</t>
        </is>
      </c>
      <c r="L688" t="inlineStr">
        <is>
          <t>Lanham, Md. : Rowman &amp; Littlefield, c1993.</t>
        </is>
      </c>
      <c r="M688" t="inlineStr">
        <is>
          <t>1993</t>
        </is>
      </c>
      <c r="O688" t="inlineStr">
        <is>
          <t>eng</t>
        </is>
      </c>
      <c r="P688" t="inlineStr">
        <is>
          <t>mdu</t>
        </is>
      </c>
      <c r="R688" t="inlineStr">
        <is>
          <t xml:space="preserve">E  </t>
        </is>
      </c>
      <c r="S688" t="n">
        <v>6</v>
      </c>
      <c r="T688" t="n">
        <v>6</v>
      </c>
      <c r="U688" t="inlineStr">
        <is>
          <t>1999-05-01</t>
        </is>
      </c>
      <c r="V688" t="inlineStr">
        <is>
          <t>1999-05-01</t>
        </is>
      </c>
      <c r="W688" t="inlineStr">
        <is>
          <t>1993-11-15</t>
        </is>
      </c>
      <c r="X688" t="inlineStr">
        <is>
          <t>1993-11-15</t>
        </is>
      </c>
      <c r="Y688" t="n">
        <v>294</v>
      </c>
      <c r="Z688" t="n">
        <v>251</v>
      </c>
      <c r="AA688" t="n">
        <v>258</v>
      </c>
      <c r="AB688" t="n">
        <v>2</v>
      </c>
      <c r="AC688" t="n">
        <v>2</v>
      </c>
      <c r="AD688" t="n">
        <v>14</v>
      </c>
      <c r="AE688" t="n">
        <v>14</v>
      </c>
      <c r="AF688" t="n">
        <v>4</v>
      </c>
      <c r="AG688" t="n">
        <v>4</v>
      </c>
      <c r="AH688" t="n">
        <v>7</v>
      </c>
      <c r="AI688" t="n">
        <v>7</v>
      </c>
      <c r="AJ688" t="n">
        <v>6</v>
      </c>
      <c r="AK688" t="n">
        <v>6</v>
      </c>
      <c r="AL688" t="n">
        <v>1</v>
      </c>
      <c r="AM688" t="n">
        <v>1</v>
      </c>
      <c r="AN688" t="n">
        <v>0</v>
      </c>
      <c r="AO688" t="n">
        <v>0</v>
      </c>
      <c r="AP688" t="inlineStr">
        <is>
          <t>No</t>
        </is>
      </c>
      <c r="AQ688" t="inlineStr">
        <is>
          <t>Yes</t>
        </is>
      </c>
      <c r="AR688">
        <f>HYPERLINK("http://catalog.hathitrust.org/Record/002753431","HathiTrust Record")</f>
        <v/>
      </c>
      <c r="AS688">
        <f>HYPERLINK("https://creighton-primo.hosted.exlibrisgroup.com/primo-explore/search?tab=default_tab&amp;search_scope=EVERYTHING&amp;vid=01CRU&amp;lang=en_US&amp;offset=0&amp;query=any,contains,991002203609702656","Catalog Record")</f>
        <v/>
      </c>
      <c r="AT688">
        <f>HYPERLINK("http://www.worldcat.org/oclc/28339170","WorldCat Record")</f>
        <v/>
      </c>
      <c r="AU688" t="inlineStr">
        <is>
          <t>30906477:eng</t>
        </is>
      </c>
      <c r="AV688" t="inlineStr">
        <is>
          <t>28339170</t>
        </is>
      </c>
      <c r="AW688" t="inlineStr">
        <is>
          <t>991002203609702656</t>
        </is>
      </c>
      <c r="AX688" t="inlineStr">
        <is>
          <t>991002203609702656</t>
        </is>
      </c>
      <c r="AY688" t="inlineStr">
        <is>
          <t>2257607500002656</t>
        </is>
      </c>
      <c r="AZ688" t="inlineStr">
        <is>
          <t>BOOK</t>
        </is>
      </c>
      <c r="BB688" t="inlineStr">
        <is>
          <t>9780847678716</t>
        </is>
      </c>
      <c r="BC688" t="inlineStr">
        <is>
          <t>32285001811149</t>
        </is>
      </c>
      <c r="BD688" t="inlineStr">
        <is>
          <t>893703791</t>
        </is>
      </c>
    </row>
    <row r="689">
      <c r="A689" t="inlineStr">
        <is>
          <t>No</t>
        </is>
      </c>
      <c r="B689" t="inlineStr">
        <is>
          <t>E183.8.N5 R43 1987</t>
        </is>
      </c>
      <c r="C689" t="inlineStr">
        <is>
          <t>0                      E  0183800N  5                  R  43          1987</t>
        </is>
      </c>
      <c r="D689" t="inlineStr">
        <is>
          <t>Reagan versus the Sandinistas : the undeclared war on Nicaragua / edited by Thomas W. Walker.</t>
        </is>
      </c>
      <c r="F689" t="inlineStr">
        <is>
          <t>No</t>
        </is>
      </c>
      <c r="G689" t="inlineStr">
        <is>
          <t>1</t>
        </is>
      </c>
      <c r="H689" t="inlineStr">
        <is>
          <t>No</t>
        </is>
      </c>
      <c r="I689" t="inlineStr">
        <is>
          <t>No</t>
        </is>
      </c>
      <c r="J689" t="inlineStr">
        <is>
          <t>0</t>
        </is>
      </c>
      <c r="L689" t="inlineStr">
        <is>
          <t>Boulder : Westview Press, 1987.</t>
        </is>
      </c>
      <c r="M689" t="inlineStr">
        <is>
          <t>1987</t>
        </is>
      </c>
      <c r="O689" t="inlineStr">
        <is>
          <t>eng</t>
        </is>
      </c>
      <c r="P689" t="inlineStr">
        <is>
          <t>cou</t>
        </is>
      </c>
      <c r="R689" t="inlineStr">
        <is>
          <t xml:space="preserve">E  </t>
        </is>
      </c>
      <c r="S689" t="n">
        <v>8</v>
      </c>
      <c r="T689" t="n">
        <v>8</v>
      </c>
      <c r="U689" t="inlineStr">
        <is>
          <t>1999-05-01</t>
        </is>
      </c>
      <c r="V689" t="inlineStr">
        <is>
          <t>1999-05-01</t>
        </is>
      </c>
      <c r="W689" t="inlineStr">
        <is>
          <t>1990-06-15</t>
        </is>
      </c>
      <c r="X689" t="inlineStr">
        <is>
          <t>1990-06-15</t>
        </is>
      </c>
      <c r="Y689" t="n">
        <v>883</v>
      </c>
      <c r="Z689" t="n">
        <v>777</v>
      </c>
      <c r="AA689" t="n">
        <v>802</v>
      </c>
      <c r="AB689" t="n">
        <v>3</v>
      </c>
      <c r="AC689" t="n">
        <v>3</v>
      </c>
      <c r="AD689" t="n">
        <v>39</v>
      </c>
      <c r="AE689" t="n">
        <v>39</v>
      </c>
      <c r="AF689" t="n">
        <v>19</v>
      </c>
      <c r="AG689" t="n">
        <v>19</v>
      </c>
      <c r="AH689" t="n">
        <v>9</v>
      </c>
      <c r="AI689" t="n">
        <v>9</v>
      </c>
      <c r="AJ689" t="n">
        <v>19</v>
      </c>
      <c r="AK689" t="n">
        <v>19</v>
      </c>
      <c r="AL689" t="n">
        <v>2</v>
      </c>
      <c r="AM689" t="n">
        <v>2</v>
      </c>
      <c r="AN689" t="n">
        <v>1</v>
      </c>
      <c r="AO689" t="n">
        <v>1</v>
      </c>
      <c r="AP689" t="inlineStr">
        <is>
          <t>No</t>
        </is>
      </c>
      <c r="AQ689" t="inlineStr">
        <is>
          <t>Yes</t>
        </is>
      </c>
      <c r="AR689">
        <f>HYPERLINK("http://catalog.hathitrust.org/Record/000834301","HathiTrust Record")</f>
        <v/>
      </c>
      <c r="AS689">
        <f>HYPERLINK("https://creighton-primo.hosted.exlibrisgroup.com/primo-explore/search?tab=default_tab&amp;search_scope=EVERYTHING&amp;vid=01CRU&amp;lang=en_US&amp;offset=0&amp;query=any,contains,991001000659702656","Catalog Record")</f>
        <v/>
      </c>
      <c r="AT689">
        <f>HYPERLINK("http://www.worldcat.org/oclc/15198155","WorldCat Record")</f>
        <v/>
      </c>
      <c r="AU689" t="inlineStr">
        <is>
          <t>891195749:eng</t>
        </is>
      </c>
      <c r="AV689" t="inlineStr">
        <is>
          <t>15198155</t>
        </is>
      </c>
      <c r="AW689" t="inlineStr">
        <is>
          <t>991001000659702656</t>
        </is>
      </c>
      <c r="AX689" t="inlineStr">
        <is>
          <t>991001000659702656</t>
        </is>
      </c>
      <c r="AY689" t="inlineStr">
        <is>
          <t>2260465180002656</t>
        </is>
      </c>
      <c r="AZ689" t="inlineStr">
        <is>
          <t>BOOK</t>
        </is>
      </c>
      <c r="BB689" t="inlineStr">
        <is>
          <t>9780813303710</t>
        </is>
      </c>
      <c r="BC689" t="inlineStr">
        <is>
          <t>32285000197201</t>
        </is>
      </c>
      <c r="BD689" t="inlineStr">
        <is>
          <t>893897410</t>
        </is>
      </c>
    </row>
    <row r="690">
      <c r="A690" t="inlineStr">
        <is>
          <t>No</t>
        </is>
      </c>
      <c r="B690" t="inlineStr">
        <is>
          <t>E183.8.N5 R64 1992</t>
        </is>
      </c>
      <c r="C690" t="inlineStr">
        <is>
          <t>0                      E  0183800N  5                  R  64          1992</t>
        </is>
      </c>
      <c r="D690" t="inlineStr">
        <is>
          <t>A Faustian bargain : U.S. intervention in the Nicaraguan elections and American foreign policy in the post-Cold War era / William I. Robinson ; with afterwords by Alejandro Bendaña and Robert A. Pastor.</t>
        </is>
      </c>
      <c r="F690" t="inlineStr">
        <is>
          <t>No</t>
        </is>
      </c>
      <c r="G690" t="inlineStr">
        <is>
          <t>1</t>
        </is>
      </c>
      <c r="H690" t="inlineStr">
        <is>
          <t>No</t>
        </is>
      </c>
      <c r="I690" t="inlineStr">
        <is>
          <t>No</t>
        </is>
      </c>
      <c r="J690" t="inlineStr">
        <is>
          <t>0</t>
        </is>
      </c>
      <c r="K690" t="inlineStr">
        <is>
          <t>Robinson, William I.</t>
        </is>
      </c>
      <c r="L690" t="inlineStr">
        <is>
          <t>Boulder : Westview Press, c1992.</t>
        </is>
      </c>
      <c r="M690" t="inlineStr">
        <is>
          <t>1992</t>
        </is>
      </c>
      <c r="O690" t="inlineStr">
        <is>
          <t>eng</t>
        </is>
      </c>
      <c r="P690" t="inlineStr">
        <is>
          <t>cou</t>
        </is>
      </c>
      <c r="R690" t="inlineStr">
        <is>
          <t xml:space="preserve">E  </t>
        </is>
      </c>
      <c r="S690" t="n">
        <v>7</v>
      </c>
      <c r="T690" t="n">
        <v>7</v>
      </c>
      <c r="U690" t="inlineStr">
        <is>
          <t>1998-09-20</t>
        </is>
      </c>
      <c r="V690" t="inlineStr">
        <is>
          <t>1998-09-20</t>
        </is>
      </c>
      <c r="W690" t="inlineStr">
        <is>
          <t>1993-11-29</t>
        </is>
      </c>
      <c r="X690" t="inlineStr">
        <is>
          <t>1993-11-29</t>
        </is>
      </c>
      <c r="Y690" t="n">
        <v>395</v>
      </c>
      <c r="Z690" t="n">
        <v>335</v>
      </c>
      <c r="AA690" t="n">
        <v>352</v>
      </c>
      <c r="AB690" t="n">
        <v>3</v>
      </c>
      <c r="AC690" t="n">
        <v>3</v>
      </c>
      <c r="AD690" t="n">
        <v>20</v>
      </c>
      <c r="AE690" t="n">
        <v>20</v>
      </c>
      <c r="AF690" t="n">
        <v>7</v>
      </c>
      <c r="AG690" t="n">
        <v>7</v>
      </c>
      <c r="AH690" t="n">
        <v>7</v>
      </c>
      <c r="AI690" t="n">
        <v>7</v>
      </c>
      <c r="AJ690" t="n">
        <v>13</v>
      </c>
      <c r="AK690" t="n">
        <v>13</v>
      </c>
      <c r="AL690" t="n">
        <v>2</v>
      </c>
      <c r="AM690" t="n">
        <v>2</v>
      </c>
      <c r="AN690" t="n">
        <v>0</v>
      </c>
      <c r="AO690" t="n">
        <v>0</v>
      </c>
      <c r="AP690" t="inlineStr">
        <is>
          <t>No</t>
        </is>
      </c>
      <c r="AQ690" t="inlineStr">
        <is>
          <t>Yes</t>
        </is>
      </c>
      <c r="AR690">
        <f>HYPERLINK("http://catalog.hathitrust.org/Record/002572146","HathiTrust Record")</f>
        <v/>
      </c>
      <c r="AS690">
        <f>HYPERLINK("https://creighton-primo.hosted.exlibrisgroup.com/primo-explore/search?tab=default_tab&amp;search_scope=EVERYTHING&amp;vid=01CRU&amp;lang=en_US&amp;offset=0&amp;query=any,contains,991001993259702656","Catalog Record")</f>
        <v/>
      </c>
      <c r="AT690">
        <f>HYPERLINK("http://www.worldcat.org/oclc/25316729","WorldCat Record")</f>
        <v/>
      </c>
      <c r="AU690" t="inlineStr">
        <is>
          <t>476260610:eng</t>
        </is>
      </c>
      <c r="AV690" t="inlineStr">
        <is>
          <t>25316729</t>
        </is>
      </c>
      <c r="AW690" t="inlineStr">
        <is>
          <t>991001993259702656</t>
        </is>
      </c>
      <c r="AX690" t="inlineStr">
        <is>
          <t>991001993259702656</t>
        </is>
      </c>
      <c r="AY690" t="inlineStr">
        <is>
          <t>2268125240002656</t>
        </is>
      </c>
      <c r="AZ690" t="inlineStr">
        <is>
          <t>BOOK</t>
        </is>
      </c>
      <c r="BB690" t="inlineStr">
        <is>
          <t>9780813382333</t>
        </is>
      </c>
      <c r="BC690" t="inlineStr">
        <is>
          <t>32285001812840</t>
        </is>
      </c>
      <c r="BD690" t="inlineStr">
        <is>
          <t>893328562</t>
        </is>
      </c>
    </row>
    <row r="691">
      <c r="A691" t="inlineStr">
        <is>
          <t>No</t>
        </is>
      </c>
      <c r="B691" t="inlineStr">
        <is>
          <t>E183.8.N5 R93 1995</t>
        </is>
      </c>
      <c r="C691" t="inlineStr">
        <is>
          <t>0                      E  0183800N  5                  R  93          1995</t>
        </is>
      </c>
      <c r="D691" t="inlineStr">
        <is>
          <t>US-Sandinista diplomatic relations : voice of intolerance / David Ryan.</t>
        </is>
      </c>
      <c r="F691" t="inlineStr">
        <is>
          <t>No</t>
        </is>
      </c>
      <c r="G691" t="inlineStr">
        <is>
          <t>1</t>
        </is>
      </c>
      <c r="H691" t="inlineStr">
        <is>
          <t>No</t>
        </is>
      </c>
      <c r="I691" t="inlineStr">
        <is>
          <t>No</t>
        </is>
      </c>
      <c r="J691" t="inlineStr">
        <is>
          <t>0</t>
        </is>
      </c>
      <c r="K691" t="inlineStr">
        <is>
          <t>Ryan, David, 1965-</t>
        </is>
      </c>
      <c r="L691" t="inlineStr">
        <is>
          <t>New York : St. Martin's Press, 1995.</t>
        </is>
      </c>
      <c r="M691" t="inlineStr">
        <is>
          <t>1995</t>
        </is>
      </c>
      <c r="O691" t="inlineStr">
        <is>
          <t>eng</t>
        </is>
      </c>
      <c r="P691" t="inlineStr">
        <is>
          <t>nyu</t>
        </is>
      </c>
      <c r="R691" t="inlineStr">
        <is>
          <t xml:space="preserve">E  </t>
        </is>
      </c>
      <c r="S691" t="n">
        <v>2</v>
      </c>
      <c r="T691" t="n">
        <v>2</v>
      </c>
      <c r="U691" t="inlineStr">
        <is>
          <t>2001-04-18</t>
        </is>
      </c>
      <c r="V691" t="inlineStr">
        <is>
          <t>2001-04-18</t>
        </is>
      </c>
      <c r="W691" t="inlineStr">
        <is>
          <t>1996-10-07</t>
        </is>
      </c>
      <c r="X691" t="inlineStr">
        <is>
          <t>1996-10-07</t>
        </is>
      </c>
      <c r="Y691" t="n">
        <v>201</v>
      </c>
      <c r="Z691" t="n">
        <v>174</v>
      </c>
      <c r="AA691" t="n">
        <v>195</v>
      </c>
      <c r="AB691" t="n">
        <v>2</v>
      </c>
      <c r="AC691" t="n">
        <v>2</v>
      </c>
      <c r="AD691" t="n">
        <v>12</v>
      </c>
      <c r="AE691" t="n">
        <v>12</v>
      </c>
      <c r="AF691" t="n">
        <v>2</v>
      </c>
      <c r="AG691" t="n">
        <v>2</v>
      </c>
      <c r="AH691" t="n">
        <v>6</v>
      </c>
      <c r="AI691" t="n">
        <v>6</v>
      </c>
      <c r="AJ691" t="n">
        <v>8</v>
      </c>
      <c r="AK691" t="n">
        <v>8</v>
      </c>
      <c r="AL691" t="n">
        <v>1</v>
      </c>
      <c r="AM691" t="n">
        <v>1</v>
      </c>
      <c r="AN691" t="n">
        <v>0</v>
      </c>
      <c r="AO691" t="n">
        <v>0</v>
      </c>
      <c r="AP691" t="inlineStr">
        <is>
          <t>No</t>
        </is>
      </c>
      <c r="AQ691" t="inlineStr">
        <is>
          <t>No</t>
        </is>
      </c>
      <c r="AS691">
        <f>HYPERLINK("https://creighton-primo.hosted.exlibrisgroup.com/primo-explore/search?tab=default_tab&amp;search_scope=EVERYTHING&amp;vid=01CRU&amp;lang=en_US&amp;offset=0&amp;query=any,contains,991002488349702656","Catalog Record")</f>
        <v/>
      </c>
      <c r="AT691">
        <f>HYPERLINK("http://www.worldcat.org/oclc/32388809","WorldCat Record")</f>
        <v/>
      </c>
      <c r="AU691" t="inlineStr">
        <is>
          <t>36864367:eng</t>
        </is>
      </c>
      <c r="AV691" t="inlineStr">
        <is>
          <t>32388809</t>
        </is>
      </c>
      <c r="AW691" t="inlineStr">
        <is>
          <t>991002488349702656</t>
        </is>
      </c>
      <c r="AX691" t="inlineStr">
        <is>
          <t>991002488349702656</t>
        </is>
      </c>
      <c r="AY691" t="inlineStr">
        <is>
          <t>2258510640002656</t>
        </is>
      </c>
      <c r="AZ691" t="inlineStr">
        <is>
          <t>BOOK</t>
        </is>
      </c>
      <c r="BB691" t="inlineStr">
        <is>
          <t>9780312128210</t>
        </is>
      </c>
      <c r="BC691" t="inlineStr">
        <is>
          <t>32285002323409</t>
        </is>
      </c>
      <c r="BD691" t="inlineStr">
        <is>
          <t>893251300</t>
        </is>
      </c>
    </row>
    <row r="692">
      <c r="A692" t="inlineStr">
        <is>
          <t>No</t>
        </is>
      </c>
      <c r="B692" t="inlineStr">
        <is>
          <t>E183.8.N5 S55 1988</t>
        </is>
      </c>
      <c r="C692" t="inlineStr">
        <is>
          <t>0                      E  0183800N  5                  S  55          1988</t>
        </is>
      </c>
      <c r="D692" t="inlineStr">
        <is>
          <t>Washington's war on Nicaragua / Holly Sklar.</t>
        </is>
      </c>
      <c r="F692" t="inlineStr">
        <is>
          <t>No</t>
        </is>
      </c>
      <c r="G692" t="inlineStr">
        <is>
          <t>1</t>
        </is>
      </c>
      <c r="H692" t="inlineStr">
        <is>
          <t>No</t>
        </is>
      </c>
      <c r="I692" t="inlineStr">
        <is>
          <t>No</t>
        </is>
      </c>
      <c r="J692" t="inlineStr">
        <is>
          <t>0</t>
        </is>
      </c>
      <c r="K692" t="inlineStr">
        <is>
          <t>Sklar, Holly, 1955-</t>
        </is>
      </c>
      <c r="L692" t="inlineStr">
        <is>
          <t>Boston, MA : South End Press, c1988.</t>
        </is>
      </c>
      <c r="M692" t="inlineStr">
        <is>
          <t>1988</t>
        </is>
      </c>
      <c r="O692" t="inlineStr">
        <is>
          <t>eng</t>
        </is>
      </c>
      <c r="P692" t="inlineStr">
        <is>
          <t>mau</t>
        </is>
      </c>
      <c r="R692" t="inlineStr">
        <is>
          <t xml:space="preserve">E  </t>
        </is>
      </c>
      <c r="S692" t="n">
        <v>6</v>
      </c>
      <c r="T692" t="n">
        <v>6</v>
      </c>
      <c r="U692" t="inlineStr">
        <is>
          <t>1996-03-27</t>
        </is>
      </c>
      <c r="V692" t="inlineStr">
        <is>
          <t>1996-03-27</t>
        </is>
      </c>
      <c r="W692" t="inlineStr">
        <is>
          <t>1990-06-15</t>
        </is>
      </c>
      <c r="X692" t="inlineStr">
        <is>
          <t>1990-06-15</t>
        </is>
      </c>
      <c r="Y692" t="n">
        <v>754</v>
      </c>
      <c r="Z692" t="n">
        <v>697</v>
      </c>
      <c r="AA692" t="n">
        <v>704</v>
      </c>
      <c r="AB692" t="n">
        <v>4</v>
      </c>
      <c r="AC692" t="n">
        <v>4</v>
      </c>
      <c r="AD692" t="n">
        <v>30</v>
      </c>
      <c r="AE692" t="n">
        <v>30</v>
      </c>
      <c r="AF692" t="n">
        <v>13</v>
      </c>
      <c r="AG692" t="n">
        <v>13</v>
      </c>
      <c r="AH692" t="n">
        <v>7</v>
      </c>
      <c r="AI692" t="n">
        <v>7</v>
      </c>
      <c r="AJ692" t="n">
        <v>14</v>
      </c>
      <c r="AK692" t="n">
        <v>14</v>
      </c>
      <c r="AL692" t="n">
        <v>3</v>
      </c>
      <c r="AM692" t="n">
        <v>3</v>
      </c>
      <c r="AN692" t="n">
        <v>0</v>
      </c>
      <c r="AO692" t="n">
        <v>0</v>
      </c>
      <c r="AP692" t="inlineStr">
        <is>
          <t>No</t>
        </is>
      </c>
      <c r="AQ692" t="inlineStr">
        <is>
          <t>No</t>
        </is>
      </c>
      <c r="AS692">
        <f>HYPERLINK("https://creighton-primo.hosted.exlibrisgroup.com/primo-explore/search?tab=default_tab&amp;search_scope=EVERYTHING&amp;vid=01CRU&amp;lang=en_US&amp;offset=0&amp;query=any,contains,991001273009702656","Catalog Record")</f>
        <v/>
      </c>
      <c r="AT692">
        <f>HYPERLINK("http://www.worldcat.org/oclc/17842511","WorldCat Record")</f>
        <v/>
      </c>
      <c r="AU692" t="inlineStr">
        <is>
          <t>16571079:eng</t>
        </is>
      </c>
      <c r="AV692" t="inlineStr">
        <is>
          <t>17842511</t>
        </is>
      </c>
      <c r="AW692" t="inlineStr">
        <is>
          <t>991001273009702656</t>
        </is>
      </c>
      <c r="AX692" t="inlineStr">
        <is>
          <t>991001273009702656</t>
        </is>
      </c>
      <c r="AY692" t="inlineStr">
        <is>
          <t>2260630340002656</t>
        </is>
      </c>
      <c r="AZ692" t="inlineStr">
        <is>
          <t>BOOK</t>
        </is>
      </c>
      <c r="BB692" t="inlineStr">
        <is>
          <t>9780896082960</t>
        </is>
      </c>
      <c r="BC692" t="inlineStr">
        <is>
          <t>32285000197219</t>
        </is>
      </c>
      <c r="BD692" t="inlineStr">
        <is>
          <t>893496969</t>
        </is>
      </c>
    </row>
    <row r="693">
      <c r="A693" t="inlineStr">
        <is>
          <t>No</t>
        </is>
      </c>
      <c r="B693" t="inlineStr">
        <is>
          <t>E183.8.N5 S8</t>
        </is>
      </c>
      <c r="C693" t="inlineStr">
        <is>
          <t>0                      E  0183800N  5                  S  8</t>
        </is>
      </c>
      <c r="D693" t="inlineStr">
        <is>
          <t>American policy in Nicaragua / by Henry L. Stimson.</t>
        </is>
      </c>
      <c r="F693" t="inlineStr">
        <is>
          <t>No</t>
        </is>
      </c>
      <c r="G693" t="inlineStr">
        <is>
          <t>1</t>
        </is>
      </c>
      <c r="H693" t="inlineStr">
        <is>
          <t>No</t>
        </is>
      </c>
      <c r="I693" t="inlineStr">
        <is>
          <t>No</t>
        </is>
      </c>
      <c r="J693" t="inlineStr">
        <is>
          <t>0</t>
        </is>
      </c>
      <c r="K693" t="inlineStr">
        <is>
          <t>Stimson, Henry L. (Henry Lewis), 1867-1950.</t>
        </is>
      </c>
      <c r="L693" t="inlineStr">
        <is>
          <t>New York : C. Scribner's Sons, 1927.</t>
        </is>
      </c>
      <c r="M693" t="inlineStr">
        <is>
          <t>1927</t>
        </is>
      </c>
      <c r="O693" t="inlineStr">
        <is>
          <t>eng</t>
        </is>
      </c>
      <c r="P693" t="inlineStr">
        <is>
          <t>nyu</t>
        </is>
      </c>
      <c r="R693" t="inlineStr">
        <is>
          <t xml:space="preserve">E  </t>
        </is>
      </c>
      <c r="S693" t="n">
        <v>1</v>
      </c>
      <c r="T693" t="n">
        <v>1</v>
      </c>
      <c r="U693" t="inlineStr">
        <is>
          <t>1992-03-23</t>
        </is>
      </c>
      <c r="V693" t="inlineStr">
        <is>
          <t>1992-03-23</t>
        </is>
      </c>
      <c r="W693" t="inlineStr">
        <is>
          <t>1990-02-20</t>
        </is>
      </c>
      <c r="X693" t="inlineStr">
        <is>
          <t>1990-02-20</t>
        </is>
      </c>
      <c r="Y693" t="n">
        <v>286</v>
      </c>
      <c r="Z693" t="n">
        <v>259</v>
      </c>
      <c r="AA693" t="n">
        <v>482</v>
      </c>
      <c r="AB693" t="n">
        <v>4</v>
      </c>
      <c r="AC693" t="n">
        <v>4</v>
      </c>
      <c r="AD693" t="n">
        <v>11</v>
      </c>
      <c r="AE693" t="n">
        <v>20</v>
      </c>
      <c r="AF693" t="n">
        <v>2</v>
      </c>
      <c r="AG693" t="n">
        <v>5</v>
      </c>
      <c r="AH693" t="n">
        <v>3</v>
      </c>
      <c r="AI693" t="n">
        <v>6</v>
      </c>
      <c r="AJ693" t="n">
        <v>5</v>
      </c>
      <c r="AK693" t="n">
        <v>10</v>
      </c>
      <c r="AL693" t="n">
        <v>3</v>
      </c>
      <c r="AM693" t="n">
        <v>3</v>
      </c>
      <c r="AN693" t="n">
        <v>0</v>
      </c>
      <c r="AO693" t="n">
        <v>0</v>
      </c>
      <c r="AP693" t="inlineStr">
        <is>
          <t>No</t>
        </is>
      </c>
      <c r="AQ693" t="inlineStr">
        <is>
          <t>Yes</t>
        </is>
      </c>
      <c r="AR693">
        <f>HYPERLINK("http://catalog.hathitrust.org/Record/001153178","HathiTrust Record")</f>
        <v/>
      </c>
      <c r="AS693">
        <f>HYPERLINK("https://creighton-primo.hosted.exlibrisgroup.com/primo-explore/search?tab=default_tab&amp;search_scope=EVERYTHING&amp;vid=01CRU&amp;lang=en_US&amp;offset=0&amp;query=any,contains,991002001029702656","Catalog Record")</f>
        <v/>
      </c>
      <c r="AT693">
        <f>HYPERLINK("http://www.worldcat.org/oclc/256230","WorldCat Record")</f>
        <v/>
      </c>
      <c r="AU693" t="inlineStr">
        <is>
          <t>142110228:eng</t>
        </is>
      </c>
      <c r="AV693" t="inlineStr">
        <is>
          <t>256230</t>
        </is>
      </c>
      <c r="AW693" t="inlineStr">
        <is>
          <t>991002001029702656</t>
        </is>
      </c>
      <c r="AX693" t="inlineStr">
        <is>
          <t>991002001029702656</t>
        </is>
      </c>
      <c r="AY693" t="inlineStr">
        <is>
          <t>2272293110002656</t>
        </is>
      </c>
      <c r="AZ693" t="inlineStr">
        <is>
          <t>BOOK</t>
        </is>
      </c>
      <c r="BC693" t="inlineStr">
        <is>
          <t>32285000044528</t>
        </is>
      </c>
      <c r="BD693" t="inlineStr">
        <is>
          <t>893879393</t>
        </is>
      </c>
    </row>
    <row r="694">
      <c r="A694" t="inlineStr">
        <is>
          <t>No</t>
        </is>
      </c>
      <c r="B694" t="inlineStr">
        <is>
          <t>E183.8.N5 S8 1991</t>
        </is>
      </c>
      <c r="C694" t="inlineStr">
        <is>
          <t>0                      E  0183800N  5                  S  8           1991</t>
        </is>
      </c>
      <c r="D694" t="inlineStr">
        <is>
          <t>Henry L. Stimson's American policy in Nicaragua : the lasting legacy / [introduction and afterword by Paul H. Boeker ; plus essays by Andres Perez and Alain Brinkley].</t>
        </is>
      </c>
      <c r="F694" t="inlineStr">
        <is>
          <t>No</t>
        </is>
      </c>
      <c r="G694" t="inlineStr">
        <is>
          <t>1</t>
        </is>
      </c>
      <c r="H694" t="inlineStr">
        <is>
          <t>No</t>
        </is>
      </c>
      <c r="I694" t="inlineStr">
        <is>
          <t>No</t>
        </is>
      </c>
      <c r="J694" t="inlineStr">
        <is>
          <t>0</t>
        </is>
      </c>
      <c r="K694" t="inlineStr">
        <is>
          <t>Stimson, Henry L. (Henry Lewis), 1867-1950.</t>
        </is>
      </c>
      <c r="L694" t="inlineStr">
        <is>
          <t>New York : M. Wiener Pub., 1991.</t>
        </is>
      </c>
      <c r="M694" t="inlineStr">
        <is>
          <t>1991</t>
        </is>
      </c>
      <c r="O694" t="inlineStr">
        <is>
          <t>eng</t>
        </is>
      </c>
      <c r="P694" t="inlineStr">
        <is>
          <t>nyu</t>
        </is>
      </c>
      <c r="R694" t="inlineStr">
        <is>
          <t xml:space="preserve">E  </t>
        </is>
      </c>
      <c r="S694" t="n">
        <v>1</v>
      </c>
      <c r="T694" t="n">
        <v>1</v>
      </c>
      <c r="U694" t="inlineStr">
        <is>
          <t>2002-10-07</t>
        </is>
      </c>
      <c r="V694" t="inlineStr">
        <is>
          <t>2002-10-07</t>
        </is>
      </c>
      <c r="W694" t="inlineStr">
        <is>
          <t>1992-07-28</t>
        </is>
      </c>
      <c r="X694" t="inlineStr">
        <is>
          <t>1992-07-28</t>
        </is>
      </c>
      <c r="Y694" t="n">
        <v>264</v>
      </c>
      <c r="Z694" t="n">
        <v>235</v>
      </c>
      <c r="AA694" t="n">
        <v>238</v>
      </c>
      <c r="AB694" t="n">
        <v>2</v>
      </c>
      <c r="AC694" t="n">
        <v>2</v>
      </c>
      <c r="AD694" t="n">
        <v>17</v>
      </c>
      <c r="AE694" t="n">
        <v>17</v>
      </c>
      <c r="AF694" t="n">
        <v>6</v>
      </c>
      <c r="AG694" t="n">
        <v>6</v>
      </c>
      <c r="AH694" t="n">
        <v>5</v>
      </c>
      <c r="AI694" t="n">
        <v>5</v>
      </c>
      <c r="AJ694" t="n">
        <v>8</v>
      </c>
      <c r="AK694" t="n">
        <v>8</v>
      </c>
      <c r="AL694" t="n">
        <v>1</v>
      </c>
      <c r="AM694" t="n">
        <v>1</v>
      </c>
      <c r="AN694" t="n">
        <v>1</v>
      </c>
      <c r="AO694" t="n">
        <v>1</v>
      </c>
      <c r="AP694" t="inlineStr">
        <is>
          <t>No</t>
        </is>
      </c>
      <c r="AQ694" t="inlineStr">
        <is>
          <t>Yes</t>
        </is>
      </c>
      <c r="AR694">
        <f>HYPERLINK("http://catalog.hathitrust.org/Record/002521802","HathiTrust Record")</f>
        <v/>
      </c>
      <c r="AS694">
        <f>HYPERLINK("https://creighton-primo.hosted.exlibrisgroup.com/primo-explore/search?tab=default_tab&amp;search_scope=EVERYTHING&amp;vid=01CRU&amp;lang=en_US&amp;offset=0&amp;query=any,contains,991001891629702656","Catalog Record")</f>
        <v/>
      </c>
      <c r="AT694">
        <f>HYPERLINK("http://www.worldcat.org/oclc/23870364","WorldCat Record")</f>
        <v/>
      </c>
      <c r="AU694" t="inlineStr">
        <is>
          <t>4061401846:eng</t>
        </is>
      </c>
      <c r="AV694" t="inlineStr">
        <is>
          <t>23870364</t>
        </is>
      </c>
      <c r="AW694" t="inlineStr">
        <is>
          <t>991001891629702656</t>
        </is>
      </c>
      <c r="AX694" t="inlineStr">
        <is>
          <t>991001891629702656</t>
        </is>
      </c>
      <c r="AY694" t="inlineStr">
        <is>
          <t>2265487030002656</t>
        </is>
      </c>
      <c r="AZ694" t="inlineStr">
        <is>
          <t>BOOK</t>
        </is>
      </c>
      <c r="BB694" t="inlineStr">
        <is>
          <t>9781558760370</t>
        </is>
      </c>
      <c r="BC694" t="inlineStr">
        <is>
          <t>32285001195741</t>
        </is>
      </c>
      <c r="BD694" t="inlineStr">
        <is>
          <t>893879271</t>
        </is>
      </c>
    </row>
    <row r="695">
      <c r="A695" t="inlineStr">
        <is>
          <t>No</t>
        </is>
      </c>
      <c r="B695" t="inlineStr">
        <is>
          <t>E183.8.N5 T87 1987</t>
        </is>
      </c>
      <c r="C695" t="inlineStr">
        <is>
          <t>0                      E  0183800N  5                  T  87          1987</t>
        </is>
      </c>
      <c r="D695" t="inlineStr">
        <is>
          <t>Nicaragua v. United States : a look at the facts / Robert F. Turner.</t>
        </is>
      </c>
      <c r="F695" t="inlineStr">
        <is>
          <t>No</t>
        </is>
      </c>
      <c r="G695" t="inlineStr">
        <is>
          <t>1</t>
        </is>
      </c>
      <c r="H695" t="inlineStr">
        <is>
          <t>No</t>
        </is>
      </c>
      <c r="I695" t="inlineStr">
        <is>
          <t>No</t>
        </is>
      </c>
      <c r="J695" t="inlineStr">
        <is>
          <t>0</t>
        </is>
      </c>
      <c r="K695" t="inlineStr">
        <is>
          <t>Turner, Robert F.</t>
        </is>
      </c>
      <c r="L695" t="inlineStr">
        <is>
          <t>Cambridge, Mass. : Institute for Foreign Policy Analysis ; Washington : Pergamon-Brassey's, 1987.</t>
        </is>
      </c>
      <c r="M695" t="inlineStr">
        <is>
          <t>1987</t>
        </is>
      </c>
      <c r="O695" t="inlineStr">
        <is>
          <t>eng</t>
        </is>
      </c>
      <c r="P695" t="inlineStr">
        <is>
          <t>mau</t>
        </is>
      </c>
      <c r="Q695" t="inlineStr">
        <is>
          <t>Special report</t>
        </is>
      </c>
      <c r="R695" t="inlineStr">
        <is>
          <t xml:space="preserve">E  </t>
        </is>
      </c>
      <c r="S695" t="n">
        <v>4</v>
      </c>
      <c r="T695" t="n">
        <v>4</v>
      </c>
      <c r="U695" t="inlineStr">
        <is>
          <t>2000-04-19</t>
        </is>
      </c>
      <c r="V695" t="inlineStr">
        <is>
          <t>2000-04-19</t>
        </is>
      </c>
      <c r="W695" t="inlineStr">
        <is>
          <t>1990-02-14</t>
        </is>
      </c>
      <c r="X695" t="inlineStr">
        <is>
          <t>1990-02-14</t>
        </is>
      </c>
      <c r="Y695" t="n">
        <v>335</v>
      </c>
      <c r="Z695" t="n">
        <v>274</v>
      </c>
      <c r="AA695" t="n">
        <v>281</v>
      </c>
      <c r="AB695" t="n">
        <v>3</v>
      </c>
      <c r="AC695" t="n">
        <v>3</v>
      </c>
      <c r="AD695" t="n">
        <v>12</v>
      </c>
      <c r="AE695" t="n">
        <v>12</v>
      </c>
      <c r="AF695" t="n">
        <v>4</v>
      </c>
      <c r="AG695" t="n">
        <v>4</v>
      </c>
      <c r="AH695" t="n">
        <v>3</v>
      </c>
      <c r="AI695" t="n">
        <v>3</v>
      </c>
      <c r="AJ695" t="n">
        <v>9</v>
      </c>
      <c r="AK695" t="n">
        <v>9</v>
      </c>
      <c r="AL695" t="n">
        <v>2</v>
      </c>
      <c r="AM695" t="n">
        <v>2</v>
      </c>
      <c r="AN695" t="n">
        <v>0</v>
      </c>
      <c r="AO695" t="n">
        <v>0</v>
      </c>
      <c r="AP695" t="inlineStr">
        <is>
          <t>No</t>
        </is>
      </c>
      <c r="AQ695" t="inlineStr">
        <is>
          <t>Yes</t>
        </is>
      </c>
      <c r="AR695">
        <f>HYPERLINK("http://catalog.hathitrust.org/Record/000912565","HathiTrust Record")</f>
        <v/>
      </c>
      <c r="AS695">
        <f>HYPERLINK("https://creighton-primo.hosted.exlibrisgroup.com/primo-explore/search?tab=default_tab&amp;search_scope=EVERYTHING&amp;vid=01CRU&amp;lang=en_US&amp;offset=0&amp;query=any,contains,991001087689702656","Catalog Record")</f>
        <v/>
      </c>
      <c r="AT695">
        <f>HYPERLINK("http://www.worldcat.org/oclc/16131487","WorldCat Record")</f>
        <v/>
      </c>
      <c r="AU695" t="inlineStr">
        <is>
          <t>198551993:eng</t>
        </is>
      </c>
      <c r="AV695" t="inlineStr">
        <is>
          <t>16131487</t>
        </is>
      </c>
      <c r="AW695" t="inlineStr">
        <is>
          <t>991001087689702656</t>
        </is>
      </c>
      <c r="AX695" t="inlineStr">
        <is>
          <t>991001087689702656</t>
        </is>
      </c>
      <c r="AY695" t="inlineStr">
        <is>
          <t>2268530760002656</t>
        </is>
      </c>
      <c r="AZ695" t="inlineStr">
        <is>
          <t>BOOK</t>
        </is>
      </c>
      <c r="BB695" t="inlineStr">
        <is>
          <t>9780080344997</t>
        </is>
      </c>
      <c r="BC695" t="inlineStr">
        <is>
          <t>32285000052380</t>
        </is>
      </c>
      <c r="BD695" t="inlineStr">
        <is>
          <t>893897500</t>
        </is>
      </c>
    </row>
    <row r="696">
      <c r="A696" t="inlineStr">
        <is>
          <t>No</t>
        </is>
      </c>
      <c r="B696" t="inlineStr">
        <is>
          <t>E183.8.N6 A84 1987</t>
        </is>
      </c>
      <c r="C696" t="inlineStr">
        <is>
          <t>0                      E  0183800N  6                  A  84          1987</t>
        </is>
      </c>
      <c r="D696" t="inlineStr">
        <is>
          <t>Decolonization and dependence : the development of Nigerian-U.S. relations, 1960-1984 / Bassey E. Ate.</t>
        </is>
      </c>
      <c r="F696" t="inlineStr">
        <is>
          <t>No</t>
        </is>
      </c>
      <c r="G696" t="inlineStr">
        <is>
          <t>1</t>
        </is>
      </c>
      <c r="H696" t="inlineStr">
        <is>
          <t>No</t>
        </is>
      </c>
      <c r="I696" t="inlineStr">
        <is>
          <t>No</t>
        </is>
      </c>
      <c r="J696" t="inlineStr">
        <is>
          <t>0</t>
        </is>
      </c>
      <c r="K696" t="inlineStr">
        <is>
          <t>Ate, Bassey E.</t>
        </is>
      </c>
      <c r="L696" t="inlineStr">
        <is>
          <t>Boulder, Colo. : Westview Press, 1987.</t>
        </is>
      </c>
      <c r="M696" t="inlineStr">
        <is>
          <t>1987</t>
        </is>
      </c>
      <c r="O696" t="inlineStr">
        <is>
          <t>eng</t>
        </is>
      </c>
      <c r="P696" t="inlineStr">
        <is>
          <t>cou</t>
        </is>
      </c>
      <c r="Q696" t="inlineStr">
        <is>
          <t>Westview special studies on Africa</t>
        </is>
      </c>
      <c r="R696" t="inlineStr">
        <is>
          <t xml:space="preserve">E  </t>
        </is>
      </c>
      <c r="S696" t="n">
        <v>3</v>
      </c>
      <c r="T696" t="n">
        <v>3</v>
      </c>
      <c r="U696" t="inlineStr">
        <is>
          <t>1995-04-06</t>
        </is>
      </c>
      <c r="V696" t="inlineStr">
        <is>
          <t>1995-04-06</t>
        </is>
      </c>
      <c r="W696" t="inlineStr">
        <is>
          <t>1991-02-06</t>
        </is>
      </c>
      <c r="X696" t="inlineStr">
        <is>
          <t>1991-02-06</t>
        </is>
      </c>
      <c r="Y696" t="n">
        <v>289</v>
      </c>
      <c r="Z696" t="n">
        <v>240</v>
      </c>
      <c r="AA696" t="n">
        <v>246</v>
      </c>
      <c r="AB696" t="n">
        <v>3</v>
      </c>
      <c r="AC696" t="n">
        <v>3</v>
      </c>
      <c r="AD696" t="n">
        <v>10</v>
      </c>
      <c r="AE696" t="n">
        <v>11</v>
      </c>
      <c r="AF696" t="n">
        <v>2</v>
      </c>
      <c r="AG696" t="n">
        <v>2</v>
      </c>
      <c r="AH696" t="n">
        <v>2</v>
      </c>
      <c r="AI696" t="n">
        <v>3</v>
      </c>
      <c r="AJ696" t="n">
        <v>7</v>
      </c>
      <c r="AK696" t="n">
        <v>8</v>
      </c>
      <c r="AL696" t="n">
        <v>2</v>
      </c>
      <c r="AM696" t="n">
        <v>2</v>
      </c>
      <c r="AN696" t="n">
        <v>0</v>
      </c>
      <c r="AO696" t="n">
        <v>0</v>
      </c>
      <c r="AP696" t="inlineStr">
        <is>
          <t>No</t>
        </is>
      </c>
      <c r="AQ696" t="inlineStr">
        <is>
          <t>Yes</t>
        </is>
      </c>
      <c r="AR696">
        <f>HYPERLINK("http://catalog.hathitrust.org/Record/000806706","HathiTrust Record")</f>
        <v/>
      </c>
      <c r="AS696">
        <f>HYPERLINK("https://creighton-primo.hosted.exlibrisgroup.com/primo-explore/search?tab=default_tab&amp;search_scope=EVERYTHING&amp;vid=01CRU&amp;lang=en_US&amp;offset=0&amp;query=any,contains,991000720619702656","Catalog Record")</f>
        <v/>
      </c>
      <c r="AT696">
        <f>HYPERLINK("http://www.worldcat.org/oclc/12665575","WorldCat Record")</f>
        <v/>
      </c>
      <c r="AU696" t="inlineStr">
        <is>
          <t>5410845:eng</t>
        </is>
      </c>
      <c r="AV696" t="inlineStr">
        <is>
          <t>12665575</t>
        </is>
      </c>
      <c r="AW696" t="inlineStr">
        <is>
          <t>991000720619702656</t>
        </is>
      </c>
      <c r="AX696" t="inlineStr">
        <is>
          <t>991000720619702656</t>
        </is>
      </c>
      <c r="AY696" t="inlineStr">
        <is>
          <t>2264271680002656</t>
        </is>
      </c>
      <c r="AZ696" t="inlineStr">
        <is>
          <t>BOOK</t>
        </is>
      </c>
      <c r="BB696" t="inlineStr">
        <is>
          <t>9780813371375</t>
        </is>
      </c>
      <c r="BC696" t="inlineStr">
        <is>
          <t>32285000481944</t>
        </is>
      </c>
      <c r="BD696" t="inlineStr">
        <is>
          <t>893237556</t>
        </is>
      </c>
    </row>
    <row r="697">
      <c r="A697" t="inlineStr">
        <is>
          <t>No</t>
        </is>
      </c>
      <c r="B697" t="inlineStr">
        <is>
          <t>E183.8.N6 S5513 1976</t>
        </is>
      </c>
      <c r="C697" t="inlineStr">
        <is>
          <t>0                      E  0183800N  6                  S  5513        1976</t>
        </is>
      </c>
      <c r="D697" t="inlineStr">
        <is>
          <t>The United States in Norwegian history / Sigmund Skard.</t>
        </is>
      </c>
      <c r="F697" t="inlineStr">
        <is>
          <t>No</t>
        </is>
      </c>
      <c r="G697" t="inlineStr">
        <is>
          <t>1</t>
        </is>
      </c>
      <c r="H697" t="inlineStr">
        <is>
          <t>No</t>
        </is>
      </c>
      <c r="I697" t="inlineStr">
        <is>
          <t>No</t>
        </is>
      </c>
      <c r="J697" t="inlineStr">
        <is>
          <t>0</t>
        </is>
      </c>
      <c r="K697" t="inlineStr">
        <is>
          <t>Skard, Sigmund, 1903-1995.</t>
        </is>
      </c>
      <c r="L697" t="inlineStr">
        <is>
          <t>Westport, Conn. : Greenwood Press, 1976.</t>
        </is>
      </c>
      <c r="M697" t="inlineStr">
        <is>
          <t>1976</t>
        </is>
      </c>
      <c r="O697" t="inlineStr">
        <is>
          <t>eng</t>
        </is>
      </c>
      <c r="P697" t="inlineStr">
        <is>
          <t>ctu</t>
        </is>
      </c>
      <c r="Q697" t="inlineStr">
        <is>
          <t>Contributions in American studies ; no. 26</t>
        </is>
      </c>
      <c r="R697" t="inlineStr">
        <is>
          <t xml:space="preserve">E  </t>
        </is>
      </c>
      <c r="S697" t="n">
        <v>2</v>
      </c>
      <c r="T697" t="n">
        <v>2</v>
      </c>
      <c r="U697" t="inlineStr">
        <is>
          <t>1998-11-23</t>
        </is>
      </c>
      <c r="V697" t="inlineStr">
        <is>
          <t>1998-11-23</t>
        </is>
      </c>
      <c r="W697" t="inlineStr">
        <is>
          <t>1992-03-12</t>
        </is>
      </c>
      <c r="X697" t="inlineStr">
        <is>
          <t>1992-03-12</t>
        </is>
      </c>
      <c r="Y697" t="n">
        <v>352</v>
      </c>
      <c r="Z697" t="n">
        <v>298</v>
      </c>
      <c r="AA697" t="n">
        <v>305</v>
      </c>
      <c r="AB697" t="n">
        <v>3</v>
      </c>
      <c r="AC697" t="n">
        <v>3</v>
      </c>
      <c r="AD697" t="n">
        <v>10</v>
      </c>
      <c r="AE697" t="n">
        <v>10</v>
      </c>
      <c r="AF697" t="n">
        <v>1</v>
      </c>
      <c r="AG697" t="n">
        <v>1</v>
      </c>
      <c r="AH697" t="n">
        <v>5</v>
      </c>
      <c r="AI697" t="n">
        <v>5</v>
      </c>
      <c r="AJ697" t="n">
        <v>3</v>
      </c>
      <c r="AK697" t="n">
        <v>3</v>
      </c>
      <c r="AL697" t="n">
        <v>2</v>
      </c>
      <c r="AM697" t="n">
        <v>2</v>
      </c>
      <c r="AN697" t="n">
        <v>0</v>
      </c>
      <c r="AO697" t="n">
        <v>0</v>
      </c>
      <c r="AP697" t="inlineStr">
        <is>
          <t>No</t>
        </is>
      </c>
      <c r="AQ697" t="inlineStr">
        <is>
          <t>Yes</t>
        </is>
      </c>
      <c r="AR697">
        <f>HYPERLINK("http://catalog.hathitrust.org/Record/000742940","HathiTrust Record")</f>
        <v/>
      </c>
      <c r="AS697">
        <f>HYPERLINK("https://creighton-primo.hosted.exlibrisgroup.com/primo-explore/search?tab=default_tab&amp;search_scope=EVERYTHING&amp;vid=01CRU&amp;lang=en_US&amp;offset=0&amp;query=any,contains,991004112399702656","Catalog Record")</f>
        <v/>
      </c>
      <c r="AT697">
        <f>HYPERLINK("http://www.worldcat.org/oclc/2401537","WorldCat Record")</f>
        <v/>
      </c>
      <c r="AU697" t="inlineStr">
        <is>
          <t>4535746508:eng</t>
        </is>
      </c>
      <c r="AV697" t="inlineStr">
        <is>
          <t>2401537</t>
        </is>
      </c>
      <c r="AW697" t="inlineStr">
        <is>
          <t>991004112399702656</t>
        </is>
      </c>
      <c r="AX697" t="inlineStr">
        <is>
          <t>991004112399702656</t>
        </is>
      </c>
      <c r="AY697" t="inlineStr">
        <is>
          <t>2264310860002656</t>
        </is>
      </c>
      <c r="AZ697" t="inlineStr">
        <is>
          <t>BOOK</t>
        </is>
      </c>
      <c r="BB697" t="inlineStr">
        <is>
          <t>9780837189093</t>
        </is>
      </c>
      <c r="BC697" t="inlineStr">
        <is>
          <t>32285000998715</t>
        </is>
      </c>
      <c r="BD697" t="inlineStr">
        <is>
          <t>893241025</t>
        </is>
      </c>
    </row>
    <row r="698">
      <c r="A698" t="inlineStr">
        <is>
          <t>No</t>
        </is>
      </c>
      <c r="B698" t="inlineStr">
        <is>
          <t>E183.8.N6 T36 1991</t>
        </is>
      </c>
      <c r="C698" t="inlineStr">
        <is>
          <t>0                      E  0183800N  6                  T  36          1991</t>
        </is>
      </c>
      <c r="D698" t="inlineStr">
        <is>
          <t>The United States and the Cold War in the High North / Rolf Tamnes.</t>
        </is>
      </c>
      <c r="F698" t="inlineStr">
        <is>
          <t>No</t>
        </is>
      </c>
      <c r="G698" t="inlineStr">
        <is>
          <t>1</t>
        </is>
      </c>
      <c r="H698" t="inlineStr">
        <is>
          <t>No</t>
        </is>
      </c>
      <c r="I698" t="inlineStr">
        <is>
          <t>No</t>
        </is>
      </c>
      <c r="J698" t="inlineStr">
        <is>
          <t>0</t>
        </is>
      </c>
      <c r="K698" t="inlineStr">
        <is>
          <t>Tamnes, Rolf.</t>
        </is>
      </c>
      <c r="L698" t="inlineStr">
        <is>
          <t>Aldershot, Hants, England ; Brookfield, Vt., USA : Dartmouth, c1991.</t>
        </is>
      </c>
      <c r="M698" t="inlineStr">
        <is>
          <t>1991</t>
        </is>
      </c>
      <c r="O698" t="inlineStr">
        <is>
          <t>eng</t>
        </is>
      </c>
      <c r="P698" t="inlineStr">
        <is>
          <t>enk</t>
        </is>
      </c>
      <c r="R698" t="inlineStr">
        <is>
          <t xml:space="preserve">E  </t>
        </is>
      </c>
      <c r="S698" t="n">
        <v>5</v>
      </c>
      <c r="T698" t="n">
        <v>5</v>
      </c>
      <c r="U698" t="inlineStr">
        <is>
          <t>2004-11-08</t>
        </is>
      </c>
      <c r="V698" t="inlineStr">
        <is>
          <t>2004-11-08</t>
        </is>
      </c>
      <c r="W698" t="inlineStr">
        <is>
          <t>1993-09-28</t>
        </is>
      </c>
      <c r="X698" t="inlineStr">
        <is>
          <t>1993-09-28</t>
        </is>
      </c>
      <c r="Y698" t="n">
        <v>157</v>
      </c>
      <c r="Z698" t="n">
        <v>111</v>
      </c>
      <c r="AA698" t="n">
        <v>116</v>
      </c>
      <c r="AB698" t="n">
        <v>1</v>
      </c>
      <c r="AC698" t="n">
        <v>1</v>
      </c>
      <c r="AD698" t="n">
        <v>3</v>
      </c>
      <c r="AE698" t="n">
        <v>3</v>
      </c>
      <c r="AF698" t="n">
        <v>1</v>
      </c>
      <c r="AG698" t="n">
        <v>1</v>
      </c>
      <c r="AH698" t="n">
        <v>0</v>
      </c>
      <c r="AI698" t="n">
        <v>0</v>
      </c>
      <c r="AJ698" t="n">
        <v>3</v>
      </c>
      <c r="AK698" t="n">
        <v>3</v>
      </c>
      <c r="AL698" t="n">
        <v>0</v>
      </c>
      <c r="AM698" t="n">
        <v>0</v>
      </c>
      <c r="AN698" t="n">
        <v>0</v>
      </c>
      <c r="AO698" t="n">
        <v>0</v>
      </c>
      <c r="AP698" t="inlineStr">
        <is>
          <t>No</t>
        </is>
      </c>
      <c r="AQ698" t="inlineStr">
        <is>
          <t>Yes</t>
        </is>
      </c>
      <c r="AR698">
        <f>HYPERLINK("http://catalog.hathitrust.org/Record/002482132","HathiTrust Record")</f>
        <v/>
      </c>
      <c r="AS698">
        <f>HYPERLINK("https://creighton-primo.hosted.exlibrisgroup.com/primo-explore/search?tab=default_tab&amp;search_scope=EVERYTHING&amp;vid=01CRU&amp;lang=en_US&amp;offset=0&amp;query=any,contains,991001866949702656","Catalog Record")</f>
        <v/>
      </c>
      <c r="AT698">
        <f>HYPERLINK("http://www.worldcat.org/oclc/23463854","WorldCat Record")</f>
        <v/>
      </c>
      <c r="AU698" t="inlineStr">
        <is>
          <t>24960353:eng</t>
        </is>
      </c>
      <c r="AV698" t="inlineStr">
        <is>
          <t>23463854</t>
        </is>
      </c>
      <c r="AW698" t="inlineStr">
        <is>
          <t>991001866949702656</t>
        </is>
      </c>
      <c r="AX698" t="inlineStr">
        <is>
          <t>991001866949702656</t>
        </is>
      </c>
      <c r="AY698" t="inlineStr">
        <is>
          <t>2256165360002656</t>
        </is>
      </c>
      <c r="AZ698" t="inlineStr">
        <is>
          <t>BOOK</t>
        </is>
      </c>
      <c r="BB698" t="inlineStr">
        <is>
          <t>9781855212237</t>
        </is>
      </c>
      <c r="BC698" t="inlineStr">
        <is>
          <t>32285001768414</t>
        </is>
      </c>
      <c r="BD698" t="inlineStr">
        <is>
          <t>893497495</t>
        </is>
      </c>
    </row>
    <row r="699">
      <c r="A699" t="inlineStr">
        <is>
          <t>No</t>
        </is>
      </c>
      <c r="B699" t="inlineStr">
        <is>
          <t>E183.8.P18 K89 2001</t>
        </is>
      </c>
      <c r="C699" t="inlineStr">
        <is>
          <t>0                      E  0183800P  18                 K  89          2001</t>
        </is>
      </c>
      <c r="D699" t="inlineStr">
        <is>
          <t>The United States and Pakistan, 1947-2000 : disenchanted allies / Dennis Kux.</t>
        </is>
      </c>
      <c r="F699" t="inlineStr">
        <is>
          <t>No</t>
        </is>
      </c>
      <c r="G699" t="inlineStr">
        <is>
          <t>1</t>
        </is>
      </c>
      <c r="H699" t="inlineStr">
        <is>
          <t>No</t>
        </is>
      </c>
      <c r="I699" t="inlineStr">
        <is>
          <t>No</t>
        </is>
      </c>
      <c r="J699" t="inlineStr">
        <is>
          <t>0</t>
        </is>
      </c>
      <c r="K699" t="inlineStr">
        <is>
          <t>Kux, Dennis, 1931-</t>
        </is>
      </c>
      <c r="L699" t="inlineStr">
        <is>
          <t>Washington, D.C. : Woodrow Wilson Center Press ; Baltimore : Johns Hopkins University Press, c2001.</t>
        </is>
      </c>
      <c r="M699" t="inlineStr">
        <is>
          <t>2001</t>
        </is>
      </c>
      <c r="O699" t="inlineStr">
        <is>
          <t>eng</t>
        </is>
      </c>
      <c r="P699" t="inlineStr">
        <is>
          <t>dcu</t>
        </is>
      </c>
      <c r="R699" t="inlineStr">
        <is>
          <t xml:space="preserve">E  </t>
        </is>
      </c>
      <c r="S699" t="n">
        <v>2</v>
      </c>
      <c r="T699" t="n">
        <v>2</v>
      </c>
      <c r="U699" t="inlineStr">
        <is>
          <t>2002-01-02</t>
        </is>
      </c>
      <c r="V699" t="inlineStr">
        <is>
          <t>2002-01-02</t>
        </is>
      </c>
      <c r="W699" t="inlineStr">
        <is>
          <t>2001-12-06</t>
        </is>
      </c>
      <c r="X699" t="inlineStr">
        <is>
          <t>2001-12-06</t>
        </is>
      </c>
      <c r="Y699" t="n">
        <v>684</v>
      </c>
      <c r="Z699" t="n">
        <v>606</v>
      </c>
      <c r="AA699" t="n">
        <v>617</v>
      </c>
      <c r="AB699" t="n">
        <v>3</v>
      </c>
      <c r="AC699" t="n">
        <v>4</v>
      </c>
      <c r="AD699" t="n">
        <v>28</v>
      </c>
      <c r="AE699" t="n">
        <v>29</v>
      </c>
      <c r="AF699" t="n">
        <v>13</v>
      </c>
      <c r="AG699" t="n">
        <v>13</v>
      </c>
      <c r="AH699" t="n">
        <v>10</v>
      </c>
      <c r="AI699" t="n">
        <v>10</v>
      </c>
      <c r="AJ699" t="n">
        <v>11</v>
      </c>
      <c r="AK699" t="n">
        <v>11</v>
      </c>
      <c r="AL699" t="n">
        <v>2</v>
      </c>
      <c r="AM699" t="n">
        <v>3</v>
      </c>
      <c r="AN699" t="n">
        <v>0</v>
      </c>
      <c r="AO699" t="n">
        <v>0</v>
      </c>
      <c r="AP699" t="inlineStr">
        <is>
          <t>No</t>
        </is>
      </c>
      <c r="AQ699" t="inlineStr">
        <is>
          <t>Yes</t>
        </is>
      </c>
      <c r="AR699">
        <f>HYPERLINK("http://catalog.hathitrust.org/Record/004183070","HathiTrust Record")</f>
        <v/>
      </c>
      <c r="AS699">
        <f>HYPERLINK("https://creighton-primo.hosted.exlibrisgroup.com/primo-explore/search?tab=default_tab&amp;search_scope=EVERYTHING&amp;vid=01CRU&amp;lang=en_US&amp;offset=0&amp;query=any,contains,991003651589702656","Catalog Record")</f>
        <v/>
      </c>
      <c r="AT699">
        <f>HYPERLINK("http://www.worldcat.org/oclc/45715313","WorldCat Record")</f>
        <v/>
      </c>
      <c r="AU699" t="inlineStr">
        <is>
          <t>795342413:eng</t>
        </is>
      </c>
      <c r="AV699" t="inlineStr">
        <is>
          <t>45715313</t>
        </is>
      </c>
      <c r="AW699" t="inlineStr">
        <is>
          <t>991003651589702656</t>
        </is>
      </c>
      <c r="AX699" t="inlineStr">
        <is>
          <t>991003651589702656</t>
        </is>
      </c>
      <c r="AY699" t="inlineStr">
        <is>
          <t>2263138600002656</t>
        </is>
      </c>
      <c r="AZ699" t="inlineStr">
        <is>
          <t>BOOK</t>
        </is>
      </c>
      <c r="BB699" t="inlineStr">
        <is>
          <t>9780801865718</t>
        </is>
      </c>
      <c r="BC699" t="inlineStr">
        <is>
          <t>32285004426457</t>
        </is>
      </c>
      <c r="BD699" t="inlineStr">
        <is>
          <t>893505818</t>
        </is>
      </c>
    </row>
    <row r="700">
      <c r="A700" t="inlineStr">
        <is>
          <t>No</t>
        </is>
      </c>
      <c r="B700" t="inlineStr">
        <is>
          <t>E183.8.P19 U15 1995</t>
        </is>
      </c>
      <c r="C700" t="inlineStr">
        <is>
          <t>0                      E  0183800P  19                 U  15          1995</t>
        </is>
      </c>
      <c r="D700" t="inlineStr">
        <is>
          <t>U.S. policy on Palestine : from Wilson to Clinton / edited by Michael W. Suleiman.</t>
        </is>
      </c>
      <c r="F700" t="inlineStr">
        <is>
          <t>No</t>
        </is>
      </c>
      <c r="G700" t="inlineStr">
        <is>
          <t>1</t>
        </is>
      </c>
      <c r="H700" t="inlineStr">
        <is>
          <t>No</t>
        </is>
      </c>
      <c r="I700" t="inlineStr">
        <is>
          <t>No</t>
        </is>
      </c>
      <c r="J700" t="inlineStr">
        <is>
          <t>0</t>
        </is>
      </c>
      <c r="L700" t="inlineStr">
        <is>
          <t>Normal, Ill. : Association of Arab-American University Graduates, 1995.</t>
        </is>
      </c>
      <c r="M700" t="inlineStr">
        <is>
          <t>1995</t>
        </is>
      </c>
      <c r="O700" t="inlineStr">
        <is>
          <t>eng</t>
        </is>
      </c>
      <c r="P700" t="inlineStr">
        <is>
          <t>ilu</t>
        </is>
      </c>
      <c r="R700" t="inlineStr">
        <is>
          <t xml:space="preserve">E  </t>
        </is>
      </c>
      <c r="S700" t="n">
        <v>3</v>
      </c>
      <c r="T700" t="n">
        <v>3</v>
      </c>
      <c r="U700" t="inlineStr">
        <is>
          <t>2005-03-20</t>
        </is>
      </c>
      <c r="V700" t="inlineStr">
        <is>
          <t>2005-03-20</t>
        </is>
      </c>
      <c r="W700" t="inlineStr">
        <is>
          <t>1997-03-11</t>
        </is>
      </c>
      <c r="X700" t="inlineStr">
        <is>
          <t>1997-03-11</t>
        </is>
      </c>
      <c r="Y700" t="n">
        <v>290</v>
      </c>
      <c r="Z700" t="n">
        <v>252</v>
      </c>
      <c r="AA700" t="n">
        <v>254</v>
      </c>
      <c r="AB700" t="n">
        <v>1</v>
      </c>
      <c r="AC700" t="n">
        <v>1</v>
      </c>
      <c r="AD700" t="n">
        <v>16</v>
      </c>
      <c r="AE700" t="n">
        <v>16</v>
      </c>
      <c r="AF700" t="n">
        <v>5</v>
      </c>
      <c r="AG700" t="n">
        <v>5</v>
      </c>
      <c r="AH700" t="n">
        <v>5</v>
      </c>
      <c r="AI700" t="n">
        <v>5</v>
      </c>
      <c r="AJ700" t="n">
        <v>9</v>
      </c>
      <c r="AK700" t="n">
        <v>9</v>
      </c>
      <c r="AL700" t="n">
        <v>0</v>
      </c>
      <c r="AM700" t="n">
        <v>0</v>
      </c>
      <c r="AN700" t="n">
        <v>0</v>
      </c>
      <c r="AO700" t="n">
        <v>0</v>
      </c>
      <c r="AP700" t="inlineStr">
        <is>
          <t>No</t>
        </is>
      </c>
      <c r="AQ700" t="inlineStr">
        <is>
          <t>Yes</t>
        </is>
      </c>
      <c r="AR700">
        <f>HYPERLINK("http://catalog.hathitrust.org/Record/003041354","HathiTrust Record")</f>
        <v/>
      </c>
      <c r="AS700">
        <f>HYPERLINK("https://creighton-primo.hosted.exlibrisgroup.com/primo-explore/search?tab=default_tab&amp;search_scope=EVERYTHING&amp;vid=01CRU&amp;lang=en_US&amp;offset=0&amp;query=any,contains,991002399059702656","Catalog Record")</f>
        <v/>
      </c>
      <c r="AT700">
        <f>HYPERLINK("http://www.worldcat.org/oclc/31172829","WorldCat Record")</f>
        <v/>
      </c>
      <c r="AU700" t="inlineStr">
        <is>
          <t>4915298521:eng</t>
        </is>
      </c>
      <c r="AV700" t="inlineStr">
        <is>
          <t>31172829</t>
        </is>
      </c>
      <c r="AW700" t="inlineStr">
        <is>
          <t>991002399059702656</t>
        </is>
      </c>
      <c r="AX700" t="inlineStr">
        <is>
          <t>991002399059702656</t>
        </is>
      </c>
      <c r="AY700" t="inlineStr">
        <is>
          <t>2258068030002656</t>
        </is>
      </c>
      <c r="AZ700" t="inlineStr">
        <is>
          <t>BOOK</t>
        </is>
      </c>
      <c r="BB700" t="inlineStr">
        <is>
          <t>9780937694886</t>
        </is>
      </c>
      <c r="BC700" t="inlineStr">
        <is>
          <t>32285002441276</t>
        </is>
      </c>
      <c r="BD700" t="inlineStr">
        <is>
          <t>893898716</t>
        </is>
      </c>
    </row>
    <row r="701">
      <c r="A701" t="inlineStr">
        <is>
          <t>No</t>
        </is>
      </c>
      <c r="B701" t="inlineStr">
        <is>
          <t>E183.8.P3 S75</t>
        </is>
      </c>
      <c r="C701" t="inlineStr">
        <is>
          <t>0                      E  0183800P  3                  S  75</t>
        </is>
      </c>
      <c r="D701" t="inlineStr">
        <is>
          <t>United States ministers to the Papal States : instructions and despatches, 1848-1868 / edited with introduction by Leo Francis Stock.</t>
        </is>
      </c>
      <c r="F701" t="inlineStr">
        <is>
          <t>No</t>
        </is>
      </c>
      <c r="G701" t="inlineStr">
        <is>
          <t>1</t>
        </is>
      </c>
      <c r="H701" t="inlineStr">
        <is>
          <t>Yes</t>
        </is>
      </c>
      <c r="I701" t="inlineStr">
        <is>
          <t>No</t>
        </is>
      </c>
      <c r="J701" t="inlineStr">
        <is>
          <t>0</t>
        </is>
      </c>
      <c r="L701" t="inlineStr">
        <is>
          <t>Washington, D.C. : Catholic University Press, 1933.</t>
        </is>
      </c>
      <c r="M701" t="inlineStr">
        <is>
          <t>1933</t>
        </is>
      </c>
      <c r="O701" t="inlineStr">
        <is>
          <t>eng</t>
        </is>
      </c>
      <c r="P701" t="inlineStr">
        <is>
          <t>dcu</t>
        </is>
      </c>
      <c r="Q701" t="inlineStr">
        <is>
          <t>Documents (American Catholic Historical Association) ; v. 1</t>
        </is>
      </c>
      <c r="R701" t="inlineStr">
        <is>
          <t xml:space="preserve">E  </t>
        </is>
      </c>
      <c r="S701" t="n">
        <v>0</v>
      </c>
      <c r="T701" t="n">
        <v>0</v>
      </c>
      <c r="U701" t="inlineStr">
        <is>
          <t>2005-07-05</t>
        </is>
      </c>
      <c r="V701" t="inlineStr">
        <is>
          <t>2005-07-05</t>
        </is>
      </c>
      <c r="W701" t="inlineStr">
        <is>
          <t>1997-04-09</t>
        </is>
      </c>
      <c r="X701" t="inlineStr">
        <is>
          <t>1997-04-09</t>
        </is>
      </c>
      <c r="Y701" t="n">
        <v>270</v>
      </c>
      <c r="Z701" t="n">
        <v>246</v>
      </c>
      <c r="AA701" t="n">
        <v>257</v>
      </c>
      <c r="AB701" t="n">
        <v>4</v>
      </c>
      <c r="AC701" t="n">
        <v>4</v>
      </c>
      <c r="AD701" t="n">
        <v>34</v>
      </c>
      <c r="AE701" t="n">
        <v>34</v>
      </c>
      <c r="AF701" t="n">
        <v>10</v>
      </c>
      <c r="AG701" t="n">
        <v>10</v>
      </c>
      <c r="AH701" t="n">
        <v>9</v>
      </c>
      <c r="AI701" t="n">
        <v>9</v>
      </c>
      <c r="AJ701" t="n">
        <v>25</v>
      </c>
      <c r="AK701" t="n">
        <v>25</v>
      </c>
      <c r="AL701" t="n">
        <v>1</v>
      </c>
      <c r="AM701" t="n">
        <v>1</v>
      </c>
      <c r="AN701" t="n">
        <v>1</v>
      </c>
      <c r="AO701" t="n">
        <v>1</v>
      </c>
      <c r="AP701" t="inlineStr">
        <is>
          <t>Yes</t>
        </is>
      </c>
      <c r="AQ701" t="inlineStr">
        <is>
          <t>No</t>
        </is>
      </c>
      <c r="AR701">
        <f>HYPERLINK("http://catalog.hathitrust.org/Record/005661224","HathiTrust Record")</f>
        <v/>
      </c>
      <c r="AS701">
        <f>HYPERLINK("https://creighton-primo.hosted.exlibrisgroup.com/primo-explore/search?tab=default_tab&amp;search_scope=EVERYTHING&amp;vid=01CRU&amp;lang=en_US&amp;offset=0&amp;query=any,contains,991001691299702656","Catalog Record")</f>
        <v/>
      </c>
      <c r="AT701">
        <f>HYPERLINK("http://www.worldcat.org/oclc/1060086","WorldCat Record")</f>
        <v/>
      </c>
      <c r="AU701" t="inlineStr">
        <is>
          <t>800935182:eng</t>
        </is>
      </c>
      <c r="AV701" t="inlineStr">
        <is>
          <t>1060086</t>
        </is>
      </c>
      <c r="AW701" t="inlineStr">
        <is>
          <t>991001691299702656</t>
        </is>
      </c>
      <c r="AX701" t="inlineStr">
        <is>
          <t>991001691299702656</t>
        </is>
      </c>
      <c r="AY701" t="inlineStr">
        <is>
          <t>2258924300002656</t>
        </is>
      </c>
      <c r="AZ701" t="inlineStr">
        <is>
          <t>BOOK</t>
        </is>
      </c>
      <c r="BC701" t="inlineStr">
        <is>
          <t>32285002508264</t>
        </is>
      </c>
      <c r="BD701" t="inlineStr">
        <is>
          <t>893346685</t>
        </is>
      </c>
    </row>
    <row r="702">
      <c r="A702" t="inlineStr">
        <is>
          <t>No</t>
        </is>
      </c>
      <c r="B702" t="inlineStr">
        <is>
          <t>E183.8.P5 A7</t>
        </is>
      </c>
      <c r="C702" t="inlineStr">
        <is>
          <t>0                      E  0183800P  5                  A  7</t>
        </is>
      </c>
      <c r="D702" t="inlineStr">
        <is>
          <t>The United States and the Philippines / [edited by Frank H. Golay]</t>
        </is>
      </c>
      <c r="F702" t="inlineStr">
        <is>
          <t>No</t>
        </is>
      </c>
      <c r="G702" t="inlineStr">
        <is>
          <t>1</t>
        </is>
      </c>
      <c r="H702" t="inlineStr">
        <is>
          <t>No</t>
        </is>
      </c>
      <c r="I702" t="inlineStr">
        <is>
          <t>No</t>
        </is>
      </c>
      <c r="J702" t="inlineStr">
        <is>
          <t>0</t>
        </is>
      </c>
      <c r="K702" t="inlineStr">
        <is>
          <t>American Assembly.</t>
        </is>
      </c>
      <c r="L702" t="inlineStr">
        <is>
          <t>Englewood Cliffs, N.J., Prentice-Hall [1966]</t>
        </is>
      </c>
      <c r="M702" t="inlineStr">
        <is>
          <t>1966</t>
        </is>
      </c>
      <c r="O702" t="inlineStr">
        <is>
          <t>eng</t>
        </is>
      </c>
      <c r="P702" t="inlineStr">
        <is>
          <t>nju</t>
        </is>
      </c>
      <c r="Q702" t="inlineStr">
        <is>
          <t>A Spectrum book</t>
        </is>
      </c>
      <c r="R702" t="inlineStr">
        <is>
          <t xml:space="preserve">E  </t>
        </is>
      </c>
      <c r="S702" t="n">
        <v>2</v>
      </c>
      <c r="T702" t="n">
        <v>2</v>
      </c>
      <c r="U702" t="inlineStr">
        <is>
          <t>1997-02-13</t>
        </is>
      </c>
      <c r="V702" t="inlineStr">
        <is>
          <t>1997-02-13</t>
        </is>
      </c>
      <c r="W702" t="inlineStr">
        <is>
          <t>1996-08-14</t>
        </is>
      </c>
      <c r="X702" t="inlineStr">
        <is>
          <t>1996-08-14</t>
        </is>
      </c>
      <c r="Y702" t="n">
        <v>896</v>
      </c>
      <c r="Z702" t="n">
        <v>797</v>
      </c>
      <c r="AA702" t="n">
        <v>804</v>
      </c>
      <c r="AB702" t="n">
        <v>5</v>
      </c>
      <c r="AC702" t="n">
        <v>5</v>
      </c>
      <c r="AD702" t="n">
        <v>35</v>
      </c>
      <c r="AE702" t="n">
        <v>35</v>
      </c>
      <c r="AF702" t="n">
        <v>13</v>
      </c>
      <c r="AG702" t="n">
        <v>13</v>
      </c>
      <c r="AH702" t="n">
        <v>8</v>
      </c>
      <c r="AI702" t="n">
        <v>8</v>
      </c>
      <c r="AJ702" t="n">
        <v>17</v>
      </c>
      <c r="AK702" t="n">
        <v>17</v>
      </c>
      <c r="AL702" t="n">
        <v>4</v>
      </c>
      <c r="AM702" t="n">
        <v>4</v>
      </c>
      <c r="AN702" t="n">
        <v>1</v>
      </c>
      <c r="AO702" t="n">
        <v>1</v>
      </c>
      <c r="AP702" t="inlineStr">
        <is>
          <t>No</t>
        </is>
      </c>
      <c r="AQ702" t="inlineStr">
        <is>
          <t>Yes</t>
        </is>
      </c>
      <c r="AR702">
        <f>HYPERLINK("http://catalog.hathitrust.org/Record/000335110","HathiTrust Record")</f>
        <v/>
      </c>
      <c r="AS702">
        <f>HYPERLINK("https://creighton-primo.hosted.exlibrisgroup.com/primo-explore/search?tab=default_tab&amp;search_scope=EVERYTHING&amp;vid=01CRU&amp;lang=en_US&amp;offset=0&amp;query=any,contains,991002700749702656","Catalog Record")</f>
        <v/>
      </c>
      <c r="AT702">
        <f>HYPERLINK("http://www.worldcat.org/oclc/405487","WorldCat Record")</f>
        <v/>
      </c>
      <c r="AU702" t="inlineStr">
        <is>
          <t>1430937:eng</t>
        </is>
      </c>
      <c r="AV702" t="inlineStr">
        <is>
          <t>405487</t>
        </is>
      </c>
      <c r="AW702" t="inlineStr">
        <is>
          <t>991002700749702656</t>
        </is>
      </c>
      <c r="AX702" t="inlineStr">
        <is>
          <t>991002700749702656</t>
        </is>
      </c>
      <c r="AY702" t="inlineStr">
        <is>
          <t>2260497670002656</t>
        </is>
      </c>
      <c r="AZ702" t="inlineStr">
        <is>
          <t>BOOK</t>
        </is>
      </c>
      <c r="BC702" t="inlineStr">
        <is>
          <t>32285002281029</t>
        </is>
      </c>
      <c r="BD702" t="inlineStr">
        <is>
          <t>893710568</t>
        </is>
      </c>
    </row>
    <row r="703">
      <c r="A703" t="inlineStr">
        <is>
          <t>No</t>
        </is>
      </c>
      <c r="B703" t="inlineStr">
        <is>
          <t>E183.8.P7 W36</t>
        </is>
      </c>
      <c r="C703" t="inlineStr">
        <is>
          <t>0                      E  0183800P  7                  W  36</t>
        </is>
      </c>
      <c r="D703" t="inlineStr">
        <is>
          <t>The United States and Poland / Piotr. S. Wandycz.</t>
        </is>
      </c>
      <c r="F703" t="inlineStr">
        <is>
          <t>No</t>
        </is>
      </c>
      <c r="G703" t="inlineStr">
        <is>
          <t>1</t>
        </is>
      </c>
      <c r="H703" t="inlineStr">
        <is>
          <t>No</t>
        </is>
      </c>
      <c r="I703" t="inlineStr">
        <is>
          <t>No</t>
        </is>
      </c>
      <c r="J703" t="inlineStr">
        <is>
          <t>0</t>
        </is>
      </c>
      <c r="K703" t="inlineStr">
        <is>
          <t>Wandycz, Piotr S. (Piotr Stefan)</t>
        </is>
      </c>
      <c r="L703" t="inlineStr">
        <is>
          <t>Cambridge, Mass. : Harvard University Press, 1980.</t>
        </is>
      </c>
      <c r="M703" t="inlineStr">
        <is>
          <t>1980</t>
        </is>
      </c>
      <c r="O703" t="inlineStr">
        <is>
          <t>eng</t>
        </is>
      </c>
      <c r="P703" t="inlineStr">
        <is>
          <t>mau</t>
        </is>
      </c>
      <c r="Q703" t="inlineStr">
        <is>
          <t>The American foreign policy library</t>
        </is>
      </c>
      <c r="R703" t="inlineStr">
        <is>
          <t xml:space="preserve">E  </t>
        </is>
      </c>
      <c r="S703" t="n">
        <v>1</v>
      </c>
      <c r="T703" t="n">
        <v>1</v>
      </c>
      <c r="U703" t="inlineStr">
        <is>
          <t>1992-04-10</t>
        </is>
      </c>
      <c r="V703" t="inlineStr">
        <is>
          <t>1992-04-10</t>
        </is>
      </c>
      <c r="W703" t="inlineStr">
        <is>
          <t>1991-02-06</t>
        </is>
      </c>
      <c r="X703" t="inlineStr">
        <is>
          <t>1991-02-06</t>
        </is>
      </c>
      <c r="Y703" t="n">
        <v>700</v>
      </c>
      <c r="Z703" t="n">
        <v>604</v>
      </c>
      <c r="AA703" t="n">
        <v>615</v>
      </c>
      <c r="AB703" t="n">
        <v>4</v>
      </c>
      <c r="AC703" t="n">
        <v>4</v>
      </c>
      <c r="AD703" t="n">
        <v>30</v>
      </c>
      <c r="AE703" t="n">
        <v>31</v>
      </c>
      <c r="AF703" t="n">
        <v>13</v>
      </c>
      <c r="AG703" t="n">
        <v>13</v>
      </c>
      <c r="AH703" t="n">
        <v>7</v>
      </c>
      <c r="AI703" t="n">
        <v>8</v>
      </c>
      <c r="AJ703" t="n">
        <v>17</v>
      </c>
      <c r="AK703" t="n">
        <v>18</v>
      </c>
      <c r="AL703" t="n">
        <v>3</v>
      </c>
      <c r="AM703" t="n">
        <v>3</v>
      </c>
      <c r="AN703" t="n">
        <v>0</v>
      </c>
      <c r="AO703" t="n">
        <v>0</v>
      </c>
      <c r="AP703" t="inlineStr">
        <is>
          <t>No</t>
        </is>
      </c>
      <c r="AQ703" t="inlineStr">
        <is>
          <t>Yes</t>
        </is>
      </c>
      <c r="AR703">
        <f>HYPERLINK("http://catalog.hathitrust.org/Record/000705186","HathiTrust Record")</f>
        <v/>
      </c>
      <c r="AS703">
        <f>HYPERLINK("https://creighton-primo.hosted.exlibrisgroup.com/primo-explore/search?tab=default_tab&amp;search_scope=EVERYTHING&amp;vid=01CRU&amp;lang=en_US&amp;offset=0&amp;query=any,contains,991004728519702656","Catalog Record")</f>
        <v/>
      </c>
      <c r="AT703">
        <f>HYPERLINK("http://www.worldcat.org/oclc/4832056","WorldCat Record")</f>
        <v/>
      </c>
      <c r="AU703" t="inlineStr">
        <is>
          <t>430741:eng</t>
        </is>
      </c>
      <c r="AV703" t="inlineStr">
        <is>
          <t>4832056</t>
        </is>
      </c>
      <c r="AW703" t="inlineStr">
        <is>
          <t>991004728519702656</t>
        </is>
      </c>
      <c r="AX703" t="inlineStr">
        <is>
          <t>991004728519702656</t>
        </is>
      </c>
      <c r="AY703" t="inlineStr">
        <is>
          <t>2268767030002656</t>
        </is>
      </c>
      <c r="AZ703" t="inlineStr">
        <is>
          <t>BOOK</t>
        </is>
      </c>
      <c r="BB703" t="inlineStr">
        <is>
          <t>9780674926851</t>
        </is>
      </c>
      <c r="BC703" t="inlineStr">
        <is>
          <t>32285000481985</t>
        </is>
      </c>
      <c r="BD703" t="inlineStr">
        <is>
          <t>893247906</t>
        </is>
      </c>
    </row>
    <row r="704">
      <c r="A704" t="inlineStr">
        <is>
          <t>No</t>
        </is>
      </c>
      <c r="B704" t="inlineStr">
        <is>
          <t>E183.8.P9 C37 1984b</t>
        </is>
      </c>
      <c r="C704" t="inlineStr">
        <is>
          <t>0                      E  0183800P  9                  C  37          1984b</t>
        </is>
      </c>
      <c r="D704" t="inlineStr">
        <is>
          <t>Puerto Rico, a colonial experiment / Raymond Carr.</t>
        </is>
      </c>
      <c r="F704" t="inlineStr">
        <is>
          <t>No</t>
        </is>
      </c>
      <c r="G704" t="inlineStr">
        <is>
          <t>1</t>
        </is>
      </c>
      <c r="H704" t="inlineStr">
        <is>
          <t>No</t>
        </is>
      </c>
      <c r="I704" t="inlineStr">
        <is>
          <t>No</t>
        </is>
      </c>
      <c r="J704" t="inlineStr">
        <is>
          <t>0</t>
        </is>
      </c>
      <c r="K704" t="inlineStr">
        <is>
          <t>Carr, Raymond.</t>
        </is>
      </c>
      <c r="L704" t="inlineStr">
        <is>
          <t>New York : Vintage Books, c1984.</t>
        </is>
      </c>
      <c r="M704" t="inlineStr">
        <is>
          <t>1984</t>
        </is>
      </c>
      <c r="N704" t="inlineStr">
        <is>
          <t>1st Vintage Books ed.</t>
        </is>
      </c>
      <c r="O704" t="inlineStr">
        <is>
          <t>eng</t>
        </is>
      </c>
      <c r="P704" t="inlineStr">
        <is>
          <t>nyu</t>
        </is>
      </c>
      <c r="R704" t="inlineStr">
        <is>
          <t xml:space="preserve">E  </t>
        </is>
      </c>
      <c r="S704" t="n">
        <v>9</v>
      </c>
      <c r="T704" t="n">
        <v>9</v>
      </c>
      <c r="U704" t="inlineStr">
        <is>
          <t>1997-12-09</t>
        </is>
      </c>
      <c r="V704" t="inlineStr">
        <is>
          <t>1997-12-09</t>
        </is>
      </c>
      <c r="W704" t="inlineStr">
        <is>
          <t>1990-02-13</t>
        </is>
      </c>
      <c r="X704" t="inlineStr">
        <is>
          <t>1990-02-13</t>
        </is>
      </c>
      <c r="Y704" t="n">
        <v>287</v>
      </c>
      <c r="Z704" t="n">
        <v>270</v>
      </c>
      <c r="AA704" t="n">
        <v>856</v>
      </c>
      <c r="AB704" t="n">
        <v>1</v>
      </c>
      <c r="AC704" t="n">
        <v>5</v>
      </c>
      <c r="AD704" t="n">
        <v>13</v>
      </c>
      <c r="AE704" t="n">
        <v>40</v>
      </c>
      <c r="AF704" t="n">
        <v>6</v>
      </c>
      <c r="AG704" t="n">
        <v>17</v>
      </c>
      <c r="AH704" t="n">
        <v>4</v>
      </c>
      <c r="AI704" t="n">
        <v>9</v>
      </c>
      <c r="AJ704" t="n">
        <v>6</v>
      </c>
      <c r="AK704" t="n">
        <v>20</v>
      </c>
      <c r="AL704" t="n">
        <v>0</v>
      </c>
      <c r="AM704" t="n">
        <v>4</v>
      </c>
      <c r="AN704" t="n">
        <v>0</v>
      </c>
      <c r="AO704" t="n">
        <v>3</v>
      </c>
      <c r="AP704" t="inlineStr">
        <is>
          <t>No</t>
        </is>
      </c>
      <c r="AQ704" t="inlineStr">
        <is>
          <t>Yes</t>
        </is>
      </c>
      <c r="AR704">
        <f>HYPERLINK("http://catalog.hathitrust.org/Record/008369625","HathiTrust Record")</f>
        <v/>
      </c>
      <c r="AS704">
        <f>HYPERLINK("https://creighton-primo.hosted.exlibrisgroup.com/primo-explore/search?tab=default_tab&amp;search_scope=EVERYTHING&amp;vid=01CRU&amp;lang=en_US&amp;offset=0&amp;query=any,contains,991000353179702656","Catalog Record")</f>
        <v/>
      </c>
      <c r="AT704">
        <f>HYPERLINK("http://www.worldcat.org/oclc/10322437","WorldCat Record")</f>
        <v/>
      </c>
      <c r="AU704" t="inlineStr">
        <is>
          <t>3054056:eng</t>
        </is>
      </c>
      <c r="AV704" t="inlineStr">
        <is>
          <t>10322437</t>
        </is>
      </c>
      <c r="AW704" t="inlineStr">
        <is>
          <t>991000353179702656</t>
        </is>
      </c>
      <c r="AX704" t="inlineStr">
        <is>
          <t>991000353179702656</t>
        </is>
      </c>
      <c r="AY704" t="inlineStr">
        <is>
          <t>2266720920002656</t>
        </is>
      </c>
      <c r="AZ704" t="inlineStr">
        <is>
          <t>BOOK</t>
        </is>
      </c>
      <c r="BB704" t="inlineStr">
        <is>
          <t>9780394724317</t>
        </is>
      </c>
      <c r="BC704" t="inlineStr">
        <is>
          <t>32285000050657</t>
        </is>
      </c>
      <c r="BD704" t="inlineStr">
        <is>
          <t>893333392</t>
        </is>
      </c>
    </row>
    <row r="705">
      <c r="A705" t="inlineStr">
        <is>
          <t>No</t>
        </is>
      </c>
      <c r="B705" t="inlineStr">
        <is>
          <t>E183.8.P9 P47 1987</t>
        </is>
      </c>
      <c r="C705" t="inlineStr">
        <is>
          <t>0                      E  0183800P  9                  P  47          1987</t>
        </is>
      </c>
      <c r="D705" t="inlineStr">
        <is>
          <t>The United States and Puerto Rico : decolonization options and prospects / Roland I. Perusse ; foreword by Gerald R. Ford.</t>
        </is>
      </c>
      <c r="F705" t="inlineStr">
        <is>
          <t>No</t>
        </is>
      </c>
      <c r="G705" t="inlineStr">
        <is>
          <t>1</t>
        </is>
      </c>
      <c r="H705" t="inlineStr">
        <is>
          <t>No</t>
        </is>
      </c>
      <c r="I705" t="inlineStr">
        <is>
          <t>No</t>
        </is>
      </c>
      <c r="J705" t="inlineStr">
        <is>
          <t>0</t>
        </is>
      </c>
      <c r="K705" t="inlineStr">
        <is>
          <t>Perusse, Roland I.</t>
        </is>
      </c>
      <c r="L705" t="inlineStr">
        <is>
          <t>Lanham : University Press of America, c1987.</t>
        </is>
      </c>
      <c r="M705" t="inlineStr">
        <is>
          <t>1987</t>
        </is>
      </c>
      <c r="O705" t="inlineStr">
        <is>
          <t>eng</t>
        </is>
      </c>
      <c r="P705" t="inlineStr">
        <is>
          <t>mdu</t>
        </is>
      </c>
      <c r="R705" t="inlineStr">
        <is>
          <t xml:space="preserve">E  </t>
        </is>
      </c>
      <c r="S705" t="n">
        <v>6</v>
      </c>
      <c r="T705" t="n">
        <v>6</v>
      </c>
      <c r="U705" t="inlineStr">
        <is>
          <t>2001-04-24</t>
        </is>
      </c>
      <c r="V705" t="inlineStr">
        <is>
          <t>2001-04-24</t>
        </is>
      </c>
      <c r="W705" t="inlineStr">
        <is>
          <t>1990-02-13</t>
        </is>
      </c>
      <c r="X705" t="inlineStr">
        <is>
          <t>1990-02-13</t>
        </is>
      </c>
      <c r="Y705" t="n">
        <v>303</v>
      </c>
      <c r="Z705" t="n">
        <v>271</v>
      </c>
      <c r="AA705" t="n">
        <v>279</v>
      </c>
      <c r="AB705" t="n">
        <v>1</v>
      </c>
      <c r="AC705" t="n">
        <v>1</v>
      </c>
      <c r="AD705" t="n">
        <v>13</v>
      </c>
      <c r="AE705" t="n">
        <v>13</v>
      </c>
      <c r="AF705" t="n">
        <v>5</v>
      </c>
      <c r="AG705" t="n">
        <v>5</v>
      </c>
      <c r="AH705" t="n">
        <v>5</v>
      </c>
      <c r="AI705" t="n">
        <v>5</v>
      </c>
      <c r="AJ705" t="n">
        <v>8</v>
      </c>
      <c r="AK705" t="n">
        <v>8</v>
      </c>
      <c r="AL705" t="n">
        <v>0</v>
      </c>
      <c r="AM705" t="n">
        <v>0</v>
      </c>
      <c r="AN705" t="n">
        <v>0</v>
      </c>
      <c r="AO705" t="n">
        <v>0</v>
      </c>
      <c r="AP705" t="inlineStr">
        <is>
          <t>No</t>
        </is>
      </c>
      <c r="AQ705" t="inlineStr">
        <is>
          <t>Yes</t>
        </is>
      </c>
      <c r="AR705">
        <f>HYPERLINK("http://catalog.hathitrust.org/Record/000877212","HathiTrust Record")</f>
        <v/>
      </c>
      <c r="AS705">
        <f>HYPERLINK("https://creighton-primo.hosted.exlibrisgroup.com/primo-explore/search?tab=default_tab&amp;search_scope=EVERYTHING&amp;vid=01CRU&amp;lang=en_US&amp;offset=0&amp;query=any,contains,991001112389702656","Catalog Record")</f>
        <v/>
      </c>
      <c r="AT705">
        <f>HYPERLINK("http://www.worldcat.org/oclc/16472037","WorldCat Record")</f>
        <v/>
      </c>
      <c r="AU705" t="inlineStr">
        <is>
          <t>12320533:eng</t>
        </is>
      </c>
      <c r="AV705" t="inlineStr">
        <is>
          <t>16472037</t>
        </is>
      </c>
      <c r="AW705" t="inlineStr">
        <is>
          <t>991001112389702656</t>
        </is>
      </c>
      <c r="AX705" t="inlineStr">
        <is>
          <t>991001112389702656</t>
        </is>
      </c>
      <c r="AY705" t="inlineStr">
        <is>
          <t>2265573180002656</t>
        </is>
      </c>
      <c r="AZ705" t="inlineStr">
        <is>
          <t>BOOK</t>
        </is>
      </c>
      <c r="BB705" t="inlineStr">
        <is>
          <t>9780819166586</t>
        </is>
      </c>
      <c r="BC705" t="inlineStr">
        <is>
          <t>32285000050665</t>
        </is>
      </c>
      <c r="BD705" t="inlineStr">
        <is>
          <t>893715184</t>
        </is>
      </c>
    </row>
    <row r="706">
      <c r="A706" t="inlineStr">
        <is>
          <t>No</t>
        </is>
      </c>
      <c r="B706" t="inlineStr">
        <is>
          <t>E183.8.P9 P8 1985</t>
        </is>
      </c>
      <c r="C706" t="inlineStr">
        <is>
          <t>0                      E  0183800P  9                  P  8           1985</t>
        </is>
      </c>
      <c r="D706" t="inlineStr">
        <is>
          <t>Puerto Rico, the search for a national policy / edited by Richard J. Bloomfield.</t>
        </is>
      </c>
      <c r="F706" t="inlineStr">
        <is>
          <t>No</t>
        </is>
      </c>
      <c r="G706" t="inlineStr">
        <is>
          <t>1</t>
        </is>
      </c>
      <c r="H706" t="inlineStr">
        <is>
          <t>No</t>
        </is>
      </c>
      <c r="I706" t="inlineStr">
        <is>
          <t>No</t>
        </is>
      </c>
      <c r="J706" t="inlineStr">
        <is>
          <t>0</t>
        </is>
      </c>
      <c r="L706" t="inlineStr">
        <is>
          <t>Boulder : Westview Press, 1985.</t>
        </is>
      </c>
      <c r="M706" t="inlineStr">
        <is>
          <t>1985</t>
        </is>
      </c>
      <c r="O706" t="inlineStr">
        <is>
          <t>eng</t>
        </is>
      </c>
      <c r="P706" t="inlineStr">
        <is>
          <t>cou</t>
        </is>
      </c>
      <c r="Q706" t="inlineStr">
        <is>
          <t>Westview special studies on Latin America and the Caribbean</t>
        </is>
      </c>
      <c r="R706" t="inlineStr">
        <is>
          <t xml:space="preserve">E  </t>
        </is>
      </c>
      <c r="S706" t="n">
        <v>5</v>
      </c>
      <c r="T706" t="n">
        <v>5</v>
      </c>
      <c r="U706" t="inlineStr">
        <is>
          <t>2001-04-24</t>
        </is>
      </c>
      <c r="V706" t="inlineStr">
        <is>
          <t>2001-04-24</t>
        </is>
      </c>
      <c r="W706" t="inlineStr">
        <is>
          <t>1990-02-13</t>
        </is>
      </c>
      <c r="X706" t="inlineStr">
        <is>
          <t>1990-02-13</t>
        </is>
      </c>
      <c r="Y706" t="n">
        <v>467</v>
      </c>
      <c r="Z706" t="n">
        <v>407</v>
      </c>
      <c r="AA706" t="n">
        <v>415</v>
      </c>
      <c r="AB706" t="n">
        <v>4</v>
      </c>
      <c r="AC706" t="n">
        <v>4</v>
      </c>
      <c r="AD706" t="n">
        <v>20</v>
      </c>
      <c r="AE706" t="n">
        <v>20</v>
      </c>
      <c r="AF706" t="n">
        <v>6</v>
      </c>
      <c r="AG706" t="n">
        <v>6</v>
      </c>
      <c r="AH706" t="n">
        <v>5</v>
      </c>
      <c r="AI706" t="n">
        <v>5</v>
      </c>
      <c r="AJ706" t="n">
        <v>12</v>
      </c>
      <c r="AK706" t="n">
        <v>12</v>
      </c>
      <c r="AL706" t="n">
        <v>3</v>
      </c>
      <c r="AM706" t="n">
        <v>3</v>
      </c>
      <c r="AN706" t="n">
        <v>0</v>
      </c>
      <c r="AO706" t="n">
        <v>0</v>
      </c>
      <c r="AP706" t="inlineStr">
        <is>
          <t>No</t>
        </is>
      </c>
      <c r="AQ706" t="inlineStr">
        <is>
          <t>Yes</t>
        </is>
      </c>
      <c r="AR706">
        <f>HYPERLINK("http://catalog.hathitrust.org/Record/000573547","HathiTrust Record")</f>
        <v/>
      </c>
      <c r="AS706">
        <f>HYPERLINK("https://creighton-primo.hosted.exlibrisgroup.com/primo-explore/search?tab=default_tab&amp;search_scope=EVERYTHING&amp;vid=01CRU&amp;lang=en_US&amp;offset=0&amp;query=any,contains,991000516289702656","Catalog Record")</f>
        <v/>
      </c>
      <c r="AT706">
        <f>HYPERLINK("http://www.worldcat.org/oclc/11290219","WorldCat Record")</f>
        <v/>
      </c>
      <c r="AU706" t="inlineStr">
        <is>
          <t>4119354:eng</t>
        </is>
      </c>
      <c r="AV706" t="inlineStr">
        <is>
          <t>11290219</t>
        </is>
      </c>
      <c r="AW706" t="inlineStr">
        <is>
          <t>991000516289702656</t>
        </is>
      </c>
      <c r="AX706" t="inlineStr">
        <is>
          <t>991000516289702656</t>
        </is>
      </c>
      <c r="AY706" t="inlineStr">
        <is>
          <t>2264063450002656</t>
        </is>
      </c>
      <c r="AZ706" t="inlineStr">
        <is>
          <t>BOOK</t>
        </is>
      </c>
      <c r="BB706" t="inlineStr">
        <is>
          <t>9780813300276</t>
        </is>
      </c>
      <c r="BC706" t="inlineStr">
        <is>
          <t>32285000050673</t>
        </is>
      </c>
      <c r="BD706" t="inlineStr">
        <is>
          <t>893496302</t>
        </is>
      </c>
    </row>
    <row r="707">
      <c r="A707" t="inlineStr">
        <is>
          <t>No</t>
        </is>
      </c>
      <c r="B707" t="inlineStr">
        <is>
          <t>E183.8.R9 A67 2004</t>
        </is>
      </c>
      <c r="C707" t="inlineStr">
        <is>
          <t>0                      E  0183800R  9                  A  67          2004</t>
        </is>
      </c>
      <c r="D707" t="inlineStr">
        <is>
          <t>Amerika : Russian writers view the United States / edited by Mikhail Iossel and Jeff Parker.</t>
        </is>
      </c>
      <c r="F707" t="inlineStr">
        <is>
          <t>No</t>
        </is>
      </c>
      <c r="G707" t="inlineStr">
        <is>
          <t>1</t>
        </is>
      </c>
      <c r="H707" t="inlineStr">
        <is>
          <t>No</t>
        </is>
      </c>
      <c r="I707" t="inlineStr">
        <is>
          <t>No</t>
        </is>
      </c>
      <c r="J707" t="inlineStr">
        <is>
          <t>0</t>
        </is>
      </c>
      <c r="L707" t="inlineStr">
        <is>
          <t>[Normal, Ill.] : Dalkey Archive Press, 2004.</t>
        </is>
      </c>
      <c r="M707" t="inlineStr">
        <is>
          <t>2004</t>
        </is>
      </c>
      <c r="N707" t="inlineStr">
        <is>
          <t>1st ed.</t>
        </is>
      </c>
      <c r="O707" t="inlineStr">
        <is>
          <t>eng</t>
        </is>
      </c>
      <c r="P707" t="inlineStr">
        <is>
          <t>ilu</t>
        </is>
      </c>
      <c r="Q707" t="inlineStr">
        <is>
          <t>Russian literature series</t>
        </is>
      </c>
      <c r="R707" t="inlineStr">
        <is>
          <t xml:space="preserve">E  </t>
        </is>
      </c>
      <c r="S707" t="n">
        <v>2</v>
      </c>
      <c r="T707" t="n">
        <v>2</v>
      </c>
      <c r="U707" t="inlineStr">
        <is>
          <t>2005-04-04</t>
        </is>
      </c>
      <c r="V707" t="inlineStr">
        <is>
          <t>2005-04-04</t>
        </is>
      </c>
      <c r="W707" t="inlineStr">
        <is>
          <t>2005-02-14</t>
        </is>
      </c>
      <c r="X707" t="inlineStr">
        <is>
          <t>2005-02-14</t>
        </is>
      </c>
      <c r="Y707" t="n">
        <v>281</v>
      </c>
      <c r="Z707" t="n">
        <v>260</v>
      </c>
      <c r="AA707" t="n">
        <v>262</v>
      </c>
      <c r="AB707" t="n">
        <v>5</v>
      </c>
      <c r="AC707" t="n">
        <v>5</v>
      </c>
      <c r="AD707" t="n">
        <v>13</v>
      </c>
      <c r="AE707" t="n">
        <v>13</v>
      </c>
      <c r="AF707" t="n">
        <v>4</v>
      </c>
      <c r="AG707" t="n">
        <v>4</v>
      </c>
      <c r="AH707" t="n">
        <v>2</v>
      </c>
      <c r="AI707" t="n">
        <v>2</v>
      </c>
      <c r="AJ707" t="n">
        <v>4</v>
      </c>
      <c r="AK707" t="n">
        <v>4</v>
      </c>
      <c r="AL707" t="n">
        <v>4</v>
      </c>
      <c r="AM707" t="n">
        <v>4</v>
      </c>
      <c r="AN707" t="n">
        <v>0</v>
      </c>
      <c r="AO707" t="n">
        <v>0</v>
      </c>
      <c r="AP707" t="inlineStr">
        <is>
          <t>No</t>
        </is>
      </c>
      <c r="AQ707" t="inlineStr">
        <is>
          <t>Yes</t>
        </is>
      </c>
      <c r="AR707">
        <f>HYPERLINK("http://catalog.hathitrust.org/Record/004732193","HathiTrust Record")</f>
        <v/>
      </c>
      <c r="AS707">
        <f>HYPERLINK("https://creighton-primo.hosted.exlibrisgroup.com/primo-explore/search?tab=default_tab&amp;search_scope=EVERYTHING&amp;vid=01CRU&amp;lang=en_US&amp;offset=0&amp;query=any,contains,991004305429702656","Catalog Record")</f>
        <v/>
      </c>
      <c r="AT707">
        <f>HYPERLINK("http://www.worldcat.org/oclc/54046524","WorldCat Record")</f>
        <v/>
      </c>
      <c r="AU707" t="inlineStr">
        <is>
          <t>1050237:eng</t>
        </is>
      </c>
      <c r="AV707" t="inlineStr">
        <is>
          <t>54046524</t>
        </is>
      </c>
      <c r="AW707" t="inlineStr">
        <is>
          <t>991004305429702656</t>
        </is>
      </c>
      <c r="AX707" t="inlineStr">
        <is>
          <t>991004305429702656</t>
        </is>
      </c>
      <c r="AY707" t="inlineStr">
        <is>
          <t>2259706450002656</t>
        </is>
      </c>
      <c r="AZ707" t="inlineStr">
        <is>
          <t>BOOK</t>
        </is>
      </c>
      <c r="BB707" t="inlineStr">
        <is>
          <t>9781564783561</t>
        </is>
      </c>
      <c r="BC707" t="inlineStr">
        <is>
          <t>32285005025720</t>
        </is>
      </c>
      <c r="BD707" t="inlineStr">
        <is>
          <t>893506684</t>
        </is>
      </c>
    </row>
    <row r="708">
      <c r="A708" t="inlineStr">
        <is>
          <t>No</t>
        </is>
      </c>
      <c r="B708" t="inlineStr">
        <is>
          <t>E183.8.R9 B3</t>
        </is>
      </c>
      <c r="C708" t="inlineStr">
        <is>
          <t>0                      E  0183800R  9                  B  3</t>
        </is>
      </c>
      <c r="D708" t="inlineStr">
        <is>
          <t>America faces Russia; Russian-American relations from early times to our day.</t>
        </is>
      </c>
      <c r="F708" t="inlineStr">
        <is>
          <t>No</t>
        </is>
      </c>
      <c r="G708" t="inlineStr">
        <is>
          <t>1</t>
        </is>
      </c>
      <c r="H708" t="inlineStr">
        <is>
          <t>No</t>
        </is>
      </c>
      <c r="I708" t="inlineStr">
        <is>
          <t>No</t>
        </is>
      </c>
      <c r="J708" t="inlineStr">
        <is>
          <t>0</t>
        </is>
      </c>
      <c r="K708" t="inlineStr">
        <is>
          <t>Bailey, Thomas Andrew, 1902-1983.</t>
        </is>
      </c>
      <c r="L708" t="inlineStr">
        <is>
          <t>Ithaca, Cornell University Press, 1950.</t>
        </is>
      </c>
      <c r="M708" t="inlineStr">
        <is>
          <t>1950</t>
        </is>
      </c>
      <c r="O708" t="inlineStr">
        <is>
          <t>eng</t>
        </is>
      </c>
      <c r="P708" t="inlineStr">
        <is>
          <t>nyu</t>
        </is>
      </c>
      <c r="R708" t="inlineStr">
        <is>
          <t xml:space="preserve">E  </t>
        </is>
      </c>
      <c r="S708" t="n">
        <v>3</v>
      </c>
      <c r="T708" t="n">
        <v>3</v>
      </c>
      <c r="U708" t="inlineStr">
        <is>
          <t>1998-03-07</t>
        </is>
      </c>
      <c r="V708" t="inlineStr">
        <is>
          <t>1998-03-07</t>
        </is>
      </c>
      <c r="W708" t="inlineStr">
        <is>
          <t>1997-04-09</t>
        </is>
      </c>
      <c r="X708" t="inlineStr">
        <is>
          <t>1997-04-09</t>
        </is>
      </c>
      <c r="Y708" t="n">
        <v>690</v>
      </c>
      <c r="Z708" t="n">
        <v>612</v>
      </c>
      <c r="AA708" t="n">
        <v>856</v>
      </c>
      <c r="AB708" t="n">
        <v>9</v>
      </c>
      <c r="AC708" t="n">
        <v>9</v>
      </c>
      <c r="AD708" t="n">
        <v>37</v>
      </c>
      <c r="AE708" t="n">
        <v>44</v>
      </c>
      <c r="AF708" t="n">
        <v>16</v>
      </c>
      <c r="AG708" t="n">
        <v>19</v>
      </c>
      <c r="AH708" t="n">
        <v>7</v>
      </c>
      <c r="AI708" t="n">
        <v>8</v>
      </c>
      <c r="AJ708" t="n">
        <v>16</v>
      </c>
      <c r="AK708" t="n">
        <v>20</v>
      </c>
      <c r="AL708" t="n">
        <v>8</v>
      </c>
      <c r="AM708" t="n">
        <v>8</v>
      </c>
      <c r="AN708" t="n">
        <v>0</v>
      </c>
      <c r="AO708" t="n">
        <v>0</v>
      </c>
      <c r="AP708" t="inlineStr">
        <is>
          <t>No</t>
        </is>
      </c>
      <c r="AQ708" t="inlineStr">
        <is>
          <t>Yes</t>
        </is>
      </c>
      <c r="AR708">
        <f>HYPERLINK("http://catalog.hathitrust.org/Record/000335115","HathiTrust Record")</f>
        <v/>
      </c>
      <c r="AS708">
        <f>HYPERLINK("https://creighton-primo.hosted.exlibrisgroup.com/primo-explore/search?tab=default_tab&amp;search_scope=EVERYTHING&amp;vid=01CRU&amp;lang=en_US&amp;offset=0&amp;query=any,contains,991003683479702656","Catalog Record")</f>
        <v/>
      </c>
      <c r="AT708">
        <f>HYPERLINK("http://www.worldcat.org/oclc/1310873","WorldCat Record")</f>
        <v/>
      </c>
      <c r="AU708" t="inlineStr">
        <is>
          <t>118776221:eng</t>
        </is>
      </c>
      <c r="AV708" t="inlineStr">
        <is>
          <t>1310873</t>
        </is>
      </c>
      <c r="AW708" t="inlineStr">
        <is>
          <t>991003683479702656</t>
        </is>
      </c>
      <c r="AX708" t="inlineStr">
        <is>
          <t>991003683479702656</t>
        </is>
      </c>
      <c r="AY708" t="inlineStr">
        <is>
          <t>2258557470002656</t>
        </is>
      </c>
      <c r="AZ708" t="inlineStr">
        <is>
          <t>BOOK</t>
        </is>
      </c>
      <c r="BC708" t="inlineStr">
        <is>
          <t>32285002508314</t>
        </is>
      </c>
      <c r="BD708" t="inlineStr">
        <is>
          <t>893410556</t>
        </is>
      </c>
    </row>
    <row r="709">
      <c r="A709" t="inlineStr">
        <is>
          <t>No</t>
        </is>
      </c>
      <c r="B709" t="inlineStr">
        <is>
          <t>E183.8.R9 B38</t>
        </is>
      </c>
      <c r="C709" t="inlineStr">
        <is>
          <t>0                      E  0183800R  9                  B  38</t>
        </is>
      </c>
      <c r="D709" t="inlineStr">
        <is>
          <t>Recognition of Russia : an American foreign policy dilemma / [by] Edward M. Bennett.</t>
        </is>
      </c>
      <c r="F709" t="inlineStr">
        <is>
          <t>No</t>
        </is>
      </c>
      <c r="G709" t="inlineStr">
        <is>
          <t>1</t>
        </is>
      </c>
      <c r="H709" t="inlineStr">
        <is>
          <t>No</t>
        </is>
      </c>
      <c r="I709" t="inlineStr">
        <is>
          <t>No</t>
        </is>
      </c>
      <c r="J709" t="inlineStr">
        <is>
          <t>0</t>
        </is>
      </c>
      <c r="K709" t="inlineStr">
        <is>
          <t>Bennett, Edward M. (Edward Moore), 1927-2013.</t>
        </is>
      </c>
      <c r="L709" t="inlineStr">
        <is>
          <t>Waltham, Mass. : Blaisdell Pub. Co., [c1970]</t>
        </is>
      </c>
      <c r="M709" t="inlineStr">
        <is>
          <t>1970</t>
        </is>
      </c>
      <c r="O709" t="inlineStr">
        <is>
          <t>eng</t>
        </is>
      </c>
      <c r="P709" t="inlineStr">
        <is>
          <t>mau</t>
        </is>
      </c>
      <c r="Q709" t="inlineStr">
        <is>
          <t>Topics in United States diplomatic history</t>
        </is>
      </c>
      <c r="R709" t="inlineStr">
        <is>
          <t xml:space="preserve">E  </t>
        </is>
      </c>
      <c r="S709" t="n">
        <v>1</v>
      </c>
      <c r="T709" t="n">
        <v>1</v>
      </c>
      <c r="U709" t="inlineStr">
        <is>
          <t>1994-03-24</t>
        </is>
      </c>
      <c r="V709" t="inlineStr">
        <is>
          <t>1994-03-24</t>
        </is>
      </c>
      <c r="W709" t="inlineStr">
        <is>
          <t>1993-12-02</t>
        </is>
      </c>
      <c r="X709" t="inlineStr">
        <is>
          <t>1993-12-02</t>
        </is>
      </c>
      <c r="Y709" t="n">
        <v>316</v>
      </c>
      <c r="Z709" t="n">
        <v>274</v>
      </c>
      <c r="AA709" t="n">
        <v>274</v>
      </c>
      <c r="AB709" t="n">
        <v>3</v>
      </c>
      <c r="AC709" t="n">
        <v>3</v>
      </c>
      <c r="AD709" t="n">
        <v>18</v>
      </c>
      <c r="AE709" t="n">
        <v>18</v>
      </c>
      <c r="AF709" t="n">
        <v>7</v>
      </c>
      <c r="AG709" t="n">
        <v>7</v>
      </c>
      <c r="AH709" t="n">
        <v>5</v>
      </c>
      <c r="AI709" t="n">
        <v>5</v>
      </c>
      <c r="AJ709" t="n">
        <v>8</v>
      </c>
      <c r="AK709" t="n">
        <v>8</v>
      </c>
      <c r="AL709" t="n">
        <v>2</v>
      </c>
      <c r="AM709" t="n">
        <v>2</v>
      </c>
      <c r="AN709" t="n">
        <v>0</v>
      </c>
      <c r="AO709" t="n">
        <v>0</v>
      </c>
      <c r="AP709" t="inlineStr">
        <is>
          <t>No</t>
        </is>
      </c>
      <c r="AQ709" t="inlineStr">
        <is>
          <t>No</t>
        </is>
      </c>
      <c r="AS709">
        <f>HYPERLINK("https://creighton-primo.hosted.exlibrisgroup.com/primo-explore/search?tab=default_tab&amp;search_scope=EVERYTHING&amp;vid=01CRU&amp;lang=en_US&amp;offset=0&amp;query=any,contains,991000124419702656","Catalog Record")</f>
        <v/>
      </c>
      <c r="AT709">
        <f>HYPERLINK("http://www.worldcat.org/oclc/51370","WorldCat Record")</f>
        <v/>
      </c>
      <c r="AU709" t="inlineStr">
        <is>
          <t>1170889:eng</t>
        </is>
      </c>
      <c r="AV709" t="inlineStr">
        <is>
          <t>51370</t>
        </is>
      </c>
      <c r="AW709" t="inlineStr">
        <is>
          <t>991000124419702656</t>
        </is>
      </c>
      <c r="AX709" t="inlineStr">
        <is>
          <t>991000124419702656</t>
        </is>
      </c>
      <c r="AY709" t="inlineStr">
        <is>
          <t>2258576820002656</t>
        </is>
      </c>
      <c r="AZ709" t="inlineStr">
        <is>
          <t>BOOK</t>
        </is>
      </c>
      <c r="BC709" t="inlineStr">
        <is>
          <t>32285001805604</t>
        </is>
      </c>
      <c r="BD709" t="inlineStr">
        <is>
          <t>893601476</t>
        </is>
      </c>
    </row>
    <row r="710">
      <c r="A710" t="inlineStr">
        <is>
          <t>No</t>
        </is>
      </c>
      <c r="B710" t="inlineStr">
        <is>
          <t>E183.8.R9 B5</t>
        </is>
      </c>
      <c r="C710" t="inlineStr">
        <is>
          <t>0                      E  0183800R  9                  B  5</t>
        </is>
      </c>
      <c r="D710" t="inlineStr">
        <is>
          <t>The Roosevelt-Litvinov agreements; the American view [by] Donald G. Bishop.</t>
        </is>
      </c>
      <c r="F710" t="inlineStr">
        <is>
          <t>No</t>
        </is>
      </c>
      <c r="G710" t="inlineStr">
        <is>
          <t>1</t>
        </is>
      </c>
      <c r="H710" t="inlineStr">
        <is>
          <t>No</t>
        </is>
      </c>
      <c r="I710" t="inlineStr">
        <is>
          <t>No</t>
        </is>
      </c>
      <c r="J710" t="inlineStr">
        <is>
          <t>0</t>
        </is>
      </c>
      <c r="K710" t="inlineStr">
        <is>
          <t>Bishop, Donald G. (Donald Gordon)</t>
        </is>
      </c>
      <c r="L710" t="inlineStr">
        <is>
          <t>Syracuse, N.Y.] Syracuse University Press [1965]</t>
        </is>
      </c>
      <c r="M710" t="inlineStr">
        <is>
          <t>1965</t>
        </is>
      </c>
      <c r="N710" t="inlineStr">
        <is>
          <t>[1st ed.</t>
        </is>
      </c>
      <c r="O710" t="inlineStr">
        <is>
          <t>eng</t>
        </is>
      </c>
      <c r="P710" t="inlineStr">
        <is>
          <t>nyu</t>
        </is>
      </c>
      <c r="R710" t="inlineStr">
        <is>
          <t xml:space="preserve">E  </t>
        </is>
      </c>
      <c r="S710" t="n">
        <v>2</v>
      </c>
      <c r="T710" t="n">
        <v>2</v>
      </c>
      <c r="U710" t="inlineStr">
        <is>
          <t>1997-06-18</t>
        </is>
      </c>
      <c r="V710" t="inlineStr">
        <is>
          <t>1997-06-18</t>
        </is>
      </c>
      <c r="W710" t="inlineStr">
        <is>
          <t>1992-10-13</t>
        </is>
      </c>
      <c r="X710" t="inlineStr">
        <is>
          <t>1992-10-13</t>
        </is>
      </c>
      <c r="Y710" t="n">
        <v>756</v>
      </c>
      <c r="Z710" t="n">
        <v>673</v>
      </c>
      <c r="AA710" t="n">
        <v>677</v>
      </c>
      <c r="AB710" t="n">
        <v>5</v>
      </c>
      <c r="AC710" t="n">
        <v>5</v>
      </c>
      <c r="AD710" t="n">
        <v>27</v>
      </c>
      <c r="AE710" t="n">
        <v>27</v>
      </c>
      <c r="AF710" t="n">
        <v>6</v>
      </c>
      <c r="AG710" t="n">
        <v>6</v>
      </c>
      <c r="AH710" t="n">
        <v>6</v>
      </c>
      <c r="AI710" t="n">
        <v>6</v>
      </c>
      <c r="AJ710" t="n">
        <v>15</v>
      </c>
      <c r="AK710" t="n">
        <v>15</v>
      </c>
      <c r="AL710" t="n">
        <v>4</v>
      </c>
      <c r="AM710" t="n">
        <v>4</v>
      </c>
      <c r="AN710" t="n">
        <v>2</v>
      </c>
      <c r="AO710" t="n">
        <v>2</v>
      </c>
      <c r="AP710" t="inlineStr">
        <is>
          <t>No</t>
        </is>
      </c>
      <c r="AQ710" t="inlineStr">
        <is>
          <t>Yes</t>
        </is>
      </c>
      <c r="AR710">
        <f>HYPERLINK("http://catalog.hathitrust.org/Record/000335117","HathiTrust Record")</f>
        <v/>
      </c>
      <c r="AS710">
        <f>HYPERLINK("https://creighton-primo.hosted.exlibrisgroup.com/primo-explore/search?tab=default_tab&amp;search_scope=EVERYTHING&amp;vid=01CRU&amp;lang=en_US&amp;offset=0&amp;query=any,contains,991002743009702656","Catalog Record")</f>
        <v/>
      </c>
      <c r="AT710">
        <f>HYPERLINK("http://www.worldcat.org/oclc/421734","WorldCat Record")</f>
        <v/>
      </c>
      <c r="AU710" t="inlineStr">
        <is>
          <t>197648685:eng</t>
        </is>
      </c>
      <c r="AV710" t="inlineStr">
        <is>
          <t>421734</t>
        </is>
      </c>
      <c r="AW710" t="inlineStr">
        <is>
          <t>991002743009702656</t>
        </is>
      </c>
      <c r="AX710" t="inlineStr">
        <is>
          <t>991002743009702656</t>
        </is>
      </c>
      <c r="AY710" t="inlineStr">
        <is>
          <t>2270050240002656</t>
        </is>
      </c>
      <c r="AZ710" t="inlineStr">
        <is>
          <t>BOOK</t>
        </is>
      </c>
      <c r="BC710" t="inlineStr">
        <is>
          <t>32285001370401</t>
        </is>
      </c>
      <c r="BD710" t="inlineStr">
        <is>
          <t>893716861</t>
        </is>
      </c>
    </row>
    <row r="711">
      <c r="A711" t="inlineStr">
        <is>
          <t>No</t>
        </is>
      </c>
      <c r="B711" t="inlineStr">
        <is>
          <t>E183.8.R9 B7</t>
        </is>
      </c>
      <c r="C711" t="inlineStr">
        <is>
          <t>0                      E  0183800R  9                  B  7</t>
        </is>
      </c>
      <c r="D711" t="inlineStr">
        <is>
          <t>The origins of Soviet-American diplomacy.</t>
        </is>
      </c>
      <c r="F711" t="inlineStr">
        <is>
          <t>No</t>
        </is>
      </c>
      <c r="G711" t="inlineStr">
        <is>
          <t>1</t>
        </is>
      </c>
      <c r="H711" t="inlineStr">
        <is>
          <t>No</t>
        </is>
      </c>
      <c r="I711" t="inlineStr">
        <is>
          <t>No</t>
        </is>
      </c>
      <c r="J711" t="inlineStr">
        <is>
          <t>0</t>
        </is>
      </c>
      <c r="K711" t="inlineStr">
        <is>
          <t>Browder, Robert Paul.</t>
        </is>
      </c>
      <c r="L711" t="inlineStr">
        <is>
          <t>Princeton : Princeton University Press, 1953.</t>
        </is>
      </c>
      <c r="M711" t="inlineStr">
        <is>
          <t>1953</t>
        </is>
      </c>
      <c r="O711" t="inlineStr">
        <is>
          <t>eng</t>
        </is>
      </c>
      <c r="P711" t="inlineStr">
        <is>
          <t>nju</t>
        </is>
      </c>
      <c r="R711" t="inlineStr">
        <is>
          <t xml:space="preserve">E  </t>
        </is>
      </c>
      <c r="S711" t="n">
        <v>1</v>
      </c>
      <c r="T711" t="n">
        <v>1</v>
      </c>
      <c r="U711" t="inlineStr">
        <is>
          <t>1996-04-23</t>
        </is>
      </c>
      <c r="V711" t="inlineStr">
        <is>
          <t>1996-04-23</t>
        </is>
      </c>
      <c r="W711" t="inlineStr">
        <is>
          <t>1993-12-28</t>
        </is>
      </c>
      <c r="X711" t="inlineStr">
        <is>
          <t>1993-12-28</t>
        </is>
      </c>
      <c r="Y711" t="n">
        <v>896</v>
      </c>
      <c r="Z711" t="n">
        <v>768</v>
      </c>
      <c r="AA711" t="n">
        <v>925</v>
      </c>
      <c r="AB711" t="n">
        <v>7</v>
      </c>
      <c r="AC711" t="n">
        <v>7</v>
      </c>
      <c r="AD711" t="n">
        <v>39</v>
      </c>
      <c r="AE711" t="n">
        <v>42</v>
      </c>
      <c r="AF711" t="n">
        <v>15</v>
      </c>
      <c r="AG711" t="n">
        <v>18</v>
      </c>
      <c r="AH711" t="n">
        <v>8</v>
      </c>
      <c r="AI711" t="n">
        <v>9</v>
      </c>
      <c r="AJ711" t="n">
        <v>18</v>
      </c>
      <c r="AK711" t="n">
        <v>19</v>
      </c>
      <c r="AL711" t="n">
        <v>6</v>
      </c>
      <c r="AM711" t="n">
        <v>6</v>
      </c>
      <c r="AN711" t="n">
        <v>0</v>
      </c>
      <c r="AO711" t="n">
        <v>0</v>
      </c>
      <c r="AP711" t="inlineStr">
        <is>
          <t>No</t>
        </is>
      </c>
      <c r="AQ711" t="inlineStr">
        <is>
          <t>No</t>
        </is>
      </c>
      <c r="AS711">
        <f>HYPERLINK("https://creighton-primo.hosted.exlibrisgroup.com/primo-explore/search?tab=default_tab&amp;search_scope=EVERYTHING&amp;vid=01CRU&amp;lang=en_US&amp;offset=0&amp;query=any,contains,991002114479702656","Catalog Record")</f>
        <v/>
      </c>
      <c r="AT711">
        <f>HYPERLINK("http://www.worldcat.org/oclc/268067","WorldCat Record")</f>
        <v/>
      </c>
      <c r="AU711" t="inlineStr">
        <is>
          <t>1390874:eng</t>
        </is>
      </c>
      <c r="AV711" t="inlineStr">
        <is>
          <t>268067</t>
        </is>
      </c>
      <c r="AW711" t="inlineStr">
        <is>
          <t>991002114479702656</t>
        </is>
      </c>
      <c r="AX711" t="inlineStr">
        <is>
          <t>991002114479702656</t>
        </is>
      </c>
      <c r="AY711" t="inlineStr">
        <is>
          <t>2270264180002656</t>
        </is>
      </c>
      <c r="AZ711" t="inlineStr">
        <is>
          <t>BOOK</t>
        </is>
      </c>
      <c r="BC711" t="inlineStr">
        <is>
          <t>32285001827459</t>
        </is>
      </c>
      <c r="BD711" t="inlineStr">
        <is>
          <t>893529561</t>
        </is>
      </c>
    </row>
    <row r="712">
      <c r="A712" t="inlineStr">
        <is>
          <t>No</t>
        </is>
      </c>
      <c r="B712" t="inlineStr">
        <is>
          <t>E183.8.R9 D38</t>
        </is>
      </c>
      <c r="C712" t="inlineStr">
        <is>
          <t>0                      E  0183800R  9                  D  38</t>
        </is>
      </c>
      <c r="D712" t="inlineStr">
        <is>
          <t>The Cold War begins : Soviet-American conflict over Eastern Europe.</t>
        </is>
      </c>
      <c r="F712" t="inlineStr">
        <is>
          <t>No</t>
        </is>
      </c>
      <c r="G712" t="inlineStr">
        <is>
          <t>1</t>
        </is>
      </c>
      <c r="H712" t="inlineStr">
        <is>
          <t>No</t>
        </is>
      </c>
      <c r="I712" t="inlineStr">
        <is>
          <t>No</t>
        </is>
      </c>
      <c r="J712" t="inlineStr">
        <is>
          <t>0</t>
        </is>
      </c>
      <c r="K712" t="inlineStr">
        <is>
          <t>Davis, Lynn E. (Lynn Etheridge), 1943-</t>
        </is>
      </c>
      <c r="L712" t="inlineStr">
        <is>
          <t>Princeton, N.J. : Princeton University Press, [1974]</t>
        </is>
      </c>
      <c r="M712" t="inlineStr">
        <is>
          <t>1974</t>
        </is>
      </c>
      <c r="O712" t="inlineStr">
        <is>
          <t>eng</t>
        </is>
      </c>
      <c r="P712" t="inlineStr">
        <is>
          <t>nju</t>
        </is>
      </c>
      <c r="R712" t="inlineStr">
        <is>
          <t xml:space="preserve">E  </t>
        </is>
      </c>
      <c r="S712" t="n">
        <v>7</v>
      </c>
      <c r="T712" t="n">
        <v>7</v>
      </c>
      <c r="U712" t="inlineStr">
        <is>
          <t>1998-01-13</t>
        </is>
      </c>
      <c r="V712" t="inlineStr">
        <is>
          <t>1998-01-13</t>
        </is>
      </c>
      <c r="W712" t="inlineStr">
        <is>
          <t>1992-05-05</t>
        </is>
      </c>
      <c r="X712" t="inlineStr">
        <is>
          <t>1992-05-05</t>
        </is>
      </c>
      <c r="Y712" t="n">
        <v>872</v>
      </c>
      <c r="Z712" t="n">
        <v>720</v>
      </c>
      <c r="AA712" t="n">
        <v>953</v>
      </c>
      <c r="AB712" t="n">
        <v>7</v>
      </c>
      <c r="AC712" t="n">
        <v>7</v>
      </c>
      <c r="AD712" t="n">
        <v>32</v>
      </c>
      <c r="AE712" t="n">
        <v>40</v>
      </c>
      <c r="AF712" t="n">
        <v>12</v>
      </c>
      <c r="AG712" t="n">
        <v>17</v>
      </c>
      <c r="AH712" t="n">
        <v>6</v>
      </c>
      <c r="AI712" t="n">
        <v>9</v>
      </c>
      <c r="AJ712" t="n">
        <v>16</v>
      </c>
      <c r="AK712" t="n">
        <v>18</v>
      </c>
      <c r="AL712" t="n">
        <v>6</v>
      </c>
      <c r="AM712" t="n">
        <v>6</v>
      </c>
      <c r="AN712" t="n">
        <v>0</v>
      </c>
      <c r="AO712" t="n">
        <v>0</v>
      </c>
      <c r="AP712" t="inlineStr">
        <is>
          <t>No</t>
        </is>
      </c>
      <c r="AQ712" t="inlineStr">
        <is>
          <t>No</t>
        </is>
      </c>
      <c r="AS712">
        <f>HYPERLINK("https://creighton-primo.hosted.exlibrisgroup.com/primo-explore/search?tab=default_tab&amp;search_scope=EVERYTHING&amp;vid=01CRU&amp;lang=en_US&amp;offset=0&amp;query=any,contains,991003336509702656","Catalog Record")</f>
        <v/>
      </c>
      <c r="AT712">
        <f>HYPERLINK("http://www.worldcat.org/oclc/867415","WorldCat Record")</f>
        <v/>
      </c>
      <c r="AU712" t="inlineStr">
        <is>
          <t>441373:eng</t>
        </is>
      </c>
      <c r="AV712" t="inlineStr">
        <is>
          <t>867415</t>
        </is>
      </c>
      <c r="AW712" t="inlineStr">
        <is>
          <t>991003336509702656</t>
        </is>
      </c>
      <c r="AX712" t="inlineStr">
        <is>
          <t>991003336509702656</t>
        </is>
      </c>
      <c r="AY712" t="inlineStr">
        <is>
          <t>2265889320002656</t>
        </is>
      </c>
      <c r="AZ712" t="inlineStr">
        <is>
          <t>BOOK</t>
        </is>
      </c>
      <c r="BB712" t="inlineStr">
        <is>
          <t>9780691052175</t>
        </is>
      </c>
      <c r="BC712" t="inlineStr">
        <is>
          <t>32285001093144</t>
        </is>
      </c>
      <c r="BD712" t="inlineStr">
        <is>
          <t>893617247</t>
        </is>
      </c>
    </row>
    <row r="713">
      <c r="A713" t="inlineStr">
        <is>
          <t>No</t>
        </is>
      </c>
      <c r="B713" t="inlineStr">
        <is>
          <t>E183.8.R9 E5 1979</t>
        </is>
      </c>
      <c r="C713" t="inlineStr">
        <is>
          <t>0                      E  0183800R  9                  E  5           1979</t>
        </is>
      </c>
      <c r="D713" t="inlineStr">
        <is>
          <t>Encounters with Kennan : the great debate / George Kennan ... [et al.] ; with an introd. by Daniel P. Moynihan.</t>
        </is>
      </c>
      <c r="F713" t="inlineStr">
        <is>
          <t>No</t>
        </is>
      </c>
      <c r="G713" t="inlineStr">
        <is>
          <t>1</t>
        </is>
      </c>
      <c r="H713" t="inlineStr">
        <is>
          <t>No</t>
        </is>
      </c>
      <c r="I713" t="inlineStr">
        <is>
          <t>No</t>
        </is>
      </c>
      <c r="J713" t="inlineStr">
        <is>
          <t>0</t>
        </is>
      </c>
      <c r="L713" t="inlineStr">
        <is>
          <t>London : F. Cass ; Totowa, N.J. : Biblio Distribution Centre, 1979.</t>
        </is>
      </c>
      <c r="M713" t="inlineStr">
        <is>
          <t>1979</t>
        </is>
      </c>
      <c r="O713" t="inlineStr">
        <is>
          <t>eng</t>
        </is>
      </c>
      <c r="P713" t="inlineStr">
        <is>
          <t>enk</t>
        </is>
      </c>
      <c r="R713" t="inlineStr">
        <is>
          <t xml:space="preserve">E  </t>
        </is>
      </c>
      <c r="S713" t="n">
        <v>4</v>
      </c>
      <c r="T713" t="n">
        <v>4</v>
      </c>
      <c r="U713" t="inlineStr">
        <is>
          <t>1995-01-31</t>
        </is>
      </c>
      <c r="V713" t="inlineStr">
        <is>
          <t>1995-01-31</t>
        </is>
      </c>
      <c r="W713" t="inlineStr">
        <is>
          <t>1991-02-06</t>
        </is>
      </c>
      <c r="X713" t="inlineStr">
        <is>
          <t>1991-02-06</t>
        </is>
      </c>
      <c r="Y713" t="n">
        <v>296</v>
      </c>
      <c r="Z713" t="n">
        <v>227</v>
      </c>
      <c r="AA713" t="n">
        <v>253</v>
      </c>
      <c r="AB713" t="n">
        <v>3</v>
      </c>
      <c r="AC713" t="n">
        <v>3</v>
      </c>
      <c r="AD713" t="n">
        <v>10</v>
      </c>
      <c r="AE713" t="n">
        <v>10</v>
      </c>
      <c r="AF713" t="n">
        <v>4</v>
      </c>
      <c r="AG713" t="n">
        <v>4</v>
      </c>
      <c r="AH713" t="n">
        <v>2</v>
      </c>
      <c r="AI713" t="n">
        <v>2</v>
      </c>
      <c r="AJ713" t="n">
        <v>5</v>
      </c>
      <c r="AK713" t="n">
        <v>5</v>
      </c>
      <c r="AL713" t="n">
        <v>2</v>
      </c>
      <c r="AM713" t="n">
        <v>2</v>
      </c>
      <c r="AN713" t="n">
        <v>0</v>
      </c>
      <c r="AO713" t="n">
        <v>0</v>
      </c>
      <c r="AP713" t="inlineStr">
        <is>
          <t>No</t>
        </is>
      </c>
      <c r="AQ713" t="inlineStr">
        <is>
          <t>No</t>
        </is>
      </c>
      <c r="AS713">
        <f>HYPERLINK("https://creighton-primo.hosted.exlibrisgroup.com/primo-explore/search?tab=default_tab&amp;search_scope=EVERYTHING&amp;vid=01CRU&amp;lang=en_US&amp;offset=0&amp;query=any,contains,991004945399702656","Catalog Record")</f>
        <v/>
      </c>
      <c r="AT713">
        <f>HYPERLINK("http://www.worldcat.org/oclc/6200304","WorldCat Record")</f>
        <v/>
      </c>
      <c r="AU713" t="inlineStr">
        <is>
          <t>2698209:eng</t>
        </is>
      </c>
      <c r="AV713" t="inlineStr">
        <is>
          <t>6200304</t>
        </is>
      </c>
      <c r="AW713" t="inlineStr">
        <is>
          <t>991004945399702656</t>
        </is>
      </c>
      <c r="AX713" t="inlineStr">
        <is>
          <t>991004945399702656</t>
        </is>
      </c>
      <c r="AY713" t="inlineStr">
        <is>
          <t>2262041210002656</t>
        </is>
      </c>
      <c r="AZ713" t="inlineStr">
        <is>
          <t>BOOK</t>
        </is>
      </c>
      <c r="BB713" t="inlineStr">
        <is>
          <t>9780714631325</t>
        </is>
      </c>
      <c r="BC713" t="inlineStr">
        <is>
          <t>32285000482033</t>
        </is>
      </c>
      <c r="BD713" t="inlineStr">
        <is>
          <t>893260347</t>
        </is>
      </c>
    </row>
    <row r="714">
      <c r="A714" t="inlineStr">
        <is>
          <t>No</t>
        </is>
      </c>
      <c r="B714" t="inlineStr">
        <is>
          <t>E183.8.R9 G24</t>
        </is>
      </c>
      <c r="C714" t="inlineStr">
        <is>
          <t>0                      E  0183800R  9                  G  24</t>
        </is>
      </c>
      <c r="D714" t="inlineStr">
        <is>
          <t>Russia, the Soviet Union, and the United States : an interpretive history / John Lewis Gaddis.</t>
        </is>
      </c>
      <c r="F714" t="inlineStr">
        <is>
          <t>No</t>
        </is>
      </c>
      <c r="G714" t="inlineStr">
        <is>
          <t>1</t>
        </is>
      </c>
      <c r="H714" t="inlineStr">
        <is>
          <t>No</t>
        </is>
      </c>
      <c r="I714" t="inlineStr">
        <is>
          <t>No</t>
        </is>
      </c>
      <c r="J714" t="inlineStr">
        <is>
          <t>0</t>
        </is>
      </c>
      <c r="K714" t="inlineStr">
        <is>
          <t>Gaddis, John Lewis.</t>
        </is>
      </c>
      <c r="L714" t="inlineStr">
        <is>
          <t>New York : Wiley, c1978.</t>
        </is>
      </c>
      <c r="M714" t="inlineStr">
        <is>
          <t>1978</t>
        </is>
      </c>
      <c r="O714" t="inlineStr">
        <is>
          <t>eng</t>
        </is>
      </c>
      <c r="P714" t="inlineStr">
        <is>
          <t>nyu</t>
        </is>
      </c>
      <c r="Q714" t="inlineStr">
        <is>
          <t>America and the world</t>
        </is>
      </c>
      <c r="R714" t="inlineStr">
        <is>
          <t xml:space="preserve">E  </t>
        </is>
      </c>
      <c r="S714" t="n">
        <v>5</v>
      </c>
      <c r="T714" t="n">
        <v>5</v>
      </c>
      <c r="U714" t="inlineStr">
        <is>
          <t>1998-03-30</t>
        </is>
      </c>
      <c r="V714" t="inlineStr">
        <is>
          <t>1998-03-30</t>
        </is>
      </c>
      <c r="W714" t="inlineStr">
        <is>
          <t>1996-04-17</t>
        </is>
      </c>
      <c r="X714" t="inlineStr">
        <is>
          <t>1996-04-17</t>
        </is>
      </c>
      <c r="Y714" t="n">
        <v>713</v>
      </c>
      <c r="Z714" t="n">
        <v>583</v>
      </c>
      <c r="AA714" t="n">
        <v>783</v>
      </c>
      <c r="AB714" t="n">
        <v>3</v>
      </c>
      <c r="AC714" t="n">
        <v>4</v>
      </c>
      <c r="AD714" t="n">
        <v>31</v>
      </c>
      <c r="AE714" t="n">
        <v>38</v>
      </c>
      <c r="AF714" t="n">
        <v>12</v>
      </c>
      <c r="AG714" t="n">
        <v>16</v>
      </c>
      <c r="AH714" t="n">
        <v>7</v>
      </c>
      <c r="AI714" t="n">
        <v>9</v>
      </c>
      <c r="AJ714" t="n">
        <v>17</v>
      </c>
      <c r="AK714" t="n">
        <v>21</v>
      </c>
      <c r="AL714" t="n">
        <v>2</v>
      </c>
      <c r="AM714" t="n">
        <v>2</v>
      </c>
      <c r="AN714" t="n">
        <v>0</v>
      </c>
      <c r="AO714" t="n">
        <v>1</v>
      </c>
      <c r="AP714" t="inlineStr">
        <is>
          <t>No</t>
        </is>
      </c>
      <c r="AQ714" t="inlineStr">
        <is>
          <t>Yes</t>
        </is>
      </c>
      <c r="AR714">
        <f>HYPERLINK("http://catalog.hathitrust.org/Record/000747319","HathiTrust Record")</f>
        <v/>
      </c>
      <c r="AS714">
        <f>HYPERLINK("https://creighton-primo.hosted.exlibrisgroup.com/primo-explore/search?tab=default_tab&amp;search_scope=EVERYTHING&amp;vid=01CRU&amp;lang=en_US&amp;offset=0&amp;query=any,contains,991004394739702656","Catalog Record")</f>
        <v/>
      </c>
      <c r="AT714">
        <f>HYPERLINK("http://www.worldcat.org/oclc/3275373","WorldCat Record")</f>
        <v/>
      </c>
      <c r="AU714" t="inlineStr">
        <is>
          <t>9309351:eng</t>
        </is>
      </c>
      <c r="AV714" t="inlineStr">
        <is>
          <t>3275373</t>
        </is>
      </c>
      <c r="AW714" t="inlineStr">
        <is>
          <t>991004394739702656</t>
        </is>
      </c>
      <c r="AX714" t="inlineStr">
        <is>
          <t>991004394739702656</t>
        </is>
      </c>
      <c r="AY714" t="inlineStr">
        <is>
          <t>2255542430002656</t>
        </is>
      </c>
      <c r="AZ714" t="inlineStr">
        <is>
          <t>BOOK</t>
        </is>
      </c>
      <c r="BB714" t="inlineStr">
        <is>
          <t>9780471289104</t>
        </is>
      </c>
      <c r="BC714" t="inlineStr">
        <is>
          <t>32285002154820</t>
        </is>
      </c>
      <c r="BD714" t="inlineStr">
        <is>
          <t>893706351</t>
        </is>
      </c>
    </row>
    <row r="715">
      <c r="A715" t="inlineStr">
        <is>
          <t>No</t>
        </is>
      </c>
      <c r="B715" t="inlineStr">
        <is>
          <t>E183.8.R9 G635 1998</t>
        </is>
      </c>
      <c r="C715" t="inlineStr">
        <is>
          <t>0                      E  0183800R  9                  G  635         1998</t>
        </is>
      </c>
      <c r="D715" t="inlineStr">
        <is>
          <t>Europe undivided : the new logic of peace in U.S.-Russian relations / James E. Goodby ; foreword by Alexander L. George.</t>
        </is>
      </c>
      <c r="F715" t="inlineStr">
        <is>
          <t>No</t>
        </is>
      </c>
      <c r="G715" t="inlineStr">
        <is>
          <t>1</t>
        </is>
      </c>
      <c r="H715" t="inlineStr">
        <is>
          <t>No</t>
        </is>
      </c>
      <c r="I715" t="inlineStr">
        <is>
          <t>No</t>
        </is>
      </c>
      <c r="J715" t="inlineStr">
        <is>
          <t>0</t>
        </is>
      </c>
      <c r="K715" t="inlineStr">
        <is>
          <t>Goodby, James E.</t>
        </is>
      </c>
      <c r="L715" t="inlineStr">
        <is>
          <t>Washington, D.C. : United States Institute of Peace Press ; Stanford, Calif. : Institute for International Studies, Stanford University, 1998.</t>
        </is>
      </c>
      <c r="M715" t="inlineStr">
        <is>
          <t>1998</t>
        </is>
      </c>
      <c r="O715" t="inlineStr">
        <is>
          <t>eng</t>
        </is>
      </c>
      <c r="P715" t="inlineStr">
        <is>
          <t>dcu</t>
        </is>
      </c>
      <c r="R715" t="inlineStr">
        <is>
          <t xml:space="preserve">E  </t>
        </is>
      </c>
      <c r="S715" t="n">
        <v>1</v>
      </c>
      <c r="T715" t="n">
        <v>1</v>
      </c>
      <c r="U715" t="inlineStr">
        <is>
          <t>2002-10-29</t>
        </is>
      </c>
      <c r="V715" t="inlineStr">
        <is>
          <t>2002-10-29</t>
        </is>
      </c>
      <c r="W715" t="inlineStr">
        <is>
          <t>1998-07-08</t>
        </is>
      </c>
      <c r="X715" t="inlineStr">
        <is>
          <t>1998-07-08</t>
        </is>
      </c>
      <c r="Y715" t="n">
        <v>284</v>
      </c>
      <c r="Z715" t="n">
        <v>221</v>
      </c>
      <c r="AA715" t="n">
        <v>392</v>
      </c>
      <c r="AB715" t="n">
        <v>2</v>
      </c>
      <c r="AC715" t="n">
        <v>4</v>
      </c>
      <c r="AD715" t="n">
        <v>13</v>
      </c>
      <c r="AE715" t="n">
        <v>20</v>
      </c>
      <c r="AF715" t="n">
        <v>2</v>
      </c>
      <c r="AG715" t="n">
        <v>4</v>
      </c>
      <c r="AH715" t="n">
        <v>6</v>
      </c>
      <c r="AI715" t="n">
        <v>6</v>
      </c>
      <c r="AJ715" t="n">
        <v>7</v>
      </c>
      <c r="AK715" t="n">
        <v>8</v>
      </c>
      <c r="AL715" t="n">
        <v>1</v>
      </c>
      <c r="AM715" t="n">
        <v>3</v>
      </c>
      <c r="AN715" t="n">
        <v>1</v>
      </c>
      <c r="AO715" t="n">
        <v>3</v>
      </c>
      <c r="AP715" t="inlineStr">
        <is>
          <t>No</t>
        </is>
      </c>
      <c r="AQ715" t="inlineStr">
        <is>
          <t>Yes</t>
        </is>
      </c>
      <c r="AR715">
        <f>HYPERLINK("http://catalog.hathitrust.org/Record/003969633","HathiTrust Record")</f>
        <v/>
      </c>
      <c r="AS715">
        <f>HYPERLINK("https://creighton-primo.hosted.exlibrisgroup.com/primo-explore/search?tab=default_tab&amp;search_scope=EVERYTHING&amp;vid=01CRU&amp;lang=en_US&amp;offset=0&amp;query=any,contains,991002878779702656","Catalog Record")</f>
        <v/>
      </c>
      <c r="AT715">
        <f>HYPERLINK("http://www.worldcat.org/oclc/37935172","WorldCat Record")</f>
        <v/>
      </c>
      <c r="AU715" t="inlineStr">
        <is>
          <t>697866:eng</t>
        </is>
      </c>
      <c r="AV715" t="inlineStr">
        <is>
          <t>37935172</t>
        </is>
      </c>
      <c r="AW715" t="inlineStr">
        <is>
          <t>991002878779702656</t>
        </is>
      </c>
      <c r="AX715" t="inlineStr">
        <is>
          <t>991002878779702656</t>
        </is>
      </c>
      <c r="AY715" t="inlineStr">
        <is>
          <t>2266206890002656</t>
        </is>
      </c>
      <c r="AZ715" t="inlineStr">
        <is>
          <t>BOOK</t>
        </is>
      </c>
      <c r="BB715" t="inlineStr">
        <is>
          <t>9781878379757</t>
        </is>
      </c>
      <c r="BC715" t="inlineStr">
        <is>
          <t>32285003430278</t>
        </is>
      </c>
      <c r="BD715" t="inlineStr">
        <is>
          <t>893880526</t>
        </is>
      </c>
    </row>
    <row r="716">
      <c r="A716" t="inlineStr">
        <is>
          <t>No</t>
        </is>
      </c>
      <c r="B716" t="inlineStr">
        <is>
          <t>E183.8.R9 K4</t>
        </is>
      </c>
      <c r="C716" t="inlineStr">
        <is>
          <t>0                      E  0183800R  9                  K  4</t>
        </is>
      </c>
      <c r="D716" t="inlineStr">
        <is>
          <t>Soviet-American relations, 1917-1920.</t>
        </is>
      </c>
      <c r="E716" t="inlineStr">
        <is>
          <t>V. 2</t>
        </is>
      </c>
      <c r="F716" t="inlineStr">
        <is>
          <t>Yes</t>
        </is>
      </c>
      <c r="G716" t="inlineStr">
        <is>
          <t>1</t>
        </is>
      </c>
      <c r="H716" t="inlineStr">
        <is>
          <t>No</t>
        </is>
      </c>
      <c r="I716" t="inlineStr">
        <is>
          <t>No</t>
        </is>
      </c>
      <c r="J716" t="inlineStr">
        <is>
          <t>0</t>
        </is>
      </c>
      <c r="K716" t="inlineStr">
        <is>
          <t>Kennan, George F. (George Frost), 1904-2005.</t>
        </is>
      </c>
      <c r="L716" t="inlineStr">
        <is>
          <t>Princeton : Princeton University Press, 1956-</t>
        </is>
      </c>
      <c r="M716" t="inlineStr">
        <is>
          <t>1956</t>
        </is>
      </c>
      <c r="O716" t="inlineStr">
        <is>
          <t>eng</t>
        </is>
      </c>
      <c r="P716" t="inlineStr">
        <is>
          <t>nju</t>
        </is>
      </c>
      <c r="R716" t="inlineStr">
        <is>
          <t xml:space="preserve">E  </t>
        </is>
      </c>
      <c r="S716" t="n">
        <v>0</v>
      </c>
      <c r="T716" t="n">
        <v>2</v>
      </c>
      <c r="V716" t="inlineStr">
        <is>
          <t>1997-05-22</t>
        </is>
      </c>
      <c r="W716" t="inlineStr">
        <is>
          <t>1992-07-03</t>
        </is>
      </c>
      <c r="X716" t="inlineStr">
        <is>
          <t>1997-03-26</t>
        </is>
      </c>
      <c r="Y716" t="n">
        <v>1414</v>
      </c>
      <c r="Z716" t="n">
        <v>1303</v>
      </c>
      <c r="AA716" t="n">
        <v>1518</v>
      </c>
      <c r="AB716" t="n">
        <v>11</v>
      </c>
      <c r="AC716" t="n">
        <v>12</v>
      </c>
      <c r="AD716" t="n">
        <v>50</v>
      </c>
      <c r="AE716" t="n">
        <v>60</v>
      </c>
      <c r="AF716" t="n">
        <v>21</v>
      </c>
      <c r="AG716" t="n">
        <v>26</v>
      </c>
      <c r="AH716" t="n">
        <v>9</v>
      </c>
      <c r="AI716" t="n">
        <v>11</v>
      </c>
      <c r="AJ716" t="n">
        <v>24</v>
      </c>
      <c r="AK716" t="n">
        <v>24</v>
      </c>
      <c r="AL716" t="n">
        <v>9</v>
      </c>
      <c r="AM716" t="n">
        <v>9</v>
      </c>
      <c r="AN716" t="n">
        <v>0</v>
      </c>
      <c r="AO716" t="n">
        <v>4</v>
      </c>
      <c r="AP716" t="inlineStr">
        <is>
          <t>No</t>
        </is>
      </c>
      <c r="AQ716" t="inlineStr">
        <is>
          <t>No</t>
        </is>
      </c>
      <c r="AR716">
        <f>HYPERLINK("http://catalog.hathitrust.org/Record/000623281","HathiTrust Record")</f>
        <v/>
      </c>
      <c r="AS716">
        <f>HYPERLINK("https://creighton-primo.hosted.exlibrisgroup.com/primo-explore/search?tab=default_tab&amp;search_scope=EVERYTHING&amp;vid=01CRU&amp;lang=en_US&amp;offset=0&amp;query=any,contains,991002742279702656","Catalog Record")</f>
        <v/>
      </c>
      <c r="AT716">
        <f>HYPERLINK("http://www.worldcat.org/oclc/421522","WorldCat Record")</f>
        <v/>
      </c>
      <c r="AU716" t="inlineStr">
        <is>
          <t>49524945:eng</t>
        </is>
      </c>
      <c r="AV716" t="inlineStr">
        <is>
          <t>421522</t>
        </is>
      </c>
      <c r="AW716" t="inlineStr">
        <is>
          <t>991002742279702656</t>
        </is>
      </c>
      <c r="AX716" t="inlineStr">
        <is>
          <t>991002742279702656</t>
        </is>
      </c>
      <c r="AY716" t="inlineStr">
        <is>
          <t>2267539680002656</t>
        </is>
      </c>
      <c r="AZ716" t="inlineStr">
        <is>
          <t>BOOK</t>
        </is>
      </c>
      <c r="BC716" t="inlineStr">
        <is>
          <t>32285001148781</t>
        </is>
      </c>
      <c r="BD716" t="inlineStr">
        <is>
          <t>893329474</t>
        </is>
      </c>
    </row>
    <row r="717">
      <c r="A717" t="inlineStr">
        <is>
          <t>No</t>
        </is>
      </c>
      <c r="B717" t="inlineStr">
        <is>
          <t>E183.8.R9 K4</t>
        </is>
      </c>
      <c r="C717" t="inlineStr">
        <is>
          <t>0                      E  0183800R  9                  K  4</t>
        </is>
      </c>
      <c r="D717" t="inlineStr">
        <is>
          <t>Soviet-American relations, 1917-1920.</t>
        </is>
      </c>
      <c r="E717" t="inlineStr">
        <is>
          <t>V. 1</t>
        </is>
      </c>
      <c r="F717" t="inlineStr">
        <is>
          <t>Yes</t>
        </is>
      </c>
      <c r="G717" t="inlineStr">
        <is>
          <t>1</t>
        </is>
      </c>
      <c r="H717" t="inlineStr">
        <is>
          <t>No</t>
        </is>
      </c>
      <c r="I717" t="inlineStr">
        <is>
          <t>No</t>
        </is>
      </c>
      <c r="J717" t="inlineStr">
        <is>
          <t>0</t>
        </is>
      </c>
      <c r="K717" t="inlineStr">
        <is>
          <t>Kennan, George F. (George Frost), 1904-2005.</t>
        </is>
      </c>
      <c r="L717" t="inlineStr">
        <is>
          <t>Princeton : Princeton University Press, 1956-</t>
        </is>
      </c>
      <c r="M717" t="inlineStr">
        <is>
          <t>1956</t>
        </is>
      </c>
      <c r="O717" t="inlineStr">
        <is>
          <t>eng</t>
        </is>
      </c>
      <c r="P717" t="inlineStr">
        <is>
          <t>nju</t>
        </is>
      </c>
      <c r="R717" t="inlineStr">
        <is>
          <t xml:space="preserve">E  </t>
        </is>
      </c>
      <c r="S717" t="n">
        <v>2</v>
      </c>
      <c r="T717" t="n">
        <v>2</v>
      </c>
      <c r="U717" t="inlineStr">
        <is>
          <t>1997-05-22</t>
        </is>
      </c>
      <c r="V717" t="inlineStr">
        <is>
          <t>1997-05-22</t>
        </is>
      </c>
      <c r="W717" t="inlineStr">
        <is>
          <t>1997-03-26</t>
        </is>
      </c>
      <c r="X717" t="inlineStr">
        <is>
          <t>1997-03-26</t>
        </is>
      </c>
      <c r="Y717" t="n">
        <v>1414</v>
      </c>
      <c r="Z717" t="n">
        <v>1303</v>
      </c>
      <c r="AA717" t="n">
        <v>1518</v>
      </c>
      <c r="AB717" t="n">
        <v>11</v>
      </c>
      <c r="AC717" t="n">
        <v>12</v>
      </c>
      <c r="AD717" t="n">
        <v>50</v>
      </c>
      <c r="AE717" t="n">
        <v>60</v>
      </c>
      <c r="AF717" t="n">
        <v>21</v>
      </c>
      <c r="AG717" t="n">
        <v>26</v>
      </c>
      <c r="AH717" t="n">
        <v>9</v>
      </c>
      <c r="AI717" t="n">
        <v>11</v>
      </c>
      <c r="AJ717" t="n">
        <v>24</v>
      </c>
      <c r="AK717" t="n">
        <v>24</v>
      </c>
      <c r="AL717" t="n">
        <v>9</v>
      </c>
      <c r="AM717" t="n">
        <v>9</v>
      </c>
      <c r="AN717" t="n">
        <v>0</v>
      </c>
      <c r="AO717" t="n">
        <v>4</v>
      </c>
      <c r="AP717" t="inlineStr">
        <is>
          <t>No</t>
        </is>
      </c>
      <c r="AQ717" t="inlineStr">
        <is>
          <t>No</t>
        </is>
      </c>
      <c r="AR717">
        <f>HYPERLINK("http://catalog.hathitrust.org/Record/000623281","HathiTrust Record")</f>
        <v/>
      </c>
      <c r="AS717">
        <f>HYPERLINK("https://creighton-primo.hosted.exlibrisgroup.com/primo-explore/search?tab=default_tab&amp;search_scope=EVERYTHING&amp;vid=01CRU&amp;lang=en_US&amp;offset=0&amp;query=any,contains,991002742279702656","Catalog Record")</f>
        <v/>
      </c>
      <c r="AT717">
        <f>HYPERLINK("http://www.worldcat.org/oclc/421522","WorldCat Record")</f>
        <v/>
      </c>
      <c r="AU717" t="inlineStr">
        <is>
          <t>49524945:eng</t>
        </is>
      </c>
      <c r="AV717" t="inlineStr">
        <is>
          <t>421522</t>
        </is>
      </c>
      <c r="AW717" t="inlineStr">
        <is>
          <t>991002742279702656</t>
        </is>
      </c>
      <c r="AX717" t="inlineStr">
        <is>
          <t>991002742279702656</t>
        </is>
      </c>
      <c r="AY717" t="inlineStr">
        <is>
          <t>2267539680002656</t>
        </is>
      </c>
      <c r="AZ717" t="inlineStr">
        <is>
          <t>BOOK</t>
        </is>
      </c>
      <c r="BC717" t="inlineStr">
        <is>
          <t>32285002484359</t>
        </is>
      </c>
      <c r="BD717" t="inlineStr">
        <is>
          <t>893329475</t>
        </is>
      </c>
    </row>
    <row r="718">
      <c r="A718" t="inlineStr">
        <is>
          <t>No</t>
        </is>
      </c>
      <c r="B718" t="inlineStr">
        <is>
          <t>E183.8.R9 L252</t>
        </is>
      </c>
      <c r="C718" t="inlineStr">
        <is>
          <t>0                      E  0183800R  9                  L  252</t>
        </is>
      </c>
      <c r="D718" t="inlineStr">
        <is>
          <t>Fifty years; the USSR versus the USA, by Suzanne Labin and Daniel Lyons.</t>
        </is>
      </c>
      <c r="F718" t="inlineStr">
        <is>
          <t>No</t>
        </is>
      </c>
      <c r="G718" t="inlineStr">
        <is>
          <t>1</t>
        </is>
      </c>
      <c r="H718" t="inlineStr">
        <is>
          <t>No</t>
        </is>
      </c>
      <c r="I718" t="inlineStr">
        <is>
          <t>No</t>
        </is>
      </c>
      <c r="J718" t="inlineStr">
        <is>
          <t>0</t>
        </is>
      </c>
      <c r="K718" t="inlineStr">
        <is>
          <t>Labin, Suzanne.</t>
        </is>
      </c>
      <c r="L718" t="inlineStr">
        <is>
          <t>New York, Twin Circle Pub. Co. [1968]</t>
        </is>
      </c>
      <c r="M718" t="inlineStr">
        <is>
          <t>1968</t>
        </is>
      </c>
      <c r="O718" t="inlineStr">
        <is>
          <t>eng</t>
        </is>
      </c>
      <c r="P718" t="inlineStr">
        <is>
          <t>nyu</t>
        </is>
      </c>
      <c r="R718" t="inlineStr">
        <is>
          <t xml:space="preserve">E  </t>
        </is>
      </c>
      <c r="S718" t="n">
        <v>3</v>
      </c>
      <c r="T718" t="n">
        <v>3</v>
      </c>
      <c r="U718" t="inlineStr">
        <is>
          <t>1997-04-14</t>
        </is>
      </c>
      <c r="V718" t="inlineStr">
        <is>
          <t>1997-04-14</t>
        </is>
      </c>
      <c r="W718" t="inlineStr">
        <is>
          <t>1997-04-09</t>
        </is>
      </c>
      <c r="X718" t="inlineStr">
        <is>
          <t>1997-04-09</t>
        </is>
      </c>
      <c r="Y718" t="n">
        <v>73</v>
      </c>
      <c r="Z718" t="n">
        <v>67</v>
      </c>
      <c r="AA718" t="n">
        <v>68</v>
      </c>
      <c r="AB718" t="n">
        <v>1</v>
      </c>
      <c r="AC718" t="n">
        <v>1</v>
      </c>
      <c r="AD718" t="n">
        <v>2</v>
      </c>
      <c r="AE718" t="n">
        <v>2</v>
      </c>
      <c r="AF718" t="n">
        <v>1</v>
      </c>
      <c r="AG718" t="n">
        <v>1</v>
      </c>
      <c r="AH718" t="n">
        <v>1</v>
      </c>
      <c r="AI718" t="n">
        <v>1</v>
      </c>
      <c r="AJ718" t="n">
        <v>1</v>
      </c>
      <c r="AK718" t="n">
        <v>1</v>
      </c>
      <c r="AL718" t="n">
        <v>0</v>
      </c>
      <c r="AM718" t="n">
        <v>0</v>
      </c>
      <c r="AN718" t="n">
        <v>0</v>
      </c>
      <c r="AO718" t="n">
        <v>0</v>
      </c>
      <c r="AP718" t="inlineStr">
        <is>
          <t>No</t>
        </is>
      </c>
      <c r="AQ718" t="inlineStr">
        <is>
          <t>No</t>
        </is>
      </c>
      <c r="AS718">
        <f>HYPERLINK("https://creighton-primo.hosted.exlibrisgroup.com/primo-explore/search?tab=default_tab&amp;search_scope=EVERYTHING&amp;vid=01CRU&amp;lang=en_US&amp;offset=0&amp;query=any,contains,991001296069702656","Catalog Record")</f>
        <v/>
      </c>
      <c r="AT718">
        <f>HYPERLINK("http://www.worldcat.org/oclc/219694","WorldCat Record")</f>
        <v/>
      </c>
      <c r="AU718" t="inlineStr">
        <is>
          <t>4916059924:eng</t>
        </is>
      </c>
      <c r="AV718" t="inlineStr">
        <is>
          <t>219694</t>
        </is>
      </c>
      <c r="AW718" t="inlineStr">
        <is>
          <t>991001296069702656</t>
        </is>
      </c>
      <c r="AX718" t="inlineStr">
        <is>
          <t>991001296069702656</t>
        </is>
      </c>
      <c r="AY718" t="inlineStr">
        <is>
          <t>2258104790002656</t>
        </is>
      </c>
      <c r="AZ718" t="inlineStr">
        <is>
          <t>BOOK</t>
        </is>
      </c>
      <c r="BC718" t="inlineStr">
        <is>
          <t>32285002508447</t>
        </is>
      </c>
      <c r="BD718" t="inlineStr">
        <is>
          <t>893250142</t>
        </is>
      </c>
    </row>
    <row r="719">
      <c r="A719" t="inlineStr">
        <is>
          <t>No</t>
        </is>
      </c>
      <c r="B719" t="inlineStr">
        <is>
          <t>E183.8.R9 L26</t>
        </is>
      </c>
      <c r="C719" t="inlineStr">
        <is>
          <t>0                      E  0183800R  9                  L  26</t>
        </is>
      </c>
      <c r="D719" t="inlineStr">
        <is>
          <t>America, Russia, and the cold war, 1945-1966.</t>
        </is>
      </c>
      <c r="F719" t="inlineStr">
        <is>
          <t>No</t>
        </is>
      </c>
      <c r="G719" t="inlineStr">
        <is>
          <t>1</t>
        </is>
      </c>
      <c r="H719" t="inlineStr">
        <is>
          <t>No</t>
        </is>
      </c>
      <c r="I719" t="inlineStr">
        <is>
          <t>Yes</t>
        </is>
      </c>
      <c r="J719" t="inlineStr">
        <is>
          <t>0</t>
        </is>
      </c>
      <c r="K719" t="inlineStr">
        <is>
          <t>LaFeber, Walter.</t>
        </is>
      </c>
      <c r="L719" t="inlineStr">
        <is>
          <t>New York, Wiley [1967]</t>
        </is>
      </c>
      <c r="M719" t="inlineStr">
        <is>
          <t>1967</t>
        </is>
      </c>
      <c r="O719" t="inlineStr">
        <is>
          <t>eng</t>
        </is>
      </c>
      <c r="P719" t="inlineStr">
        <is>
          <t>nyu</t>
        </is>
      </c>
      <c r="Q719" t="inlineStr">
        <is>
          <t>America in crisis</t>
        </is>
      </c>
      <c r="R719" t="inlineStr">
        <is>
          <t xml:space="preserve">E  </t>
        </is>
      </c>
      <c r="S719" t="n">
        <v>11</v>
      </c>
      <c r="T719" t="n">
        <v>11</v>
      </c>
      <c r="U719" t="inlineStr">
        <is>
          <t>2000-02-15</t>
        </is>
      </c>
      <c r="V719" t="inlineStr">
        <is>
          <t>2000-02-15</t>
        </is>
      </c>
      <c r="W719" t="inlineStr">
        <is>
          <t>1997-04-09</t>
        </is>
      </c>
      <c r="X719" t="inlineStr">
        <is>
          <t>1997-04-09</t>
        </is>
      </c>
      <c r="Y719" t="n">
        <v>804</v>
      </c>
      <c r="Z719" t="n">
        <v>688</v>
      </c>
      <c r="AA719" t="n">
        <v>1472</v>
      </c>
      <c r="AB719" t="n">
        <v>3</v>
      </c>
      <c r="AC719" t="n">
        <v>10</v>
      </c>
      <c r="AD719" t="n">
        <v>22</v>
      </c>
      <c r="AE719" t="n">
        <v>53</v>
      </c>
      <c r="AF719" t="n">
        <v>10</v>
      </c>
      <c r="AG719" t="n">
        <v>23</v>
      </c>
      <c r="AH719" t="n">
        <v>6</v>
      </c>
      <c r="AI719" t="n">
        <v>10</v>
      </c>
      <c r="AJ719" t="n">
        <v>13</v>
      </c>
      <c r="AK719" t="n">
        <v>25</v>
      </c>
      <c r="AL719" t="n">
        <v>2</v>
      </c>
      <c r="AM719" t="n">
        <v>8</v>
      </c>
      <c r="AN719" t="n">
        <v>0</v>
      </c>
      <c r="AO719" t="n">
        <v>0</v>
      </c>
      <c r="AP719" t="inlineStr">
        <is>
          <t>No</t>
        </is>
      </c>
      <c r="AQ719" t="inlineStr">
        <is>
          <t>Yes</t>
        </is>
      </c>
      <c r="AR719">
        <f>HYPERLINK("http://catalog.hathitrust.org/Record/000335509","HathiTrust Record")</f>
        <v/>
      </c>
      <c r="AS719">
        <f>HYPERLINK("https://creighton-primo.hosted.exlibrisgroup.com/primo-explore/search?tab=default_tab&amp;search_scope=EVERYTHING&amp;vid=01CRU&amp;lang=en_US&amp;offset=0&amp;query=any,contains,991002748629702656","Catalog Record")</f>
        <v/>
      </c>
      <c r="AT719">
        <f>HYPERLINK("http://www.worldcat.org/oclc/423704","WorldCat Record")</f>
        <v/>
      </c>
      <c r="AU719" t="inlineStr">
        <is>
          <t>4820527487:eng</t>
        </is>
      </c>
      <c r="AV719" t="inlineStr">
        <is>
          <t>423704</t>
        </is>
      </c>
      <c r="AW719" t="inlineStr">
        <is>
          <t>991002748629702656</t>
        </is>
      </c>
      <c r="AX719" t="inlineStr">
        <is>
          <t>991002748629702656</t>
        </is>
      </c>
      <c r="AY719" t="inlineStr">
        <is>
          <t>2266892390002656</t>
        </is>
      </c>
      <c r="AZ719" t="inlineStr">
        <is>
          <t>BOOK</t>
        </is>
      </c>
      <c r="BC719" t="inlineStr">
        <is>
          <t>32285002508462</t>
        </is>
      </c>
      <c r="BD719" t="inlineStr">
        <is>
          <t>893257664</t>
        </is>
      </c>
    </row>
    <row r="720">
      <c r="A720" t="inlineStr">
        <is>
          <t>No</t>
        </is>
      </c>
      <c r="B720" t="inlineStr">
        <is>
          <t>E183.8.R9 M245</t>
        </is>
      </c>
      <c r="C720" t="inlineStr">
        <is>
          <t>0                      E  0183800R  9                  M  245</t>
        </is>
      </c>
      <c r="D720" t="inlineStr">
        <is>
          <t>The new left and the origins of the cold war.</t>
        </is>
      </c>
      <c r="F720" t="inlineStr">
        <is>
          <t>No</t>
        </is>
      </c>
      <c r="G720" t="inlineStr">
        <is>
          <t>1</t>
        </is>
      </c>
      <c r="H720" t="inlineStr">
        <is>
          <t>No</t>
        </is>
      </c>
      <c r="I720" t="inlineStr">
        <is>
          <t>No</t>
        </is>
      </c>
      <c r="J720" t="inlineStr">
        <is>
          <t>0</t>
        </is>
      </c>
      <c r="K720" t="inlineStr">
        <is>
          <t>Maddox, Robert James.</t>
        </is>
      </c>
      <c r="L720" t="inlineStr">
        <is>
          <t>Princeton, N.J., Princeton University Press [1973]</t>
        </is>
      </c>
      <c r="M720" t="inlineStr">
        <is>
          <t>1973</t>
        </is>
      </c>
      <c r="O720" t="inlineStr">
        <is>
          <t>eng</t>
        </is>
      </c>
      <c r="P720" t="inlineStr">
        <is>
          <t>nju</t>
        </is>
      </c>
      <c r="R720" t="inlineStr">
        <is>
          <t xml:space="preserve">E  </t>
        </is>
      </c>
      <c r="S720" t="n">
        <v>2</v>
      </c>
      <c r="T720" t="n">
        <v>2</v>
      </c>
      <c r="U720" t="inlineStr">
        <is>
          <t>2001-02-27</t>
        </is>
      </c>
      <c r="V720" t="inlineStr">
        <is>
          <t>2001-02-27</t>
        </is>
      </c>
      <c r="W720" t="inlineStr">
        <is>
          <t>1997-04-09</t>
        </is>
      </c>
      <c r="X720" t="inlineStr">
        <is>
          <t>1997-04-09</t>
        </is>
      </c>
      <c r="Y720" t="n">
        <v>1281</v>
      </c>
      <c r="Z720" t="n">
        <v>1078</v>
      </c>
      <c r="AA720" t="n">
        <v>1234</v>
      </c>
      <c r="AB720" t="n">
        <v>11</v>
      </c>
      <c r="AC720" t="n">
        <v>11</v>
      </c>
      <c r="AD720" t="n">
        <v>50</v>
      </c>
      <c r="AE720" t="n">
        <v>53</v>
      </c>
      <c r="AF720" t="n">
        <v>21</v>
      </c>
      <c r="AG720" t="n">
        <v>23</v>
      </c>
      <c r="AH720" t="n">
        <v>9</v>
      </c>
      <c r="AI720" t="n">
        <v>10</v>
      </c>
      <c r="AJ720" t="n">
        <v>22</v>
      </c>
      <c r="AK720" t="n">
        <v>23</v>
      </c>
      <c r="AL720" t="n">
        <v>10</v>
      </c>
      <c r="AM720" t="n">
        <v>10</v>
      </c>
      <c r="AN720" t="n">
        <v>0</v>
      </c>
      <c r="AO720" t="n">
        <v>0</v>
      </c>
      <c r="AP720" t="inlineStr">
        <is>
          <t>No</t>
        </is>
      </c>
      <c r="AQ720" t="inlineStr">
        <is>
          <t>No</t>
        </is>
      </c>
      <c r="AS720">
        <f>HYPERLINK("https://creighton-primo.hosted.exlibrisgroup.com/primo-explore/search?tab=default_tab&amp;search_scope=EVERYTHING&amp;vid=01CRU&amp;lang=en_US&amp;offset=0&amp;query=any,contains,991003106689702656","Catalog Record")</f>
        <v/>
      </c>
      <c r="AT720">
        <f>HYPERLINK("http://www.worldcat.org/oclc/654456","WorldCat Record")</f>
        <v/>
      </c>
      <c r="AU720" t="inlineStr">
        <is>
          <t>1613970:eng</t>
        </is>
      </c>
      <c r="AV720" t="inlineStr">
        <is>
          <t>654456</t>
        </is>
      </c>
      <c r="AW720" t="inlineStr">
        <is>
          <t>991003106689702656</t>
        </is>
      </c>
      <c r="AX720" t="inlineStr">
        <is>
          <t>991003106689702656</t>
        </is>
      </c>
      <c r="AY720" t="inlineStr">
        <is>
          <t>2262208900002656</t>
        </is>
      </c>
      <c r="AZ720" t="inlineStr">
        <is>
          <t>BOOK</t>
        </is>
      </c>
      <c r="BB720" t="inlineStr">
        <is>
          <t>9780691056548</t>
        </is>
      </c>
      <c r="BC720" t="inlineStr">
        <is>
          <t>32285002508496</t>
        </is>
      </c>
      <c r="BD720" t="inlineStr">
        <is>
          <t>893604449</t>
        </is>
      </c>
    </row>
    <row r="721">
      <c r="A721" t="inlineStr">
        <is>
          <t>No</t>
        </is>
      </c>
      <c r="B721" t="inlineStr">
        <is>
          <t>E183.8.R9 M246</t>
        </is>
      </c>
      <c r="C721" t="inlineStr">
        <is>
          <t>0                      E  0183800R  9                  M  246</t>
        </is>
      </c>
      <c r="D721" t="inlineStr">
        <is>
          <t>The unknown war with Russia : Wilson's Siberian intervention / by Robert J. Maddox.</t>
        </is>
      </c>
      <c r="F721" t="inlineStr">
        <is>
          <t>No</t>
        </is>
      </c>
      <c r="G721" t="inlineStr">
        <is>
          <t>1</t>
        </is>
      </c>
      <c r="H721" t="inlineStr">
        <is>
          <t>No</t>
        </is>
      </c>
      <c r="I721" t="inlineStr">
        <is>
          <t>No</t>
        </is>
      </c>
      <c r="J721" t="inlineStr">
        <is>
          <t>0</t>
        </is>
      </c>
      <c r="K721" t="inlineStr">
        <is>
          <t>Maddox, Robert James.</t>
        </is>
      </c>
      <c r="L721" t="inlineStr">
        <is>
          <t>San Rafael, Calif. : Presidio Press, c1977.</t>
        </is>
      </c>
      <c r="M721" t="inlineStr">
        <is>
          <t>1977</t>
        </is>
      </c>
      <c r="O721" t="inlineStr">
        <is>
          <t>eng</t>
        </is>
      </c>
      <c r="P721" t="inlineStr">
        <is>
          <t>cau</t>
        </is>
      </c>
      <c r="R721" t="inlineStr">
        <is>
          <t xml:space="preserve">E  </t>
        </is>
      </c>
      <c r="S721" t="n">
        <v>1</v>
      </c>
      <c r="T721" t="n">
        <v>1</v>
      </c>
      <c r="U721" t="inlineStr">
        <is>
          <t>1997-05-22</t>
        </is>
      </c>
      <c r="V721" t="inlineStr">
        <is>
          <t>1997-05-22</t>
        </is>
      </c>
      <c r="W721" t="inlineStr">
        <is>
          <t>1997-04-09</t>
        </is>
      </c>
      <c r="X721" t="inlineStr">
        <is>
          <t>1997-04-09</t>
        </is>
      </c>
      <c r="Y721" t="n">
        <v>548</v>
      </c>
      <c r="Z721" t="n">
        <v>492</v>
      </c>
      <c r="AA721" t="n">
        <v>494</v>
      </c>
      <c r="AB721" t="n">
        <v>7</v>
      </c>
      <c r="AC721" t="n">
        <v>7</v>
      </c>
      <c r="AD721" t="n">
        <v>25</v>
      </c>
      <c r="AE721" t="n">
        <v>25</v>
      </c>
      <c r="AF721" t="n">
        <v>9</v>
      </c>
      <c r="AG721" t="n">
        <v>9</v>
      </c>
      <c r="AH721" t="n">
        <v>6</v>
      </c>
      <c r="AI721" t="n">
        <v>6</v>
      </c>
      <c r="AJ721" t="n">
        <v>10</v>
      </c>
      <c r="AK721" t="n">
        <v>10</v>
      </c>
      <c r="AL721" t="n">
        <v>5</v>
      </c>
      <c r="AM721" t="n">
        <v>5</v>
      </c>
      <c r="AN721" t="n">
        <v>0</v>
      </c>
      <c r="AO721" t="n">
        <v>0</v>
      </c>
      <c r="AP721" t="inlineStr">
        <is>
          <t>No</t>
        </is>
      </c>
      <c r="AQ721" t="inlineStr">
        <is>
          <t>Yes</t>
        </is>
      </c>
      <c r="AR721">
        <f>HYPERLINK("http://catalog.hathitrust.org/Record/000292665","HathiTrust Record")</f>
        <v/>
      </c>
      <c r="AS721">
        <f>HYPERLINK("https://creighton-primo.hosted.exlibrisgroup.com/primo-explore/search?tab=default_tab&amp;search_scope=EVERYTHING&amp;vid=01CRU&amp;lang=en_US&amp;offset=0&amp;query=any,contains,991004353709702656","Catalog Record")</f>
        <v/>
      </c>
      <c r="AT721">
        <f>HYPERLINK("http://www.worldcat.org/oclc/3126650","WorldCat Record")</f>
        <v/>
      </c>
      <c r="AU721" t="inlineStr">
        <is>
          <t>8325038:eng</t>
        </is>
      </c>
      <c r="AV721" t="inlineStr">
        <is>
          <t>3126650</t>
        </is>
      </c>
      <c r="AW721" t="inlineStr">
        <is>
          <t>991004353709702656</t>
        </is>
      </c>
      <c r="AX721" t="inlineStr">
        <is>
          <t>991004353709702656</t>
        </is>
      </c>
      <c r="AY721" t="inlineStr">
        <is>
          <t>2265928280002656</t>
        </is>
      </c>
      <c r="AZ721" t="inlineStr">
        <is>
          <t>BOOK</t>
        </is>
      </c>
      <c r="BB721" t="inlineStr">
        <is>
          <t>9780891410133</t>
        </is>
      </c>
      <c r="BC721" t="inlineStr">
        <is>
          <t>32285002508504</t>
        </is>
      </c>
      <c r="BD721" t="inlineStr">
        <is>
          <t>893229258</t>
        </is>
      </c>
    </row>
    <row r="722">
      <c r="A722" t="inlineStr">
        <is>
          <t>No</t>
        </is>
      </c>
      <c r="B722" t="inlineStr">
        <is>
          <t>E183.8.R9 M247 1980</t>
        </is>
      </c>
      <c r="C722" t="inlineStr">
        <is>
          <t>0                      E  0183800R  9                  M  247         1980</t>
        </is>
      </c>
      <c r="D722" t="inlineStr">
        <is>
          <t>Years of estrangement : American relations with the Soviet Union, 1933-1941 / Thomas R. Maddux.</t>
        </is>
      </c>
      <c r="F722" t="inlineStr">
        <is>
          <t>No</t>
        </is>
      </c>
      <c r="G722" t="inlineStr">
        <is>
          <t>1</t>
        </is>
      </c>
      <c r="H722" t="inlineStr">
        <is>
          <t>No</t>
        </is>
      </c>
      <c r="I722" t="inlineStr">
        <is>
          <t>No</t>
        </is>
      </c>
      <c r="J722" t="inlineStr">
        <is>
          <t>0</t>
        </is>
      </c>
      <c r="K722" t="inlineStr">
        <is>
          <t>Maddux, Thomas R.</t>
        </is>
      </c>
      <c r="L722" t="inlineStr">
        <is>
          <t>Tallahassee : University Presses of Florida, c1980.</t>
        </is>
      </c>
      <c r="M722" t="inlineStr">
        <is>
          <t>1980</t>
        </is>
      </c>
      <c r="O722" t="inlineStr">
        <is>
          <t>eng</t>
        </is>
      </c>
      <c r="P722" t="inlineStr">
        <is>
          <t>flu</t>
        </is>
      </c>
      <c r="R722" t="inlineStr">
        <is>
          <t xml:space="preserve">E  </t>
        </is>
      </c>
      <c r="S722" t="n">
        <v>3</v>
      </c>
      <c r="T722" t="n">
        <v>3</v>
      </c>
      <c r="U722" t="inlineStr">
        <is>
          <t>1996-06-13</t>
        </is>
      </c>
      <c r="V722" t="inlineStr">
        <is>
          <t>1996-06-13</t>
        </is>
      </c>
      <c r="W722" t="inlineStr">
        <is>
          <t>1991-02-06</t>
        </is>
      </c>
      <c r="X722" t="inlineStr">
        <is>
          <t>1991-02-06</t>
        </is>
      </c>
      <c r="Y722" t="n">
        <v>494</v>
      </c>
      <c r="Z722" t="n">
        <v>402</v>
      </c>
      <c r="AA722" t="n">
        <v>402</v>
      </c>
      <c r="AB722" t="n">
        <v>3</v>
      </c>
      <c r="AC722" t="n">
        <v>3</v>
      </c>
      <c r="AD722" t="n">
        <v>22</v>
      </c>
      <c r="AE722" t="n">
        <v>22</v>
      </c>
      <c r="AF722" t="n">
        <v>8</v>
      </c>
      <c r="AG722" t="n">
        <v>8</v>
      </c>
      <c r="AH722" t="n">
        <v>6</v>
      </c>
      <c r="AI722" t="n">
        <v>6</v>
      </c>
      <c r="AJ722" t="n">
        <v>13</v>
      </c>
      <c r="AK722" t="n">
        <v>13</v>
      </c>
      <c r="AL722" t="n">
        <v>2</v>
      </c>
      <c r="AM722" t="n">
        <v>2</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HYPERLINK("https://creighton-primo.hosted.exlibrisgroup.com/primo-explore/search?tab=default_tab&amp;search_scope=EVERYTHING&amp;vid=01CRU&amp;lang=en_US&amp;offset=0&amp;query=any,contains,991004851439702656","Catalog Record")</f>
        <v/>
      </c>
      <c r="AT722">
        <f>HYPERLINK("http://www.worldcat.org/oclc/5613660","WorldCat Record")</f>
        <v/>
      </c>
      <c r="AU722" t="inlineStr">
        <is>
          <t>866017989:eng</t>
        </is>
      </c>
      <c r="AV722" t="inlineStr">
        <is>
          <t>5613660</t>
        </is>
      </c>
      <c r="AW722" t="inlineStr">
        <is>
          <t>991004851439702656</t>
        </is>
      </c>
      <c r="AX722" t="inlineStr">
        <is>
          <t>991004851439702656</t>
        </is>
      </c>
      <c r="AY722" t="inlineStr">
        <is>
          <t>2260180050002656</t>
        </is>
      </c>
      <c r="AZ722" t="inlineStr">
        <is>
          <t>BOOK</t>
        </is>
      </c>
      <c r="BB722" t="inlineStr">
        <is>
          <t>9780813006536</t>
        </is>
      </c>
      <c r="BC722" t="inlineStr">
        <is>
          <t>32285000482058</t>
        </is>
      </c>
      <c r="BD722" t="inlineStr">
        <is>
          <t>893418085</t>
        </is>
      </c>
    </row>
    <row r="723">
      <c r="A723" t="inlineStr">
        <is>
          <t>No</t>
        </is>
      </c>
      <c r="B723" t="inlineStr">
        <is>
          <t>E183.8.R9 M55</t>
        </is>
      </c>
      <c r="C723" t="inlineStr">
        <is>
          <t>0                      E  0183800R  9                  M  55</t>
        </is>
      </c>
      <c r="D723" t="inlineStr">
        <is>
          <t>Foreign policy and the free society [by] Walter Millis [and] John Courtney Murray. The discussants: A.A. Berle, Jr. [and others.</t>
        </is>
      </c>
      <c r="F723" t="inlineStr">
        <is>
          <t>No</t>
        </is>
      </c>
      <c r="G723" t="inlineStr">
        <is>
          <t>1</t>
        </is>
      </c>
      <c r="H723" t="inlineStr">
        <is>
          <t>No</t>
        </is>
      </c>
      <c r="I723" t="inlineStr">
        <is>
          <t>No</t>
        </is>
      </c>
      <c r="J723" t="inlineStr">
        <is>
          <t>0</t>
        </is>
      </c>
      <c r="K723" t="inlineStr">
        <is>
          <t>Millis, Walter, 1899-1968.</t>
        </is>
      </c>
      <c r="L723" t="inlineStr">
        <is>
          <t>New York] Published for the Fund for the Republic by Oceana Publications [1958]</t>
        </is>
      </c>
      <c r="M723" t="inlineStr">
        <is>
          <t>1958</t>
        </is>
      </c>
      <c r="O723" t="inlineStr">
        <is>
          <t>eng</t>
        </is>
      </c>
      <c r="P723" t="inlineStr">
        <is>
          <t>nyu</t>
        </is>
      </c>
      <c r="R723" t="inlineStr">
        <is>
          <t xml:space="preserve">E  </t>
        </is>
      </c>
      <c r="S723" t="n">
        <v>2</v>
      </c>
      <c r="T723" t="n">
        <v>2</v>
      </c>
      <c r="U723" t="inlineStr">
        <is>
          <t>1997-04-14</t>
        </is>
      </c>
      <c r="V723" t="inlineStr">
        <is>
          <t>1997-04-14</t>
        </is>
      </c>
      <c r="W723" t="inlineStr">
        <is>
          <t>1997-04-09</t>
        </is>
      </c>
      <c r="X723" t="inlineStr">
        <is>
          <t>1997-04-09</t>
        </is>
      </c>
      <c r="Y723" t="n">
        <v>504</v>
      </c>
      <c r="Z723" t="n">
        <v>456</v>
      </c>
      <c r="AA723" t="n">
        <v>467</v>
      </c>
      <c r="AB723" t="n">
        <v>5</v>
      </c>
      <c r="AC723" t="n">
        <v>5</v>
      </c>
      <c r="AD723" t="n">
        <v>29</v>
      </c>
      <c r="AE723" t="n">
        <v>29</v>
      </c>
      <c r="AF723" t="n">
        <v>6</v>
      </c>
      <c r="AG723" t="n">
        <v>6</v>
      </c>
      <c r="AH723" t="n">
        <v>6</v>
      </c>
      <c r="AI723" t="n">
        <v>6</v>
      </c>
      <c r="AJ723" t="n">
        <v>13</v>
      </c>
      <c r="AK723" t="n">
        <v>13</v>
      </c>
      <c r="AL723" t="n">
        <v>3</v>
      </c>
      <c r="AM723" t="n">
        <v>3</v>
      </c>
      <c r="AN723" t="n">
        <v>7</v>
      </c>
      <c r="AO723" t="n">
        <v>7</v>
      </c>
      <c r="AP723" t="inlineStr">
        <is>
          <t>Yes</t>
        </is>
      </c>
      <c r="AQ723" t="inlineStr">
        <is>
          <t>No</t>
        </is>
      </c>
      <c r="AR723">
        <f>HYPERLINK("http://catalog.hathitrust.org/Record/000335576","HathiTrust Record")</f>
        <v/>
      </c>
      <c r="AS723">
        <f>HYPERLINK("https://creighton-primo.hosted.exlibrisgroup.com/primo-explore/search?tab=default_tab&amp;search_scope=EVERYTHING&amp;vid=01CRU&amp;lang=en_US&amp;offset=0&amp;query=any,contains,991003469289702656","Catalog Record")</f>
        <v/>
      </c>
      <c r="AT723">
        <f>HYPERLINK("http://www.worldcat.org/oclc/1011081","WorldCat Record")</f>
        <v/>
      </c>
      <c r="AU723" t="inlineStr">
        <is>
          <t>572581:eng</t>
        </is>
      </c>
      <c r="AV723" t="inlineStr">
        <is>
          <t>1011081</t>
        </is>
      </c>
      <c r="AW723" t="inlineStr">
        <is>
          <t>991003469289702656</t>
        </is>
      </c>
      <c r="AX723" t="inlineStr">
        <is>
          <t>991003469289702656</t>
        </is>
      </c>
      <c r="AY723" t="inlineStr">
        <is>
          <t>2255197100002656</t>
        </is>
      </c>
      <c r="AZ723" t="inlineStr">
        <is>
          <t>BOOK</t>
        </is>
      </c>
      <c r="BC723" t="inlineStr">
        <is>
          <t>32285002508512</t>
        </is>
      </c>
      <c r="BD723" t="inlineStr">
        <is>
          <t>893717681</t>
        </is>
      </c>
    </row>
    <row r="724">
      <c r="A724" t="inlineStr">
        <is>
          <t>No</t>
        </is>
      </c>
      <c r="B724" t="inlineStr">
        <is>
          <t>E183.8.R9 N49 1994</t>
        </is>
      </c>
      <c r="C724" t="inlineStr">
        <is>
          <t>0                      E  0183800R  9                  N  49          1994</t>
        </is>
      </c>
      <c r="D724" t="inlineStr">
        <is>
          <t>The New chapter in United States-Russian relations : opportunities and challenges / edited by Sharyl Cross and Marina A. Oborotova.</t>
        </is>
      </c>
      <c r="F724" t="inlineStr">
        <is>
          <t>No</t>
        </is>
      </c>
      <c r="G724" t="inlineStr">
        <is>
          <t>1</t>
        </is>
      </c>
      <c r="H724" t="inlineStr">
        <is>
          <t>No</t>
        </is>
      </c>
      <c r="I724" t="inlineStr">
        <is>
          <t>No</t>
        </is>
      </c>
      <c r="J724" t="inlineStr">
        <is>
          <t>0</t>
        </is>
      </c>
      <c r="L724" t="inlineStr">
        <is>
          <t>Westport, Conn. : Praeger, 1994.</t>
        </is>
      </c>
      <c r="M724" t="inlineStr">
        <is>
          <t>1994</t>
        </is>
      </c>
      <c r="O724" t="inlineStr">
        <is>
          <t>eng</t>
        </is>
      </c>
      <c r="P724" t="inlineStr">
        <is>
          <t>ctu</t>
        </is>
      </c>
      <c r="R724" t="inlineStr">
        <is>
          <t xml:space="preserve">E  </t>
        </is>
      </c>
      <c r="S724" t="n">
        <v>3</v>
      </c>
      <c r="T724" t="n">
        <v>3</v>
      </c>
      <c r="U724" t="inlineStr">
        <is>
          <t>1996-04-18</t>
        </is>
      </c>
      <c r="V724" t="inlineStr">
        <is>
          <t>1996-04-18</t>
        </is>
      </c>
      <c r="W724" t="inlineStr">
        <is>
          <t>1996-01-17</t>
        </is>
      </c>
      <c r="X724" t="inlineStr">
        <is>
          <t>1996-01-17</t>
        </is>
      </c>
      <c r="Y724" t="n">
        <v>291</v>
      </c>
      <c r="Z724" t="n">
        <v>243</v>
      </c>
      <c r="AA724" t="n">
        <v>250</v>
      </c>
      <c r="AB724" t="n">
        <v>2</v>
      </c>
      <c r="AC724" t="n">
        <v>2</v>
      </c>
      <c r="AD724" t="n">
        <v>13</v>
      </c>
      <c r="AE724" t="n">
        <v>13</v>
      </c>
      <c r="AF724" t="n">
        <v>2</v>
      </c>
      <c r="AG724" t="n">
        <v>2</v>
      </c>
      <c r="AH724" t="n">
        <v>6</v>
      </c>
      <c r="AI724" t="n">
        <v>6</v>
      </c>
      <c r="AJ724" t="n">
        <v>7</v>
      </c>
      <c r="AK724" t="n">
        <v>7</v>
      </c>
      <c r="AL724" t="n">
        <v>1</v>
      </c>
      <c r="AM724" t="n">
        <v>1</v>
      </c>
      <c r="AN724" t="n">
        <v>0</v>
      </c>
      <c r="AO724" t="n">
        <v>0</v>
      </c>
      <c r="AP724" t="inlineStr">
        <is>
          <t>No</t>
        </is>
      </c>
      <c r="AQ724" t="inlineStr">
        <is>
          <t>Yes</t>
        </is>
      </c>
      <c r="AR724">
        <f>HYPERLINK("http://catalog.hathitrust.org/Record/002955994","HathiTrust Record")</f>
        <v/>
      </c>
      <c r="AS724">
        <f>HYPERLINK("https://creighton-primo.hosted.exlibrisgroup.com/primo-explore/search?tab=default_tab&amp;search_scope=EVERYTHING&amp;vid=01CRU&amp;lang=en_US&amp;offset=0&amp;query=any,contains,991002341229702656","Catalog Record")</f>
        <v/>
      </c>
      <c r="AT724">
        <f>HYPERLINK("http://www.worldcat.org/oclc/30476412","WorldCat Record")</f>
        <v/>
      </c>
      <c r="AU724" t="inlineStr">
        <is>
          <t>836887593:eng</t>
        </is>
      </c>
      <c r="AV724" t="inlineStr">
        <is>
          <t>30476412</t>
        </is>
      </c>
      <c r="AW724" t="inlineStr">
        <is>
          <t>991002341229702656</t>
        </is>
      </c>
      <c r="AX724" t="inlineStr">
        <is>
          <t>991002341229702656</t>
        </is>
      </c>
      <c r="AY724" t="inlineStr">
        <is>
          <t>2260749540002656</t>
        </is>
      </c>
      <c r="AZ724" t="inlineStr">
        <is>
          <t>BOOK</t>
        </is>
      </c>
      <c r="BB724" t="inlineStr">
        <is>
          <t>9780275947613</t>
        </is>
      </c>
      <c r="BC724" t="inlineStr">
        <is>
          <t>32285002117645</t>
        </is>
      </c>
      <c r="BD724" t="inlineStr">
        <is>
          <t>893873389</t>
        </is>
      </c>
    </row>
    <row r="725">
      <c r="A725" t="inlineStr">
        <is>
          <t>No</t>
        </is>
      </c>
      <c r="B725" t="inlineStr">
        <is>
          <t>E183.8.R9 P35</t>
        </is>
      </c>
      <c r="C725" t="inlineStr">
        <is>
          <t>0                      E  0183800R  9                  P  35</t>
        </is>
      </c>
      <c r="D725" t="inlineStr">
        <is>
          <t>Soviet-American confrontation; postwar reconstruction and the origins of the Cold War [by] Thomas G. Paterson.</t>
        </is>
      </c>
      <c r="F725" t="inlineStr">
        <is>
          <t>No</t>
        </is>
      </c>
      <c r="G725" t="inlineStr">
        <is>
          <t>1</t>
        </is>
      </c>
      <c r="H725" t="inlineStr">
        <is>
          <t>No</t>
        </is>
      </c>
      <c r="I725" t="inlineStr">
        <is>
          <t>No</t>
        </is>
      </c>
      <c r="J725" t="inlineStr">
        <is>
          <t>0</t>
        </is>
      </c>
      <c r="K725" t="inlineStr">
        <is>
          <t>Paterson, Thomas G., 1941-</t>
        </is>
      </c>
      <c r="L725" t="inlineStr">
        <is>
          <t>Baltimore, Johns Hopkins University Press [1973]</t>
        </is>
      </c>
      <c r="M725" t="inlineStr">
        <is>
          <t>1973</t>
        </is>
      </c>
      <c r="O725" t="inlineStr">
        <is>
          <t>eng</t>
        </is>
      </c>
      <c r="P725" t="inlineStr">
        <is>
          <t>mdu</t>
        </is>
      </c>
      <c r="R725" t="inlineStr">
        <is>
          <t xml:space="preserve">E  </t>
        </is>
      </c>
      <c r="S725" t="n">
        <v>4</v>
      </c>
      <c r="T725" t="n">
        <v>4</v>
      </c>
      <c r="U725" t="inlineStr">
        <is>
          <t>2000-02-15</t>
        </is>
      </c>
      <c r="V725" t="inlineStr">
        <is>
          <t>2000-02-15</t>
        </is>
      </c>
      <c r="W725" t="inlineStr">
        <is>
          <t>1997-04-09</t>
        </is>
      </c>
      <c r="X725" t="inlineStr">
        <is>
          <t>1997-04-09</t>
        </is>
      </c>
      <c r="Y725" t="n">
        <v>909</v>
      </c>
      <c r="Z725" t="n">
        <v>733</v>
      </c>
      <c r="AA725" t="n">
        <v>753</v>
      </c>
      <c r="AB725" t="n">
        <v>8</v>
      </c>
      <c r="AC725" t="n">
        <v>8</v>
      </c>
      <c r="AD725" t="n">
        <v>39</v>
      </c>
      <c r="AE725" t="n">
        <v>40</v>
      </c>
      <c r="AF725" t="n">
        <v>14</v>
      </c>
      <c r="AG725" t="n">
        <v>14</v>
      </c>
      <c r="AH725" t="n">
        <v>6</v>
      </c>
      <c r="AI725" t="n">
        <v>6</v>
      </c>
      <c r="AJ725" t="n">
        <v>22</v>
      </c>
      <c r="AK725" t="n">
        <v>22</v>
      </c>
      <c r="AL725" t="n">
        <v>7</v>
      </c>
      <c r="AM725" t="n">
        <v>7</v>
      </c>
      <c r="AN725" t="n">
        <v>0</v>
      </c>
      <c r="AO725" t="n">
        <v>1</v>
      </c>
      <c r="AP725" t="inlineStr">
        <is>
          <t>No</t>
        </is>
      </c>
      <c r="AQ725" t="inlineStr">
        <is>
          <t>Yes</t>
        </is>
      </c>
      <c r="AR725">
        <f>HYPERLINK("http://catalog.hathitrust.org/Record/000335581","HathiTrust Record")</f>
        <v/>
      </c>
      <c r="AS725">
        <f>HYPERLINK("https://creighton-primo.hosted.exlibrisgroup.com/primo-explore/search?tab=default_tab&amp;search_scope=EVERYTHING&amp;vid=01CRU&amp;lang=en_US&amp;offset=0&amp;query=any,contains,991003154809702656","Catalog Record")</f>
        <v/>
      </c>
      <c r="AT725">
        <f>HYPERLINK("http://www.worldcat.org/oclc/693806","WorldCat Record")</f>
        <v/>
      </c>
      <c r="AU725" t="inlineStr">
        <is>
          <t>578172:eng</t>
        </is>
      </c>
      <c r="AV725" t="inlineStr">
        <is>
          <t>693806</t>
        </is>
      </c>
      <c r="AW725" t="inlineStr">
        <is>
          <t>991003154809702656</t>
        </is>
      </c>
      <c r="AX725" t="inlineStr">
        <is>
          <t>991003154809702656</t>
        </is>
      </c>
      <c r="AY725" t="inlineStr">
        <is>
          <t>2266602680002656</t>
        </is>
      </c>
      <c r="AZ725" t="inlineStr">
        <is>
          <t>BOOK</t>
        </is>
      </c>
      <c r="BB725" t="inlineStr">
        <is>
          <t>9780801814549</t>
        </is>
      </c>
      <c r="BC725" t="inlineStr">
        <is>
          <t>32285002508538</t>
        </is>
      </c>
      <c r="BD725" t="inlineStr">
        <is>
          <t>893799431</t>
        </is>
      </c>
    </row>
    <row r="726">
      <c r="A726" t="inlineStr">
        <is>
          <t>No</t>
        </is>
      </c>
      <c r="B726" t="inlineStr">
        <is>
          <t>E183.8.R9 P79 1999</t>
        </is>
      </c>
      <c r="C726" t="inlineStr">
        <is>
          <t>0                      E  0183800R  9                  P  79          1999</t>
        </is>
      </c>
      <c r="D726" t="inlineStr">
        <is>
          <t>War scare : Russia and America on the nuclear brink / Peter Vincent Pry.</t>
        </is>
      </c>
      <c r="F726" t="inlineStr">
        <is>
          <t>No</t>
        </is>
      </c>
      <c r="G726" t="inlineStr">
        <is>
          <t>1</t>
        </is>
      </c>
      <c r="H726" t="inlineStr">
        <is>
          <t>No</t>
        </is>
      </c>
      <c r="I726" t="inlineStr">
        <is>
          <t>No</t>
        </is>
      </c>
      <c r="J726" t="inlineStr">
        <is>
          <t>0</t>
        </is>
      </c>
      <c r="K726" t="inlineStr">
        <is>
          <t>Pry, Peter Vincent.</t>
        </is>
      </c>
      <c r="L726" t="inlineStr">
        <is>
          <t>Westport, Conn. : Praeger, 1999.</t>
        </is>
      </c>
      <c r="M726" t="inlineStr">
        <is>
          <t>1999</t>
        </is>
      </c>
      <c r="O726" t="inlineStr">
        <is>
          <t>eng</t>
        </is>
      </c>
      <c r="P726" t="inlineStr">
        <is>
          <t>ctu</t>
        </is>
      </c>
      <c r="R726" t="inlineStr">
        <is>
          <t xml:space="preserve">E  </t>
        </is>
      </c>
      <c r="S726" t="n">
        <v>5</v>
      </c>
      <c r="T726" t="n">
        <v>5</v>
      </c>
      <c r="U726" t="inlineStr">
        <is>
          <t>2004-11-21</t>
        </is>
      </c>
      <c r="V726" t="inlineStr">
        <is>
          <t>2004-11-21</t>
        </is>
      </c>
      <c r="W726" t="inlineStr">
        <is>
          <t>2000-01-13</t>
        </is>
      </c>
      <c r="X726" t="inlineStr">
        <is>
          <t>2000-01-13</t>
        </is>
      </c>
      <c r="Y726" t="n">
        <v>416</v>
      </c>
      <c r="Z726" t="n">
        <v>354</v>
      </c>
      <c r="AA726" t="n">
        <v>732</v>
      </c>
      <c r="AB726" t="n">
        <v>3</v>
      </c>
      <c r="AC726" t="n">
        <v>5</v>
      </c>
      <c r="AD726" t="n">
        <v>19</v>
      </c>
      <c r="AE726" t="n">
        <v>26</v>
      </c>
      <c r="AF726" t="n">
        <v>4</v>
      </c>
      <c r="AG726" t="n">
        <v>9</v>
      </c>
      <c r="AH726" t="n">
        <v>6</v>
      </c>
      <c r="AI726" t="n">
        <v>7</v>
      </c>
      <c r="AJ726" t="n">
        <v>12</v>
      </c>
      <c r="AK726" t="n">
        <v>13</v>
      </c>
      <c r="AL726" t="n">
        <v>2</v>
      </c>
      <c r="AM726" t="n">
        <v>4</v>
      </c>
      <c r="AN726" t="n">
        <v>0</v>
      </c>
      <c r="AO726" t="n">
        <v>0</v>
      </c>
      <c r="AP726" t="inlineStr">
        <is>
          <t>No</t>
        </is>
      </c>
      <c r="AQ726" t="inlineStr">
        <is>
          <t>Yes</t>
        </is>
      </c>
      <c r="AR726">
        <f>HYPERLINK("http://catalog.hathitrust.org/Record/004053121","HathiTrust Record")</f>
        <v/>
      </c>
      <c r="AS726">
        <f>HYPERLINK("https://creighton-primo.hosted.exlibrisgroup.com/primo-explore/search?tab=default_tab&amp;search_scope=EVERYTHING&amp;vid=01CRU&amp;lang=en_US&amp;offset=0&amp;query=any,contains,991003000209702656","Catalog Record")</f>
        <v/>
      </c>
      <c r="AT726">
        <f>HYPERLINK("http://www.worldcat.org/oclc/40632155","WorldCat Record")</f>
        <v/>
      </c>
      <c r="AU726" t="inlineStr">
        <is>
          <t>2582217:eng</t>
        </is>
      </c>
      <c r="AV726" t="inlineStr">
        <is>
          <t>40632155</t>
        </is>
      </c>
      <c r="AW726" t="inlineStr">
        <is>
          <t>991003000209702656</t>
        </is>
      </c>
      <c r="AX726" t="inlineStr">
        <is>
          <t>991003000209702656</t>
        </is>
      </c>
      <c r="AY726" t="inlineStr">
        <is>
          <t>2268434500002656</t>
        </is>
      </c>
      <c r="AZ726" t="inlineStr">
        <is>
          <t>BOOK</t>
        </is>
      </c>
      <c r="BB726" t="inlineStr">
        <is>
          <t>9780275966430</t>
        </is>
      </c>
      <c r="BC726" t="inlineStr">
        <is>
          <t>32285003641734</t>
        </is>
      </c>
      <c r="BD726" t="inlineStr">
        <is>
          <t>893445496</t>
        </is>
      </c>
    </row>
    <row r="727">
      <c r="A727" t="inlineStr">
        <is>
          <t>No</t>
        </is>
      </c>
      <c r="B727" t="inlineStr">
        <is>
          <t>E183.8.R9 S434</t>
        </is>
      </c>
      <c r="C727" t="inlineStr">
        <is>
          <t>0                      E  0183800R  9                  S  434</t>
        </is>
      </c>
      <c r="D727" t="inlineStr">
        <is>
          <t>Soviet perceptions of the United States / Morton Schwartz.</t>
        </is>
      </c>
      <c r="F727" t="inlineStr">
        <is>
          <t>No</t>
        </is>
      </c>
      <c r="G727" t="inlineStr">
        <is>
          <t>1</t>
        </is>
      </c>
      <c r="H727" t="inlineStr">
        <is>
          <t>No</t>
        </is>
      </c>
      <c r="I727" t="inlineStr">
        <is>
          <t>No</t>
        </is>
      </c>
      <c r="J727" t="inlineStr">
        <is>
          <t>0</t>
        </is>
      </c>
      <c r="K727" t="inlineStr">
        <is>
          <t>Schwartz, Morton.</t>
        </is>
      </c>
      <c r="L727" t="inlineStr">
        <is>
          <t>Berkeley : University of California Press, c1978.</t>
        </is>
      </c>
      <c r="M727" t="inlineStr">
        <is>
          <t>1978</t>
        </is>
      </c>
      <c r="O727" t="inlineStr">
        <is>
          <t>eng</t>
        </is>
      </c>
      <c r="P727" t="inlineStr">
        <is>
          <t>cau</t>
        </is>
      </c>
      <c r="R727" t="inlineStr">
        <is>
          <t xml:space="preserve">E  </t>
        </is>
      </c>
      <c r="S727" t="n">
        <v>1</v>
      </c>
      <c r="T727" t="n">
        <v>1</v>
      </c>
      <c r="U727" t="inlineStr">
        <is>
          <t>1992-04-10</t>
        </is>
      </c>
      <c r="V727" t="inlineStr">
        <is>
          <t>1992-04-10</t>
        </is>
      </c>
      <c r="W727" t="inlineStr">
        <is>
          <t>1991-02-06</t>
        </is>
      </c>
      <c r="X727" t="inlineStr">
        <is>
          <t>1991-02-06</t>
        </is>
      </c>
      <c r="Y727" t="n">
        <v>692</v>
      </c>
      <c r="Z727" t="n">
        <v>569</v>
      </c>
      <c r="AA727" t="n">
        <v>1011</v>
      </c>
      <c r="AB727" t="n">
        <v>6</v>
      </c>
      <c r="AC727" t="n">
        <v>6</v>
      </c>
      <c r="AD727" t="n">
        <v>27</v>
      </c>
      <c r="AE727" t="n">
        <v>29</v>
      </c>
      <c r="AF727" t="n">
        <v>8</v>
      </c>
      <c r="AG727" t="n">
        <v>10</v>
      </c>
      <c r="AH727" t="n">
        <v>6</v>
      </c>
      <c r="AI727" t="n">
        <v>6</v>
      </c>
      <c r="AJ727" t="n">
        <v>14</v>
      </c>
      <c r="AK727" t="n">
        <v>14</v>
      </c>
      <c r="AL727" t="n">
        <v>5</v>
      </c>
      <c r="AM727" t="n">
        <v>5</v>
      </c>
      <c r="AN727" t="n">
        <v>0</v>
      </c>
      <c r="AO727" t="n">
        <v>0</v>
      </c>
      <c r="AP727" t="inlineStr">
        <is>
          <t>No</t>
        </is>
      </c>
      <c r="AQ727" t="inlineStr">
        <is>
          <t>No</t>
        </is>
      </c>
      <c r="AS727">
        <f>HYPERLINK("https://creighton-primo.hosted.exlibrisgroup.com/primo-explore/search?tab=default_tab&amp;search_scope=EVERYTHING&amp;vid=01CRU&amp;lang=en_US&amp;offset=0&amp;query=any,contains,991004627639702656","Catalog Record")</f>
        <v/>
      </c>
      <c r="AT727">
        <f>HYPERLINK("http://www.worldcat.org/oclc/4349930","WorldCat Record")</f>
        <v/>
      </c>
      <c r="AU727" t="inlineStr">
        <is>
          <t>502168:eng</t>
        </is>
      </c>
      <c r="AV727" t="inlineStr">
        <is>
          <t>4349930</t>
        </is>
      </c>
      <c r="AW727" t="inlineStr">
        <is>
          <t>991004627639702656</t>
        </is>
      </c>
      <c r="AX727" t="inlineStr">
        <is>
          <t>991004627639702656</t>
        </is>
      </c>
      <c r="AY727" t="inlineStr">
        <is>
          <t>2264551740002656</t>
        </is>
      </c>
      <c r="AZ727" t="inlineStr">
        <is>
          <t>BOOK</t>
        </is>
      </c>
      <c r="BB727" t="inlineStr">
        <is>
          <t>9780520032347</t>
        </is>
      </c>
      <c r="BC727" t="inlineStr">
        <is>
          <t>32285000482082</t>
        </is>
      </c>
      <c r="BD727" t="inlineStr">
        <is>
          <t>893687952</t>
        </is>
      </c>
    </row>
    <row r="728">
      <c r="A728" t="inlineStr">
        <is>
          <t>No</t>
        </is>
      </c>
      <c r="B728" t="inlineStr">
        <is>
          <t>E183.8.R9 S56 2000</t>
        </is>
      </c>
      <c r="C728" t="inlineStr">
        <is>
          <t>0                      E  0183800R  9                  S  56          2000</t>
        </is>
      </c>
      <c r="D728" t="inlineStr">
        <is>
          <t>Hang separately : cooperative security between the United States and Russia, 1985-1994 / by Leon V. Sigal.</t>
        </is>
      </c>
      <c r="F728" t="inlineStr">
        <is>
          <t>No</t>
        </is>
      </c>
      <c r="G728" t="inlineStr">
        <is>
          <t>1</t>
        </is>
      </c>
      <c r="H728" t="inlineStr">
        <is>
          <t>No</t>
        </is>
      </c>
      <c r="I728" t="inlineStr">
        <is>
          <t>No</t>
        </is>
      </c>
      <c r="J728" t="inlineStr">
        <is>
          <t>0</t>
        </is>
      </c>
      <c r="K728" t="inlineStr">
        <is>
          <t>Sigal, Leon V.</t>
        </is>
      </c>
      <c r="L728" t="inlineStr">
        <is>
          <t>New York : Century Foundation Press, c2000.</t>
        </is>
      </c>
      <c r="M728" t="inlineStr">
        <is>
          <t>2000</t>
        </is>
      </c>
      <c r="O728" t="inlineStr">
        <is>
          <t>eng</t>
        </is>
      </c>
      <c r="P728" t="inlineStr">
        <is>
          <t>nyu</t>
        </is>
      </c>
      <c r="R728" t="inlineStr">
        <is>
          <t xml:space="preserve">E  </t>
        </is>
      </c>
      <c r="S728" t="n">
        <v>4</v>
      </c>
      <c r="T728" t="n">
        <v>4</v>
      </c>
      <c r="U728" t="inlineStr">
        <is>
          <t>2004-11-21</t>
        </is>
      </c>
      <c r="V728" t="inlineStr">
        <is>
          <t>2004-11-21</t>
        </is>
      </c>
      <c r="W728" t="inlineStr">
        <is>
          <t>2001-04-04</t>
        </is>
      </c>
      <c r="X728" t="inlineStr">
        <is>
          <t>2001-04-04</t>
        </is>
      </c>
      <c r="Y728" t="n">
        <v>285</v>
      </c>
      <c r="Z728" t="n">
        <v>232</v>
      </c>
      <c r="AA728" t="n">
        <v>238</v>
      </c>
      <c r="AB728" t="n">
        <v>3</v>
      </c>
      <c r="AC728" t="n">
        <v>3</v>
      </c>
      <c r="AD728" t="n">
        <v>16</v>
      </c>
      <c r="AE728" t="n">
        <v>16</v>
      </c>
      <c r="AF728" t="n">
        <v>6</v>
      </c>
      <c r="AG728" t="n">
        <v>6</v>
      </c>
      <c r="AH728" t="n">
        <v>5</v>
      </c>
      <c r="AI728" t="n">
        <v>5</v>
      </c>
      <c r="AJ728" t="n">
        <v>8</v>
      </c>
      <c r="AK728" t="n">
        <v>8</v>
      </c>
      <c r="AL728" t="n">
        <v>2</v>
      </c>
      <c r="AM728" t="n">
        <v>2</v>
      </c>
      <c r="AN728" t="n">
        <v>0</v>
      </c>
      <c r="AO728" t="n">
        <v>0</v>
      </c>
      <c r="AP728" t="inlineStr">
        <is>
          <t>No</t>
        </is>
      </c>
      <c r="AQ728" t="inlineStr">
        <is>
          <t>Yes</t>
        </is>
      </c>
      <c r="AR728">
        <f>HYPERLINK("http://catalog.hathitrust.org/Record/004129215","HathiTrust Record")</f>
        <v/>
      </c>
      <c r="AS728">
        <f>HYPERLINK("https://creighton-primo.hosted.exlibrisgroup.com/primo-explore/search?tab=default_tab&amp;search_scope=EVERYTHING&amp;vid=01CRU&amp;lang=en_US&amp;offset=0&amp;query=any,contains,991003467889702656","Catalog Record")</f>
        <v/>
      </c>
      <c r="AT728">
        <f>HYPERLINK("http://www.worldcat.org/oclc/44468823","WorldCat Record")</f>
        <v/>
      </c>
      <c r="AU728" t="inlineStr">
        <is>
          <t>33964581:eng</t>
        </is>
      </c>
      <c r="AV728" t="inlineStr">
        <is>
          <t>44468823</t>
        </is>
      </c>
      <c r="AW728" t="inlineStr">
        <is>
          <t>991003467889702656</t>
        </is>
      </c>
      <c r="AX728" t="inlineStr">
        <is>
          <t>991003467889702656</t>
        </is>
      </c>
      <c r="AY728" t="inlineStr">
        <is>
          <t>2272419900002656</t>
        </is>
      </c>
      <c r="AZ728" t="inlineStr">
        <is>
          <t>BOOK</t>
        </is>
      </c>
      <c r="BB728" t="inlineStr">
        <is>
          <t>9780870784507</t>
        </is>
      </c>
      <c r="BC728" t="inlineStr">
        <is>
          <t>32285004309885</t>
        </is>
      </c>
      <c r="BD728" t="inlineStr">
        <is>
          <t>893686568</t>
        </is>
      </c>
    </row>
    <row r="729">
      <c r="A729" t="inlineStr">
        <is>
          <t>No</t>
        </is>
      </c>
      <c r="B729" t="inlineStr">
        <is>
          <t>E183.8.R9 S74</t>
        </is>
      </c>
      <c r="C729" t="inlineStr">
        <is>
          <t>0                      E  0183800R  9                  S  74</t>
        </is>
      </c>
      <c r="D729" t="inlineStr">
        <is>
          <t>The Soviet threat : myths and realities / edited by Grayson Kirk and Nils H. Wessell.</t>
        </is>
      </c>
      <c r="F729" t="inlineStr">
        <is>
          <t>No</t>
        </is>
      </c>
      <c r="G729" t="inlineStr">
        <is>
          <t>1</t>
        </is>
      </c>
      <c r="H729" t="inlineStr">
        <is>
          <t>No</t>
        </is>
      </c>
      <c r="I729" t="inlineStr">
        <is>
          <t>No</t>
        </is>
      </c>
      <c r="J729" t="inlineStr">
        <is>
          <t>0</t>
        </is>
      </c>
      <c r="L729" t="inlineStr">
        <is>
          <t>New York : Academy of Political Science, 1978.</t>
        </is>
      </c>
      <c r="M729" t="inlineStr">
        <is>
          <t>1978</t>
        </is>
      </c>
      <c r="O729" t="inlineStr">
        <is>
          <t>eng</t>
        </is>
      </c>
      <c r="P729" t="inlineStr">
        <is>
          <t>nyu</t>
        </is>
      </c>
      <c r="Q729" t="inlineStr">
        <is>
          <t>Proceedings of the Academy of Political Science ; v. 33, no. 1</t>
        </is>
      </c>
      <c r="R729" t="inlineStr">
        <is>
          <t xml:space="preserve">E  </t>
        </is>
      </c>
      <c r="S729" t="n">
        <v>3</v>
      </c>
      <c r="T729" t="n">
        <v>3</v>
      </c>
      <c r="U729" t="inlineStr">
        <is>
          <t>2005-11-11</t>
        </is>
      </c>
      <c r="V729" t="inlineStr">
        <is>
          <t>2005-11-11</t>
        </is>
      </c>
      <c r="W729" t="inlineStr">
        <is>
          <t>1997-04-09</t>
        </is>
      </c>
      <c r="X729" t="inlineStr">
        <is>
          <t>1997-04-09</t>
        </is>
      </c>
      <c r="Y729" t="n">
        <v>728</v>
      </c>
      <c r="Z729" t="n">
        <v>635</v>
      </c>
      <c r="AA729" t="n">
        <v>754</v>
      </c>
      <c r="AB729" t="n">
        <v>7</v>
      </c>
      <c r="AC729" t="n">
        <v>8</v>
      </c>
      <c r="AD729" t="n">
        <v>27</v>
      </c>
      <c r="AE729" t="n">
        <v>35</v>
      </c>
      <c r="AF729" t="n">
        <v>9</v>
      </c>
      <c r="AG729" t="n">
        <v>12</v>
      </c>
      <c r="AH729" t="n">
        <v>3</v>
      </c>
      <c r="AI729" t="n">
        <v>5</v>
      </c>
      <c r="AJ729" t="n">
        <v>12</v>
      </c>
      <c r="AK729" t="n">
        <v>14</v>
      </c>
      <c r="AL729" t="n">
        <v>6</v>
      </c>
      <c r="AM729" t="n">
        <v>6</v>
      </c>
      <c r="AN729" t="n">
        <v>1</v>
      </c>
      <c r="AO729" t="n">
        <v>5</v>
      </c>
      <c r="AP729" t="inlineStr">
        <is>
          <t>No</t>
        </is>
      </c>
      <c r="AQ729" t="inlineStr">
        <is>
          <t>Yes</t>
        </is>
      </c>
      <c r="AR729">
        <f>HYPERLINK("http://catalog.hathitrust.org/Record/000260434","HathiTrust Record")</f>
        <v/>
      </c>
      <c r="AS729">
        <f>HYPERLINK("https://creighton-primo.hosted.exlibrisgroup.com/primo-explore/search?tab=default_tab&amp;search_scope=EVERYTHING&amp;vid=01CRU&amp;lang=en_US&amp;offset=0&amp;query=any,contains,991004553259702656","Catalog Record")</f>
        <v/>
      </c>
      <c r="AT729">
        <f>HYPERLINK("http://www.worldcat.org/oclc/3953160","WorldCat Record")</f>
        <v/>
      </c>
      <c r="AU729" t="inlineStr">
        <is>
          <t>795156971:eng</t>
        </is>
      </c>
      <c r="AV729" t="inlineStr">
        <is>
          <t>3953160</t>
        </is>
      </c>
      <c r="AW729" t="inlineStr">
        <is>
          <t>991004553259702656</t>
        </is>
      </c>
      <c r="AX729" t="inlineStr">
        <is>
          <t>991004553259702656</t>
        </is>
      </c>
      <c r="AY729" t="inlineStr">
        <is>
          <t>2263196310002656</t>
        </is>
      </c>
      <c r="AZ729" t="inlineStr">
        <is>
          <t>BOOK</t>
        </is>
      </c>
      <c r="BC729" t="inlineStr">
        <is>
          <t>32285002508587</t>
        </is>
      </c>
      <c r="BD729" t="inlineStr">
        <is>
          <t>893869850</t>
        </is>
      </c>
    </row>
    <row r="730">
      <c r="A730" t="inlineStr">
        <is>
          <t>No</t>
        </is>
      </c>
      <c r="B730" t="inlineStr">
        <is>
          <t>E183.8.R9 T27 2002</t>
        </is>
      </c>
      <c r="C730" t="inlineStr">
        <is>
          <t>0                      E  0183800R  9                  T  27          2002</t>
        </is>
      </c>
      <c r="D730" t="inlineStr">
        <is>
          <t>The Russia hand : a memoir of presidential diplomacy / Strobe Talbott.</t>
        </is>
      </c>
      <c r="F730" t="inlineStr">
        <is>
          <t>No</t>
        </is>
      </c>
      <c r="G730" t="inlineStr">
        <is>
          <t>1</t>
        </is>
      </c>
      <c r="H730" t="inlineStr">
        <is>
          <t>No</t>
        </is>
      </c>
      <c r="I730" t="inlineStr">
        <is>
          <t>No</t>
        </is>
      </c>
      <c r="J730" t="inlineStr">
        <is>
          <t>0</t>
        </is>
      </c>
      <c r="K730" t="inlineStr">
        <is>
          <t>Talbott, Strobe.</t>
        </is>
      </c>
      <c r="L730" t="inlineStr">
        <is>
          <t>New York : Random House, c2002.</t>
        </is>
      </c>
      <c r="M730" t="inlineStr">
        <is>
          <t>2002</t>
        </is>
      </c>
      <c r="N730" t="inlineStr">
        <is>
          <t>1st ed.</t>
        </is>
      </c>
      <c r="O730" t="inlineStr">
        <is>
          <t>eng</t>
        </is>
      </c>
      <c r="P730" t="inlineStr">
        <is>
          <t>nyu</t>
        </is>
      </c>
      <c r="R730" t="inlineStr">
        <is>
          <t xml:space="preserve">E  </t>
        </is>
      </c>
      <c r="S730" t="n">
        <v>3</v>
      </c>
      <c r="T730" t="n">
        <v>3</v>
      </c>
      <c r="U730" t="inlineStr">
        <is>
          <t>2002-08-12</t>
        </is>
      </c>
      <c r="V730" t="inlineStr">
        <is>
          <t>2002-08-12</t>
        </is>
      </c>
      <c r="W730" t="inlineStr">
        <is>
          <t>2002-06-27</t>
        </is>
      </c>
      <c r="X730" t="inlineStr">
        <is>
          <t>2002-06-27</t>
        </is>
      </c>
      <c r="Y730" t="n">
        <v>795</v>
      </c>
      <c r="Z730" t="n">
        <v>712</v>
      </c>
      <c r="AA730" t="n">
        <v>779</v>
      </c>
      <c r="AB730" t="n">
        <v>5</v>
      </c>
      <c r="AC730" t="n">
        <v>5</v>
      </c>
      <c r="AD730" t="n">
        <v>31</v>
      </c>
      <c r="AE730" t="n">
        <v>31</v>
      </c>
      <c r="AF730" t="n">
        <v>16</v>
      </c>
      <c r="AG730" t="n">
        <v>16</v>
      </c>
      <c r="AH730" t="n">
        <v>6</v>
      </c>
      <c r="AI730" t="n">
        <v>6</v>
      </c>
      <c r="AJ730" t="n">
        <v>16</v>
      </c>
      <c r="AK730" t="n">
        <v>16</v>
      </c>
      <c r="AL730" t="n">
        <v>4</v>
      </c>
      <c r="AM730" t="n">
        <v>4</v>
      </c>
      <c r="AN730" t="n">
        <v>0</v>
      </c>
      <c r="AO730" t="n">
        <v>0</v>
      </c>
      <c r="AP730" t="inlineStr">
        <is>
          <t>No</t>
        </is>
      </c>
      <c r="AQ730" t="inlineStr">
        <is>
          <t>Yes</t>
        </is>
      </c>
      <c r="AR730">
        <f>HYPERLINK("http://catalog.hathitrust.org/Record/004250419","HathiTrust Record")</f>
        <v/>
      </c>
      <c r="AS730">
        <f>HYPERLINK("https://creighton-primo.hosted.exlibrisgroup.com/primo-explore/search?tab=default_tab&amp;search_scope=EVERYTHING&amp;vid=01CRU&amp;lang=en_US&amp;offset=0&amp;query=any,contains,991003819899702656","Catalog Record")</f>
        <v/>
      </c>
      <c r="AT730">
        <f>HYPERLINK("http://www.worldcat.org/oclc/48474282","WorldCat Record")</f>
        <v/>
      </c>
      <c r="AU730" t="inlineStr">
        <is>
          <t>706492:eng</t>
        </is>
      </c>
      <c r="AV730" t="inlineStr">
        <is>
          <t>48474282</t>
        </is>
      </c>
      <c r="AW730" t="inlineStr">
        <is>
          <t>991003819899702656</t>
        </is>
      </c>
      <c r="AX730" t="inlineStr">
        <is>
          <t>991003819899702656</t>
        </is>
      </c>
      <c r="AY730" t="inlineStr">
        <is>
          <t>2269327010002656</t>
        </is>
      </c>
      <c r="AZ730" t="inlineStr">
        <is>
          <t>BOOK</t>
        </is>
      </c>
      <c r="BB730" t="inlineStr">
        <is>
          <t>9780375507144</t>
        </is>
      </c>
      <c r="BC730" t="inlineStr">
        <is>
          <t>32285004495981</t>
        </is>
      </c>
      <c r="BD730" t="inlineStr">
        <is>
          <t>893234632</t>
        </is>
      </c>
    </row>
    <row r="731">
      <c r="A731" t="inlineStr">
        <is>
          <t>No</t>
        </is>
      </c>
      <c r="B731" t="inlineStr">
        <is>
          <t>E183.8.R9 U4 1971</t>
        </is>
      </c>
      <c r="C731" t="inlineStr">
        <is>
          <t>0                      E  0183800R  9                  U  4           1971</t>
        </is>
      </c>
      <c r="D731" t="inlineStr">
        <is>
          <t>The rivals : America and Russia since World War II / [by] Adam B. Ulam.</t>
        </is>
      </c>
      <c r="F731" t="inlineStr">
        <is>
          <t>No</t>
        </is>
      </c>
      <c r="G731" t="inlineStr">
        <is>
          <t>1</t>
        </is>
      </c>
      <c r="H731" t="inlineStr">
        <is>
          <t>No</t>
        </is>
      </c>
      <c r="I731" t="inlineStr">
        <is>
          <t>No</t>
        </is>
      </c>
      <c r="J731" t="inlineStr">
        <is>
          <t>0</t>
        </is>
      </c>
      <c r="K731" t="inlineStr">
        <is>
          <t>Ulam, Adam B., 1922-2000.</t>
        </is>
      </c>
      <c r="L731" t="inlineStr">
        <is>
          <t>New York : Viking Press, [1971]</t>
        </is>
      </c>
      <c r="M731" t="inlineStr">
        <is>
          <t>1971</t>
        </is>
      </c>
      <c r="O731" t="inlineStr">
        <is>
          <t>eng</t>
        </is>
      </c>
      <c r="P731" t="inlineStr">
        <is>
          <t>nyu</t>
        </is>
      </c>
      <c r="R731" t="inlineStr">
        <is>
          <t xml:space="preserve">E  </t>
        </is>
      </c>
      <c r="S731" t="n">
        <v>5</v>
      </c>
      <c r="T731" t="n">
        <v>5</v>
      </c>
      <c r="U731" t="inlineStr">
        <is>
          <t>1996-10-01</t>
        </is>
      </c>
      <c r="V731" t="inlineStr">
        <is>
          <t>1996-10-01</t>
        </is>
      </c>
      <c r="W731" t="inlineStr">
        <is>
          <t>1990-03-28</t>
        </is>
      </c>
      <c r="X731" t="inlineStr">
        <is>
          <t>1990-03-28</t>
        </is>
      </c>
      <c r="Y731" t="n">
        <v>1094</v>
      </c>
      <c r="Z731" t="n">
        <v>976</v>
      </c>
      <c r="AA731" t="n">
        <v>1148</v>
      </c>
      <c r="AB731" t="n">
        <v>7</v>
      </c>
      <c r="AC731" t="n">
        <v>9</v>
      </c>
      <c r="AD731" t="n">
        <v>40</v>
      </c>
      <c r="AE731" t="n">
        <v>45</v>
      </c>
      <c r="AF731" t="n">
        <v>16</v>
      </c>
      <c r="AG731" t="n">
        <v>17</v>
      </c>
      <c r="AH731" t="n">
        <v>9</v>
      </c>
      <c r="AI731" t="n">
        <v>9</v>
      </c>
      <c r="AJ731" t="n">
        <v>21</v>
      </c>
      <c r="AK731" t="n">
        <v>22</v>
      </c>
      <c r="AL731" t="n">
        <v>5</v>
      </c>
      <c r="AM731" t="n">
        <v>7</v>
      </c>
      <c r="AN731" t="n">
        <v>1</v>
      </c>
      <c r="AO731" t="n">
        <v>2</v>
      </c>
      <c r="AP731" t="inlineStr">
        <is>
          <t>No</t>
        </is>
      </c>
      <c r="AQ731" t="inlineStr">
        <is>
          <t>Yes</t>
        </is>
      </c>
      <c r="AR731">
        <f>HYPERLINK("http://catalog.hathitrust.org/Record/000335656","HathiTrust Record")</f>
        <v/>
      </c>
      <c r="AS731">
        <f>HYPERLINK("https://creighton-primo.hosted.exlibrisgroup.com/primo-explore/search?tab=default_tab&amp;search_scope=EVERYTHING&amp;vid=01CRU&amp;lang=en_US&amp;offset=0&amp;query=any,contains,991001241599702656","Catalog Record")</f>
        <v/>
      </c>
      <c r="AT731">
        <f>HYPERLINK("http://www.worldcat.org/oclc/207855","WorldCat Record")</f>
        <v/>
      </c>
      <c r="AU731" t="inlineStr">
        <is>
          <t>1274665:eng</t>
        </is>
      </c>
      <c r="AV731" t="inlineStr">
        <is>
          <t>207855</t>
        </is>
      </c>
      <c r="AW731" t="inlineStr">
        <is>
          <t>991001241599702656</t>
        </is>
      </c>
      <c r="AX731" t="inlineStr">
        <is>
          <t>991001241599702656</t>
        </is>
      </c>
      <c r="AY731" t="inlineStr">
        <is>
          <t>2266981120002656</t>
        </is>
      </c>
      <c r="AZ731" t="inlineStr">
        <is>
          <t>BOOK</t>
        </is>
      </c>
      <c r="BB731" t="inlineStr">
        <is>
          <t>9780670599592</t>
        </is>
      </c>
      <c r="BC731" t="inlineStr">
        <is>
          <t>32285000099449</t>
        </is>
      </c>
      <c r="BD731" t="inlineStr">
        <is>
          <t>893621196</t>
        </is>
      </c>
    </row>
    <row r="732">
      <c r="A732" t="inlineStr">
        <is>
          <t>No</t>
        </is>
      </c>
      <c r="B732" t="inlineStr">
        <is>
          <t>E183.8.S18 D48 1981</t>
        </is>
      </c>
      <c r="C732" t="inlineStr">
        <is>
          <t>0                      E  0183800S  18                 D  48          1981</t>
        </is>
      </c>
      <c r="D732" t="inlineStr">
        <is>
          <t>El Salvador, embassy under attack / by Frank J. Devine.</t>
        </is>
      </c>
      <c r="F732" t="inlineStr">
        <is>
          <t>No</t>
        </is>
      </c>
      <c r="G732" t="inlineStr">
        <is>
          <t>1</t>
        </is>
      </c>
      <c r="H732" t="inlineStr">
        <is>
          <t>No</t>
        </is>
      </c>
      <c r="I732" t="inlineStr">
        <is>
          <t>No</t>
        </is>
      </c>
      <c r="J732" t="inlineStr">
        <is>
          <t>0</t>
        </is>
      </c>
      <c r="K732" t="inlineStr">
        <is>
          <t>Devine, Frank, 1922-</t>
        </is>
      </c>
      <c r="L732" t="inlineStr">
        <is>
          <t>New York : Vantage Press, c1981.</t>
        </is>
      </c>
      <c r="M732" t="inlineStr">
        <is>
          <t>1981</t>
        </is>
      </c>
      <c r="N732" t="inlineStr">
        <is>
          <t>1st ed.</t>
        </is>
      </c>
      <c r="O732" t="inlineStr">
        <is>
          <t>eng</t>
        </is>
      </c>
      <c r="P732" t="inlineStr">
        <is>
          <t>nyu</t>
        </is>
      </c>
      <c r="R732" t="inlineStr">
        <is>
          <t xml:space="preserve">E  </t>
        </is>
      </c>
      <c r="S732" t="n">
        <v>2</v>
      </c>
      <c r="T732" t="n">
        <v>2</v>
      </c>
      <c r="U732" t="inlineStr">
        <is>
          <t>2003-06-17</t>
        </is>
      </c>
      <c r="V732" t="inlineStr">
        <is>
          <t>2003-06-17</t>
        </is>
      </c>
      <c r="W732" t="inlineStr">
        <is>
          <t>1991-02-06</t>
        </is>
      </c>
      <c r="X732" t="inlineStr">
        <is>
          <t>1991-02-06</t>
        </is>
      </c>
      <c r="Y732" t="n">
        <v>179</v>
      </c>
      <c r="Z732" t="n">
        <v>153</v>
      </c>
      <c r="AA732" t="n">
        <v>155</v>
      </c>
      <c r="AB732" t="n">
        <v>2</v>
      </c>
      <c r="AC732" t="n">
        <v>2</v>
      </c>
      <c r="AD732" t="n">
        <v>12</v>
      </c>
      <c r="AE732" t="n">
        <v>12</v>
      </c>
      <c r="AF732" t="n">
        <v>4</v>
      </c>
      <c r="AG732" t="n">
        <v>4</v>
      </c>
      <c r="AH732" t="n">
        <v>3</v>
      </c>
      <c r="AI732" t="n">
        <v>3</v>
      </c>
      <c r="AJ732" t="n">
        <v>10</v>
      </c>
      <c r="AK732" t="n">
        <v>10</v>
      </c>
      <c r="AL732" t="n">
        <v>1</v>
      </c>
      <c r="AM732" t="n">
        <v>1</v>
      </c>
      <c r="AN732" t="n">
        <v>0</v>
      </c>
      <c r="AO732" t="n">
        <v>0</v>
      </c>
      <c r="AP732" t="inlineStr">
        <is>
          <t>No</t>
        </is>
      </c>
      <c r="AQ732" t="inlineStr">
        <is>
          <t>Yes</t>
        </is>
      </c>
      <c r="AR732">
        <f>HYPERLINK("http://catalog.hathitrust.org/Record/101178205","HathiTrust Record")</f>
        <v/>
      </c>
      <c r="AS732">
        <f>HYPERLINK("https://creighton-primo.hosted.exlibrisgroup.com/primo-explore/search?tab=default_tab&amp;search_scope=EVERYTHING&amp;vid=01CRU&amp;lang=en_US&amp;offset=0&amp;query=any,contains,991005246719702656","Catalog Record")</f>
        <v/>
      </c>
      <c r="AT732">
        <f>HYPERLINK("http://www.worldcat.org/oclc/8473534","WorldCat Record")</f>
        <v/>
      </c>
      <c r="AU732" t="inlineStr">
        <is>
          <t>351933676:eng</t>
        </is>
      </c>
      <c r="AV732" t="inlineStr">
        <is>
          <t>8473534</t>
        </is>
      </c>
      <c r="AW732" t="inlineStr">
        <is>
          <t>991005246719702656</t>
        </is>
      </c>
      <c r="AX732" t="inlineStr">
        <is>
          <t>991005246719702656</t>
        </is>
      </c>
      <c r="AY732" t="inlineStr">
        <is>
          <t>2259419950002656</t>
        </is>
      </c>
      <c r="AZ732" t="inlineStr">
        <is>
          <t>BOOK</t>
        </is>
      </c>
      <c r="BB732" t="inlineStr">
        <is>
          <t>9780533050000</t>
        </is>
      </c>
      <c r="BC732" t="inlineStr">
        <is>
          <t>32285000482124</t>
        </is>
      </c>
      <c r="BD732" t="inlineStr">
        <is>
          <t>893896133</t>
        </is>
      </c>
    </row>
    <row r="733">
      <c r="A733" t="inlineStr">
        <is>
          <t>No</t>
        </is>
      </c>
      <c r="B733" t="inlineStr">
        <is>
          <t>E183.8.S25 L57 2004</t>
        </is>
      </c>
      <c r="C733" t="inlineStr">
        <is>
          <t>0                      E  0183800S  25                 L  57          2004</t>
        </is>
      </c>
      <c r="D733" t="inlineStr">
        <is>
          <t>Inside the mirage : America's fragile partnership with Saudi Arabia / Thomas W. Lippman.</t>
        </is>
      </c>
      <c r="F733" t="inlineStr">
        <is>
          <t>No</t>
        </is>
      </c>
      <c r="G733" t="inlineStr">
        <is>
          <t>1</t>
        </is>
      </c>
      <c r="H733" t="inlineStr">
        <is>
          <t>No</t>
        </is>
      </c>
      <c r="I733" t="inlineStr">
        <is>
          <t>No</t>
        </is>
      </c>
      <c r="J733" t="inlineStr">
        <is>
          <t>0</t>
        </is>
      </c>
      <c r="K733" t="inlineStr">
        <is>
          <t>Lippman, Thomas W.</t>
        </is>
      </c>
      <c r="L733" t="inlineStr">
        <is>
          <t>Boulder, Colo. : Westview Press, c2004.</t>
        </is>
      </c>
      <c r="M733" t="inlineStr">
        <is>
          <t>2004</t>
        </is>
      </c>
      <c r="O733" t="inlineStr">
        <is>
          <t>eng</t>
        </is>
      </c>
      <c r="P733" t="inlineStr">
        <is>
          <t>cou</t>
        </is>
      </c>
      <c r="R733" t="inlineStr">
        <is>
          <t xml:space="preserve">E  </t>
        </is>
      </c>
      <c r="S733" t="n">
        <v>1</v>
      </c>
      <c r="T733" t="n">
        <v>1</v>
      </c>
      <c r="U733" t="inlineStr">
        <is>
          <t>2004-03-22</t>
        </is>
      </c>
      <c r="V733" t="inlineStr">
        <is>
          <t>2004-03-22</t>
        </is>
      </c>
      <c r="W733" t="inlineStr">
        <is>
          <t>2004-03-22</t>
        </is>
      </c>
      <c r="X733" t="inlineStr">
        <is>
          <t>2004-03-22</t>
        </is>
      </c>
      <c r="Y733" t="n">
        <v>848</v>
      </c>
      <c r="Z733" t="n">
        <v>779</v>
      </c>
      <c r="AA733" t="n">
        <v>1421</v>
      </c>
      <c r="AB733" t="n">
        <v>7</v>
      </c>
      <c r="AC733" t="n">
        <v>32</v>
      </c>
      <c r="AD733" t="n">
        <v>30</v>
      </c>
      <c r="AE733" t="n">
        <v>46</v>
      </c>
      <c r="AF733" t="n">
        <v>12</v>
      </c>
      <c r="AG733" t="n">
        <v>16</v>
      </c>
      <c r="AH733" t="n">
        <v>7</v>
      </c>
      <c r="AI733" t="n">
        <v>9</v>
      </c>
      <c r="AJ733" t="n">
        <v>13</v>
      </c>
      <c r="AK733" t="n">
        <v>17</v>
      </c>
      <c r="AL733" t="n">
        <v>5</v>
      </c>
      <c r="AM733" t="n">
        <v>14</v>
      </c>
      <c r="AN733" t="n">
        <v>0</v>
      </c>
      <c r="AO733" t="n">
        <v>0</v>
      </c>
      <c r="AP733" t="inlineStr">
        <is>
          <t>No</t>
        </is>
      </c>
      <c r="AQ733" t="inlineStr">
        <is>
          <t>Yes</t>
        </is>
      </c>
      <c r="AR733">
        <f>HYPERLINK("http://catalog.hathitrust.org/Record/004358265","HathiTrust Record")</f>
        <v/>
      </c>
      <c r="AS733">
        <f>HYPERLINK("https://creighton-primo.hosted.exlibrisgroup.com/primo-explore/search?tab=default_tab&amp;search_scope=EVERYTHING&amp;vid=01CRU&amp;lang=en_US&amp;offset=0&amp;query=any,contains,991004254739702656","Catalog Record")</f>
        <v/>
      </c>
      <c r="AT733">
        <f>HYPERLINK("http://www.worldcat.org/oclc/52799830","WorldCat Record")</f>
        <v/>
      </c>
      <c r="AU733" t="inlineStr">
        <is>
          <t>706990:eng</t>
        </is>
      </c>
      <c r="AV733" t="inlineStr">
        <is>
          <t>52799830</t>
        </is>
      </c>
      <c r="AW733" t="inlineStr">
        <is>
          <t>991004254739702656</t>
        </is>
      </c>
      <c r="AX733" t="inlineStr">
        <is>
          <t>991004254739702656</t>
        </is>
      </c>
      <c r="AY733" t="inlineStr">
        <is>
          <t>2259701770002656</t>
        </is>
      </c>
      <c r="AZ733" t="inlineStr">
        <is>
          <t>BOOK</t>
        </is>
      </c>
      <c r="BB733" t="inlineStr">
        <is>
          <t>9780813340524</t>
        </is>
      </c>
      <c r="BC733" t="inlineStr">
        <is>
          <t>32285004895776</t>
        </is>
      </c>
      <c r="BD733" t="inlineStr">
        <is>
          <t>893229123</t>
        </is>
      </c>
    </row>
    <row r="734">
      <c r="A734" t="inlineStr">
        <is>
          <t>No</t>
        </is>
      </c>
      <c r="B734" t="inlineStr">
        <is>
          <t>E183.8.S25 M54 2002</t>
        </is>
      </c>
      <c r="C734" t="inlineStr">
        <is>
          <t>0                      E  0183800S  25                 M  54          2002</t>
        </is>
      </c>
      <c r="D734" t="inlineStr">
        <is>
          <t>American alliance policy in the Middle East, 1945-1992 : Iran, Israel, and Saudi Arabia / John P. Miglietta.</t>
        </is>
      </c>
      <c r="F734" t="inlineStr">
        <is>
          <t>No</t>
        </is>
      </c>
      <c r="G734" t="inlineStr">
        <is>
          <t>1</t>
        </is>
      </c>
      <c r="H734" t="inlineStr">
        <is>
          <t>No</t>
        </is>
      </c>
      <c r="I734" t="inlineStr">
        <is>
          <t>No</t>
        </is>
      </c>
      <c r="J734" t="inlineStr">
        <is>
          <t>0</t>
        </is>
      </c>
      <c r="K734" t="inlineStr">
        <is>
          <t>Miglietta, John P., 1962-</t>
        </is>
      </c>
      <c r="L734" t="inlineStr">
        <is>
          <t>Lanham, Md. : Lexington Books, c2002.</t>
        </is>
      </c>
      <c r="M734" t="inlineStr">
        <is>
          <t>2002</t>
        </is>
      </c>
      <c r="O734" t="inlineStr">
        <is>
          <t>eng</t>
        </is>
      </c>
      <c r="P734" t="inlineStr">
        <is>
          <t>mdu</t>
        </is>
      </c>
      <c r="R734" t="inlineStr">
        <is>
          <t xml:space="preserve">E  </t>
        </is>
      </c>
      <c r="S734" t="n">
        <v>3</v>
      </c>
      <c r="T734" t="n">
        <v>3</v>
      </c>
      <c r="U734" t="inlineStr">
        <is>
          <t>2003-04-01</t>
        </is>
      </c>
      <c r="V734" t="inlineStr">
        <is>
          <t>2003-04-01</t>
        </is>
      </c>
      <c r="W734" t="inlineStr">
        <is>
          <t>2003-04-01</t>
        </is>
      </c>
      <c r="X734" t="inlineStr">
        <is>
          <t>2003-04-01</t>
        </is>
      </c>
      <c r="Y734" t="n">
        <v>273</v>
      </c>
      <c r="Z734" t="n">
        <v>231</v>
      </c>
      <c r="AA734" t="n">
        <v>240</v>
      </c>
      <c r="AB734" t="n">
        <v>3</v>
      </c>
      <c r="AC734" t="n">
        <v>3</v>
      </c>
      <c r="AD734" t="n">
        <v>14</v>
      </c>
      <c r="AE734" t="n">
        <v>14</v>
      </c>
      <c r="AF734" t="n">
        <v>5</v>
      </c>
      <c r="AG734" t="n">
        <v>5</v>
      </c>
      <c r="AH734" t="n">
        <v>4</v>
      </c>
      <c r="AI734" t="n">
        <v>4</v>
      </c>
      <c r="AJ734" t="n">
        <v>7</v>
      </c>
      <c r="AK734" t="n">
        <v>7</v>
      </c>
      <c r="AL734" t="n">
        <v>2</v>
      </c>
      <c r="AM734" t="n">
        <v>2</v>
      </c>
      <c r="AN734" t="n">
        <v>0</v>
      </c>
      <c r="AO734" t="n">
        <v>0</v>
      </c>
      <c r="AP734" t="inlineStr">
        <is>
          <t>No</t>
        </is>
      </c>
      <c r="AQ734" t="inlineStr">
        <is>
          <t>No</t>
        </is>
      </c>
      <c r="AS734">
        <f>HYPERLINK("https://creighton-primo.hosted.exlibrisgroup.com/primo-explore/search?tab=default_tab&amp;search_scope=EVERYTHING&amp;vid=01CRU&amp;lang=en_US&amp;offset=0&amp;query=any,contains,991003991869702656","Catalog Record")</f>
        <v/>
      </c>
      <c r="AT734">
        <f>HYPERLINK("http://www.worldcat.org/oclc/47739716","WorldCat Record")</f>
        <v/>
      </c>
      <c r="AU734" t="inlineStr">
        <is>
          <t>2715363:eng</t>
        </is>
      </c>
      <c r="AV734" t="inlineStr">
        <is>
          <t>47739716</t>
        </is>
      </c>
      <c r="AW734" t="inlineStr">
        <is>
          <t>991003991869702656</t>
        </is>
      </c>
      <c r="AX734" t="inlineStr">
        <is>
          <t>991003991869702656</t>
        </is>
      </c>
      <c r="AY734" t="inlineStr">
        <is>
          <t>2265801290002656</t>
        </is>
      </c>
      <c r="AZ734" t="inlineStr">
        <is>
          <t>BOOK</t>
        </is>
      </c>
      <c r="BB734" t="inlineStr">
        <is>
          <t>9780739103043</t>
        </is>
      </c>
      <c r="BC734" t="inlineStr">
        <is>
          <t>32285004688783</t>
        </is>
      </c>
      <c r="BD734" t="inlineStr">
        <is>
          <t>893618085</t>
        </is>
      </c>
    </row>
    <row r="735">
      <c r="A735" t="inlineStr">
        <is>
          <t>No</t>
        </is>
      </c>
      <c r="B735" t="inlineStr">
        <is>
          <t>E183.8.S6 A43</t>
        </is>
      </c>
      <c r="C735" t="inlineStr">
        <is>
          <t>0                      E  0183800S  6                  A  43</t>
        </is>
      </c>
      <c r="D735" t="inlineStr">
        <is>
          <t>The American people and South Africa : publics, elites, and policymaking processes / edited by Alfred O. Hero, John Barratt (World Peace Foundation).</t>
        </is>
      </c>
      <c r="F735" t="inlineStr">
        <is>
          <t>No</t>
        </is>
      </c>
      <c r="G735" t="inlineStr">
        <is>
          <t>1</t>
        </is>
      </c>
      <c r="H735" t="inlineStr">
        <is>
          <t>No</t>
        </is>
      </c>
      <c r="I735" t="inlineStr">
        <is>
          <t>No</t>
        </is>
      </c>
      <c r="J735" t="inlineStr">
        <is>
          <t>0</t>
        </is>
      </c>
      <c r="L735" t="inlineStr">
        <is>
          <t>Lexington, Mass. : Lexington Books, 1981.</t>
        </is>
      </c>
      <c r="M735" t="inlineStr">
        <is>
          <t>1981</t>
        </is>
      </c>
      <c r="O735" t="inlineStr">
        <is>
          <t>eng</t>
        </is>
      </c>
      <c r="P735" t="inlineStr">
        <is>
          <t>mau</t>
        </is>
      </c>
      <c r="R735" t="inlineStr">
        <is>
          <t xml:space="preserve">E  </t>
        </is>
      </c>
      <c r="S735" t="n">
        <v>4</v>
      </c>
      <c r="T735" t="n">
        <v>4</v>
      </c>
      <c r="U735" t="inlineStr">
        <is>
          <t>2003-10-12</t>
        </is>
      </c>
      <c r="V735" t="inlineStr">
        <is>
          <t>2003-10-12</t>
        </is>
      </c>
      <c r="W735" t="inlineStr">
        <is>
          <t>1991-02-06</t>
        </is>
      </c>
      <c r="X735" t="inlineStr">
        <is>
          <t>1991-02-06</t>
        </is>
      </c>
      <c r="Y735" t="n">
        <v>388</v>
      </c>
      <c r="Z735" t="n">
        <v>293</v>
      </c>
      <c r="AA735" t="n">
        <v>295</v>
      </c>
      <c r="AB735" t="n">
        <v>3</v>
      </c>
      <c r="AC735" t="n">
        <v>3</v>
      </c>
      <c r="AD735" t="n">
        <v>9</v>
      </c>
      <c r="AE735" t="n">
        <v>9</v>
      </c>
      <c r="AF735" t="n">
        <v>3</v>
      </c>
      <c r="AG735" t="n">
        <v>3</v>
      </c>
      <c r="AH735" t="n">
        <v>1</v>
      </c>
      <c r="AI735" t="n">
        <v>1</v>
      </c>
      <c r="AJ735" t="n">
        <v>5</v>
      </c>
      <c r="AK735" t="n">
        <v>5</v>
      </c>
      <c r="AL735" t="n">
        <v>2</v>
      </c>
      <c r="AM735" t="n">
        <v>2</v>
      </c>
      <c r="AN735" t="n">
        <v>0</v>
      </c>
      <c r="AO735" t="n">
        <v>0</v>
      </c>
      <c r="AP735" t="inlineStr">
        <is>
          <t>No</t>
        </is>
      </c>
      <c r="AQ735" t="inlineStr">
        <is>
          <t>Yes</t>
        </is>
      </c>
      <c r="AR735">
        <f>HYPERLINK("http://catalog.hathitrust.org/Record/000141037","HathiTrust Record")</f>
        <v/>
      </c>
      <c r="AS735">
        <f>HYPERLINK("https://creighton-primo.hosted.exlibrisgroup.com/primo-explore/search?tab=default_tab&amp;search_scope=EVERYTHING&amp;vid=01CRU&amp;lang=en_US&amp;offset=0&amp;query=any,contains,991005146509702656","Catalog Record")</f>
        <v/>
      </c>
      <c r="AT735">
        <f>HYPERLINK("http://www.worldcat.org/oclc/7671662","WorldCat Record")</f>
        <v/>
      </c>
      <c r="AU735" t="inlineStr">
        <is>
          <t>836675691:eng</t>
        </is>
      </c>
      <c r="AV735" t="inlineStr">
        <is>
          <t>7671662</t>
        </is>
      </c>
      <c r="AW735" t="inlineStr">
        <is>
          <t>991005146509702656</t>
        </is>
      </c>
      <c r="AX735" t="inlineStr">
        <is>
          <t>991005146509702656</t>
        </is>
      </c>
      <c r="AY735" t="inlineStr">
        <is>
          <t>2272730810002656</t>
        </is>
      </c>
      <c r="AZ735" t="inlineStr">
        <is>
          <t>BOOK</t>
        </is>
      </c>
      <c r="BB735" t="inlineStr">
        <is>
          <t>9780669043204</t>
        </is>
      </c>
      <c r="BC735" t="inlineStr">
        <is>
          <t>32285000482157</t>
        </is>
      </c>
      <c r="BD735" t="inlineStr">
        <is>
          <t>893242283</t>
        </is>
      </c>
    </row>
    <row r="736">
      <c r="A736" t="inlineStr">
        <is>
          <t>No</t>
        </is>
      </c>
      <c r="B736" t="inlineStr">
        <is>
          <t>E183.8.S6 B57 1982</t>
        </is>
      </c>
      <c r="C736" t="inlineStr">
        <is>
          <t>0                      E  0183800S  6                  B  57          1982</t>
        </is>
      </c>
      <c r="D736" t="inlineStr">
        <is>
          <t>South Africa and the United States : the erosion of an influence relationship / Richard E. Bissell.</t>
        </is>
      </c>
      <c r="F736" t="inlineStr">
        <is>
          <t>No</t>
        </is>
      </c>
      <c r="G736" t="inlineStr">
        <is>
          <t>1</t>
        </is>
      </c>
      <c r="H736" t="inlineStr">
        <is>
          <t>No</t>
        </is>
      </c>
      <c r="I736" t="inlineStr">
        <is>
          <t>No</t>
        </is>
      </c>
      <c r="J736" t="inlineStr">
        <is>
          <t>0</t>
        </is>
      </c>
      <c r="K736" t="inlineStr">
        <is>
          <t>Bissell, Richard E.</t>
        </is>
      </c>
      <c r="L736" t="inlineStr">
        <is>
          <t>New York, N.Y. : Praeger, 1982.</t>
        </is>
      </c>
      <c r="M736" t="inlineStr">
        <is>
          <t>1982</t>
        </is>
      </c>
      <c r="O736" t="inlineStr">
        <is>
          <t>eng</t>
        </is>
      </c>
      <c r="P736" t="inlineStr">
        <is>
          <t>nyu</t>
        </is>
      </c>
      <c r="Q736" t="inlineStr">
        <is>
          <t>Studies of influence in international relations</t>
        </is>
      </c>
      <c r="R736" t="inlineStr">
        <is>
          <t xml:space="preserve">E  </t>
        </is>
      </c>
      <c r="S736" t="n">
        <v>5</v>
      </c>
      <c r="T736" t="n">
        <v>5</v>
      </c>
      <c r="U736" t="inlineStr">
        <is>
          <t>2003-04-03</t>
        </is>
      </c>
      <c r="V736" t="inlineStr">
        <is>
          <t>2003-04-03</t>
        </is>
      </c>
      <c r="W736" t="inlineStr">
        <is>
          <t>1991-02-06</t>
        </is>
      </c>
      <c r="X736" t="inlineStr">
        <is>
          <t>1991-02-06</t>
        </is>
      </c>
      <c r="Y736" t="n">
        <v>515</v>
      </c>
      <c r="Z736" t="n">
        <v>404</v>
      </c>
      <c r="AA736" t="n">
        <v>411</v>
      </c>
      <c r="AB736" t="n">
        <v>3</v>
      </c>
      <c r="AC736" t="n">
        <v>3</v>
      </c>
      <c r="AD736" t="n">
        <v>17</v>
      </c>
      <c r="AE736" t="n">
        <v>17</v>
      </c>
      <c r="AF736" t="n">
        <v>6</v>
      </c>
      <c r="AG736" t="n">
        <v>6</v>
      </c>
      <c r="AH736" t="n">
        <v>5</v>
      </c>
      <c r="AI736" t="n">
        <v>5</v>
      </c>
      <c r="AJ736" t="n">
        <v>9</v>
      </c>
      <c r="AK736" t="n">
        <v>9</v>
      </c>
      <c r="AL736" t="n">
        <v>2</v>
      </c>
      <c r="AM736" t="n">
        <v>2</v>
      </c>
      <c r="AN736" t="n">
        <v>0</v>
      </c>
      <c r="AO736" t="n">
        <v>0</v>
      </c>
      <c r="AP736" t="inlineStr">
        <is>
          <t>No</t>
        </is>
      </c>
      <c r="AQ736" t="inlineStr">
        <is>
          <t>Yes</t>
        </is>
      </c>
      <c r="AR736">
        <f>HYPERLINK("http://catalog.hathitrust.org/Record/000307322","HathiTrust Record")</f>
        <v/>
      </c>
      <c r="AS736">
        <f>HYPERLINK("https://creighton-primo.hosted.exlibrisgroup.com/primo-explore/search?tab=default_tab&amp;search_scope=EVERYTHING&amp;vid=01CRU&amp;lang=en_US&amp;offset=0&amp;query=any,contains,991005196899702656","Catalog Record")</f>
        <v/>
      </c>
      <c r="AT736">
        <f>HYPERLINK("http://www.worldcat.org/oclc/8051202","WorldCat Record")</f>
        <v/>
      </c>
      <c r="AU736" t="inlineStr">
        <is>
          <t>292554165:eng</t>
        </is>
      </c>
      <c r="AV736" t="inlineStr">
        <is>
          <t>8051202</t>
        </is>
      </c>
      <c r="AW736" t="inlineStr">
        <is>
          <t>991005196899702656</t>
        </is>
      </c>
      <c r="AX736" t="inlineStr">
        <is>
          <t>991005196899702656</t>
        </is>
      </c>
      <c r="AY736" t="inlineStr">
        <is>
          <t>2258998500002656</t>
        </is>
      </c>
      <c r="AZ736" t="inlineStr">
        <is>
          <t>BOOK</t>
        </is>
      </c>
      <c r="BB736" t="inlineStr">
        <is>
          <t>9780030470219</t>
        </is>
      </c>
      <c r="BC736" t="inlineStr">
        <is>
          <t>32285000482165</t>
        </is>
      </c>
      <c r="BD736" t="inlineStr">
        <is>
          <t>893719960</t>
        </is>
      </c>
    </row>
    <row r="737">
      <c r="A737" t="inlineStr">
        <is>
          <t>No</t>
        </is>
      </c>
      <c r="B737" t="inlineStr">
        <is>
          <t>E183.8.S6 C65 1986</t>
        </is>
      </c>
      <c r="C737" t="inlineStr">
        <is>
          <t>0                      E  0183800S  6                  C  65          1986</t>
        </is>
      </c>
      <c r="D737" t="inlineStr">
        <is>
          <t>The United States and South Africa, 1968-1985 : constructive engagement and its critics / Christopher Coker.</t>
        </is>
      </c>
      <c r="F737" t="inlineStr">
        <is>
          <t>No</t>
        </is>
      </c>
      <c r="G737" t="inlineStr">
        <is>
          <t>1</t>
        </is>
      </c>
      <c r="H737" t="inlineStr">
        <is>
          <t>No</t>
        </is>
      </c>
      <c r="I737" t="inlineStr">
        <is>
          <t>No</t>
        </is>
      </c>
      <c r="J737" t="inlineStr">
        <is>
          <t>0</t>
        </is>
      </c>
      <c r="K737" t="inlineStr">
        <is>
          <t>Coker, Christopher.</t>
        </is>
      </c>
      <c r="L737" t="inlineStr">
        <is>
          <t>Durham, N.C. : Duke University Press, 1986.</t>
        </is>
      </c>
      <c r="M737" t="inlineStr">
        <is>
          <t>1986</t>
        </is>
      </c>
      <c r="O737" t="inlineStr">
        <is>
          <t>eng</t>
        </is>
      </c>
      <c r="P737" t="inlineStr">
        <is>
          <t>ncu</t>
        </is>
      </c>
      <c r="R737" t="inlineStr">
        <is>
          <t xml:space="preserve">E  </t>
        </is>
      </c>
      <c r="S737" t="n">
        <v>3</v>
      </c>
      <c r="T737" t="n">
        <v>3</v>
      </c>
      <c r="U737" t="inlineStr">
        <is>
          <t>2003-04-03</t>
        </is>
      </c>
      <c r="V737" t="inlineStr">
        <is>
          <t>2003-04-03</t>
        </is>
      </c>
      <c r="W737" t="inlineStr">
        <is>
          <t>1991-02-06</t>
        </is>
      </c>
      <c r="X737" t="inlineStr">
        <is>
          <t>1991-02-06</t>
        </is>
      </c>
      <c r="Y737" t="n">
        <v>503</v>
      </c>
      <c r="Z737" t="n">
        <v>408</v>
      </c>
      <c r="AA737" t="n">
        <v>415</v>
      </c>
      <c r="AB737" t="n">
        <v>3</v>
      </c>
      <c r="AC737" t="n">
        <v>3</v>
      </c>
      <c r="AD737" t="n">
        <v>17</v>
      </c>
      <c r="AE737" t="n">
        <v>17</v>
      </c>
      <c r="AF737" t="n">
        <v>4</v>
      </c>
      <c r="AG737" t="n">
        <v>4</v>
      </c>
      <c r="AH737" t="n">
        <v>6</v>
      </c>
      <c r="AI737" t="n">
        <v>6</v>
      </c>
      <c r="AJ737" t="n">
        <v>8</v>
      </c>
      <c r="AK737" t="n">
        <v>8</v>
      </c>
      <c r="AL737" t="n">
        <v>2</v>
      </c>
      <c r="AM737" t="n">
        <v>2</v>
      </c>
      <c r="AN737" t="n">
        <v>2</v>
      </c>
      <c r="AO737" t="n">
        <v>2</v>
      </c>
      <c r="AP737" t="inlineStr">
        <is>
          <t>No</t>
        </is>
      </c>
      <c r="AQ737" t="inlineStr">
        <is>
          <t>Yes</t>
        </is>
      </c>
      <c r="AR737">
        <f>HYPERLINK("http://catalog.hathitrust.org/Record/000432738","HathiTrust Record")</f>
        <v/>
      </c>
      <c r="AS737">
        <f>HYPERLINK("https://creighton-primo.hosted.exlibrisgroup.com/primo-explore/search?tab=default_tab&amp;search_scope=EVERYTHING&amp;vid=01CRU&amp;lang=en_US&amp;offset=0&amp;query=any,contains,991000795819702656","Catalog Record")</f>
        <v/>
      </c>
      <c r="AT737">
        <f>HYPERLINK("http://www.worldcat.org/oclc/13186122","WorldCat Record")</f>
        <v/>
      </c>
      <c r="AU737" t="inlineStr">
        <is>
          <t>5864363:eng</t>
        </is>
      </c>
      <c r="AV737" t="inlineStr">
        <is>
          <t>13186122</t>
        </is>
      </c>
      <c r="AW737" t="inlineStr">
        <is>
          <t>991000795819702656</t>
        </is>
      </c>
      <c r="AX737" t="inlineStr">
        <is>
          <t>991000795819702656</t>
        </is>
      </c>
      <c r="AY737" t="inlineStr">
        <is>
          <t>2255694310002656</t>
        </is>
      </c>
      <c r="AZ737" t="inlineStr">
        <is>
          <t>BOOK</t>
        </is>
      </c>
      <c r="BB737" t="inlineStr">
        <is>
          <t>9780822306658</t>
        </is>
      </c>
      <c r="BC737" t="inlineStr">
        <is>
          <t>32285000482173</t>
        </is>
      </c>
      <c r="BD737" t="inlineStr">
        <is>
          <t>893771962</t>
        </is>
      </c>
    </row>
    <row r="738">
      <c r="A738" t="inlineStr">
        <is>
          <t>No</t>
        </is>
      </c>
      <c r="B738" t="inlineStr">
        <is>
          <t>E183.8.S6 D36 1984</t>
        </is>
      </c>
      <c r="C738" t="inlineStr">
        <is>
          <t>0                      E  0183800S  6                  D  36          1984</t>
        </is>
      </c>
      <c r="D738" t="inlineStr">
        <is>
          <t>In whose interest? : a guide to U.S.-South Africa relations / Kevin Danaher.</t>
        </is>
      </c>
      <c r="F738" t="inlineStr">
        <is>
          <t>No</t>
        </is>
      </c>
      <c r="G738" t="inlineStr">
        <is>
          <t>1</t>
        </is>
      </c>
      <c r="H738" t="inlineStr">
        <is>
          <t>No</t>
        </is>
      </c>
      <c r="I738" t="inlineStr">
        <is>
          <t>No</t>
        </is>
      </c>
      <c r="J738" t="inlineStr">
        <is>
          <t>0</t>
        </is>
      </c>
      <c r="K738" t="inlineStr">
        <is>
          <t>Danaher, Kevin.</t>
        </is>
      </c>
      <c r="L738" t="inlineStr">
        <is>
          <t>Washington, D.C. : Institute for Policy Studies, c1984.</t>
        </is>
      </c>
      <c r="M738" t="inlineStr">
        <is>
          <t>1984</t>
        </is>
      </c>
      <c r="N738" t="inlineStr">
        <is>
          <t>1st ed.</t>
        </is>
      </c>
      <c r="O738" t="inlineStr">
        <is>
          <t>eng</t>
        </is>
      </c>
      <c r="P738" t="inlineStr">
        <is>
          <t>dcu</t>
        </is>
      </c>
      <c r="R738" t="inlineStr">
        <is>
          <t xml:space="preserve">E  </t>
        </is>
      </c>
      <c r="S738" t="n">
        <v>3</v>
      </c>
      <c r="T738" t="n">
        <v>3</v>
      </c>
      <c r="U738" t="inlineStr">
        <is>
          <t>1996-10-30</t>
        </is>
      </c>
      <c r="V738" t="inlineStr">
        <is>
          <t>1996-10-30</t>
        </is>
      </c>
      <c r="W738" t="inlineStr">
        <is>
          <t>1991-02-06</t>
        </is>
      </c>
      <c r="X738" t="inlineStr">
        <is>
          <t>1991-02-06</t>
        </is>
      </c>
      <c r="Y738" t="n">
        <v>571</v>
      </c>
      <c r="Z738" t="n">
        <v>512</v>
      </c>
      <c r="AA738" t="n">
        <v>527</v>
      </c>
      <c r="AB738" t="n">
        <v>4</v>
      </c>
      <c r="AC738" t="n">
        <v>4</v>
      </c>
      <c r="AD738" t="n">
        <v>19</v>
      </c>
      <c r="AE738" t="n">
        <v>19</v>
      </c>
      <c r="AF738" t="n">
        <v>8</v>
      </c>
      <c r="AG738" t="n">
        <v>8</v>
      </c>
      <c r="AH738" t="n">
        <v>3</v>
      </c>
      <c r="AI738" t="n">
        <v>3</v>
      </c>
      <c r="AJ738" t="n">
        <v>10</v>
      </c>
      <c r="AK738" t="n">
        <v>10</v>
      </c>
      <c r="AL738" t="n">
        <v>3</v>
      </c>
      <c r="AM738" t="n">
        <v>3</v>
      </c>
      <c r="AN738" t="n">
        <v>0</v>
      </c>
      <c r="AO738" t="n">
        <v>0</v>
      </c>
      <c r="AP738" t="inlineStr">
        <is>
          <t>No</t>
        </is>
      </c>
      <c r="AQ738" t="inlineStr">
        <is>
          <t>Yes</t>
        </is>
      </c>
      <c r="AR738">
        <f>HYPERLINK("http://catalog.hathitrust.org/Record/000351459","HathiTrust Record")</f>
        <v/>
      </c>
      <c r="AS738">
        <f>HYPERLINK("https://creighton-primo.hosted.exlibrisgroup.com/primo-explore/search?tab=default_tab&amp;search_scope=EVERYTHING&amp;vid=01CRU&amp;lang=en_US&amp;offset=0&amp;query=any,contains,991000487499702656","Catalog Record")</f>
        <v/>
      </c>
      <c r="AT738">
        <f>HYPERLINK("http://www.worldcat.org/oclc/11089866","WorldCat Record")</f>
        <v/>
      </c>
      <c r="AU738" t="inlineStr">
        <is>
          <t>902240563:eng</t>
        </is>
      </c>
      <c r="AV738" t="inlineStr">
        <is>
          <t>11089866</t>
        </is>
      </c>
      <c r="AW738" t="inlineStr">
        <is>
          <t>991000487499702656</t>
        </is>
      </c>
      <c r="AX738" t="inlineStr">
        <is>
          <t>991000487499702656</t>
        </is>
      </c>
      <c r="AY738" t="inlineStr">
        <is>
          <t>2265194960002656</t>
        </is>
      </c>
      <c r="AZ738" t="inlineStr">
        <is>
          <t>BOOK</t>
        </is>
      </c>
      <c r="BB738" t="inlineStr">
        <is>
          <t>9780897580380</t>
        </is>
      </c>
      <c r="BC738" t="inlineStr">
        <is>
          <t>32285000482181</t>
        </is>
      </c>
      <c r="BD738" t="inlineStr">
        <is>
          <t>893515304</t>
        </is>
      </c>
    </row>
    <row r="739">
      <c r="A739" t="inlineStr">
        <is>
          <t>No</t>
        </is>
      </c>
      <c r="B739" t="inlineStr">
        <is>
          <t>E183.8.S6 S45 1985</t>
        </is>
      </c>
      <c r="C739" t="inlineStr">
        <is>
          <t>0                      E  0183800S  6                  S  45          1985</t>
        </is>
      </c>
      <c r="D739" t="inlineStr">
        <is>
          <t>The roots of crisis in southern Africa / Ann Seidman.</t>
        </is>
      </c>
      <c r="F739" t="inlineStr">
        <is>
          <t>No</t>
        </is>
      </c>
      <c r="G739" t="inlineStr">
        <is>
          <t>1</t>
        </is>
      </c>
      <c r="H739" t="inlineStr">
        <is>
          <t>No</t>
        </is>
      </c>
      <c r="I739" t="inlineStr">
        <is>
          <t>No</t>
        </is>
      </c>
      <c r="J739" t="inlineStr">
        <is>
          <t>0</t>
        </is>
      </c>
      <c r="K739" t="inlineStr">
        <is>
          <t>Seidman, Ann Willcox, 1926-</t>
        </is>
      </c>
      <c r="L739" t="inlineStr">
        <is>
          <t>Trenton, N.J. : Africa World Press, [1985]</t>
        </is>
      </c>
      <c r="M739" t="inlineStr">
        <is>
          <t>1985</t>
        </is>
      </c>
      <c r="O739" t="inlineStr">
        <is>
          <t>eng</t>
        </is>
      </c>
      <c r="P739" t="inlineStr">
        <is>
          <t>nju</t>
        </is>
      </c>
      <c r="Q739" t="inlineStr">
        <is>
          <t>Impact audit ; no. 4</t>
        </is>
      </c>
      <c r="R739" t="inlineStr">
        <is>
          <t xml:space="preserve">E  </t>
        </is>
      </c>
      <c r="S739" t="n">
        <v>6</v>
      </c>
      <c r="T739" t="n">
        <v>6</v>
      </c>
      <c r="U739" t="inlineStr">
        <is>
          <t>1998-04-07</t>
        </is>
      </c>
      <c r="V739" t="inlineStr">
        <is>
          <t>1998-04-07</t>
        </is>
      </c>
      <c r="W739" t="inlineStr">
        <is>
          <t>1991-02-06</t>
        </is>
      </c>
      <c r="X739" t="inlineStr">
        <is>
          <t>1991-02-06</t>
        </is>
      </c>
      <c r="Y739" t="n">
        <v>628</v>
      </c>
      <c r="Z739" t="n">
        <v>551</v>
      </c>
      <c r="AA739" t="n">
        <v>554</v>
      </c>
      <c r="AB739" t="n">
        <v>6</v>
      </c>
      <c r="AC739" t="n">
        <v>6</v>
      </c>
      <c r="AD739" t="n">
        <v>26</v>
      </c>
      <c r="AE739" t="n">
        <v>26</v>
      </c>
      <c r="AF739" t="n">
        <v>9</v>
      </c>
      <c r="AG739" t="n">
        <v>9</v>
      </c>
      <c r="AH739" t="n">
        <v>5</v>
      </c>
      <c r="AI739" t="n">
        <v>5</v>
      </c>
      <c r="AJ739" t="n">
        <v>13</v>
      </c>
      <c r="AK739" t="n">
        <v>13</v>
      </c>
      <c r="AL739" t="n">
        <v>5</v>
      </c>
      <c r="AM739" t="n">
        <v>5</v>
      </c>
      <c r="AN739" t="n">
        <v>0</v>
      </c>
      <c r="AO739" t="n">
        <v>0</v>
      </c>
      <c r="AP739" t="inlineStr">
        <is>
          <t>No</t>
        </is>
      </c>
      <c r="AQ739" t="inlineStr">
        <is>
          <t>Yes</t>
        </is>
      </c>
      <c r="AR739">
        <f>HYPERLINK("http://catalog.hathitrust.org/Record/000674468","HathiTrust Record")</f>
        <v/>
      </c>
      <c r="AS739">
        <f>HYPERLINK("https://creighton-primo.hosted.exlibrisgroup.com/primo-explore/search?tab=default_tab&amp;search_scope=EVERYTHING&amp;vid=01CRU&amp;lang=en_US&amp;offset=0&amp;query=any,contains,991000814339702656","Catalog Record")</f>
        <v/>
      </c>
      <c r="AT739">
        <f>HYPERLINK("http://www.worldcat.org/oclc/13334929","WorldCat Record")</f>
        <v/>
      </c>
      <c r="AU739" t="inlineStr">
        <is>
          <t>7594396:eng</t>
        </is>
      </c>
      <c r="AV739" t="inlineStr">
        <is>
          <t>13334929</t>
        </is>
      </c>
      <c r="AW739" t="inlineStr">
        <is>
          <t>991000814339702656</t>
        </is>
      </c>
      <c r="AX739" t="inlineStr">
        <is>
          <t>991000814339702656</t>
        </is>
      </c>
      <c r="AY739" t="inlineStr">
        <is>
          <t>2263992830002656</t>
        </is>
      </c>
      <c r="AZ739" t="inlineStr">
        <is>
          <t>BOOK</t>
        </is>
      </c>
      <c r="BB739" t="inlineStr">
        <is>
          <t>9780865430259</t>
        </is>
      </c>
      <c r="BC739" t="inlineStr">
        <is>
          <t>32285000482207</t>
        </is>
      </c>
      <c r="BD739" t="inlineStr">
        <is>
          <t>893509130</t>
        </is>
      </c>
    </row>
    <row r="740">
      <c r="A740" t="inlineStr">
        <is>
          <t>No</t>
        </is>
      </c>
      <c r="B740" t="inlineStr">
        <is>
          <t>E183.8.S6 S68 1993</t>
        </is>
      </c>
      <c r="C740" t="inlineStr">
        <is>
          <t>0                      E  0183800S  6                  S  68          1993</t>
        </is>
      </c>
      <c r="D740" t="inlineStr">
        <is>
          <t>South Africa and the United States : the declassified history / edited by Kenneth Mokoena ; foreword by Donald Rothchild ; preface by Randall Robinson.</t>
        </is>
      </c>
      <c r="F740" t="inlineStr">
        <is>
          <t>No</t>
        </is>
      </c>
      <c r="G740" t="inlineStr">
        <is>
          <t>1</t>
        </is>
      </c>
      <c r="H740" t="inlineStr">
        <is>
          <t>No</t>
        </is>
      </c>
      <c r="I740" t="inlineStr">
        <is>
          <t>No</t>
        </is>
      </c>
      <c r="J740" t="inlineStr">
        <is>
          <t>0</t>
        </is>
      </c>
      <c r="L740" t="inlineStr">
        <is>
          <t>New York : New Press : Distributed by W.W. Norton, 1993.</t>
        </is>
      </c>
      <c r="M740" t="inlineStr">
        <is>
          <t>1993</t>
        </is>
      </c>
      <c r="N740" t="inlineStr">
        <is>
          <t>1st ed.</t>
        </is>
      </c>
      <c r="O740" t="inlineStr">
        <is>
          <t>eng</t>
        </is>
      </c>
      <c r="P740" t="inlineStr">
        <is>
          <t>nyu</t>
        </is>
      </c>
      <c r="R740" t="inlineStr">
        <is>
          <t xml:space="preserve">E  </t>
        </is>
      </c>
      <c r="S740" t="n">
        <v>3</v>
      </c>
      <c r="T740" t="n">
        <v>3</v>
      </c>
      <c r="U740" t="inlineStr">
        <is>
          <t>1996-10-30</t>
        </is>
      </c>
      <c r="V740" t="inlineStr">
        <is>
          <t>1996-10-30</t>
        </is>
      </c>
      <c r="W740" t="inlineStr">
        <is>
          <t>1996-05-14</t>
        </is>
      </c>
      <c r="X740" t="inlineStr">
        <is>
          <t>1996-05-14</t>
        </is>
      </c>
      <c r="Y740" t="n">
        <v>291</v>
      </c>
      <c r="Z740" t="n">
        <v>226</v>
      </c>
      <c r="AA740" t="n">
        <v>229</v>
      </c>
      <c r="AB740" t="n">
        <v>2</v>
      </c>
      <c r="AC740" t="n">
        <v>2</v>
      </c>
      <c r="AD740" t="n">
        <v>12</v>
      </c>
      <c r="AE740" t="n">
        <v>12</v>
      </c>
      <c r="AF740" t="n">
        <v>5</v>
      </c>
      <c r="AG740" t="n">
        <v>5</v>
      </c>
      <c r="AH740" t="n">
        <v>3</v>
      </c>
      <c r="AI740" t="n">
        <v>3</v>
      </c>
      <c r="AJ740" t="n">
        <v>8</v>
      </c>
      <c r="AK740" t="n">
        <v>8</v>
      </c>
      <c r="AL740" t="n">
        <v>1</v>
      </c>
      <c r="AM740" t="n">
        <v>1</v>
      </c>
      <c r="AN740" t="n">
        <v>0</v>
      </c>
      <c r="AO740" t="n">
        <v>0</v>
      </c>
      <c r="AP740" t="inlineStr">
        <is>
          <t>No</t>
        </is>
      </c>
      <c r="AQ740" t="inlineStr">
        <is>
          <t>No</t>
        </is>
      </c>
      <c r="AS740">
        <f>HYPERLINK("https://creighton-primo.hosted.exlibrisgroup.com/primo-explore/search?tab=default_tab&amp;search_scope=EVERYTHING&amp;vid=01CRU&amp;lang=en_US&amp;offset=0&amp;query=any,contains,991002175999702656","Catalog Record")</f>
        <v/>
      </c>
      <c r="AT740">
        <f>HYPERLINK("http://www.worldcat.org/oclc/28018123","WorldCat Record")</f>
        <v/>
      </c>
      <c r="AU740" t="inlineStr">
        <is>
          <t>889413003:eng</t>
        </is>
      </c>
      <c r="AV740" t="inlineStr">
        <is>
          <t>28018123</t>
        </is>
      </c>
      <c r="AW740" t="inlineStr">
        <is>
          <t>991002175999702656</t>
        </is>
      </c>
      <c r="AX740" t="inlineStr">
        <is>
          <t>991002175999702656</t>
        </is>
      </c>
      <c r="AY740" t="inlineStr">
        <is>
          <t>2254873530002656</t>
        </is>
      </c>
      <c r="AZ740" t="inlineStr">
        <is>
          <t>BOOK</t>
        </is>
      </c>
      <c r="BB740" t="inlineStr">
        <is>
          <t>9781565840812</t>
        </is>
      </c>
      <c r="BC740" t="inlineStr">
        <is>
          <t>32285002167400</t>
        </is>
      </c>
      <c r="BD740" t="inlineStr">
        <is>
          <t>893879581</t>
        </is>
      </c>
    </row>
    <row r="741">
      <c r="A741" t="inlineStr">
        <is>
          <t>No</t>
        </is>
      </c>
      <c r="B741" t="inlineStr">
        <is>
          <t>E183.8.S65 B46 1985</t>
        </is>
      </c>
      <c r="C741" t="inlineStr">
        <is>
          <t>0                      E  0183800S  65                 B  46          1985</t>
        </is>
      </c>
      <c r="D741" t="inlineStr">
        <is>
          <t>Franklin D. Roosevelt and the search for security : American-Soviet relations, 1933-1939 / by Edward M. Bennett.</t>
        </is>
      </c>
      <c r="F741" t="inlineStr">
        <is>
          <t>No</t>
        </is>
      </c>
      <c r="G741" t="inlineStr">
        <is>
          <t>1</t>
        </is>
      </c>
      <c r="H741" t="inlineStr">
        <is>
          <t>No</t>
        </is>
      </c>
      <c r="I741" t="inlineStr">
        <is>
          <t>No</t>
        </is>
      </c>
      <c r="J741" t="inlineStr">
        <is>
          <t>0</t>
        </is>
      </c>
      <c r="K741" t="inlineStr">
        <is>
          <t>Bennett, Edward M. (Edward Moore), 1927-2013.</t>
        </is>
      </c>
      <c r="L741" t="inlineStr">
        <is>
          <t>Wilmington, Del. : Scholarly Resources, 1985.</t>
        </is>
      </c>
      <c r="M741" t="inlineStr">
        <is>
          <t>1985</t>
        </is>
      </c>
      <c r="O741" t="inlineStr">
        <is>
          <t>eng</t>
        </is>
      </c>
      <c r="P741" t="inlineStr">
        <is>
          <t>deu</t>
        </is>
      </c>
      <c r="R741" t="inlineStr">
        <is>
          <t xml:space="preserve">E  </t>
        </is>
      </c>
      <c r="S741" t="n">
        <v>1</v>
      </c>
      <c r="T741" t="n">
        <v>1</v>
      </c>
      <c r="U741" t="inlineStr">
        <is>
          <t>1992-01-16</t>
        </is>
      </c>
      <c r="V741" t="inlineStr">
        <is>
          <t>1992-01-16</t>
        </is>
      </c>
      <c r="W741" t="inlineStr">
        <is>
          <t>1991-02-06</t>
        </is>
      </c>
      <c r="X741" t="inlineStr">
        <is>
          <t>1991-02-06</t>
        </is>
      </c>
      <c r="Y741" t="n">
        <v>619</v>
      </c>
      <c r="Z741" t="n">
        <v>538</v>
      </c>
      <c r="AA741" t="n">
        <v>703</v>
      </c>
      <c r="AB741" t="n">
        <v>4</v>
      </c>
      <c r="AC741" t="n">
        <v>4</v>
      </c>
      <c r="AD741" t="n">
        <v>31</v>
      </c>
      <c r="AE741" t="n">
        <v>34</v>
      </c>
      <c r="AF741" t="n">
        <v>14</v>
      </c>
      <c r="AG741" t="n">
        <v>16</v>
      </c>
      <c r="AH741" t="n">
        <v>8</v>
      </c>
      <c r="AI741" t="n">
        <v>9</v>
      </c>
      <c r="AJ741" t="n">
        <v>15</v>
      </c>
      <c r="AK741" t="n">
        <v>16</v>
      </c>
      <c r="AL741" t="n">
        <v>3</v>
      </c>
      <c r="AM741" t="n">
        <v>3</v>
      </c>
      <c r="AN741" t="n">
        <v>0</v>
      </c>
      <c r="AO741" t="n">
        <v>0</v>
      </c>
      <c r="AP741" t="inlineStr">
        <is>
          <t>No</t>
        </is>
      </c>
      <c r="AQ741" t="inlineStr">
        <is>
          <t>No</t>
        </is>
      </c>
      <c r="AS741">
        <f>HYPERLINK("https://creighton-primo.hosted.exlibrisgroup.com/primo-explore/search?tab=default_tab&amp;search_scope=EVERYTHING&amp;vid=01CRU&amp;lang=en_US&amp;offset=0&amp;query=any,contains,991000642519702656","Catalog Record")</f>
        <v/>
      </c>
      <c r="AT741">
        <f>HYPERLINK("http://www.worldcat.org/oclc/12107253","WorldCat Record")</f>
        <v/>
      </c>
      <c r="AU741" t="inlineStr">
        <is>
          <t>3855370489:eng</t>
        </is>
      </c>
      <c r="AV741" t="inlineStr">
        <is>
          <t>12107253</t>
        </is>
      </c>
      <c r="AW741" t="inlineStr">
        <is>
          <t>991000642519702656</t>
        </is>
      </c>
      <c r="AX741" t="inlineStr">
        <is>
          <t>991000642519702656</t>
        </is>
      </c>
      <c r="AY741" t="inlineStr">
        <is>
          <t>2268166890002656</t>
        </is>
      </c>
      <c r="AZ741" t="inlineStr">
        <is>
          <t>BOOK</t>
        </is>
      </c>
      <c r="BB741" t="inlineStr">
        <is>
          <t>9780842022477</t>
        </is>
      </c>
      <c r="BC741" t="inlineStr">
        <is>
          <t>32285000482231</t>
        </is>
      </c>
      <c r="BD741" t="inlineStr">
        <is>
          <t>893689899</t>
        </is>
      </c>
    </row>
    <row r="742">
      <c r="A742" t="inlineStr">
        <is>
          <t>No</t>
        </is>
      </c>
      <c r="B742" t="inlineStr">
        <is>
          <t>E183.8.S65 B47 1986</t>
        </is>
      </c>
      <c r="C742" t="inlineStr">
        <is>
          <t>0                      E  0183800S  65                 B  47          1986</t>
        </is>
      </c>
      <c r="D742" t="inlineStr">
        <is>
          <t>MAYDAY : Eisenhower, Khrushchev and the U-2 affair / by Michael R. Beschloss.</t>
        </is>
      </c>
      <c r="F742" t="inlineStr">
        <is>
          <t>No</t>
        </is>
      </c>
      <c r="G742" t="inlineStr">
        <is>
          <t>1</t>
        </is>
      </c>
      <c r="H742" t="inlineStr">
        <is>
          <t>No</t>
        </is>
      </c>
      <c r="I742" t="inlineStr">
        <is>
          <t>No</t>
        </is>
      </c>
      <c r="J742" t="inlineStr">
        <is>
          <t>0</t>
        </is>
      </c>
      <c r="K742" t="inlineStr">
        <is>
          <t>Beschloss, Michael R.</t>
        </is>
      </c>
      <c r="L742" t="inlineStr">
        <is>
          <t>New York : Harper &amp; Row, c1986.</t>
        </is>
      </c>
      <c r="M742" t="inlineStr">
        <is>
          <t>1986</t>
        </is>
      </c>
      <c r="N742" t="inlineStr">
        <is>
          <t>1st ed.</t>
        </is>
      </c>
      <c r="O742" t="inlineStr">
        <is>
          <t>eng</t>
        </is>
      </c>
      <c r="P742" t="inlineStr">
        <is>
          <t>nyu</t>
        </is>
      </c>
      <c r="R742" t="inlineStr">
        <is>
          <t xml:space="preserve">E  </t>
        </is>
      </c>
      <c r="S742" t="n">
        <v>8</v>
      </c>
      <c r="T742" t="n">
        <v>8</v>
      </c>
      <c r="U742" t="inlineStr">
        <is>
          <t>1999-04-05</t>
        </is>
      </c>
      <c r="V742" t="inlineStr">
        <is>
          <t>1999-04-05</t>
        </is>
      </c>
      <c r="W742" t="inlineStr">
        <is>
          <t>1990-03-21</t>
        </is>
      </c>
      <c r="X742" t="inlineStr">
        <is>
          <t>1990-03-21</t>
        </is>
      </c>
      <c r="Y742" t="n">
        <v>2151</v>
      </c>
      <c r="Z742" t="n">
        <v>2045</v>
      </c>
      <c r="AA742" t="n">
        <v>2119</v>
      </c>
      <c r="AB742" t="n">
        <v>22</v>
      </c>
      <c r="AC742" t="n">
        <v>22</v>
      </c>
      <c r="AD742" t="n">
        <v>39</v>
      </c>
      <c r="AE742" t="n">
        <v>39</v>
      </c>
      <c r="AF742" t="n">
        <v>15</v>
      </c>
      <c r="AG742" t="n">
        <v>15</v>
      </c>
      <c r="AH742" t="n">
        <v>8</v>
      </c>
      <c r="AI742" t="n">
        <v>8</v>
      </c>
      <c r="AJ742" t="n">
        <v>18</v>
      </c>
      <c r="AK742" t="n">
        <v>18</v>
      </c>
      <c r="AL742" t="n">
        <v>9</v>
      </c>
      <c r="AM742" t="n">
        <v>9</v>
      </c>
      <c r="AN742" t="n">
        <v>0</v>
      </c>
      <c r="AO742" t="n">
        <v>0</v>
      </c>
      <c r="AP742" t="inlineStr">
        <is>
          <t>No</t>
        </is>
      </c>
      <c r="AQ742" t="inlineStr">
        <is>
          <t>Yes</t>
        </is>
      </c>
      <c r="AR742">
        <f>HYPERLINK("http://catalog.hathitrust.org/Record/000474283","HathiTrust Record")</f>
        <v/>
      </c>
      <c r="AS742">
        <f>HYPERLINK("https://creighton-primo.hosted.exlibrisgroup.com/primo-explore/search?tab=default_tab&amp;search_scope=EVERYTHING&amp;vid=01CRU&amp;lang=en_US&amp;offset=0&amp;query=any,contains,991000725119702656","Catalog Record")</f>
        <v/>
      </c>
      <c r="AT742">
        <f>HYPERLINK("http://www.worldcat.org/oclc/12693917","WorldCat Record")</f>
        <v/>
      </c>
      <c r="AU742" t="inlineStr">
        <is>
          <t>46622172:eng</t>
        </is>
      </c>
      <c r="AV742" t="inlineStr">
        <is>
          <t>12693917</t>
        </is>
      </c>
      <c r="AW742" t="inlineStr">
        <is>
          <t>991000725119702656</t>
        </is>
      </c>
      <c r="AX742" t="inlineStr">
        <is>
          <t>991000725119702656</t>
        </is>
      </c>
      <c r="AY742" t="inlineStr">
        <is>
          <t>2255538460002656</t>
        </is>
      </c>
      <c r="AZ742" t="inlineStr">
        <is>
          <t>BOOK</t>
        </is>
      </c>
      <c r="BB742" t="inlineStr">
        <is>
          <t>9780060155650</t>
        </is>
      </c>
      <c r="BC742" t="inlineStr">
        <is>
          <t>32285000089598</t>
        </is>
      </c>
      <c r="BD742" t="inlineStr">
        <is>
          <t>893438538</t>
        </is>
      </c>
    </row>
    <row r="743">
      <c r="A743" t="inlineStr">
        <is>
          <t>No</t>
        </is>
      </c>
      <c r="B743" t="inlineStr">
        <is>
          <t>E183.8.S65 B795 1986</t>
        </is>
      </c>
      <c r="C743" t="inlineStr">
        <is>
          <t>0                      E  0183800S  65                 B  795         1986</t>
        </is>
      </c>
      <c r="D743" t="inlineStr">
        <is>
          <t>Game plan : a geostrategic framework for the conduct of the U.S.--Soviet contest / by Zbigniew Brzezinski.</t>
        </is>
      </c>
      <c r="F743" t="inlineStr">
        <is>
          <t>No</t>
        </is>
      </c>
      <c r="G743" t="inlineStr">
        <is>
          <t>1</t>
        </is>
      </c>
      <c r="H743" t="inlineStr">
        <is>
          <t>No</t>
        </is>
      </c>
      <c r="I743" t="inlineStr">
        <is>
          <t>No</t>
        </is>
      </c>
      <c r="J743" t="inlineStr">
        <is>
          <t>0</t>
        </is>
      </c>
      <c r="K743" t="inlineStr">
        <is>
          <t>Brzezinski, Zbigniew, 1928-2017.</t>
        </is>
      </c>
      <c r="L743" t="inlineStr">
        <is>
          <t>Boston : Atlantic Monthly Press, c1986.</t>
        </is>
      </c>
      <c r="M743" t="inlineStr">
        <is>
          <t>1986</t>
        </is>
      </c>
      <c r="N743" t="inlineStr">
        <is>
          <t>1st ed.</t>
        </is>
      </c>
      <c r="O743" t="inlineStr">
        <is>
          <t>eng</t>
        </is>
      </c>
      <c r="P743" t="inlineStr">
        <is>
          <t>mau</t>
        </is>
      </c>
      <c r="R743" t="inlineStr">
        <is>
          <t xml:space="preserve">E  </t>
        </is>
      </c>
      <c r="S743" t="n">
        <v>3</v>
      </c>
      <c r="T743" t="n">
        <v>3</v>
      </c>
      <c r="U743" t="inlineStr">
        <is>
          <t>2000-02-02</t>
        </is>
      </c>
      <c r="V743" t="inlineStr">
        <is>
          <t>2000-02-02</t>
        </is>
      </c>
      <c r="W743" t="inlineStr">
        <is>
          <t>1989-12-05</t>
        </is>
      </c>
      <c r="X743" t="inlineStr">
        <is>
          <t>1989-12-05</t>
        </is>
      </c>
      <c r="Y743" t="n">
        <v>956</v>
      </c>
      <c r="Z743" t="n">
        <v>848</v>
      </c>
      <c r="AA743" t="n">
        <v>850</v>
      </c>
      <c r="AB743" t="n">
        <v>3</v>
      </c>
      <c r="AC743" t="n">
        <v>3</v>
      </c>
      <c r="AD743" t="n">
        <v>34</v>
      </c>
      <c r="AE743" t="n">
        <v>34</v>
      </c>
      <c r="AF743" t="n">
        <v>13</v>
      </c>
      <c r="AG743" t="n">
        <v>13</v>
      </c>
      <c r="AH743" t="n">
        <v>9</v>
      </c>
      <c r="AI743" t="n">
        <v>9</v>
      </c>
      <c r="AJ743" t="n">
        <v>19</v>
      </c>
      <c r="AK743" t="n">
        <v>19</v>
      </c>
      <c r="AL743" t="n">
        <v>2</v>
      </c>
      <c r="AM743" t="n">
        <v>2</v>
      </c>
      <c r="AN743" t="n">
        <v>0</v>
      </c>
      <c r="AO743" t="n">
        <v>0</v>
      </c>
      <c r="AP743" t="inlineStr">
        <is>
          <t>No</t>
        </is>
      </c>
      <c r="AQ743" t="inlineStr">
        <is>
          <t>Yes</t>
        </is>
      </c>
      <c r="AR743">
        <f>HYPERLINK("http://catalog.hathitrust.org/Record/000436986","HathiTrust Record")</f>
        <v/>
      </c>
      <c r="AS743">
        <f>HYPERLINK("https://creighton-primo.hosted.exlibrisgroup.com/primo-explore/search?tab=default_tab&amp;search_scope=EVERYTHING&amp;vid=01CRU&amp;lang=en_US&amp;offset=0&amp;query=any,contains,991000845739702656","Catalog Record")</f>
        <v/>
      </c>
      <c r="AT743">
        <f>HYPERLINK("http://www.worldcat.org/oclc/13560199","WorldCat Record")</f>
        <v/>
      </c>
      <c r="AU743" t="inlineStr">
        <is>
          <t>6950158:eng</t>
        </is>
      </c>
      <c r="AV743" t="inlineStr">
        <is>
          <t>13560199</t>
        </is>
      </c>
      <c r="AW743" t="inlineStr">
        <is>
          <t>991000845739702656</t>
        </is>
      </c>
      <c r="AX743" t="inlineStr">
        <is>
          <t>991000845739702656</t>
        </is>
      </c>
      <c r="AY743" t="inlineStr">
        <is>
          <t>2263591350002656</t>
        </is>
      </c>
      <c r="AZ743" t="inlineStr">
        <is>
          <t>BOOK</t>
        </is>
      </c>
      <c r="BB743" t="inlineStr">
        <is>
          <t>9780871130846</t>
        </is>
      </c>
      <c r="BC743" t="inlineStr">
        <is>
          <t>32285000016906</t>
        </is>
      </c>
      <c r="BD743" t="inlineStr">
        <is>
          <t>893903184</t>
        </is>
      </c>
    </row>
    <row r="744">
      <c r="A744" t="inlineStr">
        <is>
          <t>No</t>
        </is>
      </c>
      <c r="B744" t="inlineStr">
        <is>
          <t>E183.8.S65 C644 1990</t>
        </is>
      </c>
      <c r="C744" t="inlineStr">
        <is>
          <t>0                      E  0183800S  65                 C  644         1990</t>
        </is>
      </c>
      <c r="D744" t="inlineStr">
        <is>
          <t>Cold war rhetoric : strategy, metaphor, and ideology / Martin J. Medhurst ... [et al.].</t>
        </is>
      </c>
      <c r="F744" t="inlineStr">
        <is>
          <t>No</t>
        </is>
      </c>
      <c r="G744" t="inlineStr">
        <is>
          <t>1</t>
        </is>
      </c>
      <c r="H744" t="inlineStr">
        <is>
          <t>No</t>
        </is>
      </c>
      <c r="I744" t="inlineStr">
        <is>
          <t>Yes</t>
        </is>
      </c>
      <c r="J744" t="inlineStr">
        <is>
          <t>0</t>
        </is>
      </c>
      <c r="L744" t="inlineStr">
        <is>
          <t>New York : Greenwood Press, 1990.</t>
        </is>
      </c>
      <c r="M744" t="inlineStr">
        <is>
          <t>1990</t>
        </is>
      </c>
      <c r="O744" t="inlineStr">
        <is>
          <t>eng</t>
        </is>
      </c>
      <c r="P744" t="inlineStr">
        <is>
          <t>nyu</t>
        </is>
      </c>
      <c r="Q744" t="inlineStr">
        <is>
          <t>Contributions to the study of mass media and communications, 0732-4456 ; no. 19</t>
        </is>
      </c>
      <c r="R744" t="inlineStr">
        <is>
          <t xml:space="preserve">E  </t>
        </is>
      </c>
      <c r="S744" t="n">
        <v>2</v>
      </c>
      <c r="T744" t="n">
        <v>2</v>
      </c>
      <c r="U744" t="inlineStr">
        <is>
          <t>1992-03-25</t>
        </is>
      </c>
      <c r="V744" t="inlineStr">
        <is>
          <t>1992-03-25</t>
        </is>
      </c>
      <c r="W744" t="inlineStr">
        <is>
          <t>1991-04-10</t>
        </is>
      </c>
      <c r="X744" t="inlineStr">
        <is>
          <t>1991-04-10</t>
        </is>
      </c>
      <c r="Y744" t="n">
        <v>303</v>
      </c>
      <c r="Z744" t="n">
        <v>259</v>
      </c>
      <c r="AA744" t="n">
        <v>1252</v>
      </c>
      <c r="AB744" t="n">
        <v>2</v>
      </c>
      <c r="AC744" t="n">
        <v>7</v>
      </c>
      <c r="AD744" t="n">
        <v>11</v>
      </c>
      <c r="AE744" t="n">
        <v>40</v>
      </c>
      <c r="AF744" t="n">
        <v>3</v>
      </c>
      <c r="AG744" t="n">
        <v>17</v>
      </c>
      <c r="AH744" t="n">
        <v>3</v>
      </c>
      <c r="AI744" t="n">
        <v>10</v>
      </c>
      <c r="AJ744" t="n">
        <v>6</v>
      </c>
      <c r="AK744" t="n">
        <v>15</v>
      </c>
      <c r="AL744" t="n">
        <v>1</v>
      </c>
      <c r="AM744" t="n">
        <v>6</v>
      </c>
      <c r="AN744" t="n">
        <v>0</v>
      </c>
      <c r="AO744" t="n">
        <v>1</v>
      </c>
      <c r="AP744" t="inlineStr">
        <is>
          <t>No</t>
        </is>
      </c>
      <c r="AQ744" t="inlineStr">
        <is>
          <t>Yes</t>
        </is>
      </c>
      <c r="AR744">
        <f>HYPERLINK("http://catalog.hathitrust.org/Record/002181123","HathiTrust Record")</f>
        <v/>
      </c>
      <c r="AS744">
        <f>HYPERLINK("https://creighton-primo.hosted.exlibrisgroup.com/primo-explore/search?tab=default_tab&amp;search_scope=EVERYTHING&amp;vid=01CRU&amp;lang=en_US&amp;offset=0&amp;query=any,contains,991001618559702656","Catalog Record")</f>
        <v/>
      </c>
      <c r="AT744">
        <f>HYPERLINK("http://www.worldcat.org/oclc/20800136","WorldCat Record")</f>
        <v/>
      </c>
      <c r="AU744" t="inlineStr">
        <is>
          <t>797093587:eng</t>
        </is>
      </c>
      <c r="AV744" t="inlineStr">
        <is>
          <t>20800136</t>
        </is>
      </c>
      <c r="AW744" t="inlineStr">
        <is>
          <t>991001618559702656</t>
        </is>
      </c>
      <c r="AX744" t="inlineStr">
        <is>
          <t>991001618559702656</t>
        </is>
      </c>
      <c r="AY744" t="inlineStr">
        <is>
          <t>2257069890002656</t>
        </is>
      </c>
      <c r="AZ744" t="inlineStr">
        <is>
          <t>BOOK</t>
        </is>
      </c>
      <c r="BB744" t="inlineStr">
        <is>
          <t>9780313267666</t>
        </is>
      </c>
      <c r="BC744" t="inlineStr">
        <is>
          <t>32285000567288</t>
        </is>
      </c>
      <c r="BD744" t="inlineStr">
        <is>
          <t>893785220</t>
        </is>
      </c>
    </row>
    <row r="745">
      <c r="A745" t="inlineStr">
        <is>
          <t>No</t>
        </is>
      </c>
      <c r="B745" t="inlineStr">
        <is>
          <t>E183.8.S65 C67 1988</t>
        </is>
      </c>
      <c r="C745" t="inlineStr">
        <is>
          <t>0                      E  0183800S  65                 C  67          1988</t>
        </is>
      </c>
      <c r="D745" t="inlineStr">
        <is>
          <t>Coping with Gorbachev's Soviet Union / by Stephen Sestanovich ... [et al.].</t>
        </is>
      </c>
      <c r="F745" t="inlineStr">
        <is>
          <t>No</t>
        </is>
      </c>
      <c r="G745" t="inlineStr">
        <is>
          <t>1</t>
        </is>
      </c>
      <c r="H745" t="inlineStr">
        <is>
          <t>No</t>
        </is>
      </c>
      <c r="I745" t="inlineStr">
        <is>
          <t>No</t>
        </is>
      </c>
      <c r="J745" t="inlineStr">
        <is>
          <t>0</t>
        </is>
      </c>
      <c r="L745" t="inlineStr">
        <is>
          <t>Washington, D.C. : Center for Strategic and International Studies, c1988.</t>
        </is>
      </c>
      <c r="M745" t="inlineStr">
        <is>
          <t>1988</t>
        </is>
      </c>
      <c r="O745" t="inlineStr">
        <is>
          <t>eng</t>
        </is>
      </c>
      <c r="P745" t="inlineStr">
        <is>
          <t>dcu</t>
        </is>
      </c>
      <c r="Q745" t="inlineStr">
        <is>
          <t>Significant issues series, 0736-7136 ; v. 10, no. 9</t>
        </is>
      </c>
      <c r="R745" t="inlineStr">
        <is>
          <t xml:space="preserve">E  </t>
        </is>
      </c>
      <c r="S745" t="n">
        <v>2</v>
      </c>
      <c r="T745" t="n">
        <v>2</v>
      </c>
      <c r="U745" t="inlineStr">
        <is>
          <t>1997-03-06</t>
        </is>
      </c>
      <c r="V745" t="inlineStr">
        <is>
          <t>1997-03-06</t>
        </is>
      </c>
      <c r="W745" t="inlineStr">
        <is>
          <t>1991-02-11</t>
        </is>
      </c>
      <c r="X745" t="inlineStr">
        <is>
          <t>1991-02-11</t>
        </is>
      </c>
      <c r="Y745" t="n">
        <v>88</v>
      </c>
      <c r="Z745" t="n">
        <v>70</v>
      </c>
      <c r="AA745" t="n">
        <v>71</v>
      </c>
      <c r="AB745" t="n">
        <v>2</v>
      </c>
      <c r="AC745" t="n">
        <v>2</v>
      </c>
      <c r="AD745" t="n">
        <v>2</v>
      </c>
      <c r="AE745" t="n">
        <v>2</v>
      </c>
      <c r="AF745" t="n">
        <v>0</v>
      </c>
      <c r="AG745" t="n">
        <v>0</v>
      </c>
      <c r="AH745" t="n">
        <v>1</v>
      </c>
      <c r="AI745" t="n">
        <v>1</v>
      </c>
      <c r="AJ745" t="n">
        <v>1</v>
      </c>
      <c r="AK745" t="n">
        <v>1</v>
      </c>
      <c r="AL745" t="n">
        <v>1</v>
      </c>
      <c r="AM745" t="n">
        <v>1</v>
      </c>
      <c r="AN745" t="n">
        <v>0</v>
      </c>
      <c r="AO745" t="n">
        <v>0</v>
      </c>
      <c r="AP745" t="inlineStr">
        <is>
          <t>No</t>
        </is>
      </c>
      <c r="AQ745" t="inlineStr">
        <is>
          <t>Yes</t>
        </is>
      </c>
      <c r="AR745">
        <f>HYPERLINK("http://catalog.hathitrust.org/Record/002173582","HathiTrust Record")</f>
        <v/>
      </c>
      <c r="AS745">
        <f>HYPERLINK("https://creighton-primo.hosted.exlibrisgroup.com/primo-explore/search?tab=default_tab&amp;search_scope=EVERYTHING&amp;vid=01CRU&amp;lang=en_US&amp;offset=0&amp;query=any,contains,991001341509702656","Catalog Record")</f>
        <v/>
      </c>
      <c r="AT745">
        <f>HYPERLINK("http://www.worldcat.org/oclc/18382947","WorldCat Record")</f>
        <v/>
      </c>
      <c r="AU745" t="inlineStr">
        <is>
          <t>17825752:eng</t>
        </is>
      </c>
      <c r="AV745" t="inlineStr">
        <is>
          <t>18382947</t>
        </is>
      </c>
      <c r="AW745" t="inlineStr">
        <is>
          <t>991001341509702656</t>
        </is>
      </c>
      <c r="AX745" t="inlineStr">
        <is>
          <t>991001341509702656</t>
        </is>
      </c>
      <c r="AY745" t="inlineStr">
        <is>
          <t>2259197910002656</t>
        </is>
      </c>
      <c r="AZ745" t="inlineStr">
        <is>
          <t>BOOK</t>
        </is>
      </c>
      <c r="BB745" t="inlineStr">
        <is>
          <t>9780892061211</t>
        </is>
      </c>
      <c r="BC745" t="inlineStr">
        <is>
          <t>32285000482272</t>
        </is>
      </c>
      <c r="BD745" t="inlineStr">
        <is>
          <t>893696669</t>
        </is>
      </c>
    </row>
    <row r="746">
      <c r="A746" t="inlineStr">
        <is>
          <t>No</t>
        </is>
      </c>
      <c r="B746" t="inlineStr">
        <is>
          <t>E183.8.S65 D43 2002</t>
        </is>
      </c>
      <c r="C746" t="inlineStr">
        <is>
          <t>0                      E  0183800S  65                 D  43          2002</t>
        </is>
      </c>
      <c r="D746" t="inlineStr">
        <is>
          <t>Debating the origins of the Cold War : American and Russian perspectives / Ralph B. Levering ... [et al.].</t>
        </is>
      </c>
      <c r="F746" t="inlineStr">
        <is>
          <t>No</t>
        </is>
      </c>
      <c r="G746" t="inlineStr">
        <is>
          <t>1</t>
        </is>
      </c>
      <c r="H746" t="inlineStr">
        <is>
          <t>No</t>
        </is>
      </c>
      <c r="I746" t="inlineStr">
        <is>
          <t>No</t>
        </is>
      </c>
      <c r="J746" t="inlineStr">
        <is>
          <t>0</t>
        </is>
      </c>
      <c r="L746" t="inlineStr">
        <is>
          <t>Lanham, Md. : Rowman &amp; Littlefield Publishers, c2002.</t>
        </is>
      </c>
      <c r="M746" t="inlineStr">
        <is>
          <t>2002</t>
        </is>
      </c>
      <c r="O746" t="inlineStr">
        <is>
          <t>eng</t>
        </is>
      </c>
      <c r="P746" t="inlineStr">
        <is>
          <t>mdu</t>
        </is>
      </c>
      <c r="Q746" t="inlineStr">
        <is>
          <t>Debating twentieth-century America</t>
        </is>
      </c>
      <c r="R746" t="inlineStr">
        <is>
          <t xml:space="preserve">E  </t>
        </is>
      </c>
      <c r="S746" t="n">
        <v>2</v>
      </c>
      <c r="T746" t="n">
        <v>2</v>
      </c>
      <c r="U746" t="inlineStr">
        <is>
          <t>2002-06-05</t>
        </is>
      </c>
      <c r="V746" t="inlineStr">
        <is>
          <t>2002-06-05</t>
        </is>
      </c>
      <c r="W746" t="inlineStr">
        <is>
          <t>2002-05-13</t>
        </is>
      </c>
      <c r="X746" t="inlineStr">
        <is>
          <t>2002-05-13</t>
        </is>
      </c>
      <c r="Y746" t="n">
        <v>404</v>
      </c>
      <c r="Z746" t="n">
        <v>324</v>
      </c>
      <c r="AA746" t="n">
        <v>347</v>
      </c>
      <c r="AB746" t="n">
        <v>4</v>
      </c>
      <c r="AC746" t="n">
        <v>4</v>
      </c>
      <c r="AD746" t="n">
        <v>19</v>
      </c>
      <c r="AE746" t="n">
        <v>21</v>
      </c>
      <c r="AF746" t="n">
        <v>9</v>
      </c>
      <c r="AG746" t="n">
        <v>11</v>
      </c>
      <c r="AH746" t="n">
        <v>5</v>
      </c>
      <c r="AI746" t="n">
        <v>6</v>
      </c>
      <c r="AJ746" t="n">
        <v>11</v>
      </c>
      <c r="AK746" t="n">
        <v>12</v>
      </c>
      <c r="AL746" t="n">
        <v>2</v>
      </c>
      <c r="AM746" t="n">
        <v>2</v>
      </c>
      <c r="AN746" t="n">
        <v>0</v>
      </c>
      <c r="AO746" t="n">
        <v>0</v>
      </c>
      <c r="AP746" t="inlineStr">
        <is>
          <t>No</t>
        </is>
      </c>
      <c r="AQ746" t="inlineStr">
        <is>
          <t>Yes</t>
        </is>
      </c>
      <c r="AR746">
        <f>HYPERLINK("http://catalog.hathitrust.org/Record/004242131","HathiTrust Record")</f>
        <v/>
      </c>
      <c r="AS746">
        <f>HYPERLINK("https://creighton-primo.hosted.exlibrisgroup.com/primo-explore/search?tab=default_tab&amp;search_scope=EVERYTHING&amp;vid=01CRU&amp;lang=en_US&amp;offset=0&amp;query=any,contains,991003738349702656","Catalog Record")</f>
        <v/>
      </c>
      <c r="AT746">
        <f>HYPERLINK("http://www.worldcat.org/oclc/48003245","WorldCat Record")</f>
        <v/>
      </c>
      <c r="AU746" t="inlineStr">
        <is>
          <t>837076436:eng</t>
        </is>
      </c>
      <c r="AV746" t="inlineStr">
        <is>
          <t>48003245</t>
        </is>
      </c>
      <c r="AW746" t="inlineStr">
        <is>
          <t>991003738349702656</t>
        </is>
      </c>
      <c r="AX746" t="inlineStr">
        <is>
          <t>991003738349702656</t>
        </is>
      </c>
      <c r="AY746" t="inlineStr">
        <is>
          <t>2269221300002656</t>
        </is>
      </c>
      <c r="AZ746" t="inlineStr">
        <is>
          <t>BOOK</t>
        </is>
      </c>
      <c r="BB746" t="inlineStr">
        <is>
          <t>9780847694075</t>
        </is>
      </c>
      <c r="BC746" t="inlineStr">
        <is>
          <t>32285004487707</t>
        </is>
      </c>
      <c r="BD746" t="inlineStr">
        <is>
          <t>893617680</t>
        </is>
      </c>
    </row>
    <row r="747">
      <c r="A747" t="inlineStr">
        <is>
          <t>No</t>
        </is>
      </c>
      <c r="B747" t="inlineStr">
        <is>
          <t>E183.8.S65 F85 2006</t>
        </is>
      </c>
      <c r="C747" t="inlineStr">
        <is>
          <t>0                      E  0183800S  65                 F  85          2006</t>
        </is>
      </c>
      <c r="D747" t="inlineStr">
        <is>
          <t>Khrushchev's cold war : the inside story of an American adversary / Aleksandr Fursenko and Timothy Naftali.</t>
        </is>
      </c>
      <c r="F747" t="inlineStr">
        <is>
          <t>No</t>
        </is>
      </c>
      <c r="G747" t="inlineStr">
        <is>
          <t>1</t>
        </is>
      </c>
      <c r="H747" t="inlineStr">
        <is>
          <t>No</t>
        </is>
      </c>
      <c r="I747" t="inlineStr">
        <is>
          <t>No</t>
        </is>
      </c>
      <c r="J747" t="inlineStr">
        <is>
          <t>0</t>
        </is>
      </c>
      <c r="K747" t="inlineStr">
        <is>
          <t>Fursenko, A. A.</t>
        </is>
      </c>
      <c r="L747" t="inlineStr">
        <is>
          <t>New York : Norton, c2006.</t>
        </is>
      </c>
      <c r="M747" t="inlineStr">
        <is>
          <t>2006</t>
        </is>
      </c>
      <c r="N747" t="inlineStr">
        <is>
          <t>1st ed.</t>
        </is>
      </c>
      <c r="O747" t="inlineStr">
        <is>
          <t>eng</t>
        </is>
      </c>
      <c r="P747" t="inlineStr">
        <is>
          <t>nyu</t>
        </is>
      </c>
      <c r="R747" t="inlineStr">
        <is>
          <t xml:space="preserve">E  </t>
        </is>
      </c>
      <c r="S747" t="n">
        <v>1</v>
      </c>
      <c r="T747" t="n">
        <v>1</v>
      </c>
      <c r="U747" t="inlineStr">
        <is>
          <t>2006-10-17</t>
        </is>
      </c>
      <c r="V747" t="inlineStr">
        <is>
          <t>2006-10-17</t>
        </is>
      </c>
      <c r="W747" t="inlineStr">
        <is>
          <t>2006-10-17</t>
        </is>
      </c>
      <c r="X747" t="inlineStr">
        <is>
          <t>2006-10-17</t>
        </is>
      </c>
      <c r="Y747" t="n">
        <v>894</v>
      </c>
      <c r="Z747" t="n">
        <v>749</v>
      </c>
      <c r="AA747" t="n">
        <v>791</v>
      </c>
      <c r="AB747" t="n">
        <v>7</v>
      </c>
      <c r="AC747" t="n">
        <v>7</v>
      </c>
      <c r="AD747" t="n">
        <v>24</v>
      </c>
      <c r="AE747" t="n">
        <v>26</v>
      </c>
      <c r="AF747" t="n">
        <v>10</v>
      </c>
      <c r="AG747" t="n">
        <v>11</v>
      </c>
      <c r="AH747" t="n">
        <v>6</v>
      </c>
      <c r="AI747" t="n">
        <v>7</v>
      </c>
      <c r="AJ747" t="n">
        <v>11</v>
      </c>
      <c r="AK747" t="n">
        <v>13</v>
      </c>
      <c r="AL747" t="n">
        <v>4</v>
      </c>
      <c r="AM747" t="n">
        <v>4</v>
      </c>
      <c r="AN747" t="n">
        <v>0</v>
      </c>
      <c r="AO747" t="n">
        <v>0</v>
      </c>
      <c r="AP747" t="inlineStr">
        <is>
          <t>No</t>
        </is>
      </c>
      <c r="AQ747" t="inlineStr">
        <is>
          <t>No</t>
        </is>
      </c>
      <c r="AS747">
        <f>HYPERLINK("https://creighton-primo.hosted.exlibrisgroup.com/primo-explore/search?tab=default_tab&amp;search_scope=EVERYTHING&amp;vid=01CRU&amp;lang=en_US&amp;offset=0&amp;query=any,contains,991004905629702656","Catalog Record")</f>
        <v/>
      </c>
      <c r="AT747">
        <f>HYPERLINK("http://www.worldcat.org/oclc/69992315","WorldCat Record")</f>
        <v/>
      </c>
      <c r="AU747" t="inlineStr">
        <is>
          <t>198155142:eng</t>
        </is>
      </c>
      <c r="AV747" t="inlineStr">
        <is>
          <t>69992315</t>
        </is>
      </c>
      <c r="AW747" t="inlineStr">
        <is>
          <t>991004905629702656</t>
        </is>
      </c>
      <c r="AX747" t="inlineStr">
        <is>
          <t>991004905629702656</t>
        </is>
      </c>
      <c r="AY747" t="inlineStr">
        <is>
          <t>2266546070002656</t>
        </is>
      </c>
      <c r="AZ747" t="inlineStr">
        <is>
          <t>BOOK</t>
        </is>
      </c>
      <c r="BB747" t="inlineStr">
        <is>
          <t>9780393058093</t>
        </is>
      </c>
      <c r="BC747" t="inlineStr">
        <is>
          <t>32285005230718</t>
        </is>
      </c>
      <c r="BD747" t="inlineStr">
        <is>
          <t>893876685</t>
        </is>
      </c>
    </row>
    <row r="748">
      <c r="A748" t="inlineStr">
        <is>
          <t>No</t>
        </is>
      </c>
      <c r="B748" t="inlineStr">
        <is>
          <t>E183.8.S65 G33 1987</t>
        </is>
      </c>
      <c r="C748" t="inlineStr">
        <is>
          <t>0                      E  0183800S  65                 G  33          1987</t>
        </is>
      </c>
      <c r="D748" t="inlineStr">
        <is>
          <t>The long peace : inquiries into the history of the Cold War / John Lewis Gaddis.</t>
        </is>
      </c>
      <c r="F748" t="inlineStr">
        <is>
          <t>No</t>
        </is>
      </c>
      <c r="G748" t="inlineStr">
        <is>
          <t>1</t>
        </is>
      </c>
      <c r="H748" t="inlineStr">
        <is>
          <t>No</t>
        </is>
      </c>
      <c r="I748" t="inlineStr">
        <is>
          <t>Yes</t>
        </is>
      </c>
      <c r="J748" t="inlineStr">
        <is>
          <t>0</t>
        </is>
      </c>
      <c r="K748" t="inlineStr">
        <is>
          <t>Gaddis, John Lewis.</t>
        </is>
      </c>
      <c r="L748" t="inlineStr">
        <is>
          <t>New York : Oxford University Press, 1987.</t>
        </is>
      </c>
      <c r="M748" t="inlineStr">
        <is>
          <t>1987</t>
        </is>
      </c>
      <c r="O748" t="inlineStr">
        <is>
          <t>eng</t>
        </is>
      </c>
      <c r="P748" t="inlineStr">
        <is>
          <t>nyu</t>
        </is>
      </c>
      <c r="R748" t="inlineStr">
        <is>
          <t xml:space="preserve">E  </t>
        </is>
      </c>
      <c r="S748" t="n">
        <v>11</v>
      </c>
      <c r="T748" t="n">
        <v>11</v>
      </c>
      <c r="U748" t="inlineStr">
        <is>
          <t>2001-09-09</t>
        </is>
      </c>
      <c r="V748" t="inlineStr">
        <is>
          <t>2001-09-09</t>
        </is>
      </c>
      <c r="W748" t="inlineStr">
        <is>
          <t>1990-05-03</t>
        </is>
      </c>
      <c r="X748" t="inlineStr">
        <is>
          <t>1990-05-03</t>
        </is>
      </c>
      <c r="Y748" t="n">
        <v>1304</v>
      </c>
      <c r="Z748" t="n">
        <v>1080</v>
      </c>
      <c r="AA748" t="n">
        <v>1128</v>
      </c>
      <c r="AB748" t="n">
        <v>5</v>
      </c>
      <c r="AC748" t="n">
        <v>6</v>
      </c>
      <c r="AD748" t="n">
        <v>40</v>
      </c>
      <c r="AE748" t="n">
        <v>41</v>
      </c>
      <c r="AF748" t="n">
        <v>17</v>
      </c>
      <c r="AG748" t="n">
        <v>17</v>
      </c>
      <c r="AH748" t="n">
        <v>9</v>
      </c>
      <c r="AI748" t="n">
        <v>9</v>
      </c>
      <c r="AJ748" t="n">
        <v>21</v>
      </c>
      <c r="AK748" t="n">
        <v>21</v>
      </c>
      <c r="AL748" t="n">
        <v>4</v>
      </c>
      <c r="AM748" t="n">
        <v>5</v>
      </c>
      <c r="AN748" t="n">
        <v>0</v>
      </c>
      <c r="AO748" t="n">
        <v>0</v>
      </c>
      <c r="AP748" t="inlineStr">
        <is>
          <t>No</t>
        </is>
      </c>
      <c r="AQ748" t="inlineStr">
        <is>
          <t>No</t>
        </is>
      </c>
      <c r="AS748">
        <f>HYPERLINK("https://creighton-primo.hosted.exlibrisgroup.com/primo-explore/search?tab=default_tab&amp;search_scope=EVERYTHING&amp;vid=01CRU&amp;lang=en_US&amp;offset=0&amp;query=any,contains,991000995039702656","Catalog Record")</f>
        <v/>
      </c>
      <c r="AT748">
        <f>HYPERLINK("http://www.worldcat.org/oclc/15132702","WorldCat Record")</f>
        <v/>
      </c>
      <c r="AU748" t="inlineStr">
        <is>
          <t>836704214:eng</t>
        </is>
      </c>
      <c r="AV748" t="inlineStr">
        <is>
          <t>15132702</t>
        </is>
      </c>
      <c r="AW748" t="inlineStr">
        <is>
          <t>991000995039702656</t>
        </is>
      </c>
      <c r="AX748" t="inlineStr">
        <is>
          <t>991000995039702656</t>
        </is>
      </c>
      <c r="AY748" t="inlineStr">
        <is>
          <t>2254893510002656</t>
        </is>
      </c>
      <c r="AZ748" t="inlineStr">
        <is>
          <t>BOOK</t>
        </is>
      </c>
      <c r="BB748" t="inlineStr">
        <is>
          <t>9780195043365</t>
        </is>
      </c>
      <c r="BC748" t="inlineStr">
        <is>
          <t>32285000148410</t>
        </is>
      </c>
      <c r="BD748" t="inlineStr">
        <is>
          <t>893315418</t>
        </is>
      </c>
    </row>
    <row r="749">
      <c r="A749" t="inlineStr">
        <is>
          <t>No</t>
        </is>
      </c>
      <c r="B749" t="inlineStr">
        <is>
          <t>E183.8.S65 G33 1989</t>
        </is>
      </c>
      <c r="C749" t="inlineStr">
        <is>
          <t>0                      E  0183800S  65                 G  33          1989</t>
        </is>
      </c>
      <c r="D749" t="inlineStr">
        <is>
          <t>The long peace : inquiries into the history of the cold war / John Lewis Gaddis.</t>
        </is>
      </c>
      <c r="F749" t="inlineStr">
        <is>
          <t>No</t>
        </is>
      </c>
      <c r="G749" t="inlineStr">
        <is>
          <t>1</t>
        </is>
      </c>
      <c r="H749" t="inlineStr">
        <is>
          <t>No</t>
        </is>
      </c>
      <c r="I749" t="inlineStr">
        <is>
          <t>Yes</t>
        </is>
      </c>
      <c r="J749" t="inlineStr">
        <is>
          <t>0</t>
        </is>
      </c>
      <c r="K749" t="inlineStr">
        <is>
          <t>Gaddis, John Lewis.</t>
        </is>
      </c>
      <c r="L749" t="inlineStr">
        <is>
          <t>New York ; Oxford : Oxford University Press, 1989, c1987.</t>
        </is>
      </c>
      <c r="M749" t="inlineStr">
        <is>
          <t>1989</t>
        </is>
      </c>
      <c r="O749" t="inlineStr">
        <is>
          <t>eng</t>
        </is>
      </c>
      <c r="P749" t="inlineStr">
        <is>
          <t>enk</t>
        </is>
      </c>
      <c r="R749" t="inlineStr">
        <is>
          <t xml:space="preserve">E  </t>
        </is>
      </c>
      <c r="S749" t="n">
        <v>7</v>
      </c>
      <c r="T749" t="n">
        <v>7</v>
      </c>
      <c r="U749" t="inlineStr">
        <is>
          <t>1995-12-04</t>
        </is>
      </c>
      <c r="V749" t="inlineStr">
        <is>
          <t>1995-12-04</t>
        </is>
      </c>
      <c r="W749" t="inlineStr">
        <is>
          <t>1991-03-14</t>
        </is>
      </c>
      <c r="X749" t="inlineStr">
        <is>
          <t>1991-03-14</t>
        </is>
      </c>
      <c r="Y749" t="n">
        <v>99</v>
      </c>
      <c r="Z749" t="n">
        <v>51</v>
      </c>
      <c r="AA749" t="n">
        <v>1128</v>
      </c>
      <c r="AB749" t="n">
        <v>2</v>
      </c>
      <c r="AC749" t="n">
        <v>6</v>
      </c>
      <c r="AD749" t="n">
        <v>2</v>
      </c>
      <c r="AE749" t="n">
        <v>41</v>
      </c>
      <c r="AF749" t="n">
        <v>0</v>
      </c>
      <c r="AG749" t="n">
        <v>17</v>
      </c>
      <c r="AH749" t="n">
        <v>1</v>
      </c>
      <c r="AI749" t="n">
        <v>9</v>
      </c>
      <c r="AJ749" t="n">
        <v>0</v>
      </c>
      <c r="AK749" t="n">
        <v>21</v>
      </c>
      <c r="AL749" t="n">
        <v>1</v>
      </c>
      <c r="AM749" t="n">
        <v>5</v>
      </c>
      <c r="AN749" t="n">
        <v>0</v>
      </c>
      <c r="AO749" t="n">
        <v>0</v>
      </c>
      <c r="AP749" t="inlineStr">
        <is>
          <t>No</t>
        </is>
      </c>
      <c r="AQ749" t="inlineStr">
        <is>
          <t>No</t>
        </is>
      </c>
      <c r="AS749">
        <f>HYPERLINK("https://creighton-primo.hosted.exlibrisgroup.com/primo-explore/search?tab=default_tab&amp;search_scope=EVERYTHING&amp;vid=01CRU&amp;lang=en_US&amp;offset=0&amp;query=any,contains,991001688789702656","Catalog Record")</f>
        <v/>
      </c>
      <c r="AT749">
        <f>HYPERLINK("http://www.worldcat.org/oclc/21411988","WorldCat Record")</f>
        <v/>
      </c>
      <c r="AU749" t="inlineStr">
        <is>
          <t>836704214:eng</t>
        </is>
      </c>
      <c r="AV749" t="inlineStr">
        <is>
          <t>21411988</t>
        </is>
      </c>
      <c r="AW749" t="inlineStr">
        <is>
          <t>991001688789702656</t>
        </is>
      </c>
      <c r="AX749" t="inlineStr">
        <is>
          <t>991001688789702656</t>
        </is>
      </c>
      <c r="AY749" t="inlineStr">
        <is>
          <t>2255131730002656</t>
        </is>
      </c>
      <c r="AZ749" t="inlineStr">
        <is>
          <t>BOOK</t>
        </is>
      </c>
      <c r="BB749" t="inlineStr">
        <is>
          <t>9780195043358</t>
        </is>
      </c>
      <c r="BC749" t="inlineStr">
        <is>
          <t>32285000512292</t>
        </is>
      </c>
      <c r="BD749" t="inlineStr">
        <is>
          <t>893696957</t>
        </is>
      </c>
    </row>
    <row r="750">
      <c r="A750" t="inlineStr">
        <is>
          <t>No</t>
        </is>
      </c>
      <c r="B750" t="inlineStr">
        <is>
          <t>E183.8.S65 G67 1987</t>
        </is>
      </c>
      <c r="C750" t="inlineStr">
        <is>
          <t>0                      E  0183800S  65                 G  67          1987</t>
        </is>
      </c>
      <c r="D750" t="inlineStr">
        <is>
          <t>Reykjavik, results &amp; lessons / by Mikhail Gorbachev.</t>
        </is>
      </c>
      <c r="F750" t="inlineStr">
        <is>
          <t>No</t>
        </is>
      </c>
      <c r="G750" t="inlineStr">
        <is>
          <t>1</t>
        </is>
      </c>
      <c r="H750" t="inlineStr">
        <is>
          <t>No</t>
        </is>
      </c>
      <c r="I750" t="inlineStr">
        <is>
          <t>No</t>
        </is>
      </c>
      <c r="J750" t="inlineStr">
        <is>
          <t>0</t>
        </is>
      </c>
      <c r="K750" t="inlineStr">
        <is>
          <t>Gorbachev, Mikhail Sergeevich, 1931-</t>
        </is>
      </c>
      <c r="L750" t="inlineStr">
        <is>
          <t>Madison, Conn. : Sphinx Press, c1987.</t>
        </is>
      </c>
      <c r="M750" t="inlineStr">
        <is>
          <t>1987</t>
        </is>
      </c>
      <c r="O750" t="inlineStr">
        <is>
          <t>eng</t>
        </is>
      </c>
      <c r="P750" t="inlineStr">
        <is>
          <t>ctu</t>
        </is>
      </c>
      <c r="R750" t="inlineStr">
        <is>
          <t xml:space="preserve">E  </t>
        </is>
      </c>
      <c r="S750" t="n">
        <v>6</v>
      </c>
      <c r="T750" t="n">
        <v>6</v>
      </c>
      <c r="U750" t="inlineStr">
        <is>
          <t>2001-09-09</t>
        </is>
      </c>
      <c r="V750" t="inlineStr">
        <is>
          <t>2001-09-09</t>
        </is>
      </c>
      <c r="W750" t="inlineStr">
        <is>
          <t>1990-05-08</t>
        </is>
      </c>
      <c r="X750" t="inlineStr">
        <is>
          <t>1990-05-08</t>
        </is>
      </c>
      <c r="Y750" t="n">
        <v>181</v>
      </c>
      <c r="Z750" t="n">
        <v>165</v>
      </c>
      <c r="AA750" t="n">
        <v>172</v>
      </c>
      <c r="AB750" t="n">
        <v>3</v>
      </c>
      <c r="AC750" t="n">
        <v>3</v>
      </c>
      <c r="AD750" t="n">
        <v>7</v>
      </c>
      <c r="AE750" t="n">
        <v>7</v>
      </c>
      <c r="AF750" t="n">
        <v>1</v>
      </c>
      <c r="AG750" t="n">
        <v>1</v>
      </c>
      <c r="AH750" t="n">
        <v>2</v>
      </c>
      <c r="AI750" t="n">
        <v>2</v>
      </c>
      <c r="AJ750" t="n">
        <v>2</v>
      </c>
      <c r="AK750" t="n">
        <v>2</v>
      </c>
      <c r="AL750" t="n">
        <v>1</v>
      </c>
      <c r="AM750" t="n">
        <v>1</v>
      </c>
      <c r="AN750" t="n">
        <v>2</v>
      </c>
      <c r="AO750" t="n">
        <v>2</v>
      </c>
      <c r="AP750" t="inlineStr">
        <is>
          <t>No</t>
        </is>
      </c>
      <c r="AQ750" t="inlineStr">
        <is>
          <t>Yes</t>
        </is>
      </c>
      <c r="AR750">
        <f>HYPERLINK("http://catalog.hathitrust.org/Record/000904871","HathiTrust Record")</f>
        <v/>
      </c>
      <c r="AS750">
        <f>HYPERLINK("https://creighton-primo.hosted.exlibrisgroup.com/primo-explore/search?tab=default_tab&amp;search_scope=EVERYTHING&amp;vid=01CRU&amp;lang=en_US&amp;offset=0&amp;query=any,contains,991000977409702656","Catalog Record")</f>
        <v/>
      </c>
      <c r="AT750">
        <f>HYPERLINK("http://www.worldcat.org/oclc/15016766","WorldCat Record")</f>
        <v/>
      </c>
      <c r="AU750" t="inlineStr">
        <is>
          <t>3855394813:eng</t>
        </is>
      </c>
      <c r="AV750" t="inlineStr">
        <is>
          <t>15016766</t>
        </is>
      </c>
      <c r="AW750" t="inlineStr">
        <is>
          <t>991000977409702656</t>
        </is>
      </c>
      <c r="AX750" t="inlineStr">
        <is>
          <t>991000977409702656</t>
        </is>
      </c>
      <c r="AY750" t="inlineStr">
        <is>
          <t>2264347970002656</t>
        </is>
      </c>
      <c r="AZ750" t="inlineStr">
        <is>
          <t>BOOK</t>
        </is>
      </c>
      <c r="BB750" t="inlineStr">
        <is>
          <t>9780823686636</t>
        </is>
      </c>
      <c r="BC750" t="inlineStr">
        <is>
          <t>32285000150788</t>
        </is>
      </c>
      <c r="BD750" t="inlineStr">
        <is>
          <t>893602221</t>
        </is>
      </c>
    </row>
    <row r="751">
      <c r="A751" t="inlineStr">
        <is>
          <t>No</t>
        </is>
      </c>
      <c r="B751" t="inlineStr">
        <is>
          <t>E183.8.S65 G673 1988</t>
        </is>
      </c>
      <c r="C751" t="inlineStr">
        <is>
          <t>0                      E  0183800S  65                 G  673         1988</t>
        </is>
      </c>
      <c r="D751" t="inlineStr">
        <is>
          <t>Gorbachev's Russia and American foreign policy / edited by Seweryn Bialer and Michael Mandelbaum.</t>
        </is>
      </c>
      <c r="F751" t="inlineStr">
        <is>
          <t>No</t>
        </is>
      </c>
      <c r="G751" t="inlineStr">
        <is>
          <t>1</t>
        </is>
      </c>
      <c r="H751" t="inlineStr">
        <is>
          <t>No</t>
        </is>
      </c>
      <c r="I751" t="inlineStr">
        <is>
          <t>No</t>
        </is>
      </c>
      <c r="J751" t="inlineStr">
        <is>
          <t>0</t>
        </is>
      </c>
      <c r="L751" t="inlineStr">
        <is>
          <t>Boulder : Westview Press, 1988.</t>
        </is>
      </c>
      <c r="M751" t="inlineStr">
        <is>
          <t>1988</t>
        </is>
      </c>
      <c r="O751" t="inlineStr">
        <is>
          <t>eng</t>
        </is>
      </c>
      <c r="P751" t="inlineStr">
        <is>
          <t>cou</t>
        </is>
      </c>
      <c r="R751" t="inlineStr">
        <is>
          <t xml:space="preserve">E  </t>
        </is>
      </c>
      <c r="S751" t="n">
        <v>8</v>
      </c>
      <c r="T751" t="n">
        <v>8</v>
      </c>
      <c r="U751" t="inlineStr">
        <is>
          <t>2001-04-26</t>
        </is>
      </c>
      <c r="V751" t="inlineStr">
        <is>
          <t>2001-04-26</t>
        </is>
      </c>
      <c r="W751" t="inlineStr">
        <is>
          <t>1990-06-01</t>
        </is>
      </c>
      <c r="X751" t="inlineStr">
        <is>
          <t>1990-06-01</t>
        </is>
      </c>
      <c r="Y751" t="n">
        <v>972</v>
      </c>
      <c r="Z751" t="n">
        <v>820</v>
      </c>
      <c r="AA751" t="n">
        <v>838</v>
      </c>
      <c r="AB751" t="n">
        <v>7</v>
      </c>
      <c r="AC751" t="n">
        <v>7</v>
      </c>
      <c r="AD751" t="n">
        <v>41</v>
      </c>
      <c r="AE751" t="n">
        <v>41</v>
      </c>
      <c r="AF751" t="n">
        <v>18</v>
      </c>
      <c r="AG751" t="n">
        <v>18</v>
      </c>
      <c r="AH751" t="n">
        <v>7</v>
      </c>
      <c r="AI751" t="n">
        <v>7</v>
      </c>
      <c r="AJ751" t="n">
        <v>16</v>
      </c>
      <c r="AK751" t="n">
        <v>16</v>
      </c>
      <c r="AL751" t="n">
        <v>6</v>
      </c>
      <c r="AM751" t="n">
        <v>6</v>
      </c>
      <c r="AN751" t="n">
        <v>1</v>
      </c>
      <c r="AO751" t="n">
        <v>1</v>
      </c>
      <c r="AP751" t="inlineStr">
        <is>
          <t>No</t>
        </is>
      </c>
      <c r="AQ751" t="inlineStr">
        <is>
          <t>Yes</t>
        </is>
      </c>
      <c r="AR751">
        <f>HYPERLINK("http://catalog.hathitrust.org/Record/000919229","HathiTrust Record")</f>
        <v/>
      </c>
      <c r="AS751">
        <f>HYPERLINK("https://creighton-primo.hosted.exlibrisgroup.com/primo-explore/search?tab=default_tab&amp;search_scope=EVERYTHING&amp;vid=01CRU&amp;lang=en_US&amp;offset=0&amp;query=any,contains,991001236729702656","Catalog Record")</f>
        <v/>
      </c>
      <c r="AT751">
        <f>HYPERLINK("http://www.worldcat.org/oclc/17551626","WorldCat Record")</f>
        <v/>
      </c>
      <c r="AU751" t="inlineStr">
        <is>
          <t>349918206:eng</t>
        </is>
      </c>
      <c r="AV751" t="inlineStr">
        <is>
          <t>17551626</t>
        </is>
      </c>
      <c r="AW751" t="inlineStr">
        <is>
          <t>991001236729702656</t>
        </is>
      </c>
      <c r="AX751" t="inlineStr">
        <is>
          <t>991001236729702656</t>
        </is>
      </c>
      <c r="AY751" t="inlineStr">
        <is>
          <t>2263296760002656</t>
        </is>
      </c>
      <c r="AZ751" t="inlineStr">
        <is>
          <t>BOOK</t>
        </is>
      </c>
      <c r="BB751" t="inlineStr">
        <is>
          <t>9780813307480</t>
        </is>
      </c>
      <c r="BC751" t="inlineStr">
        <is>
          <t>32285000169739</t>
        </is>
      </c>
      <c r="BD751" t="inlineStr">
        <is>
          <t>893528788</t>
        </is>
      </c>
    </row>
    <row r="752">
      <c r="A752" t="inlineStr">
        <is>
          <t>No</t>
        </is>
      </c>
      <c r="B752" t="inlineStr">
        <is>
          <t>E183.8.S65 G756 2001</t>
        </is>
      </c>
      <c r="C752" t="inlineStr">
        <is>
          <t>0                      E  0183800S  65                 G  756         2001</t>
        </is>
      </c>
      <c r="D752" t="inlineStr">
        <is>
          <t>Natural enemies : the United States and the Soviet Union in the Cold War, 1917-1991 / Robert C. Grogin.</t>
        </is>
      </c>
      <c r="F752" t="inlineStr">
        <is>
          <t>No</t>
        </is>
      </c>
      <c r="G752" t="inlineStr">
        <is>
          <t>1</t>
        </is>
      </c>
      <c r="H752" t="inlineStr">
        <is>
          <t>No</t>
        </is>
      </c>
      <c r="I752" t="inlineStr">
        <is>
          <t>No</t>
        </is>
      </c>
      <c r="J752" t="inlineStr">
        <is>
          <t>0</t>
        </is>
      </c>
      <c r="K752" t="inlineStr">
        <is>
          <t>Grogin, R. C. (Robert C.), 1935-</t>
        </is>
      </c>
      <c r="L752" t="inlineStr">
        <is>
          <t>Lanham, Md. : Lexington Books, c2001.</t>
        </is>
      </c>
      <c r="M752" t="inlineStr">
        <is>
          <t>2001</t>
        </is>
      </c>
      <c r="O752" t="inlineStr">
        <is>
          <t>eng</t>
        </is>
      </c>
      <c r="P752" t="inlineStr">
        <is>
          <t>mdu</t>
        </is>
      </c>
      <c r="R752" t="inlineStr">
        <is>
          <t xml:space="preserve">E  </t>
        </is>
      </c>
      <c r="S752" t="n">
        <v>2</v>
      </c>
      <c r="T752" t="n">
        <v>2</v>
      </c>
      <c r="U752" t="inlineStr">
        <is>
          <t>2004-04-18</t>
        </is>
      </c>
      <c r="V752" t="inlineStr">
        <is>
          <t>2004-04-18</t>
        </is>
      </c>
      <c r="W752" t="inlineStr">
        <is>
          <t>2001-03-28</t>
        </is>
      </c>
      <c r="X752" t="inlineStr">
        <is>
          <t>2001-03-28</t>
        </is>
      </c>
      <c r="Y752" t="n">
        <v>334</v>
      </c>
      <c r="Z752" t="n">
        <v>282</v>
      </c>
      <c r="AA752" t="n">
        <v>286</v>
      </c>
      <c r="AB752" t="n">
        <v>3</v>
      </c>
      <c r="AC752" t="n">
        <v>3</v>
      </c>
      <c r="AD752" t="n">
        <v>19</v>
      </c>
      <c r="AE752" t="n">
        <v>19</v>
      </c>
      <c r="AF752" t="n">
        <v>8</v>
      </c>
      <c r="AG752" t="n">
        <v>8</v>
      </c>
      <c r="AH752" t="n">
        <v>4</v>
      </c>
      <c r="AI752" t="n">
        <v>4</v>
      </c>
      <c r="AJ752" t="n">
        <v>9</v>
      </c>
      <c r="AK752" t="n">
        <v>9</v>
      </c>
      <c r="AL752" t="n">
        <v>2</v>
      </c>
      <c r="AM752" t="n">
        <v>2</v>
      </c>
      <c r="AN752" t="n">
        <v>0</v>
      </c>
      <c r="AO752" t="n">
        <v>0</v>
      </c>
      <c r="AP752" t="inlineStr">
        <is>
          <t>No</t>
        </is>
      </c>
      <c r="AQ752" t="inlineStr">
        <is>
          <t>Yes</t>
        </is>
      </c>
      <c r="AR752">
        <f>HYPERLINK("http://catalog.hathitrust.org/Record/004143295","HathiTrust Record")</f>
        <v/>
      </c>
      <c r="AS752">
        <f>HYPERLINK("https://creighton-primo.hosted.exlibrisgroup.com/primo-explore/search?tab=default_tab&amp;search_scope=EVERYTHING&amp;vid=01CRU&amp;lang=en_US&amp;offset=0&amp;query=any,contains,991003510909702656","Catalog Record")</f>
        <v/>
      </c>
      <c r="AT752">
        <f>HYPERLINK("http://www.worldcat.org/oclc/43945251","WorldCat Record")</f>
        <v/>
      </c>
      <c r="AU752" t="inlineStr">
        <is>
          <t>48662:eng</t>
        </is>
      </c>
      <c r="AV752" t="inlineStr">
        <is>
          <t>43945251</t>
        </is>
      </c>
      <c r="AW752" t="inlineStr">
        <is>
          <t>991003510909702656</t>
        </is>
      </c>
      <c r="AX752" t="inlineStr">
        <is>
          <t>991003510909702656</t>
        </is>
      </c>
      <c r="AY752" t="inlineStr">
        <is>
          <t>2272023430002656</t>
        </is>
      </c>
      <c r="AZ752" t="inlineStr">
        <is>
          <t>BOOK</t>
        </is>
      </c>
      <c r="BB752" t="inlineStr">
        <is>
          <t>9780739101391</t>
        </is>
      </c>
      <c r="BC752" t="inlineStr">
        <is>
          <t>32285004308127</t>
        </is>
      </c>
      <c r="BD752" t="inlineStr">
        <is>
          <t>893887541</t>
        </is>
      </c>
    </row>
    <row r="753">
      <c r="A753" t="inlineStr">
        <is>
          <t>No</t>
        </is>
      </c>
      <c r="B753" t="inlineStr">
        <is>
          <t>E183.8.S65 H92 1990</t>
        </is>
      </c>
      <c r="C753" t="inlineStr">
        <is>
          <t>0                      E  0183800S  65                 H  92          1990</t>
        </is>
      </c>
      <c r="D753" t="inlineStr">
        <is>
          <t>The cold war is over / William G. Hyland.</t>
        </is>
      </c>
      <c r="F753" t="inlineStr">
        <is>
          <t>No</t>
        </is>
      </c>
      <c r="G753" t="inlineStr">
        <is>
          <t>1</t>
        </is>
      </c>
      <c r="H753" t="inlineStr">
        <is>
          <t>No</t>
        </is>
      </c>
      <c r="I753" t="inlineStr">
        <is>
          <t>No</t>
        </is>
      </c>
      <c r="J753" t="inlineStr">
        <is>
          <t>0</t>
        </is>
      </c>
      <c r="K753" t="inlineStr">
        <is>
          <t>Hyland, William G. (William George), 1929-2008.</t>
        </is>
      </c>
      <c r="L753" t="inlineStr">
        <is>
          <t>New York : Time Books/Random House, c1990.</t>
        </is>
      </c>
      <c r="M753" t="inlineStr">
        <is>
          <t>1990</t>
        </is>
      </c>
      <c r="N753" t="inlineStr">
        <is>
          <t>1st ed.</t>
        </is>
      </c>
      <c r="O753" t="inlineStr">
        <is>
          <t>eng</t>
        </is>
      </c>
      <c r="P753" t="inlineStr">
        <is>
          <t>nyu</t>
        </is>
      </c>
      <c r="R753" t="inlineStr">
        <is>
          <t xml:space="preserve">E  </t>
        </is>
      </c>
      <c r="S753" t="n">
        <v>5</v>
      </c>
      <c r="T753" t="n">
        <v>5</v>
      </c>
      <c r="U753" t="inlineStr">
        <is>
          <t>1995-04-27</t>
        </is>
      </c>
      <c r="V753" t="inlineStr">
        <is>
          <t>1995-04-27</t>
        </is>
      </c>
      <c r="W753" t="inlineStr">
        <is>
          <t>1991-03-11</t>
        </is>
      </c>
      <c r="X753" t="inlineStr">
        <is>
          <t>1991-03-11</t>
        </is>
      </c>
      <c r="Y753" t="n">
        <v>675</v>
      </c>
      <c r="Z753" t="n">
        <v>613</v>
      </c>
      <c r="AA753" t="n">
        <v>622</v>
      </c>
      <c r="AB753" t="n">
        <v>4</v>
      </c>
      <c r="AC753" t="n">
        <v>4</v>
      </c>
      <c r="AD753" t="n">
        <v>18</v>
      </c>
      <c r="AE753" t="n">
        <v>18</v>
      </c>
      <c r="AF753" t="n">
        <v>4</v>
      </c>
      <c r="AG753" t="n">
        <v>4</v>
      </c>
      <c r="AH753" t="n">
        <v>4</v>
      </c>
      <c r="AI753" t="n">
        <v>4</v>
      </c>
      <c r="AJ753" t="n">
        <v>13</v>
      </c>
      <c r="AK753" t="n">
        <v>13</v>
      </c>
      <c r="AL753" t="n">
        <v>2</v>
      </c>
      <c r="AM753" t="n">
        <v>2</v>
      </c>
      <c r="AN753" t="n">
        <v>0</v>
      </c>
      <c r="AO753" t="n">
        <v>0</v>
      </c>
      <c r="AP753" t="inlineStr">
        <is>
          <t>No</t>
        </is>
      </c>
      <c r="AQ753" t="inlineStr">
        <is>
          <t>Yes</t>
        </is>
      </c>
      <c r="AR753">
        <f>HYPERLINK("http://catalog.hathitrust.org/Record/002171243","HathiTrust Record")</f>
        <v/>
      </c>
      <c r="AS753">
        <f>HYPERLINK("https://creighton-primo.hosted.exlibrisgroup.com/primo-explore/search?tab=default_tab&amp;search_scope=EVERYTHING&amp;vid=01CRU&amp;lang=en_US&amp;offset=0&amp;query=any,contains,991001623809702656","Catalog Record")</f>
        <v/>
      </c>
      <c r="AT753">
        <f>HYPERLINK("http://www.worldcat.org/oclc/20827291","WorldCat Record")</f>
        <v/>
      </c>
      <c r="AU753" t="inlineStr">
        <is>
          <t>22463950:eng</t>
        </is>
      </c>
      <c r="AV753" t="inlineStr">
        <is>
          <t>20827291</t>
        </is>
      </c>
      <c r="AW753" t="inlineStr">
        <is>
          <t>991001623809702656</t>
        </is>
      </c>
      <c r="AX753" t="inlineStr">
        <is>
          <t>991001623809702656</t>
        </is>
      </c>
      <c r="AY753" t="inlineStr">
        <is>
          <t>2261313910002656</t>
        </is>
      </c>
      <c r="AZ753" t="inlineStr">
        <is>
          <t>BOOK</t>
        </is>
      </c>
      <c r="BB753" t="inlineStr">
        <is>
          <t>9780812918717</t>
        </is>
      </c>
      <c r="BC753" t="inlineStr">
        <is>
          <t>32285000494202</t>
        </is>
      </c>
      <c r="BD753" t="inlineStr">
        <is>
          <t>893529050</t>
        </is>
      </c>
    </row>
    <row r="754">
      <c r="A754" t="inlineStr">
        <is>
          <t>No</t>
        </is>
      </c>
      <c r="B754" t="inlineStr">
        <is>
          <t>E183.8.S65 N64 1988</t>
        </is>
      </c>
      <c r="C754" t="inlineStr">
        <is>
          <t>0                      E  0183800S  65                 N  64          1988</t>
        </is>
      </c>
      <c r="D754" t="inlineStr">
        <is>
          <t>Peace impossible--war unlikely : the cold war between the United States and the Soviet Union / Joseph L. Nogee, John Spanier.</t>
        </is>
      </c>
      <c r="F754" t="inlineStr">
        <is>
          <t>No</t>
        </is>
      </c>
      <c r="G754" t="inlineStr">
        <is>
          <t>1</t>
        </is>
      </c>
      <c r="H754" t="inlineStr">
        <is>
          <t>No</t>
        </is>
      </c>
      <c r="I754" t="inlineStr">
        <is>
          <t>No</t>
        </is>
      </c>
      <c r="J754" t="inlineStr">
        <is>
          <t>0</t>
        </is>
      </c>
      <c r="K754" t="inlineStr">
        <is>
          <t>Nogee, Joseph L.</t>
        </is>
      </c>
      <c r="L754" t="inlineStr">
        <is>
          <t>Glenview, Ill. : Scott, Foresman/Little, c1988.</t>
        </is>
      </c>
      <c r="M754" t="inlineStr">
        <is>
          <t>1988</t>
        </is>
      </c>
      <c r="O754" t="inlineStr">
        <is>
          <t>eng</t>
        </is>
      </c>
      <c r="P754" t="inlineStr">
        <is>
          <t>ilu</t>
        </is>
      </c>
      <c r="R754" t="inlineStr">
        <is>
          <t xml:space="preserve">E  </t>
        </is>
      </c>
      <c r="S754" t="n">
        <v>2</v>
      </c>
      <c r="T754" t="n">
        <v>2</v>
      </c>
      <c r="U754" t="inlineStr">
        <is>
          <t>1995-04-27</t>
        </is>
      </c>
      <c r="V754" t="inlineStr">
        <is>
          <t>1995-04-27</t>
        </is>
      </c>
      <c r="W754" t="inlineStr">
        <is>
          <t>1991-02-11</t>
        </is>
      </c>
      <c r="X754" t="inlineStr">
        <is>
          <t>1991-02-11</t>
        </is>
      </c>
      <c r="Y754" t="n">
        <v>254</v>
      </c>
      <c r="Z754" t="n">
        <v>213</v>
      </c>
      <c r="AA754" t="n">
        <v>215</v>
      </c>
      <c r="AB754" t="n">
        <v>2</v>
      </c>
      <c r="AC754" t="n">
        <v>2</v>
      </c>
      <c r="AD754" t="n">
        <v>11</v>
      </c>
      <c r="AE754" t="n">
        <v>11</v>
      </c>
      <c r="AF754" t="n">
        <v>2</v>
      </c>
      <c r="AG754" t="n">
        <v>2</v>
      </c>
      <c r="AH754" t="n">
        <v>4</v>
      </c>
      <c r="AI754" t="n">
        <v>4</v>
      </c>
      <c r="AJ754" t="n">
        <v>7</v>
      </c>
      <c r="AK754" t="n">
        <v>7</v>
      </c>
      <c r="AL754" t="n">
        <v>1</v>
      </c>
      <c r="AM754" t="n">
        <v>1</v>
      </c>
      <c r="AN754" t="n">
        <v>0</v>
      </c>
      <c r="AO754" t="n">
        <v>0</v>
      </c>
      <c r="AP754" t="inlineStr">
        <is>
          <t>No</t>
        </is>
      </c>
      <c r="AQ754" t="inlineStr">
        <is>
          <t>Yes</t>
        </is>
      </c>
      <c r="AR754">
        <f>HYPERLINK("http://catalog.hathitrust.org/Record/000925547","HathiTrust Record")</f>
        <v/>
      </c>
      <c r="AS754">
        <f>HYPERLINK("https://creighton-primo.hosted.exlibrisgroup.com/primo-explore/search?tab=default_tab&amp;search_scope=EVERYTHING&amp;vid=01CRU&amp;lang=en_US&amp;offset=0&amp;query=any,contains,991001148449702656","Catalog Record")</f>
        <v/>
      </c>
      <c r="AT754">
        <f>HYPERLINK("http://www.worldcat.org/oclc/16801749","WorldCat Record")</f>
        <v/>
      </c>
      <c r="AU754" t="inlineStr">
        <is>
          <t>864952010:eng</t>
        </is>
      </c>
      <c r="AV754" t="inlineStr">
        <is>
          <t>16801749</t>
        </is>
      </c>
      <c r="AW754" t="inlineStr">
        <is>
          <t>991001148449702656</t>
        </is>
      </c>
      <c r="AX754" t="inlineStr">
        <is>
          <t>991001148449702656</t>
        </is>
      </c>
      <c r="AY754" t="inlineStr">
        <is>
          <t>2269198360002656</t>
        </is>
      </c>
      <c r="AZ754" t="inlineStr">
        <is>
          <t>BOOK</t>
        </is>
      </c>
      <c r="BB754" t="inlineStr">
        <is>
          <t>9780673397836</t>
        </is>
      </c>
      <c r="BC754" t="inlineStr">
        <is>
          <t>32285000482348</t>
        </is>
      </c>
      <c r="BD754" t="inlineStr">
        <is>
          <t>893621111</t>
        </is>
      </c>
    </row>
    <row r="755">
      <c r="A755" t="inlineStr">
        <is>
          <t>No</t>
        </is>
      </c>
      <c r="B755" t="inlineStr">
        <is>
          <t>E183.8.S65 O24 1991</t>
        </is>
      </c>
      <c r="C755" t="inlineStr">
        <is>
          <t>0                      E  0183800S  65                 O  24          1991</t>
        </is>
      </c>
      <c r="D755" t="inlineStr">
        <is>
          <t>The turn : from the cold war to a new era : the United States and the Soviet Union, 1983-1990 / Don Oberdorfer.</t>
        </is>
      </c>
      <c r="F755" t="inlineStr">
        <is>
          <t>No</t>
        </is>
      </c>
      <c r="G755" t="inlineStr">
        <is>
          <t>1</t>
        </is>
      </c>
      <c r="H755" t="inlineStr">
        <is>
          <t>No</t>
        </is>
      </c>
      <c r="I755" t="inlineStr">
        <is>
          <t>No</t>
        </is>
      </c>
      <c r="J755" t="inlineStr">
        <is>
          <t>0</t>
        </is>
      </c>
      <c r="K755" t="inlineStr">
        <is>
          <t>Oberdorfer, Don.</t>
        </is>
      </c>
      <c r="L755" t="inlineStr">
        <is>
          <t>New York : Poseidon Press, c1991.</t>
        </is>
      </c>
      <c r="M755" t="inlineStr">
        <is>
          <t>1991</t>
        </is>
      </c>
      <c r="O755" t="inlineStr">
        <is>
          <t>eng</t>
        </is>
      </c>
      <c r="P755" t="inlineStr">
        <is>
          <t>nyu</t>
        </is>
      </c>
      <c r="R755" t="inlineStr">
        <is>
          <t xml:space="preserve">E  </t>
        </is>
      </c>
      <c r="S755" t="n">
        <v>1</v>
      </c>
      <c r="T755" t="n">
        <v>1</v>
      </c>
      <c r="U755" t="inlineStr">
        <is>
          <t>1992-03-25</t>
        </is>
      </c>
      <c r="V755" t="inlineStr">
        <is>
          <t>1992-03-25</t>
        </is>
      </c>
      <c r="W755" t="inlineStr">
        <is>
          <t>1992-01-28</t>
        </is>
      </c>
      <c r="X755" t="inlineStr">
        <is>
          <t>1992-01-28</t>
        </is>
      </c>
      <c r="Y755" t="n">
        <v>601</v>
      </c>
      <c r="Z755" t="n">
        <v>534</v>
      </c>
      <c r="AA755" t="n">
        <v>579</v>
      </c>
      <c r="AB755" t="n">
        <v>2</v>
      </c>
      <c r="AC755" t="n">
        <v>2</v>
      </c>
      <c r="AD755" t="n">
        <v>17</v>
      </c>
      <c r="AE755" t="n">
        <v>19</v>
      </c>
      <c r="AF755" t="n">
        <v>5</v>
      </c>
      <c r="AG755" t="n">
        <v>5</v>
      </c>
      <c r="AH755" t="n">
        <v>4</v>
      </c>
      <c r="AI755" t="n">
        <v>5</v>
      </c>
      <c r="AJ755" t="n">
        <v>11</v>
      </c>
      <c r="AK755" t="n">
        <v>12</v>
      </c>
      <c r="AL755" t="n">
        <v>1</v>
      </c>
      <c r="AM755" t="n">
        <v>1</v>
      </c>
      <c r="AN755" t="n">
        <v>1</v>
      </c>
      <c r="AO755" t="n">
        <v>1</v>
      </c>
      <c r="AP755" t="inlineStr">
        <is>
          <t>No</t>
        </is>
      </c>
      <c r="AQ755" t="inlineStr">
        <is>
          <t>Yes</t>
        </is>
      </c>
      <c r="AR755">
        <f>HYPERLINK("http://catalog.hathitrust.org/Record/002497648","HathiTrust Record")</f>
        <v/>
      </c>
      <c r="AS755">
        <f>HYPERLINK("https://creighton-primo.hosted.exlibrisgroup.com/primo-explore/search?tab=default_tab&amp;search_scope=EVERYTHING&amp;vid=01CRU&amp;lang=en_US&amp;offset=0&amp;query=any,contains,991001894929702656","Catalog Record")</f>
        <v/>
      </c>
      <c r="AT755">
        <f>HYPERLINK("http://www.worldcat.org/oclc/23940608","WorldCat Record")</f>
        <v/>
      </c>
      <c r="AU755" t="inlineStr">
        <is>
          <t>25765005:eng</t>
        </is>
      </c>
      <c r="AV755" t="inlineStr">
        <is>
          <t>23940608</t>
        </is>
      </c>
      <c r="AW755" t="inlineStr">
        <is>
          <t>991001894929702656</t>
        </is>
      </c>
      <c r="AX755" t="inlineStr">
        <is>
          <t>991001894929702656</t>
        </is>
      </c>
      <c r="AY755" t="inlineStr">
        <is>
          <t>2267480970002656</t>
        </is>
      </c>
      <c r="AZ755" t="inlineStr">
        <is>
          <t>BOOK</t>
        </is>
      </c>
      <c r="BB755" t="inlineStr">
        <is>
          <t>9780671707835</t>
        </is>
      </c>
      <c r="BC755" t="inlineStr">
        <is>
          <t>32285000866540</t>
        </is>
      </c>
      <c r="BD755" t="inlineStr">
        <is>
          <t>893238418</t>
        </is>
      </c>
    </row>
    <row r="756">
      <c r="A756" t="inlineStr">
        <is>
          <t>No</t>
        </is>
      </c>
      <c r="B756" t="inlineStr">
        <is>
          <t>E183.8.S65 O84 1987</t>
        </is>
      </c>
      <c r="C756" t="inlineStr">
        <is>
          <t>0                      E  0183800S  65                 O  84          1987</t>
        </is>
      </c>
      <c r="D756" t="inlineStr">
        <is>
          <t>The Other side : how Soviets and Americans perceive each other / Robert English and Jonathan J. Halperin.</t>
        </is>
      </c>
      <c r="F756" t="inlineStr">
        <is>
          <t>No</t>
        </is>
      </c>
      <c r="G756" t="inlineStr">
        <is>
          <t>1</t>
        </is>
      </c>
      <c r="H756" t="inlineStr">
        <is>
          <t>No</t>
        </is>
      </c>
      <c r="I756" t="inlineStr">
        <is>
          <t>No</t>
        </is>
      </c>
      <c r="J756" t="inlineStr">
        <is>
          <t>0</t>
        </is>
      </c>
      <c r="L756" t="inlineStr">
        <is>
          <t>New Brunswick, U.S.A. : Transaction Books, c1987.</t>
        </is>
      </c>
      <c r="M756" t="inlineStr">
        <is>
          <t>1987</t>
        </is>
      </c>
      <c r="O756" t="inlineStr">
        <is>
          <t>eng</t>
        </is>
      </c>
      <c r="P756" t="inlineStr">
        <is>
          <t>nju</t>
        </is>
      </c>
      <c r="R756" t="inlineStr">
        <is>
          <t xml:space="preserve">E  </t>
        </is>
      </c>
      <c r="S756" t="n">
        <v>2</v>
      </c>
      <c r="T756" t="n">
        <v>2</v>
      </c>
      <c r="U756" t="inlineStr">
        <is>
          <t>1995-04-27</t>
        </is>
      </c>
      <c r="V756" t="inlineStr">
        <is>
          <t>1995-04-27</t>
        </is>
      </c>
      <c r="W756" t="inlineStr">
        <is>
          <t>1991-02-11</t>
        </is>
      </c>
      <c r="X756" t="inlineStr">
        <is>
          <t>1991-02-11</t>
        </is>
      </c>
      <c r="Y756" t="n">
        <v>401</v>
      </c>
      <c r="Z756" t="n">
        <v>339</v>
      </c>
      <c r="AA756" t="n">
        <v>345</v>
      </c>
      <c r="AB756" t="n">
        <v>3</v>
      </c>
      <c r="AC756" t="n">
        <v>3</v>
      </c>
      <c r="AD756" t="n">
        <v>22</v>
      </c>
      <c r="AE756" t="n">
        <v>22</v>
      </c>
      <c r="AF756" t="n">
        <v>7</v>
      </c>
      <c r="AG756" t="n">
        <v>7</v>
      </c>
      <c r="AH756" t="n">
        <v>7</v>
      </c>
      <c r="AI756" t="n">
        <v>7</v>
      </c>
      <c r="AJ756" t="n">
        <v>12</v>
      </c>
      <c r="AK756" t="n">
        <v>12</v>
      </c>
      <c r="AL756" t="n">
        <v>2</v>
      </c>
      <c r="AM756" t="n">
        <v>2</v>
      </c>
      <c r="AN756" t="n">
        <v>0</v>
      </c>
      <c r="AO756" t="n">
        <v>0</v>
      </c>
      <c r="AP756" t="inlineStr">
        <is>
          <t>No</t>
        </is>
      </c>
      <c r="AQ756" t="inlineStr">
        <is>
          <t>No</t>
        </is>
      </c>
      <c r="AS756">
        <f>HYPERLINK("https://creighton-primo.hosted.exlibrisgroup.com/primo-explore/search?tab=default_tab&amp;search_scope=EVERYTHING&amp;vid=01CRU&amp;lang=en_US&amp;offset=0&amp;query=any,contains,991000978709702656","Catalog Record")</f>
        <v/>
      </c>
      <c r="AT756">
        <f>HYPERLINK("http://www.worldcat.org/oclc/15017473","WorldCat Record")</f>
        <v/>
      </c>
      <c r="AU756" t="inlineStr">
        <is>
          <t>836699763:eng</t>
        </is>
      </c>
      <c r="AV756" t="inlineStr">
        <is>
          <t>15017473</t>
        </is>
      </c>
      <c r="AW756" t="inlineStr">
        <is>
          <t>991000978709702656</t>
        </is>
      </c>
      <c r="AX756" t="inlineStr">
        <is>
          <t>991000978709702656</t>
        </is>
      </c>
      <c r="AY756" t="inlineStr">
        <is>
          <t>2265023460002656</t>
        </is>
      </c>
      <c r="AZ756" t="inlineStr">
        <is>
          <t>BOOK</t>
        </is>
      </c>
      <c r="BB756" t="inlineStr">
        <is>
          <t>9780887386879</t>
        </is>
      </c>
      <c r="BC756" t="inlineStr">
        <is>
          <t>32285000482371</t>
        </is>
      </c>
      <c r="BD756" t="inlineStr">
        <is>
          <t>893784698</t>
        </is>
      </c>
    </row>
    <row r="757">
      <c r="A757" t="inlineStr">
        <is>
          <t>No</t>
        </is>
      </c>
      <c r="B757" t="inlineStr">
        <is>
          <t>E183.8.S65 S28 1983</t>
        </is>
      </c>
      <c r="C757" t="inlineStr">
        <is>
          <t>0                      E  0183800S  65                 S  28          1983</t>
        </is>
      </c>
      <c r="D757" t="inlineStr">
        <is>
          <t>Soviet perceptions of the oil factor in U.S. foreign policy : the Middle East-Gulf region / Herbert L. Sawyer.</t>
        </is>
      </c>
      <c r="F757" t="inlineStr">
        <is>
          <t>No</t>
        </is>
      </c>
      <c r="G757" t="inlineStr">
        <is>
          <t>1</t>
        </is>
      </c>
      <c r="H757" t="inlineStr">
        <is>
          <t>No</t>
        </is>
      </c>
      <c r="I757" t="inlineStr">
        <is>
          <t>No</t>
        </is>
      </c>
      <c r="J757" t="inlineStr">
        <is>
          <t>0</t>
        </is>
      </c>
      <c r="K757" t="inlineStr">
        <is>
          <t>Sawyer, Herbert L.</t>
        </is>
      </c>
      <c r="L757" t="inlineStr">
        <is>
          <t>Boulder, Colo. : Westview Press, 1983.</t>
        </is>
      </c>
      <c r="M757" t="inlineStr">
        <is>
          <t>1983</t>
        </is>
      </c>
      <c r="O757" t="inlineStr">
        <is>
          <t>eng</t>
        </is>
      </c>
      <c r="P757" t="inlineStr">
        <is>
          <t>cou</t>
        </is>
      </c>
      <c r="Q757" t="inlineStr">
        <is>
          <t>A Westview replica edition</t>
        </is>
      </c>
      <c r="R757" t="inlineStr">
        <is>
          <t xml:space="preserve">E  </t>
        </is>
      </c>
      <c r="S757" t="n">
        <v>2</v>
      </c>
      <c r="T757" t="n">
        <v>2</v>
      </c>
      <c r="U757" t="inlineStr">
        <is>
          <t>1993-10-07</t>
        </is>
      </c>
      <c r="V757" t="inlineStr">
        <is>
          <t>1993-10-07</t>
        </is>
      </c>
      <c r="W757" t="inlineStr">
        <is>
          <t>1991-02-11</t>
        </is>
      </c>
      <c r="X757" t="inlineStr">
        <is>
          <t>1991-02-11</t>
        </is>
      </c>
      <c r="Y757" t="n">
        <v>242</v>
      </c>
      <c r="Z757" t="n">
        <v>183</v>
      </c>
      <c r="AA757" t="n">
        <v>204</v>
      </c>
      <c r="AB757" t="n">
        <v>3</v>
      </c>
      <c r="AC757" t="n">
        <v>3</v>
      </c>
      <c r="AD757" t="n">
        <v>6</v>
      </c>
      <c r="AE757" t="n">
        <v>6</v>
      </c>
      <c r="AF757" t="n">
        <v>0</v>
      </c>
      <c r="AG757" t="n">
        <v>0</v>
      </c>
      <c r="AH757" t="n">
        <v>2</v>
      </c>
      <c r="AI757" t="n">
        <v>2</v>
      </c>
      <c r="AJ757" t="n">
        <v>3</v>
      </c>
      <c r="AK757" t="n">
        <v>3</v>
      </c>
      <c r="AL757" t="n">
        <v>2</v>
      </c>
      <c r="AM757" t="n">
        <v>2</v>
      </c>
      <c r="AN757" t="n">
        <v>0</v>
      </c>
      <c r="AO757" t="n">
        <v>0</v>
      </c>
      <c r="AP757" t="inlineStr">
        <is>
          <t>No</t>
        </is>
      </c>
      <c r="AQ757" t="inlineStr">
        <is>
          <t>Yes</t>
        </is>
      </c>
      <c r="AR757">
        <f>HYPERLINK("http://catalog.hathitrust.org/Record/000201780","HathiTrust Record")</f>
        <v/>
      </c>
      <c r="AS757">
        <f>HYPERLINK("https://creighton-primo.hosted.exlibrisgroup.com/primo-explore/search?tab=default_tab&amp;search_scope=EVERYTHING&amp;vid=01CRU&amp;lang=en_US&amp;offset=0&amp;query=any,contains,991000232599702656","Catalog Record")</f>
        <v/>
      </c>
      <c r="AT757">
        <f>HYPERLINK("http://www.worldcat.org/oclc/9644992","WorldCat Record")</f>
        <v/>
      </c>
      <c r="AU757" t="inlineStr">
        <is>
          <t>836633399:eng</t>
        </is>
      </c>
      <c r="AV757" t="inlineStr">
        <is>
          <t>9644992</t>
        </is>
      </c>
      <c r="AW757" t="inlineStr">
        <is>
          <t>991000232599702656</t>
        </is>
      </c>
      <c r="AX757" t="inlineStr">
        <is>
          <t>991000232599702656</t>
        </is>
      </c>
      <c r="AY757" t="inlineStr">
        <is>
          <t>2267291620002656</t>
        </is>
      </c>
      <c r="AZ757" t="inlineStr">
        <is>
          <t>BOOK</t>
        </is>
      </c>
      <c r="BB757" t="inlineStr">
        <is>
          <t>9780865319820</t>
        </is>
      </c>
      <c r="BC757" t="inlineStr">
        <is>
          <t>32285000482405</t>
        </is>
      </c>
      <c r="BD757" t="inlineStr">
        <is>
          <t>893777802</t>
        </is>
      </c>
    </row>
    <row r="758">
      <c r="A758" t="inlineStr">
        <is>
          <t>No</t>
        </is>
      </c>
      <c r="B758" t="inlineStr">
        <is>
          <t>E183.8.S65 S39 1987</t>
        </is>
      </c>
      <c r="C758" t="inlineStr">
        <is>
          <t>0                      E  0183800S  65                 S  39          1987</t>
        </is>
      </c>
      <c r="D758" t="inlineStr">
        <is>
          <t>SDI and U.S. foreign policy / Robert W. Tucker ... [et al.].</t>
        </is>
      </c>
      <c r="F758" t="inlineStr">
        <is>
          <t>No</t>
        </is>
      </c>
      <c r="G758" t="inlineStr">
        <is>
          <t>1</t>
        </is>
      </c>
      <c r="H758" t="inlineStr">
        <is>
          <t>No</t>
        </is>
      </c>
      <c r="I758" t="inlineStr">
        <is>
          <t>No</t>
        </is>
      </c>
      <c r="J758" t="inlineStr">
        <is>
          <t>0</t>
        </is>
      </c>
      <c r="L758" t="inlineStr">
        <is>
          <t>Boulder : Westview Press ; Washington, D.C. : Foreign Policy Institute, School of Advanced International Studies, Johns Hopkins University, 1987.</t>
        </is>
      </c>
      <c r="M758" t="inlineStr">
        <is>
          <t>1987</t>
        </is>
      </c>
      <c r="N758" t="inlineStr">
        <is>
          <t>Westview Press/Foreign Policy Institute ed.</t>
        </is>
      </c>
      <c r="O758" t="inlineStr">
        <is>
          <t>eng</t>
        </is>
      </c>
      <c r="P758" t="inlineStr">
        <is>
          <t>cou</t>
        </is>
      </c>
      <c r="Q758" t="inlineStr">
        <is>
          <t>SAIS papers in international affairs ; no. 15</t>
        </is>
      </c>
      <c r="R758" t="inlineStr">
        <is>
          <t xml:space="preserve">E  </t>
        </is>
      </c>
      <c r="S758" t="n">
        <v>4</v>
      </c>
      <c r="T758" t="n">
        <v>4</v>
      </c>
      <c r="U758" t="inlineStr">
        <is>
          <t>1999-07-19</t>
        </is>
      </c>
      <c r="V758" t="inlineStr">
        <is>
          <t>1999-07-19</t>
        </is>
      </c>
      <c r="W758" t="inlineStr">
        <is>
          <t>1990-03-29</t>
        </is>
      </c>
      <c r="X758" t="inlineStr">
        <is>
          <t>1990-03-29</t>
        </is>
      </c>
      <c r="Y758" t="n">
        <v>357</v>
      </c>
      <c r="Z758" t="n">
        <v>309</v>
      </c>
      <c r="AA758" t="n">
        <v>335</v>
      </c>
      <c r="AB758" t="n">
        <v>3</v>
      </c>
      <c r="AC758" t="n">
        <v>3</v>
      </c>
      <c r="AD758" t="n">
        <v>14</v>
      </c>
      <c r="AE758" t="n">
        <v>14</v>
      </c>
      <c r="AF758" t="n">
        <v>4</v>
      </c>
      <c r="AG758" t="n">
        <v>4</v>
      </c>
      <c r="AH758" t="n">
        <v>4</v>
      </c>
      <c r="AI758" t="n">
        <v>4</v>
      </c>
      <c r="AJ758" t="n">
        <v>7</v>
      </c>
      <c r="AK758" t="n">
        <v>7</v>
      </c>
      <c r="AL758" t="n">
        <v>2</v>
      </c>
      <c r="AM758" t="n">
        <v>2</v>
      </c>
      <c r="AN758" t="n">
        <v>0</v>
      </c>
      <c r="AO758" t="n">
        <v>0</v>
      </c>
      <c r="AP758" t="inlineStr">
        <is>
          <t>No</t>
        </is>
      </c>
      <c r="AQ758" t="inlineStr">
        <is>
          <t>Yes</t>
        </is>
      </c>
      <c r="AR758">
        <f>HYPERLINK("http://catalog.hathitrust.org/Record/000827315","HathiTrust Record")</f>
        <v/>
      </c>
      <c r="AS758">
        <f>HYPERLINK("https://creighton-primo.hosted.exlibrisgroup.com/primo-explore/search?tab=default_tab&amp;search_scope=EVERYTHING&amp;vid=01CRU&amp;lang=en_US&amp;offset=0&amp;query=any,contains,991001053859702656","Catalog Record")</f>
        <v/>
      </c>
      <c r="AT758">
        <f>HYPERLINK("http://www.worldcat.org/oclc/15665242","WorldCat Record")</f>
        <v/>
      </c>
      <c r="AU758" t="inlineStr">
        <is>
          <t>3863714770:eng</t>
        </is>
      </c>
      <c r="AV758" t="inlineStr">
        <is>
          <t>15665242</t>
        </is>
      </c>
      <c r="AW758" t="inlineStr">
        <is>
          <t>991001053859702656</t>
        </is>
      </c>
      <c r="AX758" t="inlineStr">
        <is>
          <t>991001053859702656</t>
        </is>
      </c>
      <c r="AY758" t="inlineStr">
        <is>
          <t>2262378550002656</t>
        </is>
      </c>
      <c r="AZ758" t="inlineStr">
        <is>
          <t>BOOK</t>
        </is>
      </c>
      <c r="BB758" t="inlineStr">
        <is>
          <t>9780813304687</t>
        </is>
      </c>
      <c r="BC758" t="inlineStr">
        <is>
          <t>32285000106756</t>
        </is>
      </c>
      <c r="BD758" t="inlineStr">
        <is>
          <t>893891260</t>
        </is>
      </c>
    </row>
    <row r="759">
      <c r="A759" t="inlineStr">
        <is>
          <t>No</t>
        </is>
      </c>
      <c r="B759" t="inlineStr">
        <is>
          <t>E183.8.S65 S544 2000</t>
        </is>
      </c>
      <c r="C759" t="inlineStr">
        <is>
          <t>0                      E  0183800S  65                 S  544         2000</t>
        </is>
      </c>
      <c r="D759" t="inlineStr">
        <is>
          <t>Anti-Americanism in Russia : from Stalin to Putin / Eric Shiraev and Vladislav Zubok.</t>
        </is>
      </c>
      <c r="F759" t="inlineStr">
        <is>
          <t>No</t>
        </is>
      </c>
      <c r="G759" t="inlineStr">
        <is>
          <t>1</t>
        </is>
      </c>
      <c r="H759" t="inlineStr">
        <is>
          <t>No</t>
        </is>
      </c>
      <c r="I759" t="inlineStr">
        <is>
          <t>No</t>
        </is>
      </c>
      <c r="J759" t="inlineStr">
        <is>
          <t>0</t>
        </is>
      </c>
      <c r="K759" t="inlineStr">
        <is>
          <t>Shiraev, Eric, 1960-</t>
        </is>
      </c>
      <c r="L759" t="inlineStr">
        <is>
          <t>New York : Palgrave, 2000.</t>
        </is>
      </c>
      <c r="M759" t="inlineStr">
        <is>
          <t>2000</t>
        </is>
      </c>
      <c r="N759" t="inlineStr">
        <is>
          <t>1st ed.</t>
        </is>
      </c>
      <c r="O759" t="inlineStr">
        <is>
          <t>eng</t>
        </is>
      </c>
      <c r="P759" t="inlineStr">
        <is>
          <t>nyu</t>
        </is>
      </c>
      <c r="R759" t="inlineStr">
        <is>
          <t xml:space="preserve">E  </t>
        </is>
      </c>
      <c r="S759" t="n">
        <v>3</v>
      </c>
      <c r="T759" t="n">
        <v>3</v>
      </c>
      <c r="U759" t="inlineStr">
        <is>
          <t>2002-10-29</t>
        </is>
      </c>
      <c r="V759" t="inlineStr">
        <is>
          <t>2002-10-29</t>
        </is>
      </c>
      <c r="W759" t="inlineStr">
        <is>
          <t>2001-04-03</t>
        </is>
      </c>
      <c r="X759" t="inlineStr">
        <is>
          <t>2001-04-03</t>
        </is>
      </c>
      <c r="Y759" t="n">
        <v>407</v>
      </c>
      <c r="Z759" t="n">
        <v>344</v>
      </c>
      <c r="AA759" t="n">
        <v>349</v>
      </c>
      <c r="AB759" t="n">
        <v>4</v>
      </c>
      <c r="AC759" t="n">
        <v>4</v>
      </c>
      <c r="AD759" t="n">
        <v>21</v>
      </c>
      <c r="AE759" t="n">
        <v>21</v>
      </c>
      <c r="AF759" t="n">
        <v>6</v>
      </c>
      <c r="AG759" t="n">
        <v>6</v>
      </c>
      <c r="AH759" t="n">
        <v>5</v>
      </c>
      <c r="AI759" t="n">
        <v>5</v>
      </c>
      <c r="AJ759" t="n">
        <v>12</v>
      </c>
      <c r="AK759" t="n">
        <v>12</v>
      </c>
      <c r="AL759" t="n">
        <v>3</v>
      </c>
      <c r="AM759" t="n">
        <v>3</v>
      </c>
      <c r="AN759" t="n">
        <v>0</v>
      </c>
      <c r="AO759" t="n">
        <v>0</v>
      </c>
      <c r="AP759" t="inlineStr">
        <is>
          <t>No</t>
        </is>
      </c>
      <c r="AQ759" t="inlineStr">
        <is>
          <t>No</t>
        </is>
      </c>
      <c r="AS759">
        <f>HYPERLINK("https://creighton-primo.hosted.exlibrisgroup.com/primo-explore/search?tab=default_tab&amp;search_scope=EVERYTHING&amp;vid=01CRU&amp;lang=en_US&amp;offset=0&amp;query=any,contains,991003493389702656","Catalog Record")</f>
        <v/>
      </c>
      <c r="AT759">
        <f>HYPERLINK("http://www.worldcat.org/oclc/44162488","WorldCat Record")</f>
        <v/>
      </c>
      <c r="AU759" t="inlineStr">
        <is>
          <t>33183361:eng</t>
        </is>
      </c>
      <c r="AV759" t="inlineStr">
        <is>
          <t>44162488</t>
        </is>
      </c>
      <c r="AW759" t="inlineStr">
        <is>
          <t>991003493389702656</t>
        </is>
      </c>
      <c r="AX759" t="inlineStr">
        <is>
          <t>991003493389702656</t>
        </is>
      </c>
      <c r="AY759" t="inlineStr">
        <is>
          <t>2256516590002656</t>
        </is>
      </c>
      <c r="AZ759" t="inlineStr">
        <is>
          <t>BOOK</t>
        </is>
      </c>
      <c r="BB759" t="inlineStr">
        <is>
          <t>9780312229795</t>
        </is>
      </c>
      <c r="BC759" t="inlineStr">
        <is>
          <t>32285004309505</t>
        </is>
      </c>
      <c r="BD759" t="inlineStr">
        <is>
          <t>893499351</t>
        </is>
      </c>
    </row>
    <row r="760">
      <c r="A760" t="inlineStr">
        <is>
          <t>No</t>
        </is>
      </c>
      <c r="B760" t="inlineStr">
        <is>
          <t>E183.8.S65 U18 1986</t>
        </is>
      </c>
      <c r="C760" t="inlineStr">
        <is>
          <t>0                      E  0183800S  65                 U  18          1986</t>
        </is>
      </c>
      <c r="D760" t="inlineStr">
        <is>
          <t>U.S.-Soviet relations : the next phase / edited by Arnold L. Horelick.</t>
        </is>
      </c>
      <c r="F760" t="inlineStr">
        <is>
          <t>No</t>
        </is>
      </c>
      <c r="G760" t="inlineStr">
        <is>
          <t>1</t>
        </is>
      </c>
      <c r="H760" t="inlineStr">
        <is>
          <t>No</t>
        </is>
      </c>
      <c r="I760" t="inlineStr">
        <is>
          <t>No</t>
        </is>
      </c>
      <c r="J760" t="inlineStr">
        <is>
          <t>0</t>
        </is>
      </c>
      <c r="L760" t="inlineStr">
        <is>
          <t>Ithaca : Cornell University Press, 1986.</t>
        </is>
      </c>
      <c r="M760" t="inlineStr">
        <is>
          <t>1986</t>
        </is>
      </c>
      <c r="O760" t="inlineStr">
        <is>
          <t>eng</t>
        </is>
      </c>
      <c r="P760" t="inlineStr">
        <is>
          <t>nyu</t>
        </is>
      </c>
      <c r="R760" t="inlineStr">
        <is>
          <t xml:space="preserve">E  </t>
        </is>
      </c>
      <c r="S760" t="n">
        <v>5</v>
      </c>
      <c r="T760" t="n">
        <v>5</v>
      </c>
      <c r="U760" t="inlineStr">
        <is>
          <t>2001-04-26</t>
        </is>
      </c>
      <c r="V760" t="inlineStr">
        <is>
          <t>2001-04-26</t>
        </is>
      </c>
      <c r="W760" t="inlineStr">
        <is>
          <t>1991-02-11</t>
        </is>
      </c>
      <c r="X760" t="inlineStr">
        <is>
          <t>1991-02-11</t>
        </is>
      </c>
      <c r="Y760" t="n">
        <v>496</v>
      </c>
      <c r="Z760" t="n">
        <v>408</v>
      </c>
      <c r="AA760" t="n">
        <v>410</v>
      </c>
      <c r="AB760" t="n">
        <v>5</v>
      </c>
      <c r="AC760" t="n">
        <v>5</v>
      </c>
      <c r="AD760" t="n">
        <v>22</v>
      </c>
      <c r="AE760" t="n">
        <v>22</v>
      </c>
      <c r="AF760" t="n">
        <v>7</v>
      </c>
      <c r="AG760" t="n">
        <v>7</v>
      </c>
      <c r="AH760" t="n">
        <v>3</v>
      </c>
      <c r="AI760" t="n">
        <v>3</v>
      </c>
      <c r="AJ760" t="n">
        <v>9</v>
      </c>
      <c r="AK760" t="n">
        <v>9</v>
      </c>
      <c r="AL760" t="n">
        <v>4</v>
      </c>
      <c r="AM760" t="n">
        <v>4</v>
      </c>
      <c r="AN760" t="n">
        <v>2</v>
      </c>
      <c r="AO760" t="n">
        <v>2</v>
      </c>
      <c r="AP760" t="inlineStr">
        <is>
          <t>No</t>
        </is>
      </c>
      <c r="AQ760" t="inlineStr">
        <is>
          <t>Yes</t>
        </is>
      </c>
      <c r="AR760">
        <f>HYPERLINK("http://catalog.hathitrust.org/Record/000588456","HathiTrust Record")</f>
        <v/>
      </c>
      <c r="AS760">
        <f>HYPERLINK("https://creighton-primo.hosted.exlibrisgroup.com/primo-explore/search?tab=default_tab&amp;search_scope=EVERYTHING&amp;vid=01CRU&amp;lang=en_US&amp;offset=0&amp;query=any,contains,991000813519702656","Catalog Record")</f>
        <v/>
      </c>
      <c r="AT760">
        <f>HYPERLINK("http://www.worldcat.org/oclc/13333732","WorldCat Record")</f>
        <v/>
      </c>
      <c r="AU760" t="inlineStr">
        <is>
          <t>836626596:eng</t>
        </is>
      </c>
      <c r="AV760" t="inlineStr">
        <is>
          <t>13333732</t>
        </is>
      </c>
      <c r="AW760" t="inlineStr">
        <is>
          <t>991000813519702656</t>
        </is>
      </c>
      <c r="AX760" t="inlineStr">
        <is>
          <t>991000813519702656</t>
        </is>
      </c>
      <c r="AY760" t="inlineStr">
        <is>
          <t>2262131390002656</t>
        </is>
      </c>
      <c r="AZ760" t="inlineStr">
        <is>
          <t>BOOK</t>
        </is>
      </c>
      <c r="BB760" t="inlineStr">
        <is>
          <t>9780801419126</t>
        </is>
      </c>
      <c r="BC760" t="inlineStr">
        <is>
          <t>32285000482447</t>
        </is>
      </c>
      <c r="BD760" t="inlineStr">
        <is>
          <t>893315257</t>
        </is>
      </c>
    </row>
    <row r="761">
      <c r="A761" t="inlineStr">
        <is>
          <t>No</t>
        </is>
      </c>
      <c r="B761" t="inlineStr">
        <is>
          <t>E183.8.S65 W47 1983</t>
        </is>
      </c>
      <c r="C761" t="inlineStr">
        <is>
          <t>0                      E  0183800S  65                 W  47          1983</t>
        </is>
      </c>
      <c r="D761" t="inlineStr">
        <is>
          <t>Soviet diplomacy and negotiating behavior : the emerging new context for U.S. diplomacy / Joseph G. Whelan.</t>
        </is>
      </c>
      <c r="F761" t="inlineStr">
        <is>
          <t>No</t>
        </is>
      </c>
      <c r="G761" t="inlineStr">
        <is>
          <t>1</t>
        </is>
      </c>
      <c r="H761" t="inlineStr">
        <is>
          <t>No</t>
        </is>
      </c>
      <c r="I761" t="inlineStr">
        <is>
          <t>No</t>
        </is>
      </c>
      <c r="J761" t="inlineStr">
        <is>
          <t>0</t>
        </is>
      </c>
      <c r="K761" t="inlineStr">
        <is>
          <t>Whelan, Joseph G.</t>
        </is>
      </c>
      <c r="L761" t="inlineStr">
        <is>
          <t>Boulder, Colo. : Westview Press, [1983]</t>
        </is>
      </c>
      <c r="M761" t="inlineStr">
        <is>
          <t>1983</t>
        </is>
      </c>
      <c r="O761" t="inlineStr">
        <is>
          <t>eng</t>
        </is>
      </c>
      <c r="P761" t="inlineStr">
        <is>
          <t>cou</t>
        </is>
      </c>
      <c r="Q761" t="inlineStr">
        <is>
          <t>A Westview replica edition</t>
        </is>
      </c>
      <c r="R761" t="inlineStr">
        <is>
          <t xml:space="preserve">E  </t>
        </is>
      </c>
      <c r="S761" t="n">
        <v>2</v>
      </c>
      <c r="T761" t="n">
        <v>2</v>
      </c>
      <c r="U761" t="inlineStr">
        <is>
          <t>1999-11-11</t>
        </is>
      </c>
      <c r="V761" t="inlineStr">
        <is>
          <t>1999-11-11</t>
        </is>
      </c>
      <c r="W761" t="inlineStr">
        <is>
          <t>1991-02-11</t>
        </is>
      </c>
      <c r="X761" t="inlineStr">
        <is>
          <t>1991-02-11</t>
        </is>
      </c>
      <c r="Y761" t="n">
        <v>254</v>
      </c>
      <c r="Z761" t="n">
        <v>221</v>
      </c>
      <c r="AA761" t="n">
        <v>273</v>
      </c>
      <c r="AB761" t="n">
        <v>2</v>
      </c>
      <c r="AC761" t="n">
        <v>2</v>
      </c>
      <c r="AD761" t="n">
        <v>8</v>
      </c>
      <c r="AE761" t="n">
        <v>9</v>
      </c>
      <c r="AF761" t="n">
        <v>3</v>
      </c>
      <c r="AG761" t="n">
        <v>3</v>
      </c>
      <c r="AH761" t="n">
        <v>2</v>
      </c>
      <c r="AI761" t="n">
        <v>2</v>
      </c>
      <c r="AJ761" t="n">
        <v>3</v>
      </c>
      <c r="AK761" t="n">
        <v>3</v>
      </c>
      <c r="AL761" t="n">
        <v>1</v>
      </c>
      <c r="AM761" t="n">
        <v>1</v>
      </c>
      <c r="AN761" t="n">
        <v>0</v>
      </c>
      <c r="AO761" t="n">
        <v>1</v>
      </c>
      <c r="AP761" t="inlineStr">
        <is>
          <t>No</t>
        </is>
      </c>
      <c r="AQ761" t="inlineStr">
        <is>
          <t>Yes</t>
        </is>
      </c>
      <c r="AR761">
        <f>HYPERLINK("http://catalog.hathitrust.org/Record/000240094","HathiTrust Record")</f>
        <v/>
      </c>
      <c r="AS761">
        <f>HYPERLINK("https://creighton-primo.hosted.exlibrisgroup.com/primo-explore/search?tab=default_tab&amp;search_scope=EVERYTHING&amp;vid=01CRU&amp;lang=en_US&amp;offset=0&amp;query=any,contains,991000196359702656","Catalog Record")</f>
        <v/>
      </c>
      <c r="AT761">
        <f>HYPERLINK("http://www.worldcat.org/oclc/9441485","WorldCat Record")</f>
        <v/>
      </c>
      <c r="AU761" t="inlineStr">
        <is>
          <t>2865644175:eng</t>
        </is>
      </c>
      <c r="AV761" t="inlineStr">
        <is>
          <t>9441485</t>
        </is>
      </c>
      <c r="AW761" t="inlineStr">
        <is>
          <t>991000196359702656</t>
        </is>
      </c>
      <c r="AX761" t="inlineStr">
        <is>
          <t>991000196359702656</t>
        </is>
      </c>
      <c r="AY761" t="inlineStr">
        <is>
          <t>2265027190002656</t>
        </is>
      </c>
      <c r="AZ761" t="inlineStr">
        <is>
          <t>BOOK</t>
        </is>
      </c>
      <c r="BB761" t="inlineStr">
        <is>
          <t>9780865319462</t>
        </is>
      </c>
      <c r="BC761" t="inlineStr">
        <is>
          <t>32285000482462</t>
        </is>
      </c>
      <c r="BD761" t="inlineStr">
        <is>
          <t>893255258</t>
        </is>
      </c>
    </row>
    <row r="762">
      <c r="A762" t="inlineStr">
        <is>
          <t>No</t>
        </is>
      </c>
      <c r="B762" t="inlineStr">
        <is>
          <t>E183.8.T8 H27 1985</t>
        </is>
      </c>
      <c r="C762" t="inlineStr">
        <is>
          <t>0                      E  0183800T  8                  H  27          1985</t>
        </is>
      </c>
      <c r="D762" t="inlineStr">
        <is>
          <t>Ancient affections : ethnic groups and foreign policy / Laurence Halley.</t>
        </is>
      </c>
      <c r="F762" t="inlineStr">
        <is>
          <t>No</t>
        </is>
      </c>
      <c r="G762" t="inlineStr">
        <is>
          <t>1</t>
        </is>
      </c>
      <c r="H762" t="inlineStr">
        <is>
          <t>No</t>
        </is>
      </c>
      <c r="I762" t="inlineStr">
        <is>
          <t>No</t>
        </is>
      </c>
      <c r="J762" t="inlineStr">
        <is>
          <t>0</t>
        </is>
      </c>
      <c r="K762" t="inlineStr">
        <is>
          <t>Halley, Laurence.</t>
        </is>
      </c>
      <c r="L762" t="inlineStr">
        <is>
          <t>New York : Praeger, 1985.</t>
        </is>
      </c>
      <c r="M762" t="inlineStr">
        <is>
          <t>1985</t>
        </is>
      </c>
      <c r="O762" t="inlineStr">
        <is>
          <t>eng</t>
        </is>
      </c>
      <c r="P762" t="inlineStr">
        <is>
          <t>nyu</t>
        </is>
      </c>
      <c r="R762" t="inlineStr">
        <is>
          <t xml:space="preserve">E  </t>
        </is>
      </c>
      <c r="S762" t="n">
        <v>2</v>
      </c>
      <c r="T762" t="n">
        <v>2</v>
      </c>
      <c r="U762" t="inlineStr">
        <is>
          <t>1993-09-13</t>
        </is>
      </c>
      <c r="V762" t="inlineStr">
        <is>
          <t>1993-09-13</t>
        </is>
      </c>
      <c r="W762" t="inlineStr">
        <is>
          <t>1991-02-11</t>
        </is>
      </c>
      <c r="X762" t="inlineStr">
        <is>
          <t>1991-02-11</t>
        </is>
      </c>
      <c r="Y762" t="n">
        <v>293</v>
      </c>
      <c r="Z762" t="n">
        <v>255</v>
      </c>
      <c r="AA762" t="n">
        <v>262</v>
      </c>
      <c r="AB762" t="n">
        <v>3</v>
      </c>
      <c r="AC762" t="n">
        <v>3</v>
      </c>
      <c r="AD762" t="n">
        <v>12</v>
      </c>
      <c r="AE762" t="n">
        <v>12</v>
      </c>
      <c r="AF762" t="n">
        <v>3</v>
      </c>
      <c r="AG762" t="n">
        <v>3</v>
      </c>
      <c r="AH762" t="n">
        <v>4</v>
      </c>
      <c r="AI762" t="n">
        <v>4</v>
      </c>
      <c r="AJ762" t="n">
        <v>7</v>
      </c>
      <c r="AK762" t="n">
        <v>7</v>
      </c>
      <c r="AL762" t="n">
        <v>2</v>
      </c>
      <c r="AM762" t="n">
        <v>2</v>
      </c>
      <c r="AN762" t="n">
        <v>0</v>
      </c>
      <c r="AO762" t="n">
        <v>0</v>
      </c>
      <c r="AP762" t="inlineStr">
        <is>
          <t>No</t>
        </is>
      </c>
      <c r="AQ762" t="inlineStr">
        <is>
          <t>Yes</t>
        </is>
      </c>
      <c r="AR762">
        <f>HYPERLINK("http://catalog.hathitrust.org/Record/000420855","HathiTrust Record")</f>
        <v/>
      </c>
      <c r="AS762">
        <f>HYPERLINK("https://creighton-primo.hosted.exlibrisgroup.com/primo-explore/search?tab=default_tab&amp;search_scope=EVERYTHING&amp;vid=01CRU&amp;lang=en_US&amp;offset=0&amp;query=any,contains,991000514039702656","Catalog Record")</f>
        <v/>
      </c>
      <c r="AT762">
        <f>HYPERLINK("http://www.worldcat.org/oclc/11262070","WorldCat Record")</f>
        <v/>
      </c>
      <c r="AU762" t="inlineStr">
        <is>
          <t>2557652:eng</t>
        </is>
      </c>
      <c r="AV762" t="inlineStr">
        <is>
          <t>11262070</t>
        </is>
      </c>
      <c r="AW762" t="inlineStr">
        <is>
          <t>991000514039702656</t>
        </is>
      </c>
      <c r="AX762" t="inlineStr">
        <is>
          <t>991000514039702656</t>
        </is>
      </c>
      <c r="AY762" t="inlineStr">
        <is>
          <t>2265928860002656</t>
        </is>
      </c>
      <c r="AZ762" t="inlineStr">
        <is>
          <t>BOOK</t>
        </is>
      </c>
      <c r="BB762" t="inlineStr">
        <is>
          <t>9780030025747</t>
        </is>
      </c>
      <c r="BC762" t="inlineStr">
        <is>
          <t>32285000482504</t>
        </is>
      </c>
      <c r="BD762" t="inlineStr">
        <is>
          <t>893890755</t>
        </is>
      </c>
    </row>
    <row r="763">
      <c r="A763" t="inlineStr">
        <is>
          <t>No</t>
        </is>
      </c>
      <c r="B763" t="inlineStr">
        <is>
          <t>E183.8.V3 N53 2002</t>
        </is>
      </c>
      <c r="C763" t="inlineStr">
        <is>
          <t>0                      E  0183800V  3                  N  53          2002</t>
        </is>
      </c>
      <c r="D763" t="inlineStr">
        <is>
          <t>The United States and the Holy See : the long road / Jim Nicholson ; introduction by Giulio Andreotti.</t>
        </is>
      </c>
      <c r="F763" t="inlineStr">
        <is>
          <t>No</t>
        </is>
      </c>
      <c r="G763" t="inlineStr">
        <is>
          <t>1</t>
        </is>
      </c>
      <c r="H763" t="inlineStr">
        <is>
          <t>No</t>
        </is>
      </c>
      <c r="I763" t="inlineStr">
        <is>
          <t>No</t>
        </is>
      </c>
      <c r="J763" t="inlineStr">
        <is>
          <t>0</t>
        </is>
      </c>
      <c r="K763" t="inlineStr">
        <is>
          <t>Nicholson, Jim, 1938-</t>
        </is>
      </c>
      <c r="L763" t="inlineStr">
        <is>
          <t>Rome : 30Days Books, 2002.</t>
        </is>
      </c>
      <c r="M763" t="inlineStr">
        <is>
          <t>2002</t>
        </is>
      </c>
      <c r="O763" t="inlineStr">
        <is>
          <t>eng</t>
        </is>
      </c>
      <c r="P763" t="inlineStr">
        <is>
          <t xml:space="preserve">it </t>
        </is>
      </c>
      <c r="R763" t="inlineStr">
        <is>
          <t xml:space="preserve">E  </t>
        </is>
      </c>
      <c r="S763" t="n">
        <v>1</v>
      </c>
      <c r="T763" t="n">
        <v>1</v>
      </c>
      <c r="U763" t="inlineStr">
        <is>
          <t>2003-03-25</t>
        </is>
      </c>
      <c r="V763" t="inlineStr">
        <is>
          <t>2003-03-25</t>
        </is>
      </c>
      <c r="W763" t="inlineStr">
        <is>
          <t>2003-03-25</t>
        </is>
      </c>
      <c r="X763" t="inlineStr">
        <is>
          <t>2003-03-25</t>
        </is>
      </c>
      <c r="Y763" t="n">
        <v>39</v>
      </c>
      <c r="Z763" t="n">
        <v>39</v>
      </c>
      <c r="AA763" t="n">
        <v>56</v>
      </c>
      <c r="AB763" t="n">
        <v>2</v>
      </c>
      <c r="AC763" t="n">
        <v>2</v>
      </c>
      <c r="AD763" t="n">
        <v>14</v>
      </c>
      <c r="AE763" t="n">
        <v>15</v>
      </c>
      <c r="AF763" t="n">
        <v>4</v>
      </c>
      <c r="AG763" t="n">
        <v>5</v>
      </c>
      <c r="AH763" t="n">
        <v>4</v>
      </c>
      <c r="AI763" t="n">
        <v>4</v>
      </c>
      <c r="AJ763" t="n">
        <v>11</v>
      </c>
      <c r="AK763" t="n">
        <v>12</v>
      </c>
      <c r="AL763" t="n">
        <v>0</v>
      </c>
      <c r="AM763" t="n">
        <v>0</v>
      </c>
      <c r="AN763" t="n">
        <v>0</v>
      </c>
      <c r="AO763" t="n">
        <v>0</v>
      </c>
      <c r="AP763" t="inlineStr">
        <is>
          <t>No</t>
        </is>
      </c>
      <c r="AQ763" t="inlineStr">
        <is>
          <t>No</t>
        </is>
      </c>
      <c r="AS763">
        <f>HYPERLINK("https://creighton-primo.hosted.exlibrisgroup.com/primo-explore/search?tab=default_tab&amp;search_scope=EVERYTHING&amp;vid=01CRU&amp;lang=en_US&amp;offset=0&amp;query=any,contains,991003996809702656","Catalog Record")</f>
        <v/>
      </c>
      <c r="AT763">
        <f>HYPERLINK("http://www.worldcat.org/oclc/51811851","WorldCat Record")</f>
        <v/>
      </c>
      <c r="AU763" t="inlineStr">
        <is>
          <t>12965892:eng</t>
        </is>
      </c>
      <c r="AV763" t="inlineStr">
        <is>
          <t>51811851</t>
        </is>
      </c>
      <c r="AW763" t="inlineStr">
        <is>
          <t>991003996809702656</t>
        </is>
      </c>
      <c r="AX763" t="inlineStr">
        <is>
          <t>991003996809702656</t>
        </is>
      </c>
      <c r="AY763" t="inlineStr">
        <is>
          <t>2255305980002656</t>
        </is>
      </c>
      <c r="AZ763" t="inlineStr">
        <is>
          <t>BOOK</t>
        </is>
      </c>
      <c r="BC763" t="inlineStr">
        <is>
          <t>32285004699988</t>
        </is>
      </c>
      <c r="BD763" t="inlineStr">
        <is>
          <t>893618089</t>
        </is>
      </c>
    </row>
    <row r="764">
      <c r="A764" t="inlineStr">
        <is>
          <t>No</t>
        </is>
      </c>
      <c r="B764" t="inlineStr">
        <is>
          <t>E183.8.V5 B76</t>
        </is>
      </c>
      <c r="C764" t="inlineStr">
        <is>
          <t>0                      E  0183800V  5                  B  76</t>
        </is>
      </c>
      <c r="D764" t="inlineStr">
        <is>
          <t>Prelude to disaster : the American role in Vietnam, 1940-1963 / Weldon A. Brown.</t>
        </is>
      </c>
      <c r="F764" t="inlineStr">
        <is>
          <t>No</t>
        </is>
      </c>
      <c r="G764" t="inlineStr">
        <is>
          <t>1</t>
        </is>
      </c>
      <c r="H764" t="inlineStr">
        <is>
          <t>No</t>
        </is>
      </c>
      <c r="I764" t="inlineStr">
        <is>
          <t>No</t>
        </is>
      </c>
      <c r="J764" t="inlineStr">
        <is>
          <t>0</t>
        </is>
      </c>
      <c r="K764" t="inlineStr">
        <is>
          <t>Brown, Weldon A., 1911-</t>
        </is>
      </c>
      <c r="L764" t="inlineStr">
        <is>
          <t>Port Washington, N.Y. : Kennikat Press, 1975.</t>
        </is>
      </c>
      <c r="M764" t="inlineStr">
        <is>
          <t>1975</t>
        </is>
      </c>
      <c r="O764" t="inlineStr">
        <is>
          <t>eng</t>
        </is>
      </c>
      <c r="P764" t="inlineStr">
        <is>
          <t>nyu</t>
        </is>
      </c>
      <c r="Q764" t="inlineStr">
        <is>
          <t>National university publications</t>
        </is>
      </c>
      <c r="R764" t="inlineStr">
        <is>
          <t xml:space="preserve">E  </t>
        </is>
      </c>
      <c r="S764" t="n">
        <v>2</v>
      </c>
      <c r="T764" t="n">
        <v>2</v>
      </c>
      <c r="U764" t="inlineStr">
        <is>
          <t>1993-05-19</t>
        </is>
      </c>
      <c r="V764" t="inlineStr">
        <is>
          <t>1993-05-19</t>
        </is>
      </c>
      <c r="W764" t="inlineStr">
        <is>
          <t>1991-12-17</t>
        </is>
      </c>
      <c r="X764" t="inlineStr">
        <is>
          <t>1991-12-17</t>
        </is>
      </c>
      <c r="Y764" t="n">
        <v>807</v>
      </c>
      <c r="Z764" t="n">
        <v>719</v>
      </c>
      <c r="AA764" t="n">
        <v>727</v>
      </c>
      <c r="AB764" t="n">
        <v>8</v>
      </c>
      <c r="AC764" t="n">
        <v>8</v>
      </c>
      <c r="AD764" t="n">
        <v>30</v>
      </c>
      <c r="AE764" t="n">
        <v>30</v>
      </c>
      <c r="AF764" t="n">
        <v>11</v>
      </c>
      <c r="AG764" t="n">
        <v>11</v>
      </c>
      <c r="AH764" t="n">
        <v>7</v>
      </c>
      <c r="AI764" t="n">
        <v>7</v>
      </c>
      <c r="AJ764" t="n">
        <v>13</v>
      </c>
      <c r="AK764" t="n">
        <v>13</v>
      </c>
      <c r="AL764" t="n">
        <v>6</v>
      </c>
      <c r="AM764" t="n">
        <v>6</v>
      </c>
      <c r="AN764" t="n">
        <v>0</v>
      </c>
      <c r="AO764" t="n">
        <v>0</v>
      </c>
      <c r="AP764" t="inlineStr">
        <is>
          <t>No</t>
        </is>
      </c>
      <c r="AQ764" t="inlineStr">
        <is>
          <t>Yes</t>
        </is>
      </c>
      <c r="AR764">
        <f>HYPERLINK("http://catalog.hathitrust.org/Record/000703660","HathiTrust Record")</f>
        <v/>
      </c>
      <c r="AS764">
        <f>HYPERLINK("https://creighton-primo.hosted.exlibrisgroup.com/primo-explore/search?tab=default_tab&amp;search_scope=EVERYTHING&amp;vid=01CRU&amp;lang=en_US&amp;offset=0&amp;query=any,contains,991003899469702656","Catalog Record")</f>
        <v/>
      </c>
      <c r="AT764">
        <f>HYPERLINK("http://www.worldcat.org/oclc/1818487","WorldCat Record")</f>
        <v/>
      </c>
      <c r="AU764" t="inlineStr">
        <is>
          <t>458917:eng</t>
        </is>
      </c>
      <c r="AV764" t="inlineStr">
        <is>
          <t>1818487</t>
        </is>
      </c>
      <c r="AW764" t="inlineStr">
        <is>
          <t>991003899469702656</t>
        </is>
      </c>
      <c r="AX764" t="inlineStr">
        <is>
          <t>991003899469702656</t>
        </is>
      </c>
      <c r="AY764" t="inlineStr">
        <is>
          <t>2271297130002656</t>
        </is>
      </c>
      <c r="AZ764" t="inlineStr">
        <is>
          <t>BOOK</t>
        </is>
      </c>
      <c r="BB764" t="inlineStr">
        <is>
          <t>9780804691222</t>
        </is>
      </c>
      <c r="BC764" t="inlineStr">
        <is>
          <t>32285000902006</t>
        </is>
      </c>
      <c r="BD764" t="inlineStr">
        <is>
          <t>893246908</t>
        </is>
      </c>
    </row>
    <row r="765">
      <c r="A765" t="inlineStr">
        <is>
          <t>No</t>
        </is>
      </c>
      <c r="B765" t="inlineStr">
        <is>
          <t>E183.8.V5 E4</t>
        </is>
      </c>
      <c r="C765" t="inlineStr">
        <is>
          <t>0                      E  0183800V  5                  E  4</t>
        </is>
      </c>
      <c r="D765" t="inlineStr">
        <is>
          <t>Papers on the war.</t>
        </is>
      </c>
      <c r="F765" t="inlineStr">
        <is>
          <t>No</t>
        </is>
      </c>
      <c r="G765" t="inlineStr">
        <is>
          <t>1</t>
        </is>
      </c>
      <c r="H765" t="inlineStr">
        <is>
          <t>No</t>
        </is>
      </c>
      <c r="I765" t="inlineStr">
        <is>
          <t>No</t>
        </is>
      </c>
      <c r="J765" t="inlineStr">
        <is>
          <t>0</t>
        </is>
      </c>
      <c r="K765" t="inlineStr">
        <is>
          <t>Ellsberg, Daniel.</t>
        </is>
      </c>
      <c r="L765" t="inlineStr">
        <is>
          <t>New York : Simon and Schuster, [1972]</t>
        </is>
      </c>
      <c r="M765" t="inlineStr">
        <is>
          <t>1972</t>
        </is>
      </c>
      <c r="O765" t="inlineStr">
        <is>
          <t>eng</t>
        </is>
      </c>
      <c r="P765" t="inlineStr">
        <is>
          <t>nyu</t>
        </is>
      </c>
      <c r="R765" t="inlineStr">
        <is>
          <t xml:space="preserve">E  </t>
        </is>
      </c>
      <c r="S765" t="n">
        <v>6</v>
      </c>
      <c r="T765" t="n">
        <v>6</v>
      </c>
      <c r="U765" t="inlineStr">
        <is>
          <t>2001-02-22</t>
        </is>
      </c>
      <c r="V765" t="inlineStr">
        <is>
          <t>2001-02-22</t>
        </is>
      </c>
      <c r="W765" t="inlineStr">
        <is>
          <t>1992-12-18</t>
        </is>
      </c>
      <c r="X765" t="inlineStr">
        <is>
          <t>1992-12-18</t>
        </is>
      </c>
      <c r="Y765" t="n">
        <v>1427</v>
      </c>
      <c r="Z765" t="n">
        <v>1289</v>
      </c>
      <c r="AA765" t="n">
        <v>1345</v>
      </c>
      <c r="AB765" t="n">
        <v>9</v>
      </c>
      <c r="AC765" t="n">
        <v>9</v>
      </c>
      <c r="AD765" t="n">
        <v>37</v>
      </c>
      <c r="AE765" t="n">
        <v>38</v>
      </c>
      <c r="AF765" t="n">
        <v>13</v>
      </c>
      <c r="AG765" t="n">
        <v>13</v>
      </c>
      <c r="AH765" t="n">
        <v>7</v>
      </c>
      <c r="AI765" t="n">
        <v>7</v>
      </c>
      <c r="AJ765" t="n">
        <v>17</v>
      </c>
      <c r="AK765" t="n">
        <v>18</v>
      </c>
      <c r="AL765" t="n">
        <v>4</v>
      </c>
      <c r="AM765" t="n">
        <v>4</v>
      </c>
      <c r="AN765" t="n">
        <v>4</v>
      </c>
      <c r="AO765" t="n">
        <v>4</v>
      </c>
      <c r="AP765" t="inlineStr">
        <is>
          <t>No</t>
        </is>
      </c>
      <c r="AQ765" t="inlineStr">
        <is>
          <t>Yes</t>
        </is>
      </c>
      <c r="AR765">
        <f>HYPERLINK("http://catalog.hathitrust.org/Record/000335790","HathiTrust Record")</f>
        <v/>
      </c>
      <c r="AS765">
        <f>HYPERLINK("https://creighton-primo.hosted.exlibrisgroup.com/primo-explore/search?tab=default_tab&amp;search_scope=EVERYTHING&amp;vid=01CRU&amp;lang=en_US&amp;offset=0&amp;query=any,contains,991002656109702656","Catalog Record")</f>
        <v/>
      </c>
      <c r="AT765">
        <f>HYPERLINK("http://www.worldcat.org/oclc/388864","WorldCat Record")</f>
        <v/>
      </c>
      <c r="AU765" t="inlineStr">
        <is>
          <t>1518463:eng</t>
        </is>
      </c>
      <c r="AV765" t="inlineStr">
        <is>
          <t>388864</t>
        </is>
      </c>
      <c r="AW765" t="inlineStr">
        <is>
          <t>991002656109702656</t>
        </is>
      </c>
      <c r="AX765" t="inlineStr">
        <is>
          <t>991002656109702656</t>
        </is>
      </c>
      <c r="AY765" t="inlineStr">
        <is>
          <t>2254818210002656</t>
        </is>
      </c>
      <c r="AZ765" t="inlineStr">
        <is>
          <t>BOOK</t>
        </is>
      </c>
      <c r="BB765" t="inlineStr">
        <is>
          <t>9780671211851</t>
        </is>
      </c>
      <c r="BC765" t="inlineStr">
        <is>
          <t>32285001444362</t>
        </is>
      </c>
      <c r="BD765" t="inlineStr">
        <is>
          <t>893347758</t>
        </is>
      </c>
    </row>
    <row r="766">
      <c r="A766" t="inlineStr">
        <is>
          <t>No</t>
        </is>
      </c>
      <c r="B766" t="inlineStr">
        <is>
          <t>E183.8.V5 G36 1988</t>
        </is>
      </c>
      <c r="C766" t="inlineStr">
        <is>
          <t>0                      E  0183800V  5                  G  36          1988</t>
        </is>
      </c>
      <c r="D766" t="inlineStr">
        <is>
          <t>Approaching Vietnam : from World War II through Dienbienphu, 1941-1954 / by Lloyd C. Gardner.</t>
        </is>
      </c>
      <c r="F766" t="inlineStr">
        <is>
          <t>No</t>
        </is>
      </c>
      <c r="G766" t="inlineStr">
        <is>
          <t>1</t>
        </is>
      </c>
      <c r="H766" t="inlineStr">
        <is>
          <t>No</t>
        </is>
      </c>
      <c r="I766" t="inlineStr">
        <is>
          <t>No</t>
        </is>
      </c>
      <c r="J766" t="inlineStr">
        <is>
          <t>0</t>
        </is>
      </c>
      <c r="K766" t="inlineStr">
        <is>
          <t>Gardner, Lloyd C., 1934-</t>
        </is>
      </c>
      <c r="L766" t="inlineStr">
        <is>
          <t>New York : W.W. Norton &amp; Co., c1988.</t>
        </is>
      </c>
      <c r="M766" t="inlineStr">
        <is>
          <t>1988</t>
        </is>
      </c>
      <c r="N766" t="inlineStr">
        <is>
          <t>1st ed.</t>
        </is>
      </c>
      <c r="O766" t="inlineStr">
        <is>
          <t>eng</t>
        </is>
      </c>
      <c r="P766" t="inlineStr">
        <is>
          <t>nyu</t>
        </is>
      </c>
      <c r="R766" t="inlineStr">
        <is>
          <t xml:space="preserve">E  </t>
        </is>
      </c>
      <c r="S766" t="n">
        <v>3</v>
      </c>
      <c r="T766" t="n">
        <v>3</v>
      </c>
      <c r="U766" t="inlineStr">
        <is>
          <t>1993-05-19</t>
        </is>
      </c>
      <c r="V766" t="inlineStr">
        <is>
          <t>1993-05-19</t>
        </is>
      </c>
      <c r="W766" t="inlineStr">
        <is>
          <t>1991-02-11</t>
        </is>
      </c>
      <c r="X766" t="inlineStr">
        <is>
          <t>1991-02-11</t>
        </is>
      </c>
      <c r="Y766" t="n">
        <v>1117</v>
      </c>
      <c r="Z766" t="n">
        <v>980</v>
      </c>
      <c r="AA766" t="n">
        <v>1011</v>
      </c>
      <c r="AB766" t="n">
        <v>10</v>
      </c>
      <c r="AC766" t="n">
        <v>10</v>
      </c>
      <c r="AD766" t="n">
        <v>44</v>
      </c>
      <c r="AE766" t="n">
        <v>46</v>
      </c>
      <c r="AF766" t="n">
        <v>20</v>
      </c>
      <c r="AG766" t="n">
        <v>21</v>
      </c>
      <c r="AH766" t="n">
        <v>8</v>
      </c>
      <c r="AI766" t="n">
        <v>8</v>
      </c>
      <c r="AJ766" t="n">
        <v>17</v>
      </c>
      <c r="AK766" t="n">
        <v>18</v>
      </c>
      <c r="AL766" t="n">
        <v>9</v>
      </c>
      <c r="AM766" t="n">
        <v>9</v>
      </c>
      <c r="AN766" t="n">
        <v>0</v>
      </c>
      <c r="AO766" t="n">
        <v>0</v>
      </c>
      <c r="AP766" t="inlineStr">
        <is>
          <t>No</t>
        </is>
      </c>
      <c r="AQ766" t="inlineStr">
        <is>
          <t>No</t>
        </is>
      </c>
      <c r="AS766">
        <f>HYPERLINK("https://creighton-primo.hosted.exlibrisgroup.com/primo-explore/search?tab=default_tab&amp;search_scope=EVERYTHING&amp;vid=01CRU&amp;lang=en_US&amp;offset=0&amp;query=any,contains,991001097899702656","Catalog Record")</f>
        <v/>
      </c>
      <c r="AT766">
        <f>HYPERLINK("http://www.worldcat.org/oclc/16277416","WorldCat Record")</f>
        <v/>
      </c>
      <c r="AU766" t="inlineStr">
        <is>
          <t>12358203:eng</t>
        </is>
      </c>
      <c r="AV766" t="inlineStr">
        <is>
          <t>16277416</t>
        </is>
      </c>
      <c r="AW766" t="inlineStr">
        <is>
          <t>991001097899702656</t>
        </is>
      </c>
      <c r="AX766" t="inlineStr">
        <is>
          <t>991001097899702656</t>
        </is>
      </c>
      <c r="AY766" t="inlineStr">
        <is>
          <t>2260877620002656</t>
        </is>
      </c>
      <c r="AZ766" t="inlineStr">
        <is>
          <t>BOOK</t>
        </is>
      </c>
      <c r="BB766" t="inlineStr">
        <is>
          <t>9780393025408</t>
        </is>
      </c>
      <c r="BC766" t="inlineStr">
        <is>
          <t>32285000482512</t>
        </is>
      </c>
      <c r="BD766" t="inlineStr">
        <is>
          <t>893407846</t>
        </is>
      </c>
    </row>
    <row r="767">
      <c r="A767" t="inlineStr">
        <is>
          <t>No</t>
        </is>
      </c>
      <c r="B767" t="inlineStr">
        <is>
          <t>E183.8.V5 G37</t>
        </is>
      </c>
      <c r="C767" t="inlineStr">
        <is>
          <t>0                      E  0183800V  5                  G  37</t>
        </is>
      </c>
      <c r="D767" t="inlineStr">
        <is>
          <t>Ideals and reality : an analysis of the debate over Vietnam / Stephen A. Garrett.</t>
        </is>
      </c>
      <c r="F767" t="inlineStr">
        <is>
          <t>No</t>
        </is>
      </c>
      <c r="G767" t="inlineStr">
        <is>
          <t>1</t>
        </is>
      </c>
      <c r="H767" t="inlineStr">
        <is>
          <t>No</t>
        </is>
      </c>
      <c r="I767" t="inlineStr">
        <is>
          <t>No</t>
        </is>
      </c>
      <c r="J767" t="inlineStr">
        <is>
          <t>0</t>
        </is>
      </c>
      <c r="K767" t="inlineStr">
        <is>
          <t>Garrett, Stephen A., 1939-</t>
        </is>
      </c>
      <c r="L767" t="inlineStr">
        <is>
          <t>Washington : University Press of America, 1978.</t>
        </is>
      </c>
      <c r="M767" t="inlineStr">
        <is>
          <t>1978</t>
        </is>
      </c>
      <c r="O767" t="inlineStr">
        <is>
          <t>eng</t>
        </is>
      </c>
      <c r="P767" t="inlineStr">
        <is>
          <t>dcu</t>
        </is>
      </c>
      <c r="R767" t="inlineStr">
        <is>
          <t xml:space="preserve">E  </t>
        </is>
      </c>
      <c r="S767" t="n">
        <v>1</v>
      </c>
      <c r="T767" t="n">
        <v>1</v>
      </c>
      <c r="U767" t="inlineStr">
        <is>
          <t>2003-04-16</t>
        </is>
      </c>
      <c r="V767" t="inlineStr">
        <is>
          <t>2003-04-16</t>
        </is>
      </c>
      <c r="W767" t="inlineStr">
        <is>
          <t>1990-05-24</t>
        </is>
      </c>
      <c r="X767" t="inlineStr">
        <is>
          <t>1990-05-24</t>
        </is>
      </c>
      <c r="Y767" t="n">
        <v>223</v>
      </c>
      <c r="Z767" t="n">
        <v>200</v>
      </c>
      <c r="AA767" t="n">
        <v>207</v>
      </c>
      <c r="AB767" t="n">
        <v>2</v>
      </c>
      <c r="AC767" t="n">
        <v>2</v>
      </c>
      <c r="AD767" t="n">
        <v>8</v>
      </c>
      <c r="AE767" t="n">
        <v>8</v>
      </c>
      <c r="AF767" t="n">
        <v>1</v>
      </c>
      <c r="AG767" t="n">
        <v>1</v>
      </c>
      <c r="AH767" t="n">
        <v>3</v>
      </c>
      <c r="AI767" t="n">
        <v>3</v>
      </c>
      <c r="AJ767" t="n">
        <v>5</v>
      </c>
      <c r="AK767" t="n">
        <v>5</v>
      </c>
      <c r="AL767" t="n">
        <v>1</v>
      </c>
      <c r="AM767" t="n">
        <v>1</v>
      </c>
      <c r="AN767" t="n">
        <v>0</v>
      </c>
      <c r="AO767" t="n">
        <v>0</v>
      </c>
      <c r="AP767" t="inlineStr">
        <is>
          <t>No</t>
        </is>
      </c>
      <c r="AQ767" t="inlineStr">
        <is>
          <t>Yes</t>
        </is>
      </c>
      <c r="AR767">
        <f>HYPERLINK("http://catalog.hathitrust.org/Record/000729403","HathiTrust Record")</f>
        <v/>
      </c>
      <c r="AS767">
        <f>HYPERLINK("https://creighton-primo.hosted.exlibrisgroup.com/primo-explore/search?tab=default_tab&amp;search_scope=EVERYTHING&amp;vid=01CRU&amp;lang=en_US&amp;offset=0&amp;query=any,contains,991004743029702656","Catalog Record")</f>
        <v/>
      </c>
      <c r="AT767">
        <f>HYPERLINK("http://www.worldcat.org/oclc/4889979","WorldCat Record")</f>
        <v/>
      </c>
      <c r="AU767" t="inlineStr">
        <is>
          <t>15098038:eng</t>
        </is>
      </c>
      <c r="AV767" t="inlineStr">
        <is>
          <t>4889979</t>
        </is>
      </c>
      <c r="AW767" t="inlineStr">
        <is>
          <t>991004743029702656</t>
        </is>
      </c>
      <c r="AX767" t="inlineStr">
        <is>
          <t>991004743029702656</t>
        </is>
      </c>
      <c r="AY767" t="inlineStr">
        <is>
          <t>2260770190002656</t>
        </is>
      </c>
      <c r="AZ767" t="inlineStr">
        <is>
          <t>BOOK</t>
        </is>
      </c>
      <c r="BB767" t="inlineStr">
        <is>
          <t>9780819105554</t>
        </is>
      </c>
      <c r="BC767" t="inlineStr">
        <is>
          <t>32285000165745</t>
        </is>
      </c>
      <c r="BD767" t="inlineStr">
        <is>
          <t>893694264</t>
        </is>
      </c>
    </row>
    <row r="768">
      <c r="A768" t="inlineStr">
        <is>
          <t>No</t>
        </is>
      </c>
      <c r="B768" t="inlineStr">
        <is>
          <t>E183.8.V5 K36</t>
        </is>
      </c>
      <c r="C768" t="inlineStr">
        <is>
          <t>0                      E  0183800V  5                  K  36</t>
        </is>
      </c>
      <c r="D768" t="inlineStr">
        <is>
          <t>The Vietnam trauma in American foreign policy, 1945-75 / Paul M. Kattenburg.</t>
        </is>
      </c>
      <c r="F768" t="inlineStr">
        <is>
          <t>No</t>
        </is>
      </c>
      <c r="G768" t="inlineStr">
        <is>
          <t>1</t>
        </is>
      </c>
      <c r="H768" t="inlineStr">
        <is>
          <t>No</t>
        </is>
      </c>
      <c r="I768" t="inlineStr">
        <is>
          <t>No</t>
        </is>
      </c>
      <c r="J768" t="inlineStr">
        <is>
          <t>0</t>
        </is>
      </c>
      <c r="K768" t="inlineStr">
        <is>
          <t>Kattenburg, Paul M.</t>
        </is>
      </c>
      <c r="L768" t="inlineStr">
        <is>
          <t>New Brunswick, N.J. : Transaction Books, 1980.</t>
        </is>
      </c>
      <c r="M768" t="inlineStr">
        <is>
          <t>1980</t>
        </is>
      </c>
      <c r="O768" t="inlineStr">
        <is>
          <t>eng</t>
        </is>
      </c>
      <c r="P768" t="inlineStr">
        <is>
          <t>nju</t>
        </is>
      </c>
      <c r="R768" t="inlineStr">
        <is>
          <t xml:space="preserve">E  </t>
        </is>
      </c>
      <c r="S768" t="n">
        <v>3</v>
      </c>
      <c r="T768" t="n">
        <v>3</v>
      </c>
      <c r="U768" t="inlineStr">
        <is>
          <t>2003-04-16</t>
        </is>
      </c>
      <c r="V768" t="inlineStr">
        <is>
          <t>2003-04-16</t>
        </is>
      </c>
      <c r="W768" t="inlineStr">
        <is>
          <t>1991-02-11</t>
        </is>
      </c>
      <c r="X768" t="inlineStr">
        <is>
          <t>1991-02-11</t>
        </is>
      </c>
      <c r="Y768" t="n">
        <v>964</v>
      </c>
      <c r="Z768" t="n">
        <v>832</v>
      </c>
      <c r="AA768" t="n">
        <v>847</v>
      </c>
      <c r="AB768" t="n">
        <v>6</v>
      </c>
      <c r="AC768" t="n">
        <v>6</v>
      </c>
      <c r="AD768" t="n">
        <v>42</v>
      </c>
      <c r="AE768" t="n">
        <v>42</v>
      </c>
      <c r="AF768" t="n">
        <v>20</v>
      </c>
      <c r="AG768" t="n">
        <v>20</v>
      </c>
      <c r="AH768" t="n">
        <v>8</v>
      </c>
      <c r="AI768" t="n">
        <v>8</v>
      </c>
      <c r="AJ768" t="n">
        <v>18</v>
      </c>
      <c r="AK768" t="n">
        <v>18</v>
      </c>
      <c r="AL768" t="n">
        <v>5</v>
      </c>
      <c r="AM768" t="n">
        <v>5</v>
      </c>
      <c r="AN768" t="n">
        <v>0</v>
      </c>
      <c r="AO768" t="n">
        <v>0</v>
      </c>
      <c r="AP768" t="inlineStr">
        <is>
          <t>No</t>
        </is>
      </c>
      <c r="AQ768" t="inlineStr">
        <is>
          <t>No</t>
        </is>
      </c>
      <c r="AS768">
        <f>HYPERLINK("https://creighton-primo.hosted.exlibrisgroup.com/primo-explore/search?tab=default_tab&amp;search_scope=EVERYTHING&amp;vid=01CRU&amp;lang=en_US&amp;offset=0&amp;query=any,contains,991004862169702656","Catalog Record")</f>
        <v/>
      </c>
      <c r="AT768">
        <f>HYPERLINK("http://www.worldcat.org/oclc/5707937","WorldCat Record")</f>
        <v/>
      </c>
      <c r="AU768" t="inlineStr">
        <is>
          <t>538319:eng</t>
        </is>
      </c>
      <c r="AV768" t="inlineStr">
        <is>
          <t>5707937</t>
        </is>
      </c>
      <c r="AW768" t="inlineStr">
        <is>
          <t>991004862169702656</t>
        </is>
      </c>
      <c r="AX768" t="inlineStr">
        <is>
          <t>991004862169702656</t>
        </is>
      </c>
      <c r="AY768" t="inlineStr">
        <is>
          <t>2258403080002656</t>
        </is>
      </c>
      <c r="AZ768" t="inlineStr">
        <is>
          <t>BOOK</t>
        </is>
      </c>
      <c r="BB768" t="inlineStr">
        <is>
          <t>9780878553785</t>
        </is>
      </c>
      <c r="BC768" t="inlineStr">
        <is>
          <t>32285000482538</t>
        </is>
      </c>
      <c r="BD768" t="inlineStr">
        <is>
          <t>893436833</t>
        </is>
      </c>
    </row>
    <row r="769">
      <c r="A769" t="inlineStr">
        <is>
          <t>No</t>
        </is>
      </c>
      <c r="B769" t="inlineStr">
        <is>
          <t>E183.8.V5 N66 1988</t>
        </is>
      </c>
      <c r="C769" t="inlineStr">
        <is>
          <t>0                      E  0183800V  5                  N  66          1988</t>
        </is>
      </c>
      <c r="D769" t="inlineStr">
        <is>
          <t>From trust to tragedy : the political memoirs of Frederick Nolting, Kennedy's ambassador to Diem's Vietnam / Frederick Nolting ; foreword by William Colby.</t>
        </is>
      </c>
      <c r="F769" t="inlineStr">
        <is>
          <t>No</t>
        </is>
      </c>
      <c r="G769" t="inlineStr">
        <is>
          <t>1</t>
        </is>
      </c>
      <c r="H769" t="inlineStr">
        <is>
          <t>No</t>
        </is>
      </c>
      <c r="I769" t="inlineStr">
        <is>
          <t>No</t>
        </is>
      </c>
      <c r="J769" t="inlineStr">
        <is>
          <t>0</t>
        </is>
      </c>
      <c r="K769" t="inlineStr">
        <is>
          <t>Nolting, Frederick.</t>
        </is>
      </c>
      <c r="L769" t="inlineStr">
        <is>
          <t>New York : Praeger, 1988.</t>
        </is>
      </c>
      <c r="M769" t="inlineStr">
        <is>
          <t>1988</t>
        </is>
      </c>
      <c r="O769" t="inlineStr">
        <is>
          <t>eng</t>
        </is>
      </c>
      <c r="P769" t="inlineStr">
        <is>
          <t>nyu</t>
        </is>
      </c>
      <c r="R769" t="inlineStr">
        <is>
          <t xml:space="preserve">E  </t>
        </is>
      </c>
      <c r="S769" t="n">
        <v>2</v>
      </c>
      <c r="T769" t="n">
        <v>2</v>
      </c>
      <c r="U769" t="inlineStr">
        <is>
          <t>1992-02-08</t>
        </is>
      </c>
      <c r="V769" t="inlineStr">
        <is>
          <t>1992-02-08</t>
        </is>
      </c>
      <c r="W769" t="inlineStr">
        <is>
          <t>1990-05-17</t>
        </is>
      </c>
      <c r="X769" t="inlineStr">
        <is>
          <t>1990-05-17</t>
        </is>
      </c>
      <c r="Y769" t="n">
        <v>346</v>
      </c>
      <c r="Z769" t="n">
        <v>282</v>
      </c>
      <c r="AA769" t="n">
        <v>284</v>
      </c>
      <c r="AB769" t="n">
        <v>3</v>
      </c>
      <c r="AC769" t="n">
        <v>3</v>
      </c>
      <c r="AD769" t="n">
        <v>14</v>
      </c>
      <c r="AE769" t="n">
        <v>14</v>
      </c>
      <c r="AF769" t="n">
        <v>3</v>
      </c>
      <c r="AG769" t="n">
        <v>3</v>
      </c>
      <c r="AH769" t="n">
        <v>4</v>
      </c>
      <c r="AI769" t="n">
        <v>4</v>
      </c>
      <c r="AJ769" t="n">
        <v>9</v>
      </c>
      <c r="AK769" t="n">
        <v>9</v>
      </c>
      <c r="AL769" t="n">
        <v>2</v>
      </c>
      <c r="AM769" t="n">
        <v>2</v>
      </c>
      <c r="AN769" t="n">
        <v>0</v>
      </c>
      <c r="AO769" t="n">
        <v>0</v>
      </c>
      <c r="AP769" t="inlineStr">
        <is>
          <t>No</t>
        </is>
      </c>
      <c r="AQ769" t="inlineStr">
        <is>
          <t>Yes</t>
        </is>
      </c>
      <c r="AR769">
        <f>HYPERLINK("http://catalog.hathitrust.org/Record/000947281","HathiTrust Record")</f>
        <v/>
      </c>
      <c r="AS769">
        <f>HYPERLINK("https://creighton-primo.hosted.exlibrisgroup.com/primo-explore/search?tab=default_tab&amp;search_scope=EVERYTHING&amp;vid=01CRU&amp;lang=en_US&amp;offset=0&amp;query=any,contains,991001283529702656","Catalog Record")</f>
        <v/>
      </c>
      <c r="AT769">
        <f>HYPERLINK("http://www.worldcat.org/oclc/17951419","WorldCat Record")</f>
        <v/>
      </c>
      <c r="AU769" t="inlineStr">
        <is>
          <t>347394489:eng</t>
        </is>
      </c>
      <c r="AV769" t="inlineStr">
        <is>
          <t>17951419</t>
        </is>
      </c>
      <c r="AW769" t="inlineStr">
        <is>
          <t>991001283529702656</t>
        </is>
      </c>
      <c r="AX769" t="inlineStr">
        <is>
          <t>991001283529702656</t>
        </is>
      </c>
      <c r="AY769" t="inlineStr">
        <is>
          <t>2271208340002656</t>
        </is>
      </c>
      <c r="AZ769" t="inlineStr">
        <is>
          <t>BOOK</t>
        </is>
      </c>
      <c r="BB769" t="inlineStr">
        <is>
          <t>9780275931063</t>
        </is>
      </c>
      <c r="BC769" t="inlineStr">
        <is>
          <t>32285000152487</t>
        </is>
      </c>
      <c r="BD769" t="inlineStr">
        <is>
          <t>893328036</t>
        </is>
      </c>
    </row>
    <row r="770">
      <c r="A770" t="inlineStr">
        <is>
          <t>No</t>
        </is>
      </c>
      <c r="B770" t="inlineStr">
        <is>
          <t>E183.8.V5 P3</t>
        </is>
      </c>
      <c r="C770" t="inlineStr">
        <is>
          <t>0                      E  0183800V  5                  P  3</t>
        </is>
      </c>
      <c r="D770" t="inlineStr">
        <is>
          <t>Why Viet Nam? : prelude to America's albatross / Archimedes L. A. Patti.</t>
        </is>
      </c>
      <c r="F770" t="inlineStr">
        <is>
          <t>No</t>
        </is>
      </c>
      <c r="G770" t="inlineStr">
        <is>
          <t>1</t>
        </is>
      </c>
      <c r="H770" t="inlineStr">
        <is>
          <t>No</t>
        </is>
      </c>
      <c r="I770" t="inlineStr">
        <is>
          <t>No</t>
        </is>
      </c>
      <c r="J770" t="inlineStr">
        <is>
          <t>0</t>
        </is>
      </c>
      <c r="K770" t="inlineStr">
        <is>
          <t>Patti, Archimedes L. A.</t>
        </is>
      </c>
      <c r="L770" t="inlineStr">
        <is>
          <t>Berkeley : University of California Press, c1980.</t>
        </is>
      </c>
      <c r="M770" t="inlineStr">
        <is>
          <t>1980</t>
        </is>
      </c>
      <c r="O770" t="inlineStr">
        <is>
          <t>eng</t>
        </is>
      </c>
      <c r="P770" t="inlineStr">
        <is>
          <t>cau</t>
        </is>
      </c>
      <c r="R770" t="inlineStr">
        <is>
          <t xml:space="preserve">E  </t>
        </is>
      </c>
      <c r="S770" t="n">
        <v>3</v>
      </c>
      <c r="T770" t="n">
        <v>3</v>
      </c>
      <c r="U770" t="inlineStr">
        <is>
          <t>1993-05-19</t>
        </is>
      </c>
      <c r="V770" t="inlineStr">
        <is>
          <t>1993-05-19</t>
        </is>
      </c>
      <c r="W770" t="inlineStr">
        <is>
          <t>1991-02-11</t>
        </is>
      </c>
      <c r="X770" t="inlineStr">
        <is>
          <t>1991-02-11</t>
        </is>
      </c>
      <c r="Y770" t="n">
        <v>1149</v>
      </c>
      <c r="Z770" t="n">
        <v>1008</v>
      </c>
      <c r="AA770" t="n">
        <v>1023</v>
      </c>
      <c r="AB770" t="n">
        <v>10</v>
      </c>
      <c r="AC770" t="n">
        <v>10</v>
      </c>
      <c r="AD770" t="n">
        <v>40</v>
      </c>
      <c r="AE770" t="n">
        <v>40</v>
      </c>
      <c r="AF770" t="n">
        <v>14</v>
      </c>
      <c r="AG770" t="n">
        <v>14</v>
      </c>
      <c r="AH770" t="n">
        <v>10</v>
      </c>
      <c r="AI770" t="n">
        <v>10</v>
      </c>
      <c r="AJ770" t="n">
        <v>17</v>
      </c>
      <c r="AK770" t="n">
        <v>17</v>
      </c>
      <c r="AL770" t="n">
        <v>8</v>
      </c>
      <c r="AM770" t="n">
        <v>8</v>
      </c>
      <c r="AN770" t="n">
        <v>0</v>
      </c>
      <c r="AO770" t="n">
        <v>0</v>
      </c>
      <c r="AP770" t="inlineStr">
        <is>
          <t>No</t>
        </is>
      </c>
      <c r="AQ770" t="inlineStr">
        <is>
          <t>No</t>
        </is>
      </c>
      <c r="AS770">
        <f>HYPERLINK("https://creighton-primo.hosted.exlibrisgroup.com/primo-explore/search?tab=default_tab&amp;search_scope=EVERYTHING&amp;vid=01CRU&amp;lang=en_US&amp;offset=0&amp;query=any,contains,991004973289702656","Catalog Record")</f>
        <v/>
      </c>
      <c r="AT770">
        <f>HYPERLINK("http://www.worldcat.org/oclc/6376371","WorldCat Record")</f>
        <v/>
      </c>
      <c r="AU770" t="inlineStr">
        <is>
          <t>147319102:eng</t>
        </is>
      </c>
      <c r="AV770" t="inlineStr">
        <is>
          <t>6376371</t>
        </is>
      </c>
      <c r="AW770" t="inlineStr">
        <is>
          <t>991004973289702656</t>
        </is>
      </c>
      <c r="AX770" t="inlineStr">
        <is>
          <t>991004973289702656</t>
        </is>
      </c>
      <c r="AY770" t="inlineStr">
        <is>
          <t>2267168660002656</t>
        </is>
      </c>
      <c r="AZ770" t="inlineStr">
        <is>
          <t>BOOK</t>
        </is>
      </c>
      <c r="BB770" t="inlineStr">
        <is>
          <t>9780520041561</t>
        </is>
      </c>
      <c r="BC770" t="inlineStr">
        <is>
          <t>32285000482546</t>
        </is>
      </c>
      <c r="BD770" t="inlineStr">
        <is>
          <t>893883168</t>
        </is>
      </c>
    </row>
    <row r="771">
      <c r="A771" t="inlineStr">
        <is>
          <t>No</t>
        </is>
      </c>
      <c r="B771" t="inlineStr">
        <is>
          <t>E183.8.V5 P42</t>
        </is>
      </c>
      <c r="C771" t="inlineStr">
        <is>
          <t>0                      E  0183800V  5                  P  42</t>
        </is>
      </c>
      <c r="D771" t="inlineStr">
        <is>
          <t>The Pentagon Papers : the Defense Department history of United States decisionmaking on Vietnam.</t>
        </is>
      </c>
      <c r="E771" t="inlineStr">
        <is>
          <t>V.3</t>
        </is>
      </c>
      <c r="F771" t="inlineStr">
        <is>
          <t>Yes</t>
        </is>
      </c>
      <c r="G771" t="inlineStr">
        <is>
          <t>1</t>
        </is>
      </c>
      <c r="H771" t="inlineStr">
        <is>
          <t>No</t>
        </is>
      </c>
      <c r="I771" t="inlineStr">
        <is>
          <t>No</t>
        </is>
      </c>
      <c r="J771" t="inlineStr">
        <is>
          <t>0</t>
        </is>
      </c>
      <c r="L771" t="inlineStr">
        <is>
          <t>Boston : Beacon Press, [1971-72]</t>
        </is>
      </c>
      <c r="M771" t="inlineStr">
        <is>
          <t>1971</t>
        </is>
      </c>
      <c r="N771" t="inlineStr">
        <is>
          <t>The Senator Gravel ed.</t>
        </is>
      </c>
      <c r="O771" t="inlineStr">
        <is>
          <t>eng</t>
        </is>
      </c>
      <c r="P771" t="inlineStr">
        <is>
          <t>mau</t>
        </is>
      </c>
      <c r="R771" t="inlineStr">
        <is>
          <t xml:space="preserve">E  </t>
        </is>
      </c>
      <c r="S771" t="n">
        <v>3</v>
      </c>
      <c r="T771" t="n">
        <v>13</v>
      </c>
      <c r="U771" t="inlineStr">
        <is>
          <t>2002-11-04</t>
        </is>
      </c>
      <c r="V771" t="inlineStr">
        <is>
          <t>2002-11-04</t>
        </is>
      </c>
      <c r="W771" t="inlineStr">
        <is>
          <t>1991-02-14</t>
        </is>
      </c>
      <c r="X771" t="inlineStr">
        <is>
          <t>1992-05-05</t>
        </is>
      </c>
      <c r="Y771" t="n">
        <v>1349</v>
      </c>
      <c r="Z771" t="n">
        <v>1267</v>
      </c>
      <c r="AA771" t="n">
        <v>1286</v>
      </c>
      <c r="AB771" t="n">
        <v>13</v>
      </c>
      <c r="AC771" t="n">
        <v>13</v>
      </c>
      <c r="AD771" t="n">
        <v>54</v>
      </c>
      <c r="AE771" t="n">
        <v>54</v>
      </c>
      <c r="AF771" t="n">
        <v>21</v>
      </c>
      <c r="AG771" t="n">
        <v>21</v>
      </c>
      <c r="AH771" t="n">
        <v>7</v>
      </c>
      <c r="AI771" t="n">
        <v>7</v>
      </c>
      <c r="AJ771" t="n">
        <v>19</v>
      </c>
      <c r="AK771" t="n">
        <v>19</v>
      </c>
      <c r="AL771" t="n">
        <v>11</v>
      </c>
      <c r="AM771" t="n">
        <v>11</v>
      </c>
      <c r="AN771" t="n">
        <v>6</v>
      </c>
      <c r="AO771" t="n">
        <v>6</v>
      </c>
      <c r="AP771" t="inlineStr">
        <is>
          <t>No</t>
        </is>
      </c>
      <c r="AQ771" t="inlineStr">
        <is>
          <t>Yes</t>
        </is>
      </c>
      <c r="AR771">
        <f>HYPERLINK("http://catalog.hathitrust.org/Record/001267080","HathiTrust Record")</f>
        <v/>
      </c>
      <c r="AS771">
        <f>HYPERLINK("https://creighton-primo.hosted.exlibrisgroup.com/primo-explore/search?tab=default_tab&amp;search_scope=EVERYTHING&amp;vid=01CRU&amp;lang=en_US&amp;offset=0&amp;query=any,contains,991001929219702656","Catalog Record")</f>
        <v/>
      </c>
      <c r="AT771">
        <f>HYPERLINK("http://www.worldcat.org/oclc/248181","WorldCat Record")</f>
        <v/>
      </c>
      <c r="AU771" t="inlineStr">
        <is>
          <t>889199141:eng</t>
        </is>
      </c>
      <c r="AV771" t="inlineStr">
        <is>
          <t>248181</t>
        </is>
      </c>
      <c r="AW771" t="inlineStr">
        <is>
          <t>991001929219702656</t>
        </is>
      </c>
      <c r="AX771" t="inlineStr">
        <is>
          <t>991001929219702656</t>
        </is>
      </c>
      <c r="AY771" t="inlineStr">
        <is>
          <t>2257912520002656</t>
        </is>
      </c>
      <c r="AZ771" t="inlineStr">
        <is>
          <t>BOOK</t>
        </is>
      </c>
      <c r="BB771" t="inlineStr">
        <is>
          <t>9780807005262</t>
        </is>
      </c>
      <c r="BC771" t="inlineStr">
        <is>
          <t>32285000510239</t>
        </is>
      </c>
      <c r="BD771" t="inlineStr">
        <is>
          <t>893609268</t>
        </is>
      </c>
    </row>
    <row r="772">
      <c r="A772" t="inlineStr">
        <is>
          <t>No</t>
        </is>
      </c>
      <c r="B772" t="inlineStr">
        <is>
          <t>E183.8.V5 P42</t>
        </is>
      </c>
      <c r="C772" t="inlineStr">
        <is>
          <t>0                      E  0183800V  5                  P  42</t>
        </is>
      </c>
      <c r="D772" t="inlineStr">
        <is>
          <t>The Pentagon Papers : the Defense Department history of United States decisionmaking on Vietnam.</t>
        </is>
      </c>
      <c r="E772" t="inlineStr">
        <is>
          <t>V.4</t>
        </is>
      </c>
      <c r="F772" t="inlineStr">
        <is>
          <t>Yes</t>
        </is>
      </c>
      <c r="G772" t="inlineStr">
        <is>
          <t>1</t>
        </is>
      </c>
      <c r="H772" t="inlineStr">
        <is>
          <t>No</t>
        </is>
      </c>
      <c r="I772" t="inlineStr">
        <is>
          <t>No</t>
        </is>
      </c>
      <c r="J772" t="inlineStr">
        <is>
          <t>0</t>
        </is>
      </c>
      <c r="L772" t="inlineStr">
        <is>
          <t>Boston : Beacon Press, [1971-72]</t>
        </is>
      </c>
      <c r="M772" t="inlineStr">
        <is>
          <t>1971</t>
        </is>
      </c>
      <c r="N772" t="inlineStr">
        <is>
          <t>The Senator Gravel ed.</t>
        </is>
      </c>
      <c r="O772" t="inlineStr">
        <is>
          <t>eng</t>
        </is>
      </c>
      <c r="P772" t="inlineStr">
        <is>
          <t>mau</t>
        </is>
      </c>
      <c r="R772" t="inlineStr">
        <is>
          <t xml:space="preserve">E  </t>
        </is>
      </c>
      <c r="S772" t="n">
        <v>3</v>
      </c>
      <c r="T772" t="n">
        <v>13</v>
      </c>
      <c r="U772" t="inlineStr">
        <is>
          <t>2002-11-04</t>
        </is>
      </c>
      <c r="V772" t="inlineStr">
        <is>
          <t>2002-11-04</t>
        </is>
      </c>
      <c r="W772" t="inlineStr">
        <is>
          <t>1992-01-23</t>
        </is>
      </c>
      <c r="X772" t="inlineStr">
        <is>
          <t>1992-05-05</t>
        </is>
      </c>
      <c r="Y772" t="n">
        <v>1349</v>
      </c>
      <c r="Z772" t="n">
        <v>1267</v>
      </c>
      <c r="AA772" t="n">
        <v>1286</v>
      </c>
      <c r="AB772" t="n">
        <v>13</v>
      </c>
      <c r="AC772" t="n">
        <v>13</v>
      </c>
      <c r="AD772" t="n">
        <v>54</v>
      </c>
      <c r="AE772" t="n">
        <v>54</v>
      </c>
      <c r="AF772" t="n">
        <v>21</v>
      </c>
      <c r="AG772" t="n">
        <v>21</v>
      </c>
      <c r="AH772" t="n">
        <v>7</v>
      </c>
      <c r="AI772" t="n">
        <v>7</v>
      </c>
      <c r="AJ772" t="n">
        <v>19</v>
      </c>
      <c r="AK772" t="n">
        <v>19</v>
      </c>
      <c r="AL772" t="n">
        <v>11</v>
      </c>
      <c r="AM772" t="n">
        <v>11</v>
      </c>
      <c r="AN772" t="n">
        <v>6</v>
      </c>
      <c r="AO772" t="n">
        <v>6</v>
      </c>
      <c r="AP772" t="inlineStr">
        <is>
          <t>No</t>
        </is>
      </c>
      <c r="AQ772" t="inlineStr">
        <is>
          <t>Yes</t>
        </is>
      </c>
      <c r="AR772">
        <f>HYPERLINK("http://catalog.hathitrust.org/Record/001267080","HathiTrust Record")</f>
        <v/>
      </c>
      <c r="AS772">
        <f>HYPERLINK("https://creighton-primo.hosted.exlibrisgroup.com/primo-explore/search?tab=default_tab&amp;search_scope=EVERYTHING&amp;vid=01CRU&amp;lang=en_US&amp;offset=0&amp;query=any,contains,991001929219702656","Catalog Record")</f>
        <v/>
      </c>
      <c r="AT772">
        <f>HYPERLINK("http://www.worldcat.org/oclc/248181","WorldCat Record")</f>
        <v/>
      </c>
      <c r="AU772" t="inlineStr">
        <is>
          <t>889199141:eng</t>
        </is>
      </c>
      <c r="AV772" t="inlineStr">
        <is>
          <t>248181</t>
        </is>
      </c>
      <c r="AW772" t="inlineStr">
        <is>
          <t>991001929219702656</t>
        </is>
      </c>
      <c r="AX772" t="inlineStr">
        <is>
          <t>991001929219702656</t>
        </is>
      </c>
      <c r="AY772" t="inlineStr">
        <is>
          <t>2257912520002656</t>
        </is>
      </c>
      <c r="AZ772" t="inlineStr">
        <is>
          <t>BOOK</t>
        </is>
      </c>
      <c r="BB772" t="inlineStr">
        <is>
          <t>9780807005262</t>
        </is>
      </c>
      <c r="BC772" t="inlineStr">
        <is>
          <t>32285000917616</t>
        </is>
      </c>
      <c r="BD772" t="inlineStr">
        <is>
          <t>893609269</t>
        </is>
      </c>
    </row>
    <row r="773">
      <c r="A773" t="inlineStr">
        <is>
          <t>No</t>
        </is>
      </c>
      <c r="B773" t="inlineStr">
        <is>
          <t>E183.8.V5 P42</t>
        </is>
      </c>
      <c r="C773" t="inlineStr">
        <is>
          <t>0                      E  0183800V  5                  P  42</t>
        </is>
      </c>
      <c r="D773" t="inlineStr">
        <is>
          <t>The Pentagon Papers : the Defense Department history of United States decisionmaking on Vietnam.</t>
        </is>
      </c>
      <c r="E773" t="inlineStr">
        <is>
          <t>V.1</t>
        </is>
      </c>
      <c r="F773" t="inlineStr">
        <is>
          <t>Yes</t>
        </is>
      </c>
      <c r="G773" t="inlineStr">
        <is>
          <t>1</t>
        </is>
      </c>
      <c r="H773" t="inlineStr">
        <is>
          <t>No</t>
        </is>
      </c>
      <c r="I773" t="inlineStr">
        <is>
          <t>No</t>
        </is>
      </c>
      <c r="J773" t="inlineStr">
        <is>
          <t>0</t>
        </is>
      </c>
      <c r="L773" t="inlineStr">
        <is>
          <t>Boston : Beacon Press, [1971-72]</t>
        </is>
      </c>
      <c r="M773" t="inlineStr">
        <is>
          <t>1971</t>
        </is>
      </c>
      <c r="N773" t="inlineStr">
        <is>
          <t>The Senator Gravel ed.</t>
        </is>
      </c>
      <c r="O773" t="inlineStr">
        <is>
          <t>eng</t>
        </is>
      </c>
      <c r="P773" t="inlineStr">
        <is>
          <t>mau</t>
        </is>
      </c>
      <c r="R773" t="inlineStr">
        <is>
          <t xml:space="preserve">E  </t>
        </is>
      </c>
      <c r="S773" t="n">
        <v>5</v>
      </c>
      <c r="T773" t="n">
        <v>13</v>
      </c>
      <c r="U773" t="inlineStr">
        <is>
          <t>2002-11-04</t>
        </is>
      </c>
      <c r="V773" t="inlineStr">
        <is>
          <t>2002-11-04</t>
        </is>
      </c>
      <c r="W773" t="inlineStr">
        <is>
          <t>1991-02-14</t>
        </is>
      </c>
      <c r="X773" t="inlineStr">
        <is>
          <t>1992-05-05</t>
        </is>
      </c>
      <c r="Y773" t="n">
        <v>1349</v>
      </c>
      <c r="Z773" t="n">
        <v>1267</v>
      </c>
      <c r="AA773" t="n">
        <v>1286</v>
      </c>
      <c r="AB773" t="n">
        <v>13</v>
      </c>
      <c r="AC773" t="n">
        <v>13</v>
      </c>
      <c r="AD773" t="n">
        <v>54</v>
      </c>
      <c r="AE773" t="n">
        <v>54</v>
      </c>
      <c r="AF773" t="n">
        <v>21</v>
      </c>
      <c r="AG773" t="n">
        <v>21</v>
      </c>
      <c r="AH773" t="n">
        <v>7</v>
      </c>
      <c r="AI773" t="n">
        <v>7</v>
      </c>
      <c r="AJ773" t="n">
        <v>19</v>
      </c>
      <c r="AK773" t="n">
        <v>19</v>
      </c>
      <c r="AL773" t="n">
        <v>11</v>
      </c>
      <c r="AM773" t="n">
        <v>11</v>
      </c>
      <c r="AN773" t="n">
        <v>6</v>
      </c>
      <c r="AO773" t="n">
        <v>6</v>
      </c>
      <c r="AP773" t="inlineStr">
        <is>
          <t>No</t>
        </is>
      </c>
      <c r="AQ773" t="inlineStr">
        <is>
          <t>Yes</t>
        </is>
      </c>
      <c r="AR773">
        <f>HYPERLINK("http://catalog.hathitrust.org/Record/001267080","HathiTrust Record")</f>
        <v/>
      </c>
      <c r="AS773">
        <f>HYPERLINK("https://creighton-primo.hosted.exlibrisgroup.com/primo-explore/search?tab=default_tab&amp;search_scope=EVERYTHING&amp;vid=01CRU&amp;lang=en_US&amp;offset=0&amp;query=any,contains,991001929219702656","Catalog Record")</f>
        <v/>
      </c>
      <c r="AT773">
        <f>HYPERLINK("http://www.worldcat.org/oclc/248181","WorldCat Record")</f>
        <v/>
      </c>
      <c r="AU773" t="inlineStr">
        <is>
          <t>889199141:eng</t>
        </is>
      </c>
      <c r="AV773" t="inlineStr">
        <is>
          <t>248181</t>
        </is>
      </c>
      <c r="AW773" t="inlineStr">
        <is>
          <t>991001929219702656</t>
        </is>
      </c>
      <c r="AX773" t="inlineStr">
        <is>
          <t>991001929219702656</t>
        </is>
      </c>
      <c r="AY773" t="inlineStr">
        <is>
          <t>2257912520002656</t>
        </is>
      </c>
      <c r="AZ773" t="inlineStr">
        <is>
          <t>BOOK</t>
        </is>
      </c>
      <c r="BB773" t="inlineStr">
        <is>
          <t>9780807005262</t>
        </is>
      </c>
      <c r="BC773" t="inlineStr">
        <is>
          <t>32285000510221</t>
        </is>
      </c>
      <c r="BD773" t="inlineStr">
        <is>
          <t>893596845</t>
        </is>
      </c>
    </row>
    <row r="774">
      <c r="A774" t="inlineStr">
        <is>
          <t>No</t>
        </is>
      </c>
      <c r="B774" t="inlineStr">
        <is>
          <t>E183.8.V5 P42</t>
        </is>
      </c>
      <c r="C774" t="inlineStr">
        <is>
          <t>0                      E  0183800V  5                  P  42</t>
        </is>
      </c>
      <c r="D774" t="inlineStr">
        <is>
          <t>The Pentagon Papers : the Defense Department history of United States decisionmaking on Vietnam.</t>
        </is>
      </c>
      <c r="E774" t="inlineStr">
        <is>
          <t>V.2</t>
        </is>
      </c>
      <c r="F774" t="inlineStr">
        <is>
          <t>Yes</t>
        </is>
      </c>
      <c r="G774" t="inlineStr">
        <is>
          <t>1</t>
        </is>
      </c>
      <c r="H774" t="inlineStr">
        <is>
          <t>No</t>
        </is>
      </c>
      <c r="I774" t="inlineStr">
        <is>
          <t>No</t>
        </is>
      </c>
      <c r="J774" t="inlineStr">
        <is>
          <t>0</t>
        </is>
      </c>
      <c r="L774" t="inlineStr">
        <is>
          <t>Boston : Beacon Press, [1971-72]</t>
        </is>
      </c>
      <c r="M774" t="inlineStr">
        <is>
          <t>1971</t>
        </is>
      </c>
      <c r="N774" t="inlineStr">
        <is>
          <t>The Senator Gravel ed.</t>
        </is>
      </c>
      <c r="O774" t="inlineStr">
        <is>
          <t>eng</t>
        </is>
      </c>
      <c r="P774" t="inlineStr">
        <is>
          <t>mau</t>
        </is>
      </c>
      <c r="R774" t="inlineStr">
        <is>
          <t xml:space="preserve">E  </t>
        </is>
      </c>
      <c r="S774" t="n">
        <v>2</v>
      </c>
      <c r="T774" t="n">
        <v>13</v>
      </c>
      <c r="U774" t="inlineStr">
        <is>
          <t>2002-11-04</t>
        </is>
      </c>
      <c r="V774" t="inlineStr">
        <is>
          <t>2002-11-04</t>
        </is>
      </c>
      <c r="W774" t="inlineStr">
        <is>
          <t>1992-05-05</t>
        </is>
      </c>
      <c r="X774" t="inlineStr">
        <is>
          <t>1992-05-05</t>
        </is>
      </c>
      <c r="Y774" t="n">
        <v>1349</v>
      </c>
      <c r="Z774" t="n">
        <v>1267</v>
      </c>
      <c r="AA774" t="n">
        <v>1286</v>
      </c>
      <c r="AB774" t="n">
        <v>13</v>
      </c>
      <c r="AC774" t="n">
        <v>13</v>
      </c>
      <c r="AD774" t="n">
        <v>54</v>
      </c>
      <c r="AE774" t="n">
        <v>54</v>
      </c>
      <c r="AF774" t="n">
        <v>21</v>
      </c>
      <c r="AG774" t="n">
        <v>21</v>
      </c>
      <c r="AH774" t="n">
        <v>7</v>
      </c>
      <c r="AI774" t="n">
        <v>7</v>
      </c>
      <c r="AJ774" t="n">
        <v>19</v>
      </c>
      <c r="AK774" t="n">
        <v>19</v>
      </c>
      <c r="AL774" t="n">
        <v>11</v>
      </c>
      <c r="AM774" t="n">
        <v>11</v>
      </c>
      <c r="AN774" t="n">
        <v>6</v>
      </c>
      <c r="AO774" t="n">
        <v>6</v>
      </c>
      <c r="AP774" t="inlineStr">
        <is>
          <t>No</t>
        </is>
      </c>
      <c r="AQ774" t="inlineStr">
        <is>
          <t>Yes</t>
        </is>
      </c>
      <c r="AR774">
        <f>HYPERLINK("http://catalog.hathitrust.org/Record/001267080","HathiTrust Record")</f>
        <v/>
      </c>
      <c r="AS774">
        <f>HYPERLINK("https://creighton-primo.hosted.exlibrisgroup.com/primo-explore/search?tab=default_tab&amp;search_scope=EVERYTHING&amp;vid=01CRU&amp;lang=en_US&amp;offset=0&amp;query=any,contains,991001929219702656","Catalog Record")</f>
        <v/>
      </c>
      <c r="AT774">
        <f>HYPERLINK("http://www.worldcat.org/oclc/248181","WorldCat Record")</f>
        <v/>
      </c>
      <c r="AU774" t="inlineStr">
        <is>
          <t>889199141:eng</t>
        </is>
      </c>
      <c r="AV774" t="inlineStr">
        <is>
          <t>248181</t>
        </is>
      </c>
      <c r="AW774" t="inlineStr">
        <is>
          <t>991001929219702656</t>
        </is>
      </c>
      <c r="AX774" t="inlineStr">
        <is>
          <t>991001929219702656</t>
        </is>
      </c>
      <c r="AY774" t="inlineStr">
        <is>
          <t>2257912520002656</t>
        </is>
      </c>
      <c r="AZ774" t="inlineStr">
        <is>
          <t>BOOK</t>
        </is>
      </c>
      <c r="BB774" t="inlineStr">
        <is>
          <t>9780807005262</t>
        </is>
      </c>
      <c r="BC774" t="inlineStr">
        <is>
          <t>32285001093110</t>
        </is>
      </c>
      <c r="BD774" t="inlineStr">
        <is>
          <t>893596844</t>
        </is>
      </c>
    </row>
    <row r="775">
      <c r="A775" t="inlineStr">
        <is>
          <t>No</t>
        </is>
      </c>
      <c r="B775" t="inlineStr">
        <is>
          <t>E183.8.V5 P63</t>
        </is>
      </c>
      <c r="C775" t="inlineStr">
        <is>
          <t>0                      E  0183800V  5                  P  63</t>
        </is>
      </c>
      <c r="D775" t="inlineStr">
        <is>
          <t>The United States and Indochina, from FDR to Nixon / [by] Peter A. Poole.</t>
        </is>
      </c>
      <c r="F775" t="inlineStr">
        <is>
          <t>No</t>
        </is>
      </c>
      <c r="G775" t="inlineStr">
        <is>
          <t>1</t>
        </is>
      </c>
      <c r="H775" t="inlineStr">
        <is>
          <t>No</t>
        </is>
      </c>
      <c r="I775" t="inlineStr">
        <is>
          <t>No</t>
        </is>
      </c>
      <c r="J775" t="inlineStr">
        <is>
          <t>0</t>
        </is>
      </c>
      <c r="K775" t="inlineStr">
        <is>
          <t>Poole, Peter A.</t>
        </is>
      </c>
      <c r="L775" t="inlineStr">
        <is>
          <t>Hinsdale, Ill. : Dryden Press, [c1973]</t>
        </is>
      </c>
      <c r="M775" t="inlineStr">
        <is>
          <t>1973</t>
        </is>
      </c>
      <c r="O775" t="inlineStr">
        <is>
          <t>eng</t>
        </is>
      </c>
      <c r="P775" t="inlineStr">
        <is>
          <t>ilu</t>
        </is>
      </c>
      <c r="Q775" t="inlineStr">
        <is>
          <t>Berkshire studies in history</t>
        </is>
      </c>
      <c r="R775" t="inlineStr">
        <is>
          <t xml:space="preserve">E  </t>
        </is>
      </c>
      <c r="S775" t="n">
        <v>4</v>
      </c>
      <c r="T775" t="n">
        <v>4</v>
      </c>
      <c r="U775" t="inlineStr">
        <is>
          <t>1998-12-02</t>
        </is>
      </c>
      <c r="V775" t="inlineStr">
        <is>
          <t>1998-12-02</t>
        </is>
      </c>
      <c r="W775" t="inlineStr">
        <is>
          <t>1992-12-23</t>
        </is>
      </c>
      <c r="X775" t="inlineStr">
        <is>
          <t>1992-12-23</t>
        </is>
      </c>
      <c r="Y775" t="n">
        <v>254</v>
      </c>
      <c r="Z775" t="n">
        <v>201</v>
      </c>
      <c r="AA775" t="n">
        <v>235</v>
      </c>
      <c r="AB775" t="n">
        <v>2</v>
      </c>
      <c r="AC775" t="n">
        <v>2</v>
      </c>
      <c r="AD775" t="n">
        <v>10</v>
      </c>
      <c r="AE775" t="n">
        <v>10</v>
      </c>
      <c r="AF775" t="n">
        <v>1</v>
      </c>
      <c r="AG775" t="n">
        <v>1</v>
      </c>
      <c r="AH775" t="n">
        <v>4</v>
      </c>
      <c r="AI775" t="n">
        <v>4</v>
      </c>
      <c r="AJ775" t="n">
        <v>7</v>
      </c>
      <c r="AK775" t="n">
        <v>7</v>
      </c>
      <c r="AL775" t="n">
        <v>1</v>
      </c>
      <c r="AM775" t="n">
        <v>1</v>
      </c>
      <c r="AN775" t="n">
        <v>0</v>
      </c>
      <c r="AO775" t="n">
        <v>0</v>
      </c>
      <c r="AP775" t="inlineStr">
        <is>
          <t>No</t>
        </is>
      </c>
      <c r="AQ775" t="inlineStr">
        <is>
          <t>Yes</t>
        </is>
      </c>
      <c r="AR775">
        <f>HYPERLINK("http://catalog.hathitrust.org/Record/000335674","HathiTrust Record")</f>
        <v/>
      </c>
      <c r="AS775">
        <f>HYPERLINK("https://creighton-primo.hosted.exlibrisgroup.com/primo-explore/search?tab=default_tab&amp;search_scope=EVERYTHING&amp;vid=01CRU&amp;lang=en_US&amp;offset=0&amp;query=any,contains,991003380189702656","Catalog Record")</f>
        <v/>
      </c>
      <c r="AT775">
        <f>HYPERLINK("http://www.worldcat.org/oclc/916539","WorldCat Record")</f>
        <v/>
      </c>
      <c r="AU775" t="inlineStr">
        <is>
          <t>1858727:eng</t>
        </is>
      </c>
      <c r="AV775" t="inlineStr">
        <is>
          <t>916539</t>
        </is>
      </c>
      <c r="AW775" t="inlineStr">
        <is>
          <t>991003380189702656</t>
        </is>
      </c>
      <c r="AX775" t="inlineStr">
        <is>
          <t>991003380189702656</t>
        </is>
      </c>
      <c r="AY775" t="inlineStr">
        <is>
          <t>2264351040002656</t>
        </is>
      </c>
      <c r="AZ775" t="inlineStr">
        <is>
          <t>BOOK</t>
        </is>
      </c>
      <c r="BB775" t="inlineStr">
        <is>
          <t>9780030801341</t>
        </is>
      </c>
      <c r="BC775" t="inlineStr">
        <is>
          <t>32285001404150</t>
        </is>
      </c>
      <c r="BD775" t="inlineStr">
        <is>
          <t>893805738</t>
        </is>
      </c>
    </row>
    <row r="776">
      <c r="A776" t="inlineStr">
        <is>
          <t>No</t>
        </is>
      </c>
      <c r="B776" t="inlineStr">
        <is>
          <t>E183.8.V5 S37 1998</t>
        </is>
      </c>
      <c r="C776" t="inlineStr">
        <is>
          <t>0                      E  0183800V  5                  S  37          1998</t>
        </is>
      </c>
      <c r="D776" t="inlineStr">
        <is>
          <t>A time for war : the United States and Vietnam, 1941-1975 / Robert D. Schulzinger.</t>
        </is>
      </c>
      <c r="F776" t="inlineStr">
        <is>
          <t>No</t>
        </is>
      </c>
      <c r="G776" t="inlineStr">
        <is>
          <t>1</t>
        </is>
      </c>
      <c r="H776" t="inlineStr">
        <is>
          <t>No</t>
        </is>
      </c>
      <c r="I776" t="inlineStr">
        <is>
          <t>No</t>
        </is>
      </c>
      <c r="J776" t="inlineStr">
        <is>
          <t>0</t>
        </is>
      </c>
      <c r="K776" t="inlineStr">
        <is>
          <t>Schulzinger, Robert D., 1945-</t>
        </is>
      </c>
      <c r="L776" t="inlineStr">
        <is>
          <t>New York : Oxford University Press, 1998.</t>
        </is>
      </c>
      <c r="M776" t="inlineStr">
        <is>
          <t>1998</t>
        </is>
      </c>
      <c r="O776" t="inlineStr">
        <is>
          <t>eng</t>
        </is>
      </c>
      <c r="P776" t="inlineStr">
        <is>
          <t>nyu</t>
        </is>
      </c>
      <c r="R776" t="inlineStr">
        <is>
          <t xml:space="preserve">E  </t>
        </is>
      </c>
      <c r="S776" t="n">
        <v>2</v>
      </c>
      <c r="T776" t="n">
        <v>2</v>
      </c>
      <c r="U776" t="inlineStr">
        <is>
          <t>2000-02-04</t>
        </is>
      </c>
      <c r="V776" t="inlineStr">
        <is>
          <t>2000-02-04</t>
        </is>
      </c>
      <c r="W776" t="inlineStr">
        <is>
          <t>2000-01-27</t>
        </is>
      </c>
      <c r="X776" t="inlineStr">
        <is>
          <t>2000-01-27</t>
        </is>
      </c>
      <c r="Y776" t="n">
        <v>175</v>
      </c>
      <c r="Z776" t="n">
        <v>143</v>
      </c>
      <c r="AA776" t="n">
        <v>1180</v>
      </c>
      <c r="AB776" t="n">
        <v>1</v>
      </c>
      <c r="AC776" t="n">
        <v>8</v>
      </c>
      <c r="AD776" t="n">
        <v>0</v>
      </c>
      <c r="AE776" t="n">
        <v>39</v>
      </c>
      <c r="AF776" t="n">
        <v>0</v>
      </c>
      <c r="AG776" t="n">
        <v>16</v>
      </c>
      <c r="AH776" t="n">
        <v>0</v>
      </c>
      <c r="AI776" t="n">
        <v>10</v>
      </c>
      <c r="AJ776" t="n">
        <v>0</v>
      </c>
      <c r="AK776" t="n">
        <v>20</v>
      </c>
      <c r="AL776" t="n">
        <v>0</v>
      </c>
      <c r="AM776" t="n">
        <v>5</v>
      </c>
      <c r="AN776" t="n">
        <v>0</v>
      </c>
      <c r="AO776" t="n">
        <v>0</v>
      </c>
      <c r="AP776" t="inlineStr">
        <is>
          <t>No</t>
        </is>
      </c>
      <c r="AQ776" t="inlineStr">
        <is>
          <t>No</t>
        </is>
      </c>
      <c r="AS776">
        <f>HYPERLINK("https://creighton-primo.hosted.exlibrisgroup.com/primo-explore/search?tab=default_tab&amp;search_scope=EVERYTHING&amp;vid=01CRU&amp;lang=en_US&amp;offset=0&amp;query=any,contains,991003003089702656","Catalog Record")</f>
        <v/>
      </c>
      <c r="AT776">
        <f>HYPERLINK("http://www.worldcat.org/oclc/40688035","WorldCat Record")</f>
        <v/>
      </c>
      <c r="AU776" t="inlineStr">
        <is>
          <t>20861202:eng</t>
        </is>
      </c>
      <c r="AV776" t="inlineStr">
        <is>
          <t>40688035</t>
        </is>
      </c>
      <c r="AW776" t="inlineStr">
        <is>
          <t>991003003089702656</t>
        </is>
      </c>
      <c r="AX776" t="inlineStr">
        <is>
          <t>991003003089702656</t>
        </is>
      </c>
      <c r="AY776" t="inlineStr">
        <is>
          <t>2263161370002656</t>
        </is>
      </c>
      <c r="AZ776" t="inlineStr">
        <is>
          <t>BOOK</t>
        </is>
      </c>
      <c r="BB776" t="inlineStr">
        <is>
          <t>9780195125016</t>
        </is>
      </c>
      <c r="BC776" t="inlineStr">
        <is>
          <t>32285003656054</t>
        </is>
      </c>
      <c r="BD776" t="inlineStr">
        <is>
          <t>893786861</t>
        </is>
      </c>
    </row>
    <row r="777">
      <c r="A777" t="inlineStr">
        <is>
          <t>No</t>
        </is>
      </c>
      <c r="B777" t="inlineStr">
        <is>
          <t>E183.8.Y8 U15 2002</t>
        </is>
      </c>
      <c r="C777" t="inlineStr">
        <is>
          <t>0                      E  0183800Y  8                  U  15          2002</t>
        </is>
      </c>
      <c r="D777" t="inlineStr">
        <is>
          <t>U.S. diplomatic records on relations with Yugoslavia during the early Cold War, 1948-1957 / edited by Nick Ceh.</t>
        </is>
      </c>
      <c r="F777" t="inlineStr">
        <is>
          <t>No</t>
        </is>
      </c>
      <c r="G777" t="inlineStr">
        <is>
          <t>1</t>
        </is>
      </c>
      <c r="H777" t="inlineStr">
        <is>
          <t>No</t>
        </is>
      </c>
      <c r="I777" t="inlineStr">
        <is>
          <t>No</t>
        </is>
      </c>
      <c r="J777" t="inlineStr">
        <is>
          <t>0</t>
        </is>
      </c>
      <c r="L777" t="inlineStr">
        <is>
          <t>Boulder, Colo. : East European Monograph Series : New York : Distributed by Columbia University Press, 2002.</t>
        </is>
      </c>
      <c r="M777" t="inlineStr">
        <is>
          <t>2002</t>
        </is>
      </c>
      <c r="O777" t="inlineStr">
        <is>
          <t>eng</t>
        </is>
      </c>
      <c r="P777" t="inlineStr">
        <is>
          <t>nyu</t>
        </is>
      </c>
      <c r="Q777" t="inlineStr">
        <is>
          <t>East European monographs ; no. 571</t>
        </is>
      </c>
      <c r="R777" t="inlineStr">
        <is>
          <t xml:space="preserve">E  </t>
        </is>
      </c>
      <c r="S777" t="n">
        <v>1</v>
      </c>
      <c r="T777" t="n">
        <v>1</v>
      </c>
      <c r="U777" t="inlineStr">
        <is>
          <t>2004-08-16</t>
        </is>
      </c>
      <c r="V777" t="inlineStr">
        <is>
          <t>2004-08-16</t>
        </is>
      </c>
      <c r="W777" t="inlineStr">
        <is>
          <t>2004-08-16</t>
        </is>
      </c>
      <c r="X777" t="inlineStr">
        <is>
          <t>2004-08-16</t>
        </is>
      </c>
      <c r="Y777" t="n">
        <v>161</v>
      </c>
      <c r="Z777" t="n">
        <v>134</v>
      </c>
      <c r="AA777" t="n">
        <v>136</v>
      </c>
      <c r="AB777" t="n">
        <v>2</v>
      </c>
      <c r="AC777" t="n">
        <v>2</v>
      </c>
      <c r="AD777" t="n">
        <v>8</v>
      </c>
      <c r="AE777" t="n">
        <v>8</v>
      </c>
      <c r="AF777" t="n">
        <v>2</v>
      </c>
      <c r="AG777" t="n">
        <v>2</v>
      </c>
      <c r="AH777" t="n">
        <v>4</v>
      </c>
      <c r="AI777" t="n">
        <v>4</v>
      </c>
      <c r="AJ777" t="n">
        <v>5</v>
      </c>
      <c r="AK777" t="n">
        <v>5</v>
      </c>
      <c r="AL777" t="n">
        <v>1</v>
      </c>
      <c r="AM777" t="n">
        <v>1</v>
      </c>
      <c r="AN777" t="n">
        <v>0</v>
      </c>
      <c r="AO777" t="n">
        <v>0</v>
      </c>
      <c r="AP777" t="inlineStr">
        <is>
          <t>No</t>
        </is>
      </c>
      <c r="AQ777" t="inlineStr">
        <is>
          <t>Yes</t>
        </is>
      </c>
      <c r="AR777">
        <f>HYPERLINK("http://catalog.hathitrust.org/Record/003791975","HathiTrust Record")</f>
        <v/>
      </c>
      <c r="AS777">
        <f>HYPERLINK("https://creighton-primo.hosted.exlibrisgroup.com/primo-explore/search?tab=default_tab&amp;search_scope=EVERYTHING&amp;vid=01CRU&amp;lang=en_US&amp;offset=0&amp;query=any,contains,991004348319702656","Catalog Record")</f>
        <v/>
      </c>
      <c r="AT777">
        <f>HYPERLINK("http://www.worldcat.org/oclc/49235331","WorldCat Record")</f>
        <v/>
      </c>
      <c r="AU777" t="inlineStr">
        <is>
          <t>38860711:eng</t>
        </is>
      </c>
      <c r="AV777" t="inlineStr">
        <is>
          <t>49235331</t>
        </is>
      </c>
      <c r="AW777" t="inlineStr">
        <is>
          <t>991004348319702656</t>
        </is>
      </c>
      <c r="AX777" t="inlineStr">
        <is>
          <t>991004348319702656</t>
        </is>
      </c>
      <c r="AY777" t="inlineStr">
        <is>
          <t>2260065680002656</t>
        </is>
      </c>
      <c r="AZ777" t="inlineStr">
        <is>
          <t>BOOK</t>
        </is>
      </c>
      <c r="BB777" t="inlineStr">
        <is>
          <t>9780880334693</t>
        </is>
      </c>
      <c r="BC777" t="inlineStr">
        <is>
          <t>32285004981550</t>
        </is>
      </c>
      <c r="BD777" t="inlineStr">
        <is>
          <t>893411424</t>
        </is>
      </c>
    </row>
    <row r="778">
      <c r="A778" t="inlineStr">
        <is>
          <t>No</t>
        </is>
      </c>
      <c r="B778" t="inlineStr">
        <is>
          <t>E183.8.Z34 K34 1982</t>
        </is>
      </c>
      <c r="C778" t="inlineStr">
        <is>
          <t>0                      E  0183800Z  34                 K  34          1982</t>
        </is>
      </c>
      <c r="D778" t="inlineStr">
        <is>
          <t>The Congo cables : the cold war in Africa--from Eisenhower to Kennedy / Madeleine G. Kalb.</t>
        </is>
      </c>
      <c r="F778" t="inlineStr">
        <is>
          <t>No</t>
        </is>
      </c>
      <c r="G778" t="inlineStr">
        <is>
          <t>1</t>
        </is>
      </c>
      <c r="H778" t="inlineStr">
        <is>
          <t>No</t>
        </is>
      </c>
      <c r="I778" t="inlineStr">
        <is>
          <t>No</t>
        </is>
      </c>
      <c r="J778" t="inlineStr">
        <is>
          <t>0</t>
        </is>
      </c>
      <c r="K778" t="inlineStr">
        <is>
          <t>Kalb, Madeleine G.</t>
        </is>
      </c>
      <c r="L778" t="inlineStr">
        <is>
          <t>New York : Macmillan, c1982.</t>
        </is>
      </c>
      <c r="M778" t="inlineStr">
        <is>
          <t>1982</t>
        </is>
      </c>
      <c r="O778" t="inlineStr">
        <is>
          <t>eng</t>
        </is>
      </c>
      <c r="P778" t="inlineStr">
        <is>
          <t>nyu</t>
        </is>
      </c>
      <c r="R778" t="inlineStr">
        <is>
          <t xml:space="preserve">E  </t>
        </is>
      </c>
      <c r="S778" t="n">
        <v>2</v>
      </c>
      <c r="T778" t="n">
        <v>2</v>
      </c>
      <c r="U778" t="inlineStr">
        <is>
          <t>2001-11-23</t>
        </is>
      </c>
      <c r="V778" t="inlineStr">
        <is>
          <t>2001-11-23</t>
        </is>
      </c>
      <c r="W778" t="inlineStr">
        <is>
          <t>1990-06-15</t>
        </is>
      </c>
      <c r="X778" t="inlineStr">
        <is>
          <t>1990-06-15</t>
        </is>
      </c>
      <c r="Y778" t="n">
        <v>977</v>
      </c>
      <c r="Z778" t="n">
        <v>879</v>
      </c>
      <c r="AA778" t="n">
        <v>882</v>
      </c>
      <c r="AB778" t="n">
        <v>6</v>
      </c>
      <c r="AC778" t="n">
        <v>6</v>
      </c>
      <c r="AD778" t="n">
        <v>26</v>
      </c>
      <c r="AE778" t="n">
        <v>26</v>
      </c>
      <c r="AF778" t="n">
        <v>15</v>
      </c>
      <c r="AG778" t="n">
        <v>15</v>
      </c>
      <c r="AH778" t="n">
        <v>4</v>
      </c>
      <c r="AI778" t="n">
        <v>4</v>
      </c>
      <c r="AJ778" t="n">
        <v>12</v>
      </c>
      <c r="AK778" t="n">
        <v>12</v>
      </c>
      <c r="AL778" t="n">
        <v>3</v>
      </c>
      <c r="AM778" t="n">
        <v>3</v>
      </c>
      <c r="AN778" t="n">
        <v>0</v>
      </c>
      <c r="AO778" t="n">
        <v>0</v>
      </c>
      <c r="AP778" t="inlineStr">
        <is>
          <t>No</t>
        </is>
      </c>
      <c r="AQ778" t="inlineStr">
        <is>
          <t>Yes</t>
        </is>
      </c>
      <c r="AR778">
        <f>HYPERLINK("http://catalog.hathitrust.org/Record/000762708","HathiTrust Record")</f>
        <v/>
      </c>
      <c r="AS778">
        <f>HYPERLINK("https://creighton-primo.hosted.exlibrisgroup.com/primo-explore/search?tab=default_tab&amp;search_scope=EVERYTHING&amp;vid=01CRU&amp;lang=en_US&amp;offset=0&amp;query=any,contains,991005204309702656","Catalog Record")</f>
        <v/>
      </c>
      <c r="AT778">
        <f>HYPERLINK("http://www.worldcat.org/oclc/8111320","WorldCat Record")</f>
        <v/>
      </c>
      <c r="AU778" t="inlineStr">
        <is>
          <t>866847277:eng</t>
        </is>
      </c>
      <c r="AV778" t="inlineStr">
        <is>
          <t>8111320</t>
        </is>
      </c>
      <c r="AW778" t="inlineStr">
        <is>
          <t>991005204309702656</t>
        </is>
      </c>
      <c r="AX778" t="inlineStr">
        <is>
          <t>991005204309702656</t>
        </is>
      </c>
      <c r="AY778" t="inlineStr">
        <is>
          <t>2256787900002656</t>
        </is>
      </c>
      <c r="AZ778" t="inlineStr">
        <is>
          <t>BOOK</t>
        </is>
      </c>
      <c r="BB778" t="inlineStr">
        <is>
          <t>9780025606203</t>
        </is>
      </c>
      <c r="BC778" t="inlineStr">
        <is>
          <t>32285000197243</t>
        </is>
      </c>
      <c r="BD778" t="inlineStr">
        <is>
          <t>893507775</t>
        </is>
      </c>
    </row>
    <row r="779">
      <c r="A779" t="inlineStr">
        <is>
          <t>No</t>
        </is>
      </c>
      <c r="B779" t="inlineStr">
        <is>
          <t>E183.8.Z34 W44</t>
        </is>
      </c>
      <c r="C779" t="inlineStr">
        <is>
          <t>0                      E  0183800Z  34                 W  44</t>
        </is>
      </c>
      <c r="D779" t="inlineStr">
        <is>
          <t>American foreign policy in the Congo, 1960-1964 [by] Stephen R. Weissman.</t>
        </is>
      </c>
      <c r="F779" t="inlineStr">
        <is>
          <t>No</t>
        </is>
      </c>
      <c r="G779" t="inlineStr">
        <is>
          <t>1</t>
        </is>
      </c>
      <c r="H779" t="inlineStr">
        <is>
          <t>No</t>
        </is>
      </c>
      <c r="I779" t="inlineStr">
        <is>
          <t>No</t>
        </is>
      </c>
      <c r="J779" t="inlineStr">
        <is>
          <t>0</t>
        </is>
      </c>
      <c r="K779" t="inlineStr">
        <is>
          <t>Weissman, Stephen R.</t>
        </is>
      </c>
      <c r="L779" t="inlineStr">
        <is>
          <t>Ithaca [N.Y.] Cornell University Press [1974]</t>
        </is>
      </c>
      <c r="M779" t="inlineStr">
        <is>
          <t>1974</t>
        </is>
      </c>
      <c r="O779" t="inlineStr">
        <is>
          <t>eng</t>
        </is>
      </c>
      <c r="P779" t="inlineStr">
        <is>
          <t>nyu</t>
        </is>
      </c>
      <c r="R779" t="inlineStr">
        <is>
          <t xml:space="preserve">E  </t>
        </is>
      </c>
      <c r="S779" t="n">
        <v>4</v>
      </c>
      <c r="T779" t="n">
        <v>4</v>
      </c>
      <c r="U779" t="inlineStr">
        <is>
          <t>2005-09-11</t>
        </is>
      </c>
      <c r="V779" t="inlineStr">
        <is>
          <t>2005-09-11</t>
        </is>
      </c>
      <c r="W779" t="inlineStr">
        <is>
          <t>1997-04-09</t>
        </is>
      </c>
      <c r="X779" t="inlineStr">
        <is>
          <t>1997-04-09</t>
        </is>
      </c>
      <c r="Y779" t="n">
        <v>653</v>
      </c>
      <c r="Z779" t="n">
        <v>539</v>
      </c>
      <c r="AA779" t="n">
        <v>680</v>
      </c>
      <c r="AB779" t="n">
        <v>6</v>
      </c>
      <c r="AC779" t="n">
        <v>6</v>
      </c>
      <c r="AD779" t="n">
        <v>26</v>
      </c>
      <c r="AE779" t="n">
        <v>33</v>
      </c>
      <c r="AF779" t="n">
        <v>11</v>
      </c>
      <c r="AG779" t="n">
        <v>15</v>
      </c>
      <c r="AH779" t="n">
        <v>6</v>
      </c>
      <c r="AI779" t="n">
        <v>8</v>
      </c>
      <c r="AJ779" t="n">
        <v>12</v>
      </c>
      <c r="AK779" t="n">
        <v>15</v>
      </c>
      <c r="AL779" t="n">
        <v>5</v>
      </c>
      <c r="AM779" t="n">
        <v>5</v>
      </c>
      <c r="AN779" t="n">
        <v>0</v>
      </c>
      <c r="AO779" t="n">
        <v>0</v>
      </c>
      <c r="AP779" t="inlineStr">
        <is>
          <t>No</t>
        </is>
      </c>
      <c r="AQ779" t="inlineStr">
        <is>
          <t>Yes</t>
        </is>
      </c>
      <c r="AR779">
        <f>HYPERLINK("http://catalog.hathitrust.org/Record/000335829","HathiTrust Record")</f>
        <v/>
      </c>
      <c r="AS779">
        <f>HYPERLINK("https://creighton-primo.hosted.exlibrisgroup.com/primo-explore/search?tab=default_tab&amp;search_scope=EVERYTHING&amp;vid=01CRU&amp;lang=en_US&amp;offset=0&amp;query=any,contains,991003279999702656","Catalog Record")</f>
        <v/>
      </c>
      <c r="AT779">
        <f>HYPERLINK("http://www.worldcat.org/oclc/802826","WorldCat Record")</f>
        <v/>
      </c>
      <c r="AU779" t="inlineStr">
        <is>
          <t>450105:eng</t>
        </is>
      </c>
      <c r="AV779" t="inlineStr">
        <is>
          <t>802826</t>
        </is>
      </c>
      <c r="AW779" t="inlineStr">
        <is>
          <t>991003279999702656</t>
        </is>
      </c>
      <c r="AX779" t="inlineStr">
        <is>
          <t>991003279999702656</t>
        </is>
      </c>
      <c r="AY779" t="inlineStr">
        <is>
          <t>2270452230002656</t>
        </is>
      </c>
      <c r="AZ779" t="inlineStr">
        <is>
          <t>BOOK</t>
        </is>
      </c>
      <c r="BB779" t="inlineStr">
        <is>
          <t>9780801408120</t>
        </is>
      </c>
      <c r="BC779" t="inlineStr">
        <is>
          <t>32285002508736</t>
        </is>
      </c>
      <c r="BD779" t="inlineStr">
        <is>
          <t>893499136</t>
        </is>
      </c>
    </row>
    <row r="780">
      <c r="A780" t="inlineStr">
        <is>
          <t>No</t>
        </is>
      </c>
      <c r="B780" t="inlineStr">
        <is>
          <t>E184.A1 A45 1990</t>
        </is>
      </c>
      <c r="C780" t="inlineStr">
        <is>
          <t>0                      E  0184000A  1                  A  45          1990</t>
        </is>
      </c>
      <c r="D780" t="inlineStr">
        <is>
          <t>Ethnic identity : the transformation of white America / Richard D. Alba.</t>
        </is>
      </c>
      <c r="F780" t="inlineStr">
        <is>
          <t>No</t>
        </is>
      </c>
      <c r="G780" t="inlineStr">
        <is>
          <t>1</t>
        </is>
      </c>
      <c r="H780" t="inlineStr">
        <is>
          <t>No</t>
        </is>
      </c>
      <c r="I780" t="inlineStr">
        <is>
          <t>No</t>
        </is>
      </c>
      <c r="J780" t="inlineStr">
        <is>
          <t>0</t>
        </is>
      </c>
      <c r="K780" t="inlineStr">
        <is>
          <t>Alba, Richard D.</t>
        </is>
      </c>
      <c r="L780" t="inlineStr">
        <is>
          <t>New Haven : Yale University Press, c1990.</t>
        </is>
      </c>
      <c r="M780" t="inlineStr">
        <is>
          <t>1990</t>
        </is>
      </c>
      <c r="O780" t="inlineStr">
        <is>
          <t>eng</t>
        </is>
      </c>
      <c r="P780" t="inlineStr">
        <is>
          <t>ctu</t>
        </is>
      </c>
      <c r="R780" t="inlineStr">
        <is>
          <t xml:space="preserve">E  </t>
        </is>
      </c>
      <c r="S780" t="n">
        <v>3</v>
      </c>
      <c r="T780" t="n">
        <v>3</v>
      </c>
      <c r="U780" t="inlineStr">
        <is>
          <t>1994-03-23</t>
        </is>
      </c>
      <c r="V780" t="inlineStr">
        <is>
          <t>1994-03-23</t>
        </is>
      </c>
      <c r="W780" t="inlineStr">
        <is>
          <t>1991-01-28</t>
        </is>
      </c>
      <c r="X780" t="inlineStr">
        <is>
          <t>1991-01-28</t>
        </is>
      </c>
      <c r="Y780" t="n">
        <v>1017</v>
      </c>
      <c r="Z780" t="n">
        <v>847</v>
      </c>
      <c r="AA780" t="n">
        <v>967</v>
      </c>
      <c r="AB780" t="n">
        <v>5</v>
      </c>
      <c r="AC780" t="n">
        <v>5</v>
      </c>
      <c r="AD780" t="n">
        <v>40</v>
      </c>
      <c r="AE780" t="n">
        <v>43</v>
      </c>
      <c r="AF780" t="n">
        <v>19</v>
      </c>
      <c r="AG780" t="n">
        <v>21</v>
      </c>
      <c r="AH780" t="n">
        <v>8</v>
      </c>
      <c r="AI780" t="n">
        <v>9</v>
      </c>
      <c r="AJ780" t="n">
        <v>18</v>
      </c>
      <c r="AK780" t="n">
        <v>19</v>
      </c>
      <c r="AL780" t="n">
        <v>4</v>
      </c>
      <c r="AM780" t="n">
        <v>4</v>
      </c>
      <c r="AN780" t="n">
        <v>1</v>
      </c>
      <c r="AO780" t="n">
        <v>1</v>
      </c>
      <c r="AP780" t="inlineStr">
        <is>
          <t>No</t>
        </is>
      </c>
      <c r="AQ780" t="inlineStr">
        <is>
          <t>No</t>
        </is>
      </c>
      <c r="AS780">
        <f>HYPERLINK("https://creighton-primo.hosted.exlibrisgroup.com/primo-explore/search?tab=default_tab&amp;search_scope=EVERYTHING&amp;vid=01CRU&amp;lang=en_US&amp;offset=0&amp;query=any,contains,991001633319702656","Catalog Record")</f>
        <v/>
      </c>
      <c r="AT780">
        <f>HYPERLINK("http://www.worldcat.org/oclc/20932804","WorldCat Record")</f>
        <v/>
      </c>
      <c r="AU780" t="inlineStr">
        <is>
          <t>836806842:eng</t>
        </is>
      </c>
      <c r="AV780" t="inlineStr">
        <is>
          <t>20932804</t>
        </is>
      </c>
      <c r="AW780" t="inlineStr">
        <is>
          <t>991001633319702656</t>
        </is>
      </c>
      <c r="AX780" t="inlineStr">
        <is>
          <t>991001633319702656</t>
        </is>
      </c>
      <c r="AY780" t="inlineStr">
        <is>
          <t>2265761170002656</t>
        </is>
      </c>
      <c r="AZ780" t="inlineStr">
        <is>
          <t>BOOK</t>
        </is>
      </c>
      <c r="BB780" t="inlineStr">
        <is>
          <t>9780300047370</t>
        </is>
      </c>
      <c r="BC780" t="inlineStr">
        <is>
          <t>32285000461862</t>
        </is>
      </c>
      <c r="BD780" t="inlineStr">
        <is>
          <t>893803727</t>
        </is>
      </c>
    </row>
    <row r="781">
      <c r="A781" t="inlineStr">
        <is>
          <t>No</t>
        </is>
      </c>
      <c r="B781" t="inlineStr">
        <is>
          <t>E184.A1 A495</t>
        </is>
      </c>
      <c r="C781" t="inlineStr">
        <is>
          <t>0                      E  0184000A  1                  A  495</t>
        </is>
      </c>
      <c r="D781" t="inlineStr">
        <is>
          <t>America and the new ethnicity / edited and with an introd. by David R. Colburn and George E. Pozzetta.</t>
        </is>
      </c>
      <c r="F781" t="inlineStr">
        <is>
          <t>No</t>
        </is>
      </c>
      <c r="G781" t="inlineStr">
        <is>
          <t>1</t>
        </is>
      </c>
      <c r="H781" t="inlineStr">
        <is>
          <t>No</t>
        </is>
      </c>
      <c r="I781" t="inlineStr">
        <is>
          <t>No</t>
        </is>
      </c>
      <c r="J781" t="inlineStr">
        <is>
          <t>0</t>
        </is>
      </c>
      <c r="L781" t="inlineStr">
        <is>
          <t>Port Washington, N.Y. : Kennikat Press, 1979.</t>
        </is>
      </c>
      <c r="M781" t="inlineStr">
        <is>
          <t>1979</t>
        </is>
      </c>
      <c r="O781" t="inlineStr">
        <is>
          <t>eng</t>
        </is>
      </c>
      <c r="P781" t="inlineStr">
        <is>
          <t>nyu</t>
        </is>
      </c>
      <c r="Q781" t="inlineStr">
        <is>
          <t>National university publications</t>
        </is>
      </c>
      <c r="R781" t="inlineStr">
        <is>
          <t xml:space="preserve">E  </t>
        </is>
      </c>
      <c r="S781" t="n">
        <v>3</v>
      </c>
      <c r="T781" t="n">
        <v>3</v>
      </c>
      <c r="U781" t="inlineStr">
        <is>
          <t>1998-03-16</t>
        </is>
      </c>
      <c r="V781" t="inlineStr">
        <is>
          <t>1998-03-16</t>
        </is>
      </c>
      <c r="W781" t="inlineStr">
        <is>
          <t>1991-02-11</t>
        </is>
      </c>
      <c r="X781" t="inlineStr">
        <is>
          <t>1991-02-11</t>
        </is>
      </c>
      <c r="Y781" t="n">
        <v>527</v>
      </c>
      <c r="Z781" t="n">
        <v>478</v>
      </c>
      <c r="AA781" t="n">
        <v>480</v>
      </c>
      <c r="AB781" t="n">
        <v>3</v>
      </c>
      <c r="AC781" t="n">
        <v>3</v>
      </c>
      <c r="AD781" t="n">
        <v>29</v>
      </c>
      <c r="AE781" t="n">
        <v>29</v>
      </c>
      <c r="AF781" t="n">
        <v>10</v>
      </c>
      <c r="AG781" t="n">
        <v>10</v>
      </c>
      <c r="AH781" t="n">
        <v>9</v>
      </c>
      <c r="AI781" t="n">
        <v>9</v>
      </c>
      <c r="AJ781" t="n">
        <v>19</v>
      </c>
      <c r="AK781" t="n">
        <v>19</v>
      </c>
      <c r="AL781" t="n">
        <v>2</v>
      </c>
      <c r="AM781" t="n">
        <v>2</v>
      </c>
      <c r="AN781" t="n">
        <v>0</v>
      </c>
      <c r="AO781" t="n">
        <v>0</v>
      </c>
      <c r="AP781" t="inlineStr">
        <is>
          <t>No</t>
        </is>
      </c>
      <c r="AQ781" t="inlineStr">
        <is>
          <t>Yes</t>
        </is>
      </c>
      <c r="AR781">
        <f>HYPERLINK("http://catalog.hathitrust.org/Record/000255608","HathiTrust Record")</f>
        <v/>
      </c>
      <c r="AS781">
        <f>HYPERLINK("https://creighton-primo.hosted.exlibrisgroup.com/primo-explore/search?tab=default_tab&amp;search_scope=EVERYTHING&amp;vid=01CRU&amp;lang=en_US&amp;offset=0&amp;query=any,contains,991004647979702656","Catalog Record")</f>
        <v/>
      </c>
      <c r="AT781">
        <f>HYPERLINK("http://www.worldcat.org/oclc/4492753","WorldCat Record")</f>
        <v/>
      </c>
      <c r="AU781" t="inlineStr">
        <is>
          <t>3858354972:eng</t>
        </is>
      </c>
      <c r="AV781" t="inlineStr">
        <is>
          <t>4492753</t>
        </is>
      </c>
      <c r="AW781" t="inlineStr">
        <is>
          <t>991004647979702656</t>
        </is>
      </c>
      <c r="AX781" t="inlineStr">
        <is>
          <t>991004647979702656</t>
        </is>
      </c>
      <c r="AY781" t="inlineStr">
        <is>
          <t>2263360180002656</t>
        </is>
      </c>
      <c r="AZ781" t="inlineStr">
        <is>
          <t>BOOK</t>
        </is>
      </c>
      <c r="BB781" t="inlineStr">
        <is>
          <t>9780804692229</t>
        </is>
      </c>
      <c r="BC781" t="inlineStr">
        <is>
          <t>32285000482595</t>
        </is>
      </c>
      <c r="BD781" t="inlineStr">
        <is>
          <t>893331860</t>
        </is>
      </c>
    </row>
    <row r="782">
      <c r="A782" t="inlineStr">
        <is>
          <t>No</t>
        </is>
      </c>
      <c r="B782" t="inlineStr">
        <is>
          <t>E184.A1 A6 1969</t>
        </is>
      </c>
      <c r="C782" t="inlineStr">
        <is>
          <t>0                      E  0184000A  1                  A  6           1969</t>
        </is>
      </c>
      <c r="D782" t="inlineStr">
        <is>
          <t>Surnames in the United States census of 1790 : an analysis of national origins of the population.</t>
        </is>
      </c>
      <c r="F782" t="inlineStr">
        <is>
          <t>No</t>
        </is>
      </c>
      <c r="G782" t="inlineStr">
        <is>
          <t>1</t>
        </is>
      </c>
      <c r="H782" t="inlineStr">
        <is>
          <t>No</t>
        </is>
      </c>
      <c r="I782" t="inlineStr">
        <is>
          <t>No</t>
        </is>
      </c>
      <c r="J782" t="inlineStr">
        <is>
          <t>0</t>
        </is>
      </c>
      <c r="K782" t="inlineStr">
        <is>
          <t>American Council of Learned Societies. Committee on Linguistic and National Stocks in the Population of the United States.</t>
        </is>
      </c>
      <c r="L782" t="inlineStr">
        <is>
          <t>Baltimore : Genealogical Pub. Co., 1969.</t>
        </is>
      </c>
      <c r="M782" t="inlineStr">
        <is>
          <t>1969</t>
        </is>
      </c>
      <c r="O782" t="inlineStr">
        <is>
          <t>eng</t>
        </is>
      </c>
      <c r="P782" t="inlineStr">
        <is>
          <t>mdu</t>
        </is>
      </c>
      <c r="R782" t="inlineStr">
        <is>
          <t xml:space="preserve">E  </t>
        </is>
      </c>
      <c r="S782" t="n">
        <v>3</v>
      </c>
      <c r="T782" t="n">
        <v>3</v>
      </c>
      <c r="U782" t="inlineStr">
        <is>
          <t>1995-03-16</t>
        </is>
      </c>
      <c r="V782" t="inlineStr">
        <is>
          <t>1995-03-16</t>
        </is>
      </c>
      <c r="W782" t="inlineStr">
        <is>
          <t>1994-08-29</t>
        </is>
      </c>
      <c r="X782" t="inlineStr">
        <is>
          <t>1994-08-29</t>
        </is>
      </c>
      <c r="Y782" t="n">
        <v>373</v>
      </c>
      <c r="Z782" t="n">
        <v>360</v>
      </c>
      <c r="AA782" t="n">
        <v>489</v>
      </c>
      <c r="AB782" t="n">
        <v>5</v>
      </c>
      <c r="AC782" t="n">
        <v>6</v>
      </c>
      <c r="AD782" t="n">
        <v>6</v>
      </c>
      <c r="AE782" t="n">
        <v>7</v>
      </c>
      <c r="AF782" t="n">
        <v>2</v>
      </c>
      <c r="AG782" t="n">
        <v>2</v>
      </c>
      <c r="AH782" t="n">
        <v>1</v>
      </c>
      <c r="AI782" t="n">
        <v>1</v>
      </c>
      <c r="AJ782" t="n">
        <v>2</v>
      </c>
      <c r="AK782" t="n">
        <v>2</v>
      </c>
      <c r="AL782" t="n">
        <v>2</v>
      </c>
      <c r="AM782" t="n">
        <v>3</v>
      </c>
      <c r="AN782" t="n">
        <v>0</v>
      </c>
      <c r="AO782" t="n">
        <v>0</v>
      </c>
      <c r="AP782" t="inlineStr">
        <is>
          <t>No</t>
        </is>
      </c>
      <c r="AQ782" t="inlineStr">
        <is>
          <t>No</t>
        </is>
      </c>
      <c r="AS782">
        <f>HYPERLINK("https://creighton-primo.hosted.exlibrisgroup.com/primo-explore/search?tab=default_tab&amp;search_scope=EVERYTHING&amp;vid=01CRU&amp;lang=en_US&amp;offset=0&amp;query=any,contains,991005434769702656","Catalog Record")</f>
        <v/>
      </c>
      <c r="AT782">
        <f>HYPERLINK("http://www.worldcat.org/oclc/2579","WorldCat Record")</f>
        <v/>
      </c>
      <c r="AU782" t="inlineStr">
        <is>
          <t>1125802:eng</t>
        </is>
      </c>
      <c r="AV782" t="inlineStr">
        <is>
          <t>2579</t>
        </is>
      </c>
      <c r="AW782" t="inlineStr">
        <is>
          <t>991005434769702656</t>
        </is>
      </c>
      <c r="AX782" t="inlineStr">
        <is>
          <t>991005434769702656</t>
        </is>
      </c>
      <c r="AY782" t="inlineStr">
        <is>
          <t>2262646590002656</t>
        </is>
      </c>
      <c r="AZ782" t="inlineStr">
        <is>
          <t>BOOK</t>
        </is>
      </c>
      <c r="BC782" t="inlineStr">
        <is>
          <t>32285001939015</t>
        </is>
      </c>
      <c r="BD782" t="inlineStr">
        <is>
          <t>893255006</t>
        </is>
      </c>
    </row>
    <row r="783">
      <c r="A783" t="inlineStr">
        <is>
          <t>No</t>
        </is>
      </c>
      <c r="B783" t="inlineStr">
        <is>
          <t>E184.A1 B23</t>
        </is>
      </c>
      <c r="C783" t="inlineStr">
        <is>
          <t>0                      E  0184000A  1                  B  23</t>
        </is>
      </c>
      <c r="D783" t="inlineStr">
        <is>
          <t>American ethnicity / Howard M. Bahr, Bruce A. Chadwick, Joseph H. Stauss.</t>
        </is>
      </c>
      <c r="F783" t="inlineStr">
        <is>
          <t>No</t>
        </is>
      </c>
      <c r="G783" t="inlineStr">
        <is>
          <t>1</t>
        </is>
      </c>
      <c r="H783" t="inlineStr">
        <is>
          <t>No</t>
        </is>
      </c>
      <c r="I783" t="inlineStr">
        <is>
          <t>No</t>
        </is>
      </c>
      <c r="J783" t="inlineStr">
        <is>
          <t>0</t>
        </is>
      </c>
      <c r="K783" t="inlineStr">
        <is>
          <t>Bahr, Howard M.</t>
        </is>
      </c>
      <c r="L783" t="inlineStr">
        <is>
          <t>Lexington, Mass. : Heath, c1979.</t>
        </is>
      </c>
      <c r="M783" t="inlineStr">
        <is>
          <t>1979</t>
        </is>
      </c>
      <c r="O783" t="inlineStr">
        <is>
          <t>eng</t>
        </is>
      </c>
      <c r="P783" t="inlineStr">
        <is>
          <t>mau</t>
        </is>
      </c>
      <c r="R783" t="inlineStr">
        <is>
          <t xml:space="preserve">E  </t>
        </is>
      </c>
      <c r="S783" t="n">
        <v>17</v>
      </c>
      <c r="T783" t="n">
        <v>17</v>
      </c>
      <c r="U783" t="inlineStr">
        <is>
          <t>2001-03-18</t>
        </is>
      </c>
      <c r="V783" t="inlineStr">
        <is>
          <t>2001-03-18</t>
        </is>
      </c>
      <c r="W783" t="inlineStr">
        <is>
          <t>1991-02-11</t>
        </is>
      </c>
      <c r="X783" t="inlineStr">
        <is>
          <t>1991-02-11</t>
        </is>
      </c>
      <c r="Y783" t="n">
        <v>233</v>
      </c>
      <c r="Z783" t="n">
        <v>203</v>
      </c>
      <c r="AA783" t="n">
        <v>205</v>
      </c>
      <c r="AB783" t="n">
        <v>2</v>
      </c>
      <c r="AC783" t="n">
        <v>2</v>
      </c>
      <c r="AD783" t="n">
        <v>5</v>
      </c>
      <c r="AE783" t="n">
        <v>5</v>
      </c>
      <c r="AF783" t="n">
        <v>2</v>
      </c>
      <c r="AG783" t="n">
        <v>2</v>
      </c>
      <c r="AH783" t="n">
        <v>0</v>
      </c>
      <c r="AI783" t="n">
        <v>0</v>
      </c>
      <c r="AJ783" t="n">
        <v>4</v>
      </c>
      <c r="AK783" t="n">
        <v>4</v>
      </c>
      <c r="AL783" t="n">
        <v>1</v>
      </c>
      <c r="AM783" t="n">
        <v>1</v>
      </c>
      <c r="AN783" t="n">
        <v>0</v>
      </c>
      <c r="AO783" t="n">
        <v>0</v>
      </c>
      <c r="AP783" t="inlineStr">
        <is>
          <t>No</t>
        </is>
      </c>
      <c r="AQ783" t="inlineStr">
        <is>
          <t>Yes</t>
        </is>
      </c>
      <c r="AR783">
        <f>HYPERLINK("http://catalog.hathitrust.org/Record/000138669","HathiTrust Record")</f>
        <v/>
      </c>
      <c r="AS783">
        <f>HYPERLINK("https://creighton-primo.hosted.exlibrisgroup.com/primo-explore/search?tab=default_tab&amp;search_scope=EVERYTHING&amp;vid=01CRU&amp;lang=en_US&amp;offset=0&amp;query=any,contains,991004756959702656","Catalog Record")</f>
        <v/>
      </c>
      <c r="AT783">
        <f>HYPERLINK("http://www.worldcat.org/oclc/4972342","WorldCat Record")</f>
        <v/>
      </c>
      <c r="AU783" t="inlineStr">
        <is>
          <t>15183195:eng</t>
        </is>
      </c>
      <c r="AV783" t="inlineStr">
        <is>
          <t>4972342</t>
        </is>
      </c>
      <c r="AW783" t="inlineStr">
        <is>
          <t>991004756959702656</t>
        </is>
      </c>
      <c r="AX783" t="inlineStr">
        <is>
          <t>991004756959702656</t>
        </is>
      </c>
      <c r="AY783" t="inlineStr">
        <is>
          <t>2268819260002656</t>
        </is>
      </c>
      <c r="AZ783" t="inlineStr">
        <is>
          <t>BOOK</t>
        </is>
      </c>
      <c r="BB783" t="inlineStr">
        <is>
          <t>9780669903997</t>
        </is>
      </c>
      <c r="BC783" t="inlineStr">
        <is>
          <t>32285000482603</t>
        </is>
      </c>
      <c r="BD783" t="inlineStr">
        <is>
          <t>893688085</t>
        </is>
      </c>
    </row>
    <row r="784">
      <c r="A784" t="inlineStr">
        <is>
          <t>No</t>
        </is>
      </c>
      <c r="B784" t="inlineStr">
        <is>
          <t>E184.A1 B24</t>
        </is>
      </c>
      <c r="C784" t="inlineStr">
        <is>
          <t>0                      E  0184000A  1                  B  24</t>
        </is>
      </c>
      <c r="D784" t="inlineStr">
        <is>
          <t>Teaching strategies for ethnic studies / James A. Banks.</t>
        </is>
      </c>
      <c r="F784" t="inlineStr">
        <is>
          <t>No</t>
        </is>
      </c>
      <c r="G784" t="inlineStr">
        <is>
          <t>1</t>
        </is>
      </c>
      <c r="H784" t="inlineStr">
        <is>
          <t>No</t>
        </is>
      </c>
      <c r="I784" t="inlineStr">
        <is>
          <t>Yes</t>
        </is>
      </c>
      <c r="J784" t="inlineStr">
        <is>
          <t>0</t>
        </is>
      </c>
      <c r="K784" t="inlineStr">
        <is>
          <t>Banks, James A.</t>
        </is>
      </c>
      <c r="L784" t="inlineStr">
        <is>
          <t>Boston : Allyn and Bacon, [1975]</t>
        </is>
      </c>
      <c r="M784" t="inlineStr">
        <is>
          <t>1975</t>
        </is>
      </c>
      <c r="O784" t="inlineStr">
        <is>
          <t>eng</t>
        </is>
      </c>
      <c r="P784" t="inlineStr">
        <is>
          <t>mau</t>
        </is>
      </c>
      <c r="R784" t="inlineStr">
        <is>
          <t xml:space="preserve">E  </t>
        </is>
      </c>
      <c r="S784" t="n">
        <v>4</v>
      </c>
      <c r="T784" t="n">
        <v>4</v>
      </c>
      <c r="U784" t="inlineStr">
        <is>
          <t>1994-02-28</t>
        </is>
      </c>
      <c r="V784" t="inlineStr">
        <is>
          <t>1994-02-28</t>
        </is>
      </c>
      <c r="W784" t="inlineStr">
        <is>
          <t>1990-09-27</t>
        </is>
      </c>
      <c r="X784" t="inlineStr">
        <is>
          <t>1990-09-27</t>
        </is>
      </c>
      <c r="Y784" t="n">
        <v>472</v>
      </c>
      <c r="Z784" t="n">
        <v>436</v>
      </c>
      <c r="AA784" t="n">
        <v>1193</v>
      </c>
      <c r="AB784" t="n">
        <v>3</v>
      </c>
      <c r="AC784" t="n">
        <v>19</v>
      </c>
      <c r="AD784" t="n">
        <v>14</v>
      </c>
      <c r="AE784" t="n">
        <v>58</v>
      </c>
      <c r="AF784" t="n">
        <v>7</v>
      </c>
      <c r="AG784" t="n">
        <v>25</v>
      </c>
      <c r="AH784" t="n">
        <v>2</v>
      </c>
      <c r="AI784" t="n">
        <v>10</v>
      </c>
      <c r="AJ784" t="n">
        <v>8</v>
      </c>
      <c r="AK784" t="n">
        <v>23</v>
      </c>
      <c r="AL784" t="n">
        <v>2</v>
      </c>
      <c r="AM784" t="n">
        <v>14</v>
      </c>
      <c r="AN784" t="n">
        <v>0</v>
      </c>
      <c r="AO784" t="n">
        <v>0</v>
      </c>
      <c r="AP784" t="inlineStr">
        <is>
          <t>No</t>
        </is>
      </c>
      <c r="AQ784" t="inlineStr">
        <is>
          <t>Yes</t>
        </is>
      </c>
      <c r="AR784">
        <f>HYPERLINK("http://catalog.hathitrust.org/Record/000034039","HathiTrust Record")</f>
        <v/>
      </c>
      <c r="AS784">
        <f>HYPERLINK("https://creighton-primo.hosted.exlibrisgroup.com/primo-explore/search?tab=default_tab&amp;search_scope=EVERYTHING&amp;vid=01CRU&amp;lang=en_US&amp;offset=0&amp;query=any,contains,991003551869702656","Catalog Record")</f>
        <v/>
      </c>
      <c r="AT784">
        <f>HYPERLINK("http://www.worldcat.org/oclc/1119872","WorldCat Record")</f>
        <v/>
      </c>
      <c r="AU784" t="inlineStr">
        <is>
          <t>2019708:eng</t>
        </is>
      </c>
      <c r="AV784" t="inlineStr">
        <is>
          <t>1119872</t>
        </is>
      </c>
      <c r="AW784" t="inlineStr">
        <is>
          <t>991003551869702656</t>
        </is>
      </c>
      <c r="AX784" t="inlineStr">
        <is>
          <t>991003551869702656</t>
        </is>
      </c>
      <c r="AY784" t="inlineStr">
        <is>
          <t>2255933710002656</t>
        </is>
      </c>
      <c r="AZ784" t="inlineStr">
        <is>
          <t>BOOK</t>
        </is>
      </c>
      <c r="BB784" t="inlineStr">
        <is>
          <t>9780205046744</t>
        </is>
      </c>
      <c r="BC784" t="inlineStr">
        <is>
          <t>32285000320936</t>
        </is>
      </c>
      <c r="BD784" t="inlineStr">
        <is>
          <t>893512083</t>
        </is>
      </c>
    </row>
    <row r="785">
      <c r="A785" t="inlineStr">
        <is>
          <t>No</t>
        </is>
      </c>
      <c r="B785" t="inlineStr">
        <is>
          <t>E184.A1 B24 1979</t>
        </is>
      </c>
      <c r="C785" t="inlineStr">
        <is>
          <t>0                      E  0184000A  1                  B  24          1979</t>
        </is>
      </c>
      <c r="D785" t="inlineStr">
        <is>
          <t>Teaching strategies for ethnic studies / James A. Banks.</t>
        </is>
      </c>
      <c r="F785" t="inlineStr">
        <is>
          <t>No</t>
        </is>
      </c>
      <c r="G785" t="inlineStr">
        <is>
          <t>1</t>
        </is>
      </c>
      <c r="H785" t="inlineStr">
        <is>
          <t>No</t>
        </is>
      </c>
      <c r="I785" t="inlineStr">
        <is>
          <t>Yes</t>
        </is>
      </c>
      <c r="J785" t="inlineStr">
        <is>
          <t>0</t>
        </is>
      </c>
      <c r="K785" t="inlineStr">
        <is>
          <t>Banks, James A.</t>
        </is>
      </c>
      <c r="L785" t="inlineStr">
        <is>
          <t>Peabody, Mass. : Allyn and Bacon, 1979.</t>
        </is>
      </c>
      <c r="M785" t="inlineStr">
        <is>
          <t>1979</t>
        </is>
      </c>
      <c r="N785" t="inlineStr">
        <is>
          <t>2d ed.</t>
        </is>
      </c>
      <c r="O785" t="inlineStr">
        <is>
          <t>eng</t>
        </is>
      </c>
      <c r="P785" t="inlineStr">
        <is>
          <t>mau</t>
        </is>
      </c>
      <c r="R785" t="inlineStr">
        <is>
          <t xml:space="preserve">E  </t>
        </is>
      </c>
      <c r="S785" t="n">
        <v>9</v>
      </c>
      <c r="T785" t="n">
        <v>9</v>
      </c>
      <c r="U785" t="inlineStr">
        <is>
          <t>2003-12-12</t>
        </is>
      </c>
      <c r="V785" t="inlineStr">
        <is>
          <t>2003-12-12</t>
        </is>
      </c>
      <c r="W785" t="inlineStr">
        <is>
          <t>1991-02-11</t>
        </is>
      </c>
      <c r="X785" t="inlineStr">
        <is>
          <t>1991-02-11</t>
        </is>
      </c>
      <c r="Y785" t="n">
        <v>372</v>
      </c>
      <c r="Z785" t="n">
        <v>333</v>
      </c>
      <c r="AA785" t="n">
        <v>1193</v>
      </c>
      <c r="AB785" t="n">
        <v>3</v>
      </c>
      <c r="AC785" t="n">
        <v>19</v>
      </c>
      <c r="AD785" t="n">
        <v>17</v>
      </c>
      <c r="AE785" t="n">
        <v>58</v>
      </c>
      <c r="AF785" t="n">
        <v>7</v>
      </c>
      <c r="AG785" t="n">
        <v>25</v>
      </c>
      <c r="AH785" t="n">
        <v>2</v>
      </c>
      <c r="AI785" t="n">
        <v>10</v>
      </c>
      <c r="AJ785" t="n">
        <v>6</v>
      </c>
      <c r="AK785" t="n">
        <v>23</v>
      </c>
      <c r="AL785" t="n">
        <v>2</v>
      </c>
      <c r="AM785" t="n">
        <v>14</v>
      </c>
      <c r="AN785" t="n">
        <v>0</v>
      </c>
      <c r="AO785" t="n">
        <v>0</v>
      </c>
      <c r="AP785" t="inlineStr">
        <is>
          <t>No</t>
        </is>
      </c>
      <c r="AQ785" t="inlineStr">
        <is>
          <t>Yes</t>
        </is>
      </c>
      <c r="AR785">
        <f>HYPERLINK("http://catalog.hathitrust.org/Record/000775296","HathiTrust Record")</f>
        <v/>
      </c>
      <c r="AS785">
        <f>HYPERLINK("https://creighton-primo.hosted.exlibrisgroup.com/primo-explore/search?tab=default_tab&amp;search_scope=EVERYTHING&amp;vid=01CRU&amp;lang=en_US&amp;offset=0&amp;query=any,contains,991004678539702656","Catalog Record")</f>
        <v/>
      </c>
      <c r="AT785">
        <f>HYPERLINK("http://www.worldcat.org/oclc/4549694","WorldCat Record")</f>
        <v/>
      </c>
      <c r="AU785" t="inlineStr">
        <is>
          <t>2019708:eng</t>
        </is>
      </c>
      <c r="AV785" t="inlineStr">
        <is>
          <t>4549694</t>
        </is>
      </c>
      <c r="AW785" t="inlineStr">
        <is>
          <t>991004678539702656</t>
        </is>
      </c>
      <c r="AX785" t="inlineStr">
        <is>
          <t>991004678539702656</t>
        </is>
      </c>
      <c r="AY785" t="inlineStr">
        <is>
          <t>2272685340002656</t>
        </is>
      </c>
      <c r="AZ785" t="inlineStr">
        <is>
          <t>BOOK</t>
        </is>
      </c>
      <c r="BB785" t="inlineStr">
        <is>
          <t>9780205065875</t>
        </is>
      </c>
      <c r="BC785" t="inlineStr">
        <is>
          <t>32285000482611</t>
        </is>
      </c>
      <c r="BD785" t="inlineStr">
        <is>
          <t>893526380</t>
        </is>
      </c>
    </row>
    <row r="786">
      <c r="A786" t="inlineStr">
        <is>
          <t>No</t>
        </is>
      </c>
      <c r="B786" t="inlineStr">
        <is>
          <t>E184.A1 B428 1994</t>
        </is>
      </c>
      <c r="C786" t="inlineStr">
        <is>
          <t>0                      E  0184000A  1                  B  428         1994</t>
        </is>
      </c>
      <c r="D786" t="inlineStr">
        <is>
          <t>Dictatorship of virtue : multiculturalism and the battle for America's future / by Richard Bernstein.</t>
        </is>
      </c>
      <c r="F786" t="inlineStr">
        <is>
          <t>No</t>
        </is>
      </c>
      <c r="G786" t="inlineStr">
        <is>
          <t>1</t>
        </is>
      </c>
      <c r="H786" t="inlineStr">
        <is>
          <t>No</t>
        </is>
      </c>
      <c r="I786" t="inlineStr">
        <is>
          <t>No</t>
        </is>
      </c>
      <c r="J786" t="inlineStr">
        <is>
          <t>0</t>
        </is>
      </c>
      <c r="K786" t="inlineStr">
        <is>
          <t>Bernstein, Richard, 1944-</t>
        </is>
      </c>
      <c r="L786" t="inlineStr">
        <is>
          <t>New York : A.A. Knopf, 1994.</t>
        </is>
      </c>
      <c r="M786" t="inlineStr">
        <is>
          <t>1994</t>
        </is>
      </c>
      <c r="N786" t="inlineStr">
        <is>
          <t>1st ed.</t>
        </is>
      </c>
      <c r="O786" t="inlineStr">
        <is>
          <t>eng</t>
        </is>
      </c>
      <c r="P786" t="inlineStr">
        <is>
          <t>nyu</t>
        </is>
      </c>
      <c r="R786" t="inlineStr">
        <is>
          <t xml:space="preserve">E  </t>
        </is>
      </c>
      <c r="S786" t="n">
        <v>15</v>
      </c>
      <c r="T786" t="n">
        <v>15</v>
      </c>
      <c r="U786" t="inlineStr">
        <is>
          <t>2005-02-08</t>
        </is>
      </c>
      <c r="V786" t="inlineStr">
        <is>
          <t>2005-02-08</t>
        </is>
      </c>
      <c r="W786" t="inlineStr">
        <is>
          <t>1994-10-20</t>
        </is>
      </c>
      <c r="X786" t="inlineStr">
        <is>
          <t>1994-10-20</t>
        </is>
      </c>
      <c r="Y786" t="n">
        <v>1222</v>
      </c>
      <c r="Z786" t="n">
        <v>1135</v>
      </c>
      <c r="AA786" t="n">
        <v>1150</v>
      </c>
      <c r="AB786" t="n">
        <v>7</v>
      </c>
      <c r="AC786" t="n">
        <v>7</v>
      </c>
      <c r="AD786" t="n">
        <v>45</v>
      </c>
      <c r="AE786" t="n">
        <v>45</v>
      </c>
      <c r="AF786" t="n">
        <v>14</v>
      </c>
      <c r="AG786" t="n">
        <v>14</v>
      </c>
      <c r="AH786" t="n">
        <v>11</v>
      </c>
      <c r="AI786" t="n">
        <v>11</v>
      </c>
      <c r="AJ786" t="n">
        <v>23</v>
      </c>
      <c r="AK786" t="n">
        <v>23</v>
      </c>
      <c r="AL786" t="n">
        <v>5</v>
      </c>
      <c r="AM786" t="n">
        <v>5</v>
      </c>
      <c r="AN786" t="n">
        <v>4</v>
      </c>
      <c r="AO786" t="n">
        <v>4</v>
      </c>
      <c r="AP786" t="inlineStr">
        <is>
          <t>No</t>
        </is>
      </c>
      <c r="AQ786" t="inlineStr">
        <is>
          <t>Yes</t>
        </is>
      </c>
      <c r="AR786">
        <f>HYPERLINK("http://catalog.hathitrust.org/Record/002900113","HathiTrust Record")</f>
        <v/>
      </c>
      <c r="AS786">
        <f>HYPERLINK("https://creighton-primo.hosted.exlibrisgroup.com/primo-explore/search?tab=default_tab&amp;search_scope=EVERYTHING&amp;vid=01CRU&amp;lang=en_US&amp;offset=0&amp;query=any,contains,991002264639702656","Catalog Record")</f>
        <v/>
      </c>
      <c r="AT786">
        <f>HYPERLINK("http://www.worldcat.org/oclc/29361341","WorldCat Record")</f>
        <v/>
      </c>
      <c r="AU786" t="inlineStr">
        <is>
          <t>371348899:eng</t>
        </is>
      </c>
      <c r="AV786" t="inlineStr">
        <is>
          <t>29361341</t>
        </is>
      </c>
      <c r="AW786" t="inlineStr">
        <is>
          <t>991002264639702656</t>
        </is>
      </c>
      <c r="AX786" t="inlineStr">
        <is>
          <t>991002264639702656</t>
        </is>
      </c>
      <c r="AY786" t="inlineStr">
        <is>
          <t>2256590040002656</t>
        </is>
      </c>
      <c r="AZ786" t="inlineStr">
        <is>
          <t>BOOK</t>
        </is>
      </c>
      <c r="BB786" t="inlineStr">
        <is>
          <t>9780679411567</t>
        </is>
      </c>
      <c r="BC786" t="inlineStr">
        <is>
          <t>32285001949451</t>
        </is>
      </c>
      <c r="BD786" t="inlineStr">
        <is>
          <t>893785929</t>
        </is>
      </c>
    </row>
    <row r="787">
      <c r="A787" t="inlineStr">
        <is>
          <t>No</t>
        </is>
      </c>
      <c r="B787" t="inlineStr">
        <is>
          <t>E184.A1 B429 1995</t>
        </is>
      </c>
      <c r="C787" t="inlineStr">
        <is>
          <t>0                      E  0184000A  1                  B  429         1995</t>
        </is>
      </c>
      <c r="D787" t="inlineStr">
        <is>
          <t>Growing up American : immigrant children in America, then and now / Selma Cantor Berrol.</t>
        </is>
      </c>
      <c r="F787" t="inlineStr">
        <is>
          <t>No</t>
        </is>
      </c>
      <c r="G787" t="inlineStr">
        <is>
          <t>1</t>
        </is>
      </c>
      <c r="H787" t="inlineStr">
        <is>
          <t>No</t>
        </is>
      </c>
      <c r="I787" t="inlineStr">
        <is>
          <t>No</t>
        </is>
      </c>
      <c r="J787" t="inlineStr">
        <is>
          <t>0</t>
        </is>
      </c>
      <c r="K787" t="inlineStr">
        <is>
          <t>Berrol, Selma Cantor.</t>
        </is>
      </c>
      <c r="L787" t="inlineStr">
        <is>
          <t>New York : Twayne Publishers ; Toronto : Maxwell Macmillan Canada ; New York : Maxwell Macmillan International, 1995.</t>
        </is>
      </c>
      <c r="M787" t="inlineStr">
        <is>
          <t>1995</t>
        </is>
      </c>
      <c r="O787" t="inlineStr">
        <is>
          <t>eng</t>
        </is>
      </c>
      <c r="P787" t="inlineStr">
        <is>
          <t>mau</t>
        </is>
      </c>
      <c r="Q787" t="inlineStr">
        <is>
          <t>Twayne's history of American childhood series</t>
        </is>
      </c>
      <c r="R787" t="inlineStr">
        <is>
          <t xml:space="preserve">E  </t>
        </is>
      </c>
      <c r="S787" t="n">
        <v>7</v>
      </c>
      <c r="T787" t="n">
        <v>7</v>
      </c>
      <c r="U787" t="inlineStr">
        <is>
          <t>2001-03-27</t>
        </is>
      </c>
      <c r="V787" t="inlineStr">
        <is>
          <t>2001-03-27</t>
        </is>
      </c>
      <c r="W787" t="inlineStr">
        <is>
          <t>1995-05-08</t>
        </is>
      </c>
      <c r="X787" t="inlineStr">
        <is>
          <t>1995-05-08</t>
        </is>
      </c>
      <c r="Y787" t="n">
        <v>551</v>
      </c>
      <c r="Z787" t="n">
        <v>514</v>
      </c>
      <c r="AA787" t="n">
        <v>522</v>
      </c>
      <c r="AB787" t="n">
        <v>3</v>
      </c>
      <c r="AC787" t="n">
        <v>3</v>
      </c>
      <c r="AD787" t="n">
        <v>23</v>
      </c>
      <c r="AE787" t="n">
        <v>23</v>
      </c>
      <c r="AF787" t="n">
        <v>9</v>
      </c>
      <c r="AG787" t="n">
        <v>9</v>
      </c>
      <c r="AH787" t="n">
        <v>5</v>
      </c>
      <c r="AI787" t="n">
        <v>5</v>
      </c>
      <c r="AJ787" t="n">
        <v>14</v>
      </c>
      <c r="AK787" t="n">
        <v>14</v>
      </c>
      <c r="AL787" t="n">
        <v>2</v>
      </c>
      <c r="AM787" t="n">
        <v>2</v>
      </c>
      <c r="AN787" t="n">
        <v>0</v>
      </c>
      <c r="AO787" t="n">
        <v>0</v>
      </c>
      <c r="AP787" t="inlineStr">
        <is>
          <t>No</t>
        </is>
      </c>
      <c r="AQ787" t="inlineStr">
        <is>
          <t>Yes</t>
        </is>
      </c>
      <c r="AR787">
        <f>HYPERLINK("http://catalog.hathitrust.org/Record/002971342","HathiTrust Record")</f>
        <v/>
      </c>
      <c r="AS787">
        <f>HYPERLINK("https://creighton-primo.hosted.exlibrisgroup.com/primo-explore/search?tab=default_tab&amp;search_scope=EVERYTHING&amp;vid=01CRU&amp;lang=en_US&amp;offset=0&amp;query=any,contains,991002399529702656","Catalog Record")</f>
        <v/>
      </c>
      <c r="AT787">
        <f>HYPERLINK("http://www.worldcat.org/oclc/31173913","WorldCat Record")</f>
        <v/>
      </c>
      <c r="AU787" t="inlineStr">
        <is>
          <t>346242053:eng</t>
        </is>
      </c>
      <c r="AV787" t="inlineStr">
        <is>
          <t>31173913</t>
        </is>
      </c>
      <c r="AW787" t="inlineStr">
        <is>
          <t>991002399529702656</t>
        </is>
      </c>
      <c r="AX787" t="inlineStr">
        <is>
          <t>991002399529702656</t>
        </is>
      </c>
      <c r="AY787" t="inlineStr">
        <is>
          <t>2257430770002656</t>
        </is>
      </c>
      <c r="AZ787" t="inlineStr">
        <is>
          <t>BOOK</t>
        </is>
      </c>
      <c r="BB787" t="inlineStr">
        <is>
          <t>9780805741032</t>
        </is>
      </c>
      <c r="BC787" t="inlineStr">
        <is>
          <t>32285002038114</t>
        </is>
      </c>
      <c r="BD787" t="inlineStr">
        <is>
          <t>893504349</t>
        </is>
      </c>
    </row>
    <row r="788">
      <c r="A788" t="inlineStr">
        <is>
          <t>No</t>
        </is>
      </c>
      <c r="B788" t="inlineStr">
        <is>
          <t>E184.A1 C445</t>
        </is>
      </c>
      <c r="C788" t="inlineStr">
        <is>
          <t>0                      E  0184000A  1                  C  445</t>
        </is>
      </c>
      <c r="D788" t="inlineStr">
        <is>
          <t>Multicultural spoken here : discovering America's people through language arts and library skills / Josephine Chase, Linda Parth.</t>
        </is>
      </c>
      <c r="F788" t="inlineStr">
        <is>
          <t>No</t>
        </is>
      </c>
      <c r="G788" t="inlineStr">
        <is>
          <t>1</t>
        </is>
      </c>
      <c r="H788" t="inlineStr">
        <is>
          <t>No</t>
        </is>
      </c>
      <c r="I788" t="inlineStr">
        <is>
          <t>No</t>
        </is>
      </c>
      <c r="J788" t="inlineStr">
        <is>
          <t>0</t>
        </is>
      </c>
      <c r="K788" t="inlineStr">
        <is>
          <t>Chase, Josephine.</t>
        </is>
      </c>
      <c r="L788" t="inlineStr">
        <is>
          <t>Santa Monica, Calif. : Goodyear Pub. Co., c1979.</t>
        </is>
      </c>
      <c r="M788" t="inlineStr">
        <is>
          <t>1979</t>
        </is>
      </c>
      <c r="O788" t="inlineStr">
        <is>
          <t>eng</t>
        </is>
      </c>
      <c r="P788" t="inlineStr">
        <is>
          <t>cau</t>
        </is>
      </c>
      <c r="R788" t="inlineStr">
        <is>
          <t xml:space="preserve">E  </t>
        </is>
      </c>
      <c r="S788" t="n">
        <v>2</v>
      </c>
      <c r="T788" t="n">
        <v>2</v>
      </c>
      <c r="U788" t="inlineStr">
        <is>
          <t>1994-03-24</t>
        </is>
      </c>
      <c r="V788" t="inlineStr">
        <is>
          <t>1994-03-24</t>
        </is>
      </c>
      <c r="W788" t="inlineStr">
        <is>
          <t>1991-02-11</t>
        </is>
      </c>
      <c r="X788" t="inlineStr">
        <is>
          <t>1991-02-11</t>
        </is>
      </c>
      <c r="Y788" t="n">
        <v>183</v>
      </c>
      <c r="Z788" t="n">
        <v>170</v>
      </c>
      <c r="AA788" t="n">
        <v>173</v>
      </c>
      <c r="AB788" t="n">
        <v>3</v>
      </c>
      <c r="AC788" t="n">
        <v>3</v>
      </c>
      <c r="AD788" t="n">
        <v>5</v>
      </c>
      <c r="AE788" t="n">
        <v>5</v>
      </c>
      <c r="AF788" t="n">
        <v>3</v>
      </c>
      <c r="AG788" t="n">
        <v>3</v>
      </c>
      <c r="AH788" t="n">
        <v>0</v>
      </c>
      <c r="AI788" t="n">
        <v>0</v>
      </c>
      <c r="AJ788" t="n">
        <v>0</v>
      </c>
      <c r="AK788" t="n">
        <v>0</v>
      </c>
      <c r="AL788" t="n">
        <v>2</v>
      </c>
      <c r="AM788" t="n">
        <v>2</v>
      </c>
      <c r="AN788" t="n">
        <v>0</v>
      </c>
      <c r="AO788" t="n">
        <v>0</v>
      </c>
      <c r="AP788" t="inlineStr">
        <is>
          <t>No</t>
        </is>
      </c>
      <c r="AQ788" t="inlineStr">
        <is>
          <t>Yes</t>
        </is>
      </c>
      <c r="AR788">
        <f>HYPERLINK("http://catalog.hathitrust.org/Record/101178228","HathiTrust Record")</f>
        <v/>
      </c>
      <c r="AS788">
        <f>HYPERLINK("https://creighton-primo.hosted.exlibrisgroup.com/primo-explore/search?tab=default_tab&amp;search_scope=EVERYTHING&amp;vid=01CRU&amp;lang=en_US&amp;offset=0&amp;query=any,contains,991004757919702656","Catalog Record")</f>
        <v/>
      </c>
      <c r="AT788">
        <f>HYPERLINK("http://www.worldcat.org/oclc/4983021","WorldCat Record")</f>
        <v/>
      </c>
      <c r="AU788" t="inlineStr">
        <is>
          <t>520470:eng</t>
        </is>
      </c>
      <c r="AV788" t="inlineStr">
        <is>
          <t>4983021</t>
        </is>
      </c>
      <c r="AW788" t="inlineStr">
        <is>
          <t>991004757919702656</t>
        </is>
      </c>
      <c r="AX788" t="inlineStr">
        <is>
          <t>991004757919702656</t>
        </is>
      </c>
      <c r="AY788" t="inlineStr">
        <is>
          <t>2266110310002656</t>
        </is>
      </c>
      <c r="AZ788" t="inlineStr">
        <is>
          <t>BOOK</t>
        </is>
      </c>
      <c r="BB788" t="inlineStr">
        <is>
          <t>9780876207482</t>
        </is>
      </c>
      <c r="BC788" t="inlineStr">
        <is>
          <t>32285000482652</t>
        </is>
      </c>
      <c r="BD788" t="inlineStr">
        <is>
          <t>893789066</t>
        </is>
      </c>
    </row>
    <row r="789">
      <c r="A789" t="inlineStr">
        <is>
          <t>No</t>
        </is>
      </c>
      <c r="B789" t="inlineStr">
        <is>
          <t>E184.A1 D29 1992</t>
        </is>
      </c>
      <c r="C789" t="inlineStr">
        <is>
          <t>0                      E  0184000A  1                  D  29          1992</t>
        </is>
      </c>
      <c r="D789" t="inlineStr">
        <is>
          <t>Ethnicity, race, and American foreign policy : a history / Alexander DeConde.</t>
        </is>
      </c>
      <c r="F789" t="inlineStr">
        <is>
          <t>No</t>
        </is>
      </c>
      <c r="G789" t="inlineStr">
        <is>
          <t>1</t>
        </is>
      </c>
      <c r="H789" t="inlineStr">
        <is>
          <t>No</t>
        </is>
      </c>
      <c r="I789" t="inlineStr">
        <is>
          <t>No</t>
        </is>
      </c>
      <c r="J789" t="inlineStr">
        <is>
          <t>0</t>
        </is>
      </c>
      <c r="K789" t="inlineStr">
        <is>
          <t>DeConde, Alexander.</t>
        </is>
      </c>
      <c r="L789" t="inlineStr">
        <is>
          <t>Boston : Northeastern University Press, c1992.</t>
        </is>
      </c>
      <c r="M789" t="inlineStr">
        <is>
          <t>1992</t>
        </is>
      </c>
      <c r="O789" t="inlineStr">
        <is>
          <t>eng</t>
        </is>
      </c>
      <c r="P789" t="inlineStr">
        <is>
          <t>mau</t>
        </is>
      </c>
      <c r="R789" t="inlineStr">
        <is>
          <t xml:space="preserve">E  </t>
        </is>
      </c>
      <c r="S789" t="n">
        <v>5</v>
      </c>
      <c r="T789" t="n">
        <v>5</v>
      </c>
      <c r="U789" t="inlineStr">
        <is>
          <t>2005-10-10</t>
        </is>
      </c>
      <c r="V789" t="inlineStr">
        <is>
          <t>2005-10-10</t>
        </is>
      </c>
      <c r="W789" t="inlineStr">
        <is>
          <t>1993-10-04</t>
        </is>
      </c>
      <c r="X789" t="inlineStr">
        <is>
          <t>1993-10-04</t>
        </is>
      </c>
      <c r="Y789" t="n">
        <v>654</v>
      </c>
      <c r="Z789" t="n">
        <v>558</v>
      </c>
      <c r="AA789" t="n">
        <v>558</v>
      </c>
      <c r="AB789" t="n">
        <v>3</v>
      </c>
      <c r="AC789" t="n">
        <v>3</v>
      </c>
      <c r="AD789" t="n">
        <v>30</v>
      </c>
      <c r="AE789" t="n">
        <v>30</v>
      </c>
      <c r="AF789" t="n">
        <v>12</v>
      </c>
      <c r="AG789" t="n">
        <v>12</v>
      </c>
      <c r="AH789" t="n">
        <v>7</v>
      </c>
      <c r="AI789" t="n">
        <v>7</v>
      </c>
      <c r="AJ789" t="n">
        <v>16</v>
      </c>
      <c r="AK789" t="n">
        <v>16</v>
      </c>
      <c r="AL789" t="n">
        <v>2</v>
      </c>
      <c r="AM789" t="n">
        <v>2</v>
      </c>
      <c r="AN789" t="n">
        <v>1</v>
      </c>
      <c r="AO789" t="n">
        <v>1</v>
      </c>
      <c r="AP789" t="inlineStr">
        <is>
          <t>No</t>
        </is>
      </c>
      <c r="AQ789" t="inlineStr">
        <is>
          <t>No</t>
        </is>
      </c>
      <c r="AS789">
        <f>HYPERLINK("https://creighton-primo.hosted.exlibrisgroup.com/primo-explore/search?tab=default_tab&amp;search_scope=EVERYTHING&amp;vid=01CRU&amp;lang=en_US&amp;offset=0&amp;query=any,contains,991002025709702656","Catalog Record")</f>
        <v/>
      </c>
      <c r="AT789">
        <f>HYPERLINK("http://www.worldcat.org/oclc/25787055","WorldCat Record")</f>
        <v/>
      </c>
      <c r="AU789" t="inlineStr">
        <is>
          <t>335311700:eng</t>
        </is>
      </c>
      <c r="AV789" t="inlineStr">
        <is>
          <t>25787055</t>
        </is>
      </c>
      <c r="AW789" t="inlineStr">
        <is>
          <t>991002025709702656</t>
        </is>
      </c>
      <c r="AX789" t="inlineStr">
        <is>
          <t>991002025709702656</t>
        </is>
      </c>
      <c r="AY789" t="inlineStr">
        <is>
          <t>2256036060002656</t>
        </is>
      </c>
      <c r="AZ789" t="inlineStr">
        <is>
          <t>BOOK</t>
        </is>
      </c>
      <c r="BB789" t="inlineStr">
        <is>
          <t>9781555531331</t>
        </is>
      </c>
      <c r="BC789" t="inlineStr">
        <is>
          <t>32285001769479</t>
        </is>
      </c>
      <c r="BD789" t="inlineStr">
        <is>
          <t>893414736</t>
        </is>
      </c>
    </row>
    <row r="790">
      <c r="A790" t="inlineStr">
        <is>
          <t>No</t>
        </is>
      </c>
      <c r="B790" t="inlineStr">
        <is>
          <t>E184.A1 D46 2001</t>
        </is>
      </c>
      <c r="C790" t="inlineStr">
        <is>
          <t>0                      E  0184000A  1                  D  46          2001</t>
        </is>
      </c>
      <c r="D790" t="inlineStr">
        <is>
          <t>Guess who's coming to dinner now? : multicultural conservatism in America / Angela D. Dillard.</t>
        </is>
      </c>
      <c r="F790" t="inlineStr">
        <is>
          <t>No</t>
        </is>
      </c>
      <c r="G790" t="inlineStr">
        <is>
          <t>1</t>
        </is>
      </c>
      <c r="H790" t="inlineStr">
        <is>
          <t>No</t>
        </is>
      </c>
      <c r="I790" t="inlineStr">
        <is>
          <t>No</t>
        </is>
      </c>
      <c r="J790" t="inlineStr">
        <is>
          <t>0</t>
        </is>
      </c>
      <c r="K790" t="inlineStr">
        <is>
          <t>Dillard, Angela D., 1965-</t>
        </is>
      </c>
      <c r="L790" t="inlineStr">
        <is>
          <t>New York : New York University Press, c2001.</t>
        </is>
      </c>
      <c r="M790" t="inlineStr">
        <is>
          <t>2001</t>
        </is>
      </c>
      <c r="O790" t="inlineStr">
        <is>
          <t>eng</t>
        </is>
      </c>
      <c r="P790" t="inlineStr">
        <is>
          <t>nyu</t>
        </is>
      </c>
      <c r="Q790" t="inlineStr">
        <is>
          <t>American history and culture</t>
        </is>
      </c>
      <c r="R790" t="inlineStr">
        <is>
          <t xml:space="preserve">E  </t>
        </is>
      </c>
      <c r="S790" t="n">
        <v>2</v>
      </c>
      <c r="T790" t="n">
        <v>2</v>
      </c>
      <c r="U790" t="inlineStr">
        <is>
          <t>2002-11-20</t>
        </is>
      </c>
      <c r="V790" t="inlineStr">
        <is>
          <t>2002-11-20</t>
        </is>
      </c>
      <c r="W790" t="inlineStr">
        <is>
          <t>2001-03-29</t>
        </is>
      </c>
      <c r="X790" t="inlineStr">
        <is>
          <t>2001-03-29</t>
        </is>
      </c>
      <c r="Y790" t="n">
        <v>735</v>
      </c>
      <c r="Z790" t="n">
        <v>676</v>
      </c>
      <c r="AA790" t="n">
        <v>1274</v>
      </c>
      <c r="AB790" t="n">
        <v>3</v>
      </c>
      <c r="AC790" t="n">
        <v>27</v>
      </c>
      <c r="AD790" t="n">
        <v>34</v>
      </c>
      <c r="AE790" t="n">
        <v>54</v>
      </c>
      <c r="AF790" t="n">
        <v>14</v>
      </c>
      <c r="AG790" t="n">
        <v>20</v>
      </c>
      <c r="AH790" t="n">
        <v>9</v>
      </c>
      <c r="AI790" t="n">
        <v>9</v>
      </c>
      <c r="AJ790" t="n">
        <v>18</v>
      </c>
      <c r="AK790" t="n">
        <v>21</v>
      </c>
      <c r="AL790" t="n">
        <v>2</v>
      </c>
      <c r="AM790" t="n">
        <v>12</v>
      </c>
      <c r="AN790" t="n">
        <v>1</v>
      </c>
      <c r="AO790" t="n">
        <v>2</v>
      </c>
      <c r="AP790" t="inlineStr">
        <is>
          <t>No</t>
        </is>
      </c>
      <c r="AQ790" t="inlineStr">
        <is>
          <t>No</t>
        </is>
      </c>
      <c r="AS790">
        <f>HYPERLINK("https://creighton-primo.hosted.exlibrisgroup.com/primo-explore/search?tab=default_tab&amp;search_scope=EVERYTHING&amp;vid=01CRU&amp;lang=en_US&amp;offset=0&amp;query=any,contains,991003511809702656","Catalog Record")</f>
        <v/>
      </c>
      <c r="AT790">
        <f>HYPERLINK("http://www.worldcat.org/oclc/45023496","WorldCat Record")</f>
        <v/>
      </c>
      <c r="AU790" t="inlineStr">
        <is>
          <t>793899664:eng</t>
        </is>
      </c>
      <c r="AV790" t="inlineStr">
        <is>
          <t>45023496</t>
        </is>
      </c>
      <c r="AW790" t="inlineStr">
        <is>
          <t>991003511809702656</t>
        </is>
      </c>
      <c r="AX790" t="inlineStr">
        <is>
          <t>991003511809702656</t>
        </is>
      </c>
      <c r="AY790" t="inlineStr">
        <is>
          <t>2261029750002656</t>
        </is>
      </c>
      <c r="AZ790" t="inlineStr">
        <is>
          <t>BOOK</t>
        </is>
      </c>
      <c r="BB790" t="inlineStr">
        <is>
          <t>9780814719398</t>
        </is>
      </c>
      <c r="BC790" t="inlineStr">
        <is>
          <t>32285004308796</t>
        </is>
      </c>
      <c r="BD790" t="inlineStr">
        <is>
          <t>893512024</t>
        </is>
      </c>
    </row>
    <row r="791">
      <c r="A791" t="inlineStr">
        <is>
          <t>No</t>
        </is>
      </c>
      <c r="B791" t="inlineStr">
        <is>
          <t>E184.A1 E774</t>
        </is>
      </c>
      <c r="C791" t="inlineStr">
        <is>
          <t>0                      E  0184000A  1                  E  774</t>
        </is>
      </c>
      <c r="D791" t="inlineStr">
        <is>
          <t>Essays and data on American ethnic groups / edited by Thomas Sowell, with the assistance of Lynn D. Collins.</t>
        </is>
      </c>
      <c r="F791" t="inlineStr">
        <is>
          <t>No</t>
        </is>
      </c>
      <c r="G791" t="inlineStr">
        <is>
          <t>1</t>
        </is>
      </c>
      <c r="H791" t="inlineStr">
        <is>
          <t>No</t>
        </is>
      </c>
      <c r="I791" t="inlineStr">
        <is>
          <t>No</t>
        </is>
      </c>
      <c r="J791" t="inlineStr">
        <is>
          <t>0</t>
        </is>
      </c>
      <c r="L791" t="inlineStr">
        <is>
          <t>[Washington : Urban Institute], c1978.</t>
        </is>
      </c>
      <c r="M791" t="inlineStr">
        <is>
          <t>1978</t>
        </is>
      </c>
      <c r="O791" t="inlineStr">
        <is>
          <t>eng</t>
        </is>
      </c>
      <c r="P791" t="inlineStr">
        <is>
          <t>dcu</t>
        </is>
      </c>
      <c r="R791" t="inlineStr">
        <is>
          <t xml:space="preserve">E  </t>
        </is>
      </c>
      <c r="S791" t="n">
        <v>3</v>
      </c>
      <c r="T791" t="n">
        <v>3</v>
      </c>
      <c r="U791" t="inlineStr">
        <is>
          <t>1996-10-21</t>
        </is>
      </c>
      <c r="V791" t="inlineStr">
        <is>
          <t>1996-10-21</t>
        </is>
      </c>
      <c r="W791" t="inlineStr">
        <is>
          <t>1991-02-13</t>
        </is>
      </c>
      <c r="X791" t="inlineStr">
        <is>
          <t>1991-02-13</t>
        </is>
      </c>
      <c r="Y791" t="n">
        <v>815</v>
      </c>
      <c r="Z791" t="n">
        <v>749</v>
      </c>
      <c r="AA791" t="n">
        <v>756</v>
      </c>
      <c r="AB791" t="n">
        <v>5</v>
      </c>
      <c r="AC791" t="n">
        <v>5</v>
      </c>
      <c r="AD791" t="n">
        <v>32</v>
      </c>
      <c r="AE791" t="n">
        <v>32</v>
      </c>
      <c r="AF791" t="n">
        <v>10</v>
      </c>
      <c r="AG791" t="n">
        <v>10</v>
      </c>
      <c r="AH791" t="n">
        <v>9</v>
      </c>
      <c r="AI791" t="n">
        <v>9</v>
      </c>
      <c r="AJ791" t="n">
        <v>17</v>
      </c>
      <c r="AK791" t="n">
        <v>17</v>
      </c>
      <c r="AL791" t="n">
        <v>3</v>
      </c>
      <c r="AM791" t="n">
        <v>3</v>
      </c>
      <c r="AN791" t="n">
        <v>1</v>
      </c>
      <c r="AO791" t="n">
        <v>1</v>
      </c>
      <c r="AP791" t="inlineStr">
        <is>
          <t>No</t>
        </is>
      </c>
      <c r="AQ791" t="inlineStr">
        <is>
          <t>Yes</t>
        </is>
      </c>
      <c r="AR791">
        <f>HYPERLINK("http://catalog.hathitrust.org/Record/000258434","HathiTrust Record")</f>
        <v/>
      </c>
      <c r="AS791">
        <f>HYPERLINK("https://creighton-primo.hosted.exlibrisgroup.com/primo-explore/search?tab=default_tab&amp;search_scope=EVERYTHING&amp;vid=01CRU&amp;lang=en_US&amp;offset=0&amp;query=any,contains,991004679659702656","Catalog Record")</f>
        <v/>
      </c>
      <c r="AT791">
        <f>HYPERLINK("http://www.worldcat.org/oclc/4555077","WorldCat Record")</f>
        <v/>
      </c>
      <c r="AU791" t="inlineStr">
        <is>
          <t>425243080:eng</t>
        </is>
      </c>
      <c r="AV791" t="inlineStr">
        <is>
          <t>4555077</t>
        </is>
      </c>
      <c r="AW791" t="inlineStr">
        <is>
          <t>991004679659702656</t>
        </is>
      </c>
      <c r="AX791" t="inlineStr">
        <is>
          <t>991004679659702656</t>
        </is>
      </c>
      <c r="AY791" t="inlineStr">
        <is>
          <t>2256215180002656</t>
        </is>
      </c>
      <c r="AZ791" t="inlineStr">
        <is>
          <t>BOOK</t>
        </is>
      </c>
      <c r="BB791" t="inlineStr">
        <is>
          <t>9780877662112</t>
        </is>
      </c>
      <c r="BC791" t="inlineStr">
        <is>
          <t>32285000482728</t>
        </is>
      </c>
      <c r="BD791" t="inlineStr">
        <is>
          <t>893253984</t>
        </is>
      </c>
    </row>
    <row r="792">
      <c r="A792" t="inlineStr">
        <is>
          <t>No</t>
        </is>
      </c>
      <c r="B792" t="inlineStr">
        <is>
          <t>E184.A1 E78 1988</t>
        </is>
      </c>
      <c r="C792" t="inlineStr">
        <is>
          <t>0                      E  0184000A  1                  E  78          1988</t>
        </is>
      </c>
      <c r="D792" t="inlineStr">
        <is>
          <t>Ethnic families in America : patterns and variations / edited by Charles H. Mindel, Robert W. Habenstein, Roosevelt Wright, Jr.</t>
        </is>
      </c>
      <c r="F792" t="inlineStr">
        <is>
          <t>No</t>
        </is>
      </c>
      <c r="G792" t="inlineStr">
        <is>
          <t>1</t>
        </is>
      </c>
      <c r="H792" t="inlineStr">
        <is>
          <t>No</t>
        </is>
      </c>
      <c r="I792" t="inlineStr">
        <is>
          <t>No</t>
        </is>
      </c>
      <c r="J792" t="inlineStr">
        <is>
          <t>0</t>
        </is>
      </c>
      <c r="L792" t="inlineStr">
        <is>
          <t>New York : Elsevier, c1988.</t>
        </is>
      </c>
      <c r="M792" t="inlineStr">
        <is>
          <t>1988</t>
        </is>
      </c>
      <c r="N792" t="inlineStr">
        <is>
          <t>3rd ed.</t>
        </is>
      </c>
      <c r="O792" t="inlineStr">
        <is>
          <t>eng</t>
        </is>
      </c>
      <c r="P792" t="inlineStr">
        <is>
          <t>nyu</t>
        </is>
      </c>
      <c r="R792" t="inlineStr">
        <is>
          <t xml:space="preserve">E  </t>
        </is>
      </c>
      <c r="S792" t="n">
        <v>18</v>
      </c>
      <c r="T792" t="n">
        <v>18</v>
      </c>
      <c r="U792" t="inlineStr">
        <is>
          <t>2003-07-29</t>
        </is>
      </c>
      <c r="V792" t="inlineStr">
        <is>
          <t>2003-07-29</t>
        </is>
      </c>
      <c r="W792" t="inlineStr">
        <is>
          <t>1990-05-08</t>
        </is>
      </c>
      <c r="X792" t="inlineStr">
        <is>
          <t>1990-05-08</t>
        </is>
      </c>
      <c r="Y792" t="n">
        <v>404</v>
      </c>
      <c r="Z792" t="n">
        <v>361</v>
      </c>
      <c r="AA792" t="n">
        <v>1258</v>
      </c>
      <c r="AB792" t="n">
        <v>3</v>
      </c>
      <c r="AC792" t="n">
        <v>9</v>
      </c>
      <c r="AD792" t="n">
        <v>15</v>
      </c>
      <c r="AE792" t="n">
        <v>52</v>
      </c>
      <c r="AF792" t="n">
        <v>4</v>
      </c>
      <c r="AG792" t="n">
        <v>22</v>
      </c>
      <c r="AH792" t="n">
        <v>3</v>
      </c>
      <c r="AI792" t="n">
        <v>11</v>
      </c>
      <c r="AJ792" t="n">
        <v>9</v>
      </c>
      <c r="AK792" t="n">
        <v>23</v>
      </c>
      <c r="AL792" t="n">
        <v>2</v>
      </c>
      <c r="AM792" t="n">
        <v>8</v>
      </c>
      <c r="AN792" t="n">
        <v>0</v>
      </c>
      <c r="AO792" t="n">
        <v>1</v>
      </c>
      <c r="AP792" t="inlineStr">
        <is>
          <t>No</t>
        </is>
      </c>
      <c r="AQ792" t="inlineStr">
        <is>
          <t>Yes</t>
        </is>
      </c>
      <c r="AR792">
        <f>HYPERLINK("http://catalog.hathitrust.org/Record/001077536","HathiTrust Record")</f>
        <v/>
      </c>
      <c r="AS792">
        <f>HYPERLINK("https://creighton-primo.hosted.exlibrisgroup.com/primo-explore/search?tab=default_tab&amp;search_scope=EVERYTHING&amp;vid=01CRU&amp;lang=en_US&amp;offset=0&amp;query=any,contains,991001221499702656","Catalog Record")</f>
        <v/>
      </c>
      <c r="AT792">
        <f>HYPERLINK("http://www.worldcat.org/oclc/17476945","WorldCat Record")</f>
        <v/>
      </c>
      <c r="AU792" t="inlineStr">
        <is>
          <t>147299046:eng</t>
        </is>
      </c>
      <c r="AV792" t="inlineStr">
        <is>
          <t>17476945</t>
        </is>
      </c>
      <c r="AW792" t="inlineStr">
        <is>
          <t>991001221499702656</t>
        </is>
      </c>
      <c r="AX792" t="inlineStr">
        <is>
          <t>991001221499702656</t>
        </is>
      </c>
      <c r="AY792" t="inlineStr">
        <is>
          <t>2269431160002656</t>
        </is>
      </c>
      <c r="AZ792" t="inlineStr">
        <is>
          <t>BOOK</t>
        </is>
      </c>
      <c r="BB792" t="inlineStr">
        <is>
          <t>9780444013194</t>
        </is>
      </c>
      <c r="BC792" t="inlineStr">
        <is>
          <t>32285000150796</t>
        </is>
      </c>
      <c r="BD792" t="inlineStr">
        <is>
          <t>893885147</t>
        </is>
      </c>
    </row>
    <row r="793">
      <c r="A793" t="inlineStr">
        <is>
          <t>No</t>
        </is>
      </c>
      <c r="B793" t="inlineStr">
        <is>
          <t>E184.A1 E83 1978</t>
        </is>
      </c>
      <c r="C793" t="inlineStr">
        <is>
          <t>0                      E  0184000A  1                  E  83          1978</t>
        </is>
      </c>
      <c r="D793" t="inlineStr">
        <is>
          <t>Ethnic groups in American life / James P. Shenton, advisory editor ; Gene Brown, editor.</t>
        </is>
      </c>
      <c r="F793" t="inlineStr">
        <is>
          <t>No</t>
        </is>
      </c>
      <c r="G793" t="inlineStr">
        <is>
          <t>1</t>
        </is>
      </c>
      <c r="H793" t="inlineStr">
        <is>
          <t>No</t>
        </is>
      </c>
      <c r="I793" t="inlineStr">
        <is>
          <t>No</t>
        </is>
      </c>
      <c r="J793" t="inlineStr">
        <is>
          <t>0</t>
        </is>
      </c>
      <c r="L793" t="inlineStr">
        <is>
          <t>New York : Arno Press, 1978.</t>
        </is>
      </c>
      <c r="M793" t="inlineStr">
        <is>
          <t>1978</t>
        </is>
      </c>
      <c r="O793" t="inlineStr">
        <is>
          <t>eng</t>
        </is>
      </c>
      <c r="P793" t="inlineStr">
        <is>
          <t>nyu</t>
        </is>
      </c>
      <c r="Q793" t="inlineStr">
        <is>
          <t>The Great contemporary issues</t>
        </is>
      </c>
      <c r="R793" t="inlineStr">
        <is>
          <t xml:space="preserve">E  </t>
        </is>
      </c>
      <c r="S793" t="n">
        <v>2</v>
      </c>
      <c r="T793" t="n">
        <v>2</v>
      </c>
      <c r="U793" t="inlineStr">
        <is>
          <t>1994-04-24</t>
        </is>
      </c>
      <c r="V793" t="inlineStr">
        <is>
          <t>1994-04-24</t>
        </is>
      </c>
      <c r="W793" t="inlineStr">
        <is>
          <t>1991-09-26</t>
        </is>
      </c>
      <c r="X793" t="inlineStr">
        <is>
          <t>1991-09-26</t>
        </is>
      </c>
      <c r="Y793" t="n">
        <v>363</v>
      </c>
      <c r="Z793" t="n">
        <v>346</v>
      </c>
      <c r="AA793" t="n">
        <v>378</v>
      </c>
      <c r="AB793" t="n">
        <v>1</v>
      </c>
      <c r="AC793" t="n">
        <v>1</v>
      </c>
      <c r="AD793" t="n">
        <v>7</v>
      </c>
      <c r="AE793" t="n">
        <v>7</v>
      </c>
      <c r="AF793" t="n">
        <v>2</v>
      </c>
      <c r="AG793" t="n">
        <v>2</v>
      </c>
      <c r="AH793" t="n">
        <v>1</v>
      </c>
      <c r="AI793" t="n">
        <v>1</v>
      </c>
      <c r="AJ793" t="n">
        <v>5</v>
      </c>
      <c r="AK793" t="n">
        <v>5</v>
      </c>
      <c r="AL793" t="n">
        <v>0</v>
      </c>
      <c r="AM793" t="n">
        <v>0</v>
      </c>
      <c r="AN793" t="n">
        <v>0</v>
      </c>
      <c r="AO793" t="n">
        <v>0</v>
      </c>
      <c r="AP793" t="inlineStr">
        <is>
          <t>No</t>
        </is>
      </c>
      <c r="AQ793" t="inlineStr">
        <is>
          <t>Yes</t>
        </is>
      </c>
      <c r="AR793">
        <f>HYPERLINK("http://catalog.hathitrust.org/Record/000294717","HathiTrust Record")</f>
        <v/>
      </c>
      <c r="AS793">
        <f>HYPERLINK("https://creighton-primo.hosted.exlibrisgroup.com/primo-explore/search?tab=default_tab&amp;search_scope=EVERYTHING&amp;vid=01CRU&amp;lang=en_US&amp;offset=0&amp;query=any,contains,991004373889702656","Catalog Record")</f>
        <v/>
      </c>
      <c r="AT793">
        <f>HYPERLINK("http://www.worldcat.org/oclc/3203301","WorldCat Record")</f>
        <v/>
      </c>
      <c r="AU793" t="inlineStr">
        <is>
          <t>353190673:eng</t>
        </is>
      </c>
      <c r="AV793" t="inlineStr">
        <is>
          <t>3203301</t>
        </is>
      </c>
      <c r="AW793" t="inlineStr">
        <is>
          <t>991004373889702656</t>
        </is>
      </c>
      <c r="AX793" t="inlineStr">
        <is>
          <t>991004373889702656</t>
        </is>
      </c>
      <c r="AY793" t="inlineStr">
        <is>
          <t>2268878750002656</t>
        </is>
      </c>
      <c r="AZ793" t="inlineStr">
        <is>
          <t>BOOK</t>
        </is>
      </c>
      <c r="BB793" t="inlineStr">
        <is>
          <t>9780405107474</t>
        </is>
      </c>
      <c r="BC793" t="inlineStr">
        <is>
          <t>32285000716141</t>
        </is>
      </c>
      <c r="BD793" t="inlineStr">
        <is>
          <t>893904829</t>
        </is>
      </c>
    </row>
    <row r="794">
      <c r="A794" t="inlineStr">
        <is>
          <t>No</t>
        </is>
      </c>
      <c r="B794" t="inlineStr">
        <is>
          <t>E184.A1 E88 1982</t>
        </is>
      </c>
      <c r="C794" t="inlineStr">
        <is>
          <t>0                      E  0184000A  1                  E  88          1982</t>
        </is>
      </c>
      <c r="D794" t="inlineStr">
        <is>
          <t>Ethnicity and public policy / Winston A. Van Horne, editor ; Thomas V. Tonnesen, managing editor.</t>
        </is>
      </c>
      <c r="F794" t="inlineStr">
        <is>
          <t>No</t>
        </is>
      </c>
      <c r="G794" t="inlineStr">
        <is>
          <t>1</t>
        </is>
      </c>
      <c r="H794" t="inlineStr">
        <is>
          <t>Yes</t>
        </is>
      </c>
      <c r="I794" t="inlineStr">
        <is>
          <t>No</t>
        </is>
      </c>
      <c r="J794" t="inlineStr">
        <is>
          <t>0</t>
        </is>
      </c>
      <c r="L794" t="inlineStr">
        <is>
          <t>Milwaukee, WI : University of Wisconsin System, American Ethnic Studies Coordinating Committee/Urban Corridor Consortium, c1982, 1984 printing.</t>
        </is>
      </c>
      <c r="M794" t="inlineStr">
        <is>
          <t>1982</t>
        </is>
      </c>
      <c r="O794" t="inlineStr">
        <is>
          <t>eng</t>
        </is>
      </c>
      <c r="P794" t="inlineStr">
        <is>
          <t>wiu</t>
        </is>
      </c>
      <c r="Q794" t="inlineStr">
        <is>
          <t>Ethnicity and public policy series ; v. 1</t>
        </is>
      </c>
      <c r="R794" t="inlineStr">
        <is>
          <t xml:space="preserve">E  </t>
        </is>
      </c>
      <c r="S794" t="n">
        <v>2</v>
      </c>
      <c r="T794" t="n">
        <v>8</v>
      </c>
      <c r="U794" t="inlineStr">
        <is>
          <t>1997-01-27</t>
        </is>
      </c>
      <c r="V794" t="inlineStr">
        <is>
          <t>1997-01-27</t>
        </is>
      </c>
      <c r="W794" t="inlineStr">
        <is>
          <t>1990-04-03</t>
        </is>
      </c>
      <c r="X794" t="inlineStr">
        <is>
          <t>1990-04-03</t>
        </is>
      </c>
      <c r="Y794" t="n">
        <v>403</v>
      </c>
      <c r="Z794" t="n">
        <v>379</v>
      </c>
      <c r="AA794" t="n">
        <v>387</v>
      </c>
      <c r="AB794" t="n">
        <v>4</v>
      </c>
      <c r="AC794" t="n">
        <v>4</v>
      </c>
      <c r="AD794" t="n">
        <v>23</v>
      </c>
      <c r="AE794" t="n">
        <v>23</v>
      </c>
      <c r="AF794" t="n">
        <v>9</v>
      </c>
      <c r="AG794" t="n">
        <v>9</v>
      </c>
      <c r="AH794" t="n">
        <v>5</v>
      </c>
      <c r="AI794" t="n">
        <v>5</v>
      </c>
      <c r="AJ794" t="n">
        <v>13</v>
      </c>
      <c r="AK794" t="n">
        <v>13</v>
      </c>
      <c r="AL794" t="n">
        <v>2</v>
      </c>
      <c r="AM794" t="n">
        <v>2</v>
      </c>
      <c r="AN794" t="n">
        <v>0</v>
      </c>
      <c r="AO794" t="n">
        <v>0</v>
      </c>
      <c r="AP794" t="inlineStr">
        <is>
          <t>No</t>
        </is>
      </c>
      <c r="AQ794" t="inlineStr">
        <is>
          <t>Yes</t>
        </is>
      </c>
      <c r="AR794">
        <f>HYPERLINK("http://catalog.hathitrust.org/Record/000765746","HathiTrust Record")</f>
        <v/>
      </c>
      <c r="AS794">
        <f>HYPERLINK("https://creighton-primo.hosted.exlibrisgroup.com/primo-explore/search?tab=default_tab&amp;search_scope=EVERYTHING&amp;vid=01CRU&amp;lang=en_US&amp;offset=0&amp;query=any,contains,991001785829702656","Catalog Record")</f>
        <v/>
      </c>
      <c r="AT794">
        <f>HYPERLINK("http://www.worldcat.org/oclc/8846035","WorldCat Record")</f>
        <v/>
      </c>
      <c r="AU794" t="inlineStr">
        <is>
          <t>351696750:eng</t>
        </is>
      </c>
      <c r="AV794" t="inlineStr">
        <is>
          <t>8846035</t>
        </is>
      </c>
      <c r="AW794" t="inlineStr">
        <is>
          <t>991001785829702656</t>
        </is>
      </c>
      <c r="AX794" t="inlineStr">
        <is>
          <t>991001785829702656</t>
        </is>
      </c>
      <c r="AY794" t="inlineStr">
        <is>
          <t>2254710520002656</t>
        </is>
      </c>
      <c r="AZ794" t="inlineStr">
        <is>
          <t>BOOK</t>
        </is>
      </c>
      <c r="BB794" t="inlineStr">
        <is>
          <t>9780942672008</t>
        </is>
      </c>
      <c r="BC794" t="inlineStr">
        <is>
          <t>32285000093384</t>
        </is>
      </c>
      <c r="BD794" t="inlineStr">
        <is>
          <t>893697034</t>
        </is>
      </c>
    </row>
    <row r="795">
      <c r="A795" t="inlineStr">
        <is>
          <t>No</t>
        </is>
      </c>
      <c r="B795" t="inlineStr">
        <is>
          <t>E184.A1 E884 1985</t>
        </is>
      </c>
      <c r="C795" t="inlineStr">
        <is>
          <t>0                      E  0184000A  1                  E  884         1985</t>
        </is>
      </c>
      <c r="D795" t="inlineStr">
        <is>
          <t>Ethnicity and race in the U.S.A. : toward the twenty-first century / edited by Richard D. Alba.</t>
        </is>
      </c>
      <c r="F795" t="inlineStr">
        <is>
          <t>No</t>
        </is>
      </c>
      <c r="G795" t="inlineStr">
        <is>
          <t>1</t>
        </is>
      </c>
      <c r="H795" t="inlineStr">
        <is>
          <t>No</t>
        </is>
      </c>
      <c r="I795" t="inlineStr">
        <is>
          <t>No</t>
        </is>
      </c>
      <c r="J795" t="inlineStr">
        <is>
          <t>0</t>
        </is>
      </c>
      <c r="L795" t="inlineStr">
        <is>
          <t>London ; Boston : Routledge &amp; K. Paul, 1985.</t>
        </is>
      </c>
      <c r="M795" t="inlineStr">
        <is>
          <t>1985</t>
        </is>
      </c>
      <c r="O795" t="inlineStr">
        <is>
          <t>eng</t>
        </is>
      </c>
      <c r="P795" t="inlineStr">
        <is>
          <t>enk</t>
        </is>
      </c>
      <c r="R795" t="inlineStr">
        <is>
          <t xml:space="preserve">E  </t>
        </is>
      </c>
      <c r="S795" t="n">
        <v>5</v>
      </c>
      <c r="T795" t="n">
        <v>5</v>
      </c>
      <c r="U795" t="inlineStr">
        <is>
          <t>1998-05-28</t>
        </is>
      </c>
      <c r="V795" t="inlineStr">
        <is>
          <t>1998-05-28</t>
        </is>
      </c>
      <c r="W795" t="inlineStr">
        <is>
          <t>1991-02-13</t>
        </is>
      </c>
      <c r="X795" t="inlineStr">
        <is>
          <t>1991-02-13</t>
        </is>
      </c>
      <c r="Y795" t="n">
        <v>474</v>
      </c>
      <c r="Z795" t="n">
        <v>409</v>
      </c>
      <c r="AA795" t="n">
        <v>518</v>
      </c>
      <c r="AB795" t="n">
        <v>4</v>
      </c>
      <c r="AC795" t="n">
        <v>4</v>
      </c>
      <c r="AD795" t="n">
        <v>21</v>
      </c>
      <c r="AE795" t="n">
        <v>29</v>
      </c>
      <c r="AF795" t="n">
        <v>5</v>
      </c>
      <c r="AG795" t="n">
        <v>10</v>
      </c>
      <c r="AH795" t="n">
        <v>6</v>
      </c>
      <c r="AI795" t="n">
        <v>7</v>
      </c>
      <c r="AJ795" t="n">
        <v>12</v>
      </c>
      <c r="AK795" t="n">
        <v>16</v>
      </c>
      <c r="AL795" t="n">
        <v>3</v>
      </c>
      <c r="AM795" t="n">
        <v>3</v>
      </c>
      <c r="AN795" t="n">
        <v>0</v>
      </c>
      <c r="AO795" t="n">
        <v>0</v>
      </c>
      <c r="AP795" t="inlineStr">
        <is>
          <t>No</t>
        </is>
      </c>
      <c r="AQ795" t="inlineStr">
        <is>
          <t>No</t>
        </is>
      </c>
      <c r="AS795">
        <f>HYPERLINK("https://creighton-primo.hosted.exlibrisgroup.com/primo-explore/search?tab=default_tab&amp;search_scope=EVERYTHING&amp;vid=01CRU&amp;lang=en_US&amp;offset=0&amp;query=any,contains,991000584789702656","Catalog Record")</f>
        <v/>
      </c>
      <c r="AT795">
        <f>HYPERLINK("http://www.worldcat.org/oclc/11756037","WorldCat Record")</f>
        <v/>
      </c>
      <c r="AU795" t="inlineStr">
        <is>
          <t>836702498:eng</t>
        </is>
      </c>
      <c r="AV795" t="inlineStr">
        <is>
          <t>11756037</t>
        </is>
      </c>
      <c r="AW795" t="inlineStr">
        <is>
          <t>991000584789702656</t>
        </is>
      </c>
      <c r="AX795" t="inlineStr">
        <is>
          <t>991000584789702656</t>
        </is>
      </c>
      <c r="AY795" t="inlineStr">
        <is>
          <t>2269551330002656</t>
        </is>
      </c>
      <c r="AZ795" t="inlineStr">
        <is>
          <t>BOOK</t>
        </is>
      </c>
      <c r="BB795" t="inlineStr">
        <is>
          <t>9780710206336</t>
        </is>
      </c>
      <c r="BC795" t="inlineStr">
        <is>
          <t>32285000482744</t>
        </is>
      </c>
      <c r="BD795" t="inlineStr">
        <is>
          <t>893438389</t>
        </is>
      </c>
    </row>
    <row r="796">
      <c r="A796" t="inlineStr">
        <is>
          <t>No</t>
        </is>
      </c>
      <c r="B796" t="inlineStr">
        <is>
          <t>E184.A1 G48 1995</t>
        </is>
      </c>
      <c r="C796" t="inlineStr">
        <is>
          <t>0                      E  0184000A  1                  G  48          1995</t>
        </is>
      </c>
      <c r="D796" t="inlineStr">
        <is>
          <t>The twilight of common dreams : why America is wracked by culture wars / Todd Gitlin.</t>
        </is>
      </c>
      <c r="F796" t="inlineStr">
        <is>
          <t>No</t>
        </is>
      </c>
      <c r="G796" t="inlineStr">
        <is>
          <t>1</t>
        </is>
      </c>
      <c r="H796" t="inlineStr">
        <is>
          <t>No</t>
        </is>
      </c>
      <c r="I796" t="inlineStr">
        <is>
          <t>No</t>
        </is>
      </c>
      <c r="J796" t="inlineStr">
        <is>
          <t>0</t>
        </is>
      </c>
      <c r="K796" t="inlineStr">
        <is>
          <t>Gitlin, Todd.</t>
        </is>
      </c>
      <c r="L796" t="inlineStr">
        <is>
          <t>New York : Metropolitan Books, 1995.</t>
        </is>
      </c>
      <c r="M796" t="inlineStr">
        <is>
          <t>1995</t>
        </is>
      </c>
      <c r="N796" t="inlineStr">
        <is>
          <t>1st ed.</t>
        </is>
      </c>
      <c r="O796" t="inlineStr">
        <is>
          <t>eng</t>
        </is>
      </c>
      <c r="P796" t="inlineStr">
        <is>
          <t>nyu</t>
        </is>
      </c>
      <c r="R796" t="inlineStr">
        <is>
          <t xml:space="preserve">E  </t>
        </is>
      </c>
      <c r="S796" t="n">
        <v>5</v>
      </c>
      <c r="T796" t="n">
        <v>5</v>
      </c>
      <c r="U796" t="inlineStr">
        <is>
          <t>1998-11-23</t>
        </is>
      </c>
      <c r="V796" t="inlineStr">
        <is>
          <t>1998-11-23</t>
        </is>
      </c>
      <c r="W796" t="inlineStr">
        <is>
          <t>1996-03-21</t>
        </is>
      </c>
      <c r="X796" t="inlineStr">
        <is>
          <t>1996-03-21</t>
        </is>
      </c>
      <c r="Y796" t="n">
        <v>1035</v>
      </c>
      <c r="Z796" t="n">
        <v>944</v>
      </c>
      <c r="AA796" t="n">
        <v>1101</v>
      </c>
      <c r="AB796" t="n">
        <v>8</v>
      </c>
      <c r="AC796" t="n">
        <v>10</v>
      </c>
      <c r="AD796" t="n">
        <v>37</v>
      </c>
      <c r="AE796" t="n">
        <v>44</v>
      </c>
      <c r="AF796" t="n">
        <v>14</v>
      </c>
      <c r="AG796" t="n">
        <v>17</v>
      </c>
      <c r="AH796" t="n">
        <v>7</v>
      </c>
      <c r="AI796" t="n">
        <v>8</v>
      </c>
      <c r="AJ796" t="n">
        <v>16</v>
      </c>
      <c r="AK796" t="n">
        <v>18</v>
      </c>
      <c r="AL796" t="n">
        <v>7</v>
      </c>
      <c r="AM796" t="n">
        <v>9</v>
      </c>
      <c r="AN796" t="n">
        <v>1</v>
      </c>
      <c r="AO796" t="n">
        <v>1</v>
      </c>
      <c r="AP796" t="inlineStr">
        <is>
          <t>No</t>
        </is>
      </c>
      <c r="AQ796" t="inlineStr">
        <is>
          <t>No</t>
        </is>
      </c>
      <c r="AS796">
        <f>HYPERLINK("https://creighton-primo.hosted.exlibrisgroup.com/primo-explore/search?tab=default_tab&amp;search_scope=EVERYTHING&amp;vid=01CRU&amp;lang=en_US&amp;offset=0&amp;query=any,contains,991002512759702656","Catalog Record")</f>
        <v/>
      </c>
      <c r="AT796">
        <f>HYPERLINK("http://www.worldcat.org/oclc/32665990","WorldCat Record")</f>
        <v/>
      </c>
      <c r="AU796" t="inlineStr">
        <is>
          <t>20870773:eng</t>
        </is>
      </c>
      <c r="AV796" t="inlineStr">
        <is>
          <t>32665990</t>
        </is>
      </c>
      <c r="AW796" t="inlineStr">
        <is>
          <t>991002512759702656</t>
        </is>
      </c>
      <c r="AX796" t="inlineStr">
        <is>
          <t>991002512759702656</t>
        </is>
      </c>
      <c r="AY796" t="inlineStr">
        <is>
          <t>2266219560002656</t>
        </is>
      </c>
      <c r="AZ796" t="inlineStr">
        <is>
          <t>BOOK</t>
        </is>
      </c>
      <c r="BB796" t="inlineStr">
        <is>
          <t>9780805040906</t>
        </is>
      </c>
      <c r="BC796" t="inlineStr">
        <is>
          <t>32285002145729</t>
        </is>
      </c>
      <c r="BD796" t="inlineStr">
        <is>
          <t>893427676</t>
        </is>
      </c>
    </row>
    <row r="797">
      <c r="A797" t="inlineStr">
        <is>
          <t>No</t>
        </is>
      </c>
      <c r="B797" t="inlineStr">
        <is>
          <t>E184.A1 G56 1983</t>
        </is>
      </c>
      <c r="C797" t="inlineStr">
        <is>
          <t>0                      E  0184000A  1                  G  56          1983</t>
        </is>
      </c>
      <c r="D797" t="inlineStr">
        <is>
          <t>Ethnic dilemmas, 1964-1982 / Nathan Glazer.</t>
        </is>
      </c>
      <c r="F797" t="inlineStr">
        <is>
          <t>No</t>
        </is>
      </c>
      <c r="G797" t="inlineStr">
        <is>
          <t>1</t>
        </is>
      </c>
      <c r="H797" t="inlineStr">
        <is>
          <t>No</t>
        </is>
      </c>
      <c r="I797" t="inlineStr">
        <is>
          <t>No</t>
        </is>
      </c>
      <c r="J797" t="inlineStr">
        <is>
          <t>0</t>
        </is>
      </c>
      <c r="K797" t="inlineStr">
        <is>
          <t>Glazer, Nathan.</t>
        </is>
      </c>
      <c r="L797" t="inlineStr">
        <is>
          <t>Cambridge, Mass. : Harvard University Press, 1983.</t>
        </is>
      </c>
      <c r="M797" t="inlineStr">
        <is>
          <t>1983</t>
        </is>
      </c>
      <c r="O797" t="inlineStr">
        <is>
          <t>eng</t>
        </is>
      </c>
      <c r="P797" t="inlineStr">
        <is>
          <t>mau</t>
        </is>
      </c>
      <c r="R797" t="inlineStr">
        <is>
          <t xml:space="preserve">E  </t>
        </is>
      </c>
      <c r="S797" t="n">
        <v>3</v>
      </c>
      <c r="T797" t="n">
        <v>3</v>
      </c>
      <c r="U797" t="inlineStr">
        <is>
          <t>1992-10-05</t>
        </is>
      </c>
      <c r="V797" t="inlineStr">
        <is>
          <t>1992-10-05</t>
        </is>
      </c>
      <c r="W797" t="inlineStr">
        <is>
          <t>1990-05-03</t>
        </is>
      </c>
      <c r="X797" t="inlineStr">
        <is>
          <t>1990-05-03</t>
        </is>
      </c>
      <c r="Y797" t="n">
        <v>1078</v>
      </c>
      <c r="Z797" t="n">
        <v>918</v>
      </c>
      <c r="AA797" t="n">
        <v>927</v>
      </c>
      <c r="AB797" t="n">
        <v>7</v>
      </c>
      <c r="AC797" t="n">
        <v>7</v>
      </c>
      <c r="AD797" t="n">
        <v>43</v>
      </c>
      <c r="AE797" t="n">
        <v>43</v>
      </c>
      <c r="AF797" t="n">
        <v>14</v>
      </c>
      <c r="AG797" t="n">
        <v>14</v>
      </c>
      <c r="AH797" t="n">
        <v>10</v>
      </c>
      <c r="AI797" t="n">
        <v>10</v>
      </c>
      <c r="AJ797" t="n">
        <v>20</v>
      </c>
      <c r="AK797" t="n">
        <v>20</v>
      </c>
      <c r="AL797" t="n">
        <v>6</v>
      </c>
      <c r="AM797" t="n">
        <v>6</v>
      </c>
      <c r="AN797" t="n">
        <v>4</v>
      </c>
      <c r="AO797" t="n">
        <v>4</v>
      </c>
      <c r="AP797" t="inlineStr">
        <is>
          <t>No</t>
        </is>
      </c>
      <c r="AQ797" t="inlineStr">
        <is>
          <t>Yes</t>
        </is>
      </c>
      <c r="AR797">
        <f>HYPERLINK("http://catalog.hathitrust.org/Record/000315938","HathiTrust Record")</f>
        <v/>
      </c>
      <c r="AS797">
        <f>HYPERLINK("https://creighton-primo.hosted.exlibrisgroup.com/primo-explore/search?tab=default_tab&amp;search_scope=EVERYTHING&amp;vid=01CRU&amp;lang=en_US&amp;offset=0&amp;query=any,contains,991000135359702656","Catalog Record")</f>
        <v/>
      </c>
      <c r="AT797">
        <f>HYPERLINK("http://www.worldcat.org/oclc/9132127","WorldCat Record")</f>
        <v/>
      </c>
      <c r="AU797" t="inlineStr">
        <is>
          <t>2679779:eng</t>
        </is>
      </c>
      <c r="AV797" t="inlineStr">
        <is>
          <t>9132127</t>
        </is>
      </c>
      <c r="AW797" t="inlineStr">
        <is>
          <t>991000135359702656</t>
        </is>
      </c>
      <c r="AX797" t="inlineStr">
        <is>
          <t>991000135359702656</t>
        </is>
      </c>
      <c r="AY797" t="inlineStr">
        <is>
          <t>2267372460002656</t>
        </is>
      </c>
      <c r="AZ797" t="inlineStr">
        <is>
          <t>BOOK</t>
        </is>
      </c>
      <c r="BB797" t="inlineStr">
        <is>
          <t>9780674268524</t>
        </is>
      </c>
      <c r="BC797" t="inlineStr">
        <is>
          <t>32285000148428</t>
        </is>
      </c>
      <c r="BD797" t="inlineStr">
        <is>
          <t>893495953</t>
        </is>
      </c>
    </row>
    <row r="798">
      <c r="A798" t="inlineStr">
        <is>
          <t>No</t>
        </is>
      </c>
      <c r="B798" t="inlineStr">
        <is>
          <t>E184.A1 G563 1992</t>
        </is>
      </c>
      <c r="C798" t="inlineStr">
        <is>
          <t>0                      E  0184000A  1                  G  563         1992</t>
        </is>
      </c>
      <c r="D798" t="inlineStr">
        <is>
          <t>Speaking of diversity : language and ethnicity in twentieth-century America / Philip Gleason.</t>
        </is>
      </c>
      <c r="F798" t="inlineStr">
        <is>
          <t>No</t>
        </is>
      </c>
      <c r="G798" t="inlineStr">
        <is>
          <t>1</t>
        </is>
      </c>
      <c r="H798" t="inlineStr">
        <is>
          <t>No</t>
        </is>
      </c>
      <c r="I798" t="inlineStr">
        <is>
          <t>No</t>
        </is>
      </c>
      <c r="J798" t="inlineStr">
        <is>
          <t>0</t>
        </is>
      </c>
      <c r="K798" t="inlineStr">
        <is>
          <t>Gleason, Philip.</t>
        </is>
      </c>
      <c r="L798" t="inlineStr">
        <is>
          <t>Baltimore : Johns Hopkins University Press, c1992.</t>
        </is>
      </c>
      <c r="M798" t="inlineStr">
        <is>
          <t>1992</t>
        </is>
      </c>
      <c r="O798" t="inlineStr">
        <is>
          <t>eng</t>
        </is>
      </c>
      <c r="P798" t="inlineStr">
        <is>
          <t>mdu</t>
        </is>
      </c>
      <c r="R798" t="inlineStr">
        <is>
          <t xml:space="preserve">E  </t>
        </is>
      </c>
      <c r="S798" t="n">
        <v>4</v>
      </c>
      <c r="T798" t="n">
        <v>4</v>
      </c>
      <c r="U798" t="inlineStr">
        <is>
          <t>1998-10-02</t>
        </is>
      </c>
      <c r="V798" t="inlineStr">
        <is>
          <t>1998-10-02</t>
        </is>
      </c>
      <c r="W798" t="inlineStr">
        <is>
          <t>1992-10-08</t>
        </is>
      </c>
      <c r="X798" t="inlineStr">
        <is>
          <t>1992-10-08</t>
        </is>
      </c>
      <c r="Y798" t="n">
        <v>475</v>
      </c>
      <c r="Z798" t="n">
        <v>407</v>
      </c>
      <c r="AA798" t="n">
        <v>524</v>
      </c>
      <c r="AB798" t="n">
        <v>3</v>
      </c>
      <c r="AC798" t="n">
        <v>5</v>
      </c>
      <c r="AD798" t="n">
        <v>26</v>
      </c>
      <c r="AE798" t="n">
        <v>31</v>
      </c>
      <c r="AF798" t="n">
        <v>9</v>
      </c>
      <c r="AG798" t="n">
        <v>12</v>
      </c>
      <c r="AH798" t="n">
        <v>8</v>
      </c>
      <c r="AI798" t="n">
        <v>9</v>
      </c>
      <c r="AJ798" t="n">
        <v>14</v>
      </c>
      <c r="AK798" t="n">
        <v>14</v>
      </c>
      <c r="AL798" t="n">
        <v>2</v>
      </c>
      <c r="AM798" t="n">
        <v>4</v>
      </c>
      <c r="AN798" t="n">
        <v>0</v>
      </c>
      <c r="AO798" t="n">
        <v>0</v>
      </c>
      <c r="AP798" t="inlineStr">
        <is>
          <t>No</t>
        </is>
      </c>
      <c r="AQ798" t="inlineStr">
        <is>
          <t>Yes</t>
        </is>
      </c>
      <c r="AR798">
        <f>HYPERLINK("http://catalog.hathitrust.org/Record/002543534","HathiTrust Record")</f>
        <v/>
      </c>
      <c r="AS798">
        <f>HYPERLINK("https://creighton-primo.hosted.exlibrisgroup.com/primo-explore/search?tab=default_tab&amp;search_scope=EVERYTHING&amp;vid=01CRU&amp;lang=en_US&amp;offset=0&amp;query=any,contains,991001942329702656","Catalog Record")</f>
        <v/>
      </c>
      <c r="AT798">
        <f>HYPERLINK("http://www.worldcat.org/oclc/24543201","WorldCat Record")</f>
        <v/>
      </c>
      <c r="AU798" t="inlineStr">
        <is>
          <t>365204690:eng</t>
        </is>
      </c>
      <c r="AV798" t="inlineStr">
        <is>
          <t>24543201</t>
        </is>
      </c>
      <c r="AW798" t="inlineStr">
        <is>
          <t>991001942329702656</t>
        </is>
      </c>
      <c r="AX798" t="inlineStr">
        <is>
          <t>991001942329702656</t>
        </is>
      </c>
      <c r="AY798" t="inlineStr">
        <is>
          <t>2265662940002656</t>
        </is>
      </c>
      <c r="AZ798" t="inlineStr">
        <is>
          <t>BOOK</t>
        </is>
      </c>
      <c r="BB798" t="inlineStr">
        <is>
          <t>9780801842955</t>
        </is>
      </c>
      <c r="BC798" t="inlineStr">
        <is>
          <t>32285001316339</t>
        </is>
      </c>
      <c r="BD798" t="inlineStr">
        <is>
          <t>893804046</t>
        </is>
      </c>
    </row>
    <row r="799">
      <c r="A799" t="inlineStr">
        <is>
          <t>No</t>
        </is>
      </c>
      <c r="B799" t="inlineStr">
        <is>
          <t>E184.A1 G874 1999</t>
        </is>
      </c>
      <c r="C799" t="inlineStr">
        <is>
          <t>0                      E  0184000A  1                  G  874         1999</t>
        </is>
      </c>
      <c r="D799" t="inlineStr">
        <is>
          <t>Multicultural resources on the Internet. The United States and Canada / Vicki L. Gregory, Marilyn H. Karrenbrock Stauffer, Thomas W. Keene, Jr.</t>
        </is>
      </c>
      <c r="F799" t="inlineStr">
        <is>
          <t>No</t>
        </is>
      </c>
      <c r="G799" t="inlineStr">
        <is>
          <t>1</t>
        </is>
      </c>
      <c r="H799" t="inlineStr">
        <is>
          <t>No</t>
        </is>
      </c>
      <c r="I799" t="inlineStr">
        <is>
          <t>No</t>
        </is>
      </c>
      <c r="J799" t="inlineStr">
        <is>
          <t>0</t>
        </is>
      </c>
      <c r="K799" t="inlineStr">
        <is>
          <t>Gregory, Vicki L., 1950-</t>
        </is>
      </c>
      <c r="L799" t="inlineStr">
        <is>
          <t>Englewood, Colo. : Libraries Unlimited, 1999.</t>
        </is>
      </c>
      <c r="M799" t="inlineStr">
        <is>
          <t>1999</t>
        </is>
      </c>
      <c r="O799" t="inlineStr">
        <is>
          <t>eng</t>
        </is>
      </c>
      <c r="P799" t="inlineStr">
        <is>
          <t>cou</t>
        </is>
      </c>
      <c r="R799" t="inlineStr">
        <is>
          <t xml:space="preserve">E  </t>
        </is>
      </c>
      <c r="S799" t="n">
        <v>5</v>
      </c>
      <c r="T799" t="n">
        <v>5</v>
      </c>
      <c r="U799" t="inlineStr">
        <is>
          <t>2005-04-10</t>
        </is>
      </c>
      <c r="V799" t="inlineStr">
        <is>
          <t>2005-04-10</t>
        </is>
      </c>
      <c r="W799" t="inlineStr">
        <is>
          <t>1999-05-20</t>
        </is>
      </c>
      <c r="X799" t="inlineStr">
        <is>
          <t>1999-05-20</t>
        </is>
      </c>
      <c r="Y799" t="n">
        <v>297</v>
      </c>
      <c r="Z799" t="n">
        <v>271</v>
      </c>
      <c r="AA799" t="n">
        <v>1313</v>
      </c>
      <c r="AB799" t="n">
        <v>2</v>
      </c>
      <c r="AC799" t="n">
        <v>4</v>
      </c>
      <c r="AD799" t="n">
        <v>10</v>
      </c>
      <c r="AE799" t="n">
        <v>27</v>
      </c>
      <c r="AF799" t="n">
        <v>1</v>
      </c>
      <c r="AG799" t="n">
        <v>11</v>
      </c>
      <c r="AH799" t="n">
        <v>4</v>
      </c>
      <c r="AI799" t="n">
        <v>8</v>
      </c>
      <c r="AJ799" t="n">
        <v>7</v>
      </c>
      <c r="AK799" t="n">
        <v>15</v>
      </c>
      <c r="AL799" t="n">
        <v>1</v>
      </c>
      <c r="AM799" t="n">
        <v>2</v>
      </c>
      <c r="AN799" t="n">
        <v>0</v>
      </c>
      <c r="AO799" t="n">
        <v>0</v>
      </c>
      <c r="AP799" t="inlineStr">
        <is>
          <t>No</t>
        </is>
      </c>
      <c r="AQ799" t="inlineStr">
        <is>
          <t>No</t>
        </is>
      </c>
      <c r="AS799">
        <f>HYPERLINK("https://creighton-primo.hosted.exlibrisgroup.com/primo-explore/search?tab=default_tab&amp;search_scope=EVERYTHING&amp;vid=01CRU&amp;lang=en_US&amp;offset=0&amp;query=any,contains,991002963579702656","Catalog Record")</f>
        <v/>
      </c>
      <c r="AT799">
        <f>HYPERLINK("http://www.worldcat.org/oclc/39654745","WorldCat Record")</f>
        <v/>
      </c>
      <c r="AU799" t="inlineStr">
        <is>
          <t>940183:eng</t>
        </is>
      </c>
      <c r="AV799" t="inlineStr">
        <is>
          <t>39654745</t>
        </is>
      </c>
      <c r="AW799" t="inlineStr">
        <is>
          <t>991002963579702656</t>
        </is>
      </c>
      <c r="AX799" t="inlineStr">
        <is>
          <t>991002963579702656</t>
        </is>
      </c>
      <c r="AY799" t="inlineStr">
        <is>
          <t>2268140650002656</t>
        </is>
      </c>
      <c r="AZ799" t="inlineStr">
        <is>
          <t>BOOK</t>
        </is>
      </c>
      <c r="BB799" t="inlineStr">
        <is>
          <t>9781563086762</t>
        </is>
      </c>
      <c r="BC799" t="inlineStr">
        <is>
          <t>32285003571410</t>
        </is>
      </c>
      <c r="BD799" t="inlineStr">
        <is>
          <t>893227501</t>
        </is>
      </c>
    </row>
    <row r="800">
      <c r="A800" t="inlineStr">
        <is>
          <t>No</t>
        </is>
      </c>
      <c r="B800" t="inlineStr">
        <is>
          <t>E184.A1 G89 1993</t>
        </is>
      </c>
      <c r="C800" t="inlineStr">
        <is>
          <t>0                      E  0184000A  1                  G  89          1993</t>
        </is>
      </c>
      <c r="D800" t="inlineStr">
        <is>
          <t>Diversity : challenges and opportunities / B. Eugene Griessman.</t>
        </is>
      </c>
      <c r="F800" t="inlineStr">
        <is>
          <t>No</t>
        </is>
      </c>
      <c r="G800" t="inlineStr">
        <is>
          <t>1</t>
        </is>
      </c>
      <c r="H800" t="inlineStr">
        <is>
          <t>No</t>
        </is>
      </c>
      <c r="I800" t="inlineStr">
        <is>
          <t>No</t>
        </is>
      </c>
      <c r="J800" t="inlineStr">
        <is>
          <t>0</t>
        </is>
      </c>
      <c r="K800" t="inlineStr">
        <is>
          <t>Griessman, B. Eugene.</t>
        </is>
      </c>
      <c r="L800" t="inlineStr">
        <is>
          <t>New York, N.Y. : HarperCollins College Publishers, c1993.</t>
        </is>
      </c>
      <c r="M800" t="inlineStr">
        <is>
          <t>1993</t>
        </is>
      </c>
      <c r="O800" t="inlineStr">
        <is>
          <t>eng</t>
        </is>
      </c>
      <c r="P800" t="inlineStr">
        <is>
          <t>nyu</t>
        </is>
      </c>
      <c r="R800" t="inlineStr">
        <is>
          <t xml:space="preserve">E  </t>
        </is>
      </c>
      <c r="S800" t="n">
        <v>6</v>
      </c>
      <c r="T800" t="n">
        <v>6</v>
      </c>
      <c r="U800" t="inlineStr">
        <is>
          <t>2000-04-13</t>
        </is>
      </c>
      <c r="V800" t="inlineStr">
        <is>
          <t>2000-04-13</t>
        </is>
      </c>
      <c r="W800" t="inlineStr">
        <is>
          <t>1994-05-17</t>
        </is>
      </c>
      <c r="X800" t="inlineStr">
        <is>
          <t>1994-05-17</t>
        </is>
      </c>
      <c r="Y800" t="n">
        <v>85</v>
      </c>
      <c r="Z800" t="n">
        <v>77</v>
      </c>
      <c r="AA800" t="n">
        <v>78</v>
      </c>
      <c r="AB800" t="n">
        <v>1</v>
      </c>
      <c r="AC800" t="n">
        <v>1</v>
      </c>
      <c r="AD800" t="n">
        <v>5</v>
      </c>
      <c r="AE800" t="n">
        <v>5</v>
      </c>
      <c r="AF800" t="n">
        <v>2</v>
      </c>
      <c r="AG800" t="n">
        <v>2</v>
      </c>
      <c r="AH800" t="n">
        <v>2</v>
      </c>
      <c r="AI800" t="n">
        <v>2</v>
      </c>
      <c r="AJ800" t="n">
        <v>3</v>
      </c>
      <c r="AK800" t="n">
        <v>3</v>
      </c>
      <c r="AL800" t="n">
        <v>0</v>
      </c>
      <c r="AM800" t="n">
        <v>0</v>
      </c>
      <c r="AN800" t="n">
        <v>0</v>
      </c>
      <c r="AO800" t="n">
        <v>0</v>
      </c>
      <c r="AP800" t="inlineStr">
        <is>
          <t>No</t>
        </is>
      </c>
      <c r="AQ800" t="inlineStr">
        <is>
          <t>Yes</t>
        </is>
      </c>
      <c r="AR800">
        <f>HYPERLINK("http://catalog.hathitrust.org/Record/005998015","HathiTrust Record")</f>
        <v/>
      </c>
      <c r="AS800">
        <f>HYPERLINK("https://creighton-primo.hosted.exlibrisgroup.com/primo-explore/search?tab=default_tab&amp;search_scope=EVERYTHING&amp;vid=01CRU&amp;lang=en_US&amp;offset=0&amp;query=any,contains,991002189909702656","Catalog Record")</f>
        <v/>
      </c>
      <c r="AT800">
        <f>HYPERLINK("http://www.worldcat.org/oclc/28181768","WorldCat Record")</f>
        <v/>
      </c>
      <c r="AU800" t="inlineStr">
        <is>
          <t>1215845088:eng</t>
        </is>
      </c>
      <c r="AV800" t="inlineStr">
        <is>
          <t>28181768</t>
        </is>
      </c>
      <c r="AW800" t="inlineStr">
        <is>
          <t>991002189909702656</t>
        </is>
      </c>
      <c r="AX800" t="inlineStr">
        <is>
          <t>991002189909702656</t>
        </is>
      </c>
      <c r="AY800" t="inlineStr">
        <is>
          <t>2270966610002656</t>
        </is>
      </c>
      <c r="AZ800" t="inlineStr">
        <is>
          <t>BOOK</t>
        </is>
      </c>
      <c r="BB800" t="inlineStr">
        <is>
          <t>9780065018455</t>
        </is>
      </c>
      <c r="BC800" t="inlineStr">
        <is>
          <t>32285001896686</t>
        </is>
      </c>
      <c r="BD800" t="inlineStr">
        <is>
          <t>893510409</t>
        </is>
      </c>
    </row>
    <row r="801">
      <c r="A801" t="inlineStr">
        <is>
          <t>No</t>
        </is>
      </c>
      <c r="B801" t="inlineStr">
        <is>
          <t>E184.A1 H23</t>
        </is>
      </c>
      <c r="C801" t="inlineStr">
        <is>
          <t>0                      E  0184000A  1                  H  23</t>
        </is>
      </c>
      <c r="D801" t="inlineStr">
        <is>
          <t>Immigration as a factor in American history.</t>
        </is>
      </c>
      <c r="F801" t="inlineStr">
        <is>
          <t>No</t>
        </is>
      </c>
      <c r="G801" t="inlineStr">
        <is>
          <t>1</t>
        </is>
      </c>
      <c r="H801" t="inlineStr">
        <is>
          <t>No</t>
        </is>
      </c>
      <c r="I801" t="inlineStr">
        <is>
          <t>No</t>
        </is>
      </c>
      <c r="J801" t="inlineStr">
        <is>
          <t>0</t>
        </is>
      </c>
      <c r="K801" t="inlineStr">
        <is>
          <t>Handlin, Oscar, 1915-2011 editor.</t>
        </is>
      </c>
      <c r="L801" t="inlineStr">
        <is>
          <t>Englewood Cliffs, N.J., Prentice-Hall, 1959.</t>
        </is>
      </c>
      <c r="M801" t="inlineStr">
        <is>
          <t>1959</t>
        </is>
      </c>
      <c r="O801" t="inlineStr">
        <is>
          <t>eng</t>
        </is>
      </c>
      <c r="P801" t="inlineStr">
        <is>
          <t>nju</t>
        </is>
      </c>
      <c r="R801" t="inlineStr">
        <is>
          <t xml:space="preserve">E  </t>
        </is>
      </c>
      <c r="S801" t="n">
        <v>1</v>
      </c>
      <c r="T801" t="n">
        <v>1</v>
      </c>
      <c r="U801" t="inlineStr">
        <is>
          <t>2000-12-08</t>
        </is>
      </c>
      <c r="V801" t="inlineStr">
        <is>
          <t>2000-12-08</t>
        </is>
      </c>
      <c r="W801" t="inlineStr">
        <is>
          <t>1997-04-09</t>
        </is>
      </c>
      <c r="X801" t="inlineStr">
        <is>
          <t>1997-04-09</t>
        </is>
      </c>
      <c r="Y801" t="n">
        <v>1413</v>
      </c>
      <c r="Z801" t="n">
        <v>1238</v>
      </c>
      <c r="AA801" t="n">
        <v>1262</v>
      </c>
      <c r="AB801" t="n">
        <v>10</v>
      </c>
      <c r="AC801" t="n">
        <v>10</v>
      </c>
      <c r="AD801" t="n">
        <v>47</v>
      </c>
      <c r="AE801" t="n">
        <v>48</v>
      </c>
      <c r="AF801" t="n">
        <v>19</v>
      </c>
      <c r="AG801" t="n">
        <v>19</v>
      </c>
      <c r="AH801" t="n">
        <v>8</v>
      </c>
      <c r="AI801" t="n">
        <v>9</v>
      </c>
      <c r="AJ801" t="n">
        <v>22</v>
      </c>
      <c r="AK801" t="n">
        <v>22</v>
      </c>
      <c r="AL801" t="n">
        <v>7</v>
      </c>
      <c r="AM801" t="n">
        <v>7</v>
      </c>
      <c r="AN801" t="n">
        <v>2</v>
      </c>
      <c r="AO801" t="n">
        <v>2</v>
      </c>
      <c r="AP801" t="inlineStr">
        <is>
          <t>No</t>
        </is>
      </c>
      <c r="AQ801" t="inlineStr">
        <is>
          <t>Yes</t>
        </is>
      </c>
      <c r="AR801">
        <f>HYPERLINK("http://catalog.hathitrust.org/Record/000335516","HathiTrust Record")</f>
        <v/>
      </c>
      <c r="AS801">
        <f>HYPERLINK("https://creighton-primo.hosted.exlibrisgroup.com/primo-explore/search?tab=default_tab&amp;search_scope=EVERYTHING&amp;vid=01CRU&amp;lang=en_US&amp;offset=0&amp;query=any,contains,991002742619702656","Catalog Record")</f>
        <v/>
      </c>
      <c r="AT801">
        <f>HYPERLINK("http://www.worldcat.org/oclc/421652","WorldCat Record")</f>
        <v/>
      </c>
      <c r="AU801" t="inlineStr">
        <is>
          <t>1505310:eng</t>
        </is>
      </c>
      <c r="AV801" t="inlineStr">
        <is>
          <t>421652</t>
        </is>
      </c>
      <c r="AW801" t="inlineStr">
        <is>
          <t>991002742619702656</t>
        </is>
      </c>
      <c r="AX801" t="inlineStr">
        <is>
          <t>991002742619702656</t>
        </is>
      </c>
      <c r="AY801" t="inlineStr">
        <is>
          <t>2267629050002656</t>
        </is>
      </c>
      <c r="AZ801" t="inlineStr">
        <is>
          <t>BOOK</t>
        </is>
      </c>
      <c r="BC801" t="inlineStr">
        <is>
          <t>32285002508876</t>
        </is>
      </c>
      <c r="BD801" t="inlineStr">
        <is>
          <t>893622658</t>
        </is>
      </c>
    </row>
    <row r="802">
      <c r="A802" t="inlineStr">
        <is>
          <t>No</t>
        </is>
      </c>
      <c r="B802" t="inlineStr">
        <is>
          <t>E184.A1 H36 1982</t>
        </is>
      </c>
      <c r="C802" t="inlineStr">
        <is>
          <t>0                      E  0184000A  1                  H  36          1982</t>
        </is>
      </c>
      <c r="D802" t="inlineStr">
        <is>
          <t>Hate groups in America : a record of bigotry and violence.</t>
        </is>
      </c>
      <c r="F802" t="inlineStr">
        <is>
          <t>No</t>
        </is>
      </c>
      <c r="G802" t="inlineStr">
        <is>
          <t>1</t>
        </is>
      </c>
      <c r="H802" t="inlineStr">
        <is>
          <t>No</t>
        </is>
      </c>
      <c r="I802" t="inlineStr">
        <is>
          <t>No</t>
        </is>
      </c>
      <c r="J802" t="inlineStr">
        <is>
          <t>0</t>
        </is>
      </c>
      <c r="L802" t="inlineStr">
        <is>
          <t>New York, NY : Anti-defamation League of Bʻnai Bʻrith, c1982.</t>
        </is>
      </c>
      <c r="M802" t="inlineStr">
        <is>
          <t>1982</t>
        </is>
      </c>
      <c r="O802" t="inlineStr">
        <is>
          <t>eng</t>
        </is>
      </c>
      <c r="P802" t="inlineStr">
        <is>
          <t>nyu</t>
        </is>
      </c>
      <c r="R802" t="inlineStr">
        <is>
          <t xml:space="preserve">E  </t>
        </is>
      </c>
      <c r="S802" t="n">
        <v>6</v>
      </c>
      <c r="T802" t="n">
        <v>6</v>
      </c>
      <c r="U802" t="inlineStr">
        <is>
          <t>1998-04-18</t>
        </is>
      </c>
      <c r="V802" t="inlineStr">
        <is>
          <t>1998-04-18</t>
        </is>
      </c>
      <c r="W802" t="inlineStr">
        <is>
          <t>1991-02-13</t>
        </is>
      </c>
      <c r="X802" t="inlineStr">
        <is>
          <t>1991-02-13</t>
        </is>
      </c>
      <c r="Y802" t="n">
        <v>139</v>
      </c>
      <c r="Z802" t="n">
        <v>133</v>
      </c>
      <c r="AA802" t="n">
        <v>218</v>
      </c>
      <c r="AB802" t="n">
        <v>3</v>
      </c>
      <c r="AC802" t="n">
        <v>3</v>
      </c>
      <c r="AD802" t="n">
        <v>7</v>
      </c>
      <c r="AE802" t="n">
        <v>9</v>
      </c>
      <c r="AF802" t="n">
        <v>3</v>
      </c>
      <c r="AG802" t="n">
        <v>4</v>
      </c>
      <c r="AH802" t="n">
        <v>0</v>
      </c>
      <c r="AI802" t="n">
        <v>1</v>
      </c>
      <c r="AJ802" t="n">
        <v>2</v>
      </c>
      <c r="AK802" t="n">
        <v>2</v>
      </c>
      <c r="AL802" t="n">
        <v>2</v>
      </c>
      <c r="AM802" t="n">
        <v>2</v>
      </c>
      <c r="AN802" t="n">
        <v>0</v>
      </c>
      <c r="AO802" t="n">
        <v>0</v>
      </c>
      <c r="AP802" t="inlineStr">
        <is>
          <t>No</t>
        </is>
      </c>
      <c r="AQ802" t="inlineStr">
        <is>
          <t>No</t>
        </is>
      </c>
      <c r="AS802">
        <f>HYPERLINK("https://creighton-primo.hosted.exlibrisgroup.com/primo-explore/search?tab=default_tab&amp;search_scope=EVERYTHING&amp;vid=01CRU&amp;lang=en_US&amp;offset=0&amp;query=any,contains,991000185249702656","Catalog Record")</f>
        <v/>
      </c>
      <c r="AT802">
        <f>HYPERLINK("http://www.worldcat.org/oclc/9393358","WorldCat Record")</f>
        <v/>
      </c>
      <c r="AU802" t="inlineStr">
        <is>
          <t>907740980:eng</t>
        </is>
      </c>
      <c r="AV802" t="inlineStr">
        <is>
          <t>9393358</t>
        </is>
      </c>
      <c r="AW802" t="inlineStr">
        <is>
          <t>991000185249702656</t>
        </is>
      </c>
      <c r="AX802" t="inlineStr">
        <is>
          <t>991000185249702656</t>
        </is>
      </c>
      <c r="AY802" t="inlineStr">
        <is>
          <t>2265878160002656</t>
        </is>
      </c>
      <c r="AZ802" t="inlineStr">
        <is>
          <t>BOOK</t>
        </is>
      </c>
      <c r="BB802" t="inlineStr">
        <is>
          <t>9780884640356</t>
        </is>
      </c>
      <c r="BC802" t="inlineStr">
        <is>
          <t>32285000482801</t>
        </is>
      </c>
      <c r="BD802" t="inlineStr">
        <is>
          <t>893249163</t>
        </is>
      </c>
    </row>
    <row r="803">
      <c r="A803" t="inlineStr">
        <is>
          <t>No</t>
        </is>
      </c>
      <c r="B803" t="inlineStr">
        <is>
          <t>E184.A1 K34 1994</t>
        </is>
      </c>
      <c r="C803" t="inlineStr">
        <is>
          <t>0                      E  0184000A  1                  K  34          1994</t>
        </is>
      </c>
      <c r="D803" t="inlineStr">
        <is>
          <t>Kaleidoscope : a multicultural booklist for grades K-8 / Rudine Sims Bishop, editor ; and the Multicultural Booklist Committee of the National Council of Teachers of English.</t>
        </is>
      </c>
      <c r="F803" t="inlineStr">
        <is>
          <t>No</t>
        </is>
      </c>
      <c r="G803" t="inlineStr">
        <is>
          <t>1</t>
        </is>
      </c>
      <c r="H803" t="inlineStr">
        <is>
          <t>No</t>
        </is>
      </c>
      <c r="I803" t="inlineStr">
        <is>
          <t>No</t>
        </is>
      </c>
      <c r="J803" t="inlineStr">
        <is>
          <t>0</t>
        </is>
      </c>
      <c r="L803" t="inlineStr">
        <is>
          <t>Urbana, IL : National Council of Teachers of English, c1994.</t>
        </is>
      </c>
      <c r="M803" t="inlineStr">
        <is>
          <t>1994</t>
        </is>
      </c>
      <c r="O803" t="inlineStr">
        <is>
          <t>eng</t>
        </is>
      </c>
      <c r="P803" t="inlineStr">
        <is>
          <t>ilu</t>
        </is>
      </c>
      <c r="Q803" t="inlineStr">
        <is>
          <t>NCTE bibliography series, 1051-4740</t>
        </is>
      </c>
      <c r="R803" t="inlineStr">
        <is>
          <t xml:space="preserve">E  </t>
        </is>
      </c>
      <c r="S803" t="n">
        <v>4</v>
      </c>
      <c r="T803" t="n">
        <v>4</v>
      </c>
      <c r="U803" t="inlineStr">
        <is>
          <t>1996-11-04</t>
        </is>
      </c>
      <c r="V803" t="inlineStr">
        <is>
          <t>1996-11-04</t>
        </is>
      </c>
      <c r="W803" t="inlineStr">
        <is>
          <t>1995-08-21</t>
        </is>
      </c>
      <c r="X803" t="inlineStr">
        <is>
          <t>1995-08-21</t>
        </is>
      </c>
      <c r="Y803" t="n">
        <v>508</v>
      </c>
      <c r="Z803" t="n">
        <v>489</v>
      </c>
      <c r="AA803" t="n">
        <v>495</v>
      </c>
      <c r="AB803" t="n">
        <v>4</v>
      </c>
      <c r="AC803" t="n">
        <v>4</v>
      </c>
      <c r="AD803" t="n">
        <v>16</v>
      </c>
      <c r="AE803" t="n">
        <v>17</v>
      </c>
      <c r="AF803" t="n">
        <v>5</v>
      </c>
      <c r="AG803" t="n">
        <v>6</v>
      </c>
      <c r="AH803" t="n">
        <v>3</v>
      </c>
      <c r="AI803" t="n">
        <v>3</v>
      </c>
      <c r="AJ803" t="n">
        <v>9</v>
      </c>
      <c r="AK803" t="n">
        <v>9</v>
      </c>
      <c r="AL803" t="n">
        <v>2</v>
      </c>
      <c r="AM803" t="n">
        <v>2</v>
      </c>
      <c r="AN803" t="n">
        <v>0</v>
      </c>
      <c r="AO803" t="n">
        <v>0</v>
      </c>
      <c r="AP803" t="inlineStr">
        <is>
          <t>No</t>
        </is>
      </c>
      <c r="AQ803" t="inlineStr">
        <is>
          <t>No</t>
        </is>
      </c>
      <c r="AS803">
        <f>HYPERLINK("https://creighton-primo.hosted.exlibrisgroup.com/primo-explore/search?tab=default_tab&amp;search_scope=EVERYTHING&amp;vid=01CRU&amp;lang=en_US&amp;offset=0&amp;query=any,contains,991002364269702656","Catalog Record")</f>
        <v/>
      </c>
      <c r="AT803">
        <f>HYPERLINK("http://www.worldcat.org/oclc/30737850","WorldCat Record")</f>
        <v/>
      </c>
      <c r="AU803" t="inlineStr">
        <is>
          <t>1807858819:eng</t>
        </is>
      </c>
      <c r="AV803" t="inlineStr">
        <is>
          <t>30737850</t>
        </is>
      </c>
      <c r="AW803" t="inlineStr">
        <is>
          <t>991002364269702656</t>
        </is>
      </c>
      <c r="AX803" t="inlineStr">
        <is>
          <t>991002364269702656</t>
        </is>
      </c>
      <c r="AY803" t="inlineStr">
        <is>
          <t>2266936580002656</t>
        </is>
      </c>
      <c r="AZ803" t="inlineStr">
        <is>
          <t>BOOK</t>
        </is>
      </c>
      <c r="BB803" t="inlineStr">
        <is>
          <t>9780814125434</t>
        </is>
      </c>
      <c r="BC803" t="inlineStr">
        <is>
          <t>32285002077955</t>
        </is>
      </c>
      <c r="BD803" t="inlineStr">
        <is>
          <t>893710191</t>
        </is>
      </c>
    </row>
    <row r="804">
      <c r="A804" t="inlineStr">
        <is>
          <t>No</t>
        </is>
      </c>
      <c r="B804" t="inlineStr">
        <is>
          <t>E184.A1 K34 2001</t>
        </is>
      </c>
      <c r="C804" t="inlineStr">
        <is>
          <t>0                      E  0184000A  1                  K  34          2001</t>
        </is>
      </c>
      <c r="D804" t="inlineStr">
        <is>
          <t>Kaleidoscope : a multicultural booklist for grades K-8.</t>
        </is>
      </c>
      <c r="F804" t="inlineStr">
        <is>
          <t>No</t>
        </is>
      </c>
      <c r="G804" t="inlineStr">
        <is>
          <t>1</t>
        </is>
      </c>
      <c r="H804" t="inlineStr">
        <is>
          <t>No</t>
        </is>
      </c>
      <c r="I804" t="inlineStr">
        <is>
          <t>No</t>
        </is>
      </c>
      <c r="J804" t="inlineStr">
        <is>
          <t>0</t>
        </is>
      </c>
      <c r="L804" t="inlineStr">
        <is>
          <t>Urbana, Ill. : The Council, c2001.</t>
        </is>
      </c>
      <c r="M804" t="inlineStr">
        <is>
          <t>2001</t>
        </is>
      </c>
      <c r="N804" t="inlineStr">
        <is>
          <t>3rd ed. / Junko Yokota, editor ; and the Committee to Revise the Multicultural Booklist of the National Council of Teachers of English.</t>
        </is>
      </c>
      <c r="O804" t="inlineStr">
        <is>
          <t>eng</t>
        </is>
      </c>
      <c r="P804" t="inlineStr">
        <is>
          <t>ilu</t>
        </is>
      </c>
      <c r="Q804" t="inlineStr">
        <is>
          <t>NCTE bibliography series, 1051-4740</t>
        </is>
      </c>
      <c r="R804" t="inlineStr">
        <is>
          <t xml:space="preserve">E  </t>
        </is>
      </c>
      <c r="S804" t="n">
        <v>2</v>
      </c>
      <c r="T804" t="n">
        <v>2</v>
      </c>
      <c r="U804" t="inlineStr">
        <is>
          <t>2002-03-25</t>
        </is>
      </c>
      <c r="V804" t="inlineStr">
        <is>
          <t>2002-03-25</t>
        </is>
      </c>
      <c r="W804" t="inlineStr">
        <is>
          <t>2002-03-04</t>
        </is>
      </c>
      <c r="X804" t="inlineStr">
        <is>
          <t>2002-03-04</t>
        </is>
      </c>
      <c r="Y804" t="n">
        <v>175</v>
      </c>
      <c r="Z804" t="n">
        <v>169</v>
      </c>
      <c r="AA804" t="n">
        <v>177</v>
      </c>
      <c r="AB804" t="n">
        <v>3</v>
      </c>
      <c r="AC804" t="n">
        <v>3</v>
      </c>
      <c r="AD804" t="n">
        <v>6</v>
      </c>
      <c r="AE804" t="n">
        <v>6</v>
      </c>
      <c r="AF804" t="n">
        <v>2</v>
      </c>
      <c r="AG804" t="n">
        <v>2</v>
      </c>
      <c r="AH804" t="n">
        <v>1</v>
      </c>
      <c r="AI804" t="n">
        <v>1</v>
      </c>
      <c r="AJ804" t="n">
        <v>2</v>
      </c>
      <c r="AK804" t="n">
        <v>2</v>
      </c>
      <c r="AL804" t="n">
        <v>2</v>
      </c>
      <c r="AM804" t="n">
        <v>2</v>
      </c>
      <c r="AN804" t="n">
        <v>0</v>
      </c>
      <c r="AO804" t="n">
        <v>0</v>
      </c>
      <c r="AP804" t="inlineStr">
        <is>
          <t>No</t>
        </is>
      </c>
      <c r="AQ804" t="inlineStr">
        <is>
          <t>No</t>
        </is>
      </c>
      <c r="AS804">
        <f>HYPERLINK("https://creighton-primo.hosted.exlibrisgroup.com/primo-explore/search?tab=default_tab&amp;search_scope=EVERYTHING&amp;vid=01CRU&amp;lang=en_US&amp;offset=0&amp;query=any,contains,991003711689702656","Catalog Record")</f>
        <v/>
      </c>
      <c r="AT804">
        <f>HYPERLINK("http://www.worldcat.org/oclc/47224768","WorldCat Record")</f>
        <v/>
      </c>
      <c r="AU804" t="inlineStr">
        <is>
          <t>1863029292:eng</t>
        </is>
      </c>
      <c r="AV804" t="inlineStr">
        <is>
          <t>47224768</t>
        </is>
      </c>
      <c r="AW804" t="inlineStr">
        <is>
          <t>991003711689702656</t>
        </is>
      </c>
      <c r="AX804" t="inlineStr">
        <is>
          <t>991003711689702656</t>
        </is>
      </c>
      <c r="AY804" t="inlineStr">
        <is>
          <t>2263047820002656</t>
        </is>
      </c>
      <c r="AZ804" t="inlineStr">
        <is>
          <t>BOOK</t>
        </is>
      </c>
      <c r="BB804" t="inlineStr">
        <is>
          <t>9780814125403</t>
        </is>
      </c>
      <c r="BC804" t="inlineStr">
        <is>
          <t>32285004459276</t>
        </is>
      </c>
      <c r="BD804" t="inlineStr">
        <is>
          <t>893535588</t>
        </is>
      </c>
    </row>
    <row r="805">
      <c r="A805" t="inlineStr">
        <is>
          <t>No</t>
        </is>
      </c>
      <c r="B805" t="inlineStr">
        <is>
          <t>E184.A1 K5</t>
        </is>
      </c>
      <c r="C805" t="inlineStr">
        <is>
          <t>0                      E  0184000A  1                  K  5</t>
        </is>
      </c>
      <c r="D805" t="inlineStr">
        <is>
          <t>Variations in value orientations / [by] Florence Rockwood Kluckhohn and Fred L. Strodtbeck, with the assistance of John M. Roberts [and others]</t>
        </is>
      </c>
      <c r="F805" t="inlineStr">
        <is>
          <t>No</t>
        </is>
      </c>
      <c r="G805" t="inlineStr">
        <is>
          <t>1</t>
        </is>
      </c>
      <c r="H805" t="inlineStr">
        <is>
          <t>No</t>
        </is>
      </c>
      <c r="I805" t="inlineStr">
        <is>
          <t>No</t>
        </is>
      </c>
      <c r="J805" t="inlineStr">
        <is>
          <t>0</t>
        </is>
      </c>
      <c r="K805" t="inlineStr">
        <is>
          <t>Kluckhohn, Florence Rockwood.</t>
        </is>
      </c>
      <c r="L805" t="inlineStr">
        <is>
          <t>Evanston, Ill. : Row, Peterson, [1961]</t>
        </is>
      </c>
      <c r="M805" t="inlineStr">
        <is>
          <t>1961</t>
        </is>
      </c>
      <c r="O805" t="inlineStr">
        <is>
          <t>eng</t>
        </is>
      </c>
      <c r="P805" t="inlineStr">
        <is>
          <t>ilu</t>
        </is>
      </c>
      <c r="R805" t="inlineStr">
        <is>
          <t xml:space="preserve">E  </t>
        </is>
      </c>
      <c r="S805" t="n">
        <v>7</v>
      </c>
      <c r="T805" t="n">
        <v>7</v>
      </c>
      <c r="U805" t="inlineStr">
        <is>
          <t>2000-02-23</t>
        </is>
      </c>
      <c r="V805" t="inlineStr">
        <is>
          <t>2000-02-23</t>
        </is>
      </c>
      <c r="W805" t="inlineStr">
        <is>
          <t>1992-05-08</t>
        </is>
      </c>
      <c r="X805" t="inlineStr">
        <is>
          <t>1992-05-08</t>
        </is>
      </c>
      <c r="Y805" t="n">
        <v>657</v>
      </c>
      <c r="Z805" t="n">
        <v>546</v>
      </c>
      <c r="AA805" t="n">
        <v>667</v>
      </c>
      <c r="AB805" t="n">
        <v>4</v>
      </c>
      <c r="AC805" t="n">
        <v>4</v>
      </c>
      <c r="AD805" t="n">
        <v>33</v>
      </c>
      <c r="AE805" t="n">
        <v>38</v>
      </c>
      <c r="AF805" t="n">
        <v>12</v>
      </c>
      <c r="AG805" t="n">
        <v>14</v>
      </c>
      <c r="AH805" t="n">
        <v>7</v>
      </c>
      <c r="AI805" t="n">
        <v>10</v>
      </c>
      <c r="AJ805" t="n">
        <v>19</v>
      </c>
      <c r="AK805" t="n">
        <v>23</v>
      </c>
      <c r="AL805" t="n">
        <v>3</v>
      </c>
      <c r="AM805" t="n">
        <v>3</v>
      </c>
      <c r="AN805" t="n">
        <v>0</v>
      </c>
      <c r="AO805" t="n">
        <v>0</v>
      </c>
      <c r="AP805" t="inlineStr">
        <is>
          <t>Yes</t>
        </is>
      </c>
      <c r="AQ805" t="inlineStr">
        <is>
          <t>No</t>
        </is>
      </c>
      <c r="AR805">
        <f>HYPERLINK("http://catalog.hathitrust.org/Record/000471293","HathiTrust Record")</f>
        <v/>
      </c>
      <c r="AS805">
        <f>HYPERLINK("https://creighton-primo.hosted.exlibrisgroup.com/primo-explore/search?tab=default_tab&amp;search_scope=EVERYTHING&amp;vid=01CRU&amp;lang=en_US&amp;offset=0&amp;query=any,contains,991002743049702656","Catalog Record")</f>
        <v/>
      </c>
      <c r="AT805">
        <f>HYPERLINK("http://www.worldcat.org/oclc/421735","WorldCat Record")</f>
        <v/>
      </c>
      <c r="AU805" t="inlineStr">
        <is>
          <t>1505724:eng</t>
        </is>
      </c>
      <c r="AV805" t="inlineStr">
        <is>
          <t>421735</t>
        </is>
      </c>
      <c r="AW805" t="inlineStr">
        <is>
          <t>991002743049702656</t>
        </is>
      </c>
      <c r="AX805" t="inlineStr">
        <is>
          <t>991002743049702656</t>
        </is>
      </c>
      <c r="AY805" t="inlineStr">
        <is>
          <t>2270052070002656</t>
        </is>
      </c>
      <c r="AZ805" t="inlineStr">
        <is>
          <t>BOOK</t>
        </is>
      </c>
      <c r="BC805" t="inlineStr">
        <is>
          <t>32285001105385</t>
        </is>
      </c>
      <c r="BD805" t="inlineStr">
        <is>
          <t>893262450</t>
        </is>
      </c>
    </row>
    <row r="806">
      <c r="A806" t="inlineStr">
        <is>
          <t>No</t>
        </is>
      </c>
      <c r="B806" t="inlineStr">
        <is>
          <t>E184.A1 L63 1992</t>
        </is>
      </c>
      <c r="C806" t="inlineStr">
        <is>
          <t>0                      E  0184000A  1                  L  63          1992</t>
        </is>
      </c>
      <c r="D806" t="inlineStr">
        <is>
          <t>Increasing multicultural understanding : a comprehensive model / Don C. Locke.</t>
        </is>
      </c>
      <c r="F806" t="inlineStr">
        <is>
          <t>No</t>
        </is>
      </c>
      <c r="G806" t="inlineStr">
        <is>
          <t>1</t>
        </is>
      </c>
      <c r="H806" t="inlineStr">
        <is>
          <t>Yes</t>
        </is>
      </c>
      <c r="I806" t="inlineStr">
        <is>
          <t>Yes</t>
        </is>
      </c>
      <c r="J806" t="inlineStr">
        <is>
          <t>0</t>
        </is>
      </c>
      <c r="K806" t="inlineStr">
        <is>
          <t>Locke, Don C.</t>
        </is>
      </c>
      <c r="L806" t="inlineStr">
        <is>
          <t>Newbury Park : Sage Publications, c1992.</t>
        </is>
      </c>
      <c r="M806" t="inlineStr">
        <is>
          <t>1992</t>
        </is>
      </c>
      <c r="O806" t="inlineStr">
        <is>
          <t>eng</t>
        </is>
      </c>
      <c r="P806" t="inlineStr">
        <is>
          <t>cau</t>
        </is>
      </c>
      <c r="Q806" t="inlineStr">
        <is>
          <t>Multicultural aspects of counseling series ; v. 1</t>
        </is>
      </c>
      <c r="R806" t="inlineStr">
        <is>
          <t xml:space="preserve">E  </t>
        </is>
      </c>
      <c r="S806" t="n">
        <v>18</v>
      </c>
      <c r="T806" t="n">
        <v>30</v>
      </c>
      <c r="U806" t="inlineStr">
        <is>
          <t>2002-03-25</t>
        </is>
      </c>
      <c r="V806" t="inlineStr">
        <is>
          <t>2002-03-25</t>
        </is>
      </c>
      <c r="W806" t="inlineStr">
        <is>
          <t>1994-03-11</t>
        </is>
      </c>
      <c r="X806" t="inlineStr">
        <is>
          <t>1994-03-11</t>
        </is>
      </c>
      <c r="Y806" t="n">
        <v>761</v>
      </c>
      <c r="Z806" t="n">
        <v>639</v>
      </c>
      <c r="AA806" t="n">
        <v>1034</v>
      </c>
      <c r="AB806" t="n">
        <v>7</v>
      </c>
      <c r="AC806" t="n">
        <v>9</v>
      </c>
      <c r="AD806" t="n">
        <v>29</v>
      </c>
      <c r="AE806" t="n">
        <v>37</v>
      </c>
      <c r="AF806" t="n">
        <v>10</v>
      </c>
      <c r="AG806" t="n">
        <v>12</v>
      </c>
      <c r="AH806" t="n">
        <v>4</v>
      </c>
      <c r="AI806" t="n">
        <v>7</v>
      </c>
      <c r="AJ806" t="n">
        <v>17</v>
      </c>
      <c r="AK806" t="n">
        <v>20</v>
      </c>
      <c r="AL806" t="n">
        <v>5</v>
      </c>
      <c r="AM806" t="n">
        <v>7</v>
      </c>
      <c r="AN806" t="n">
        <v>0</v>
      </c>
      <c r="AO806" t="n">
        <v>0</v>
      </c>
      <c r="AP806" t="inlineStr">
        <is>
          <t>No</t>
        </is>
      </c>
      <c r="AQ806" t="inlineStr">
        <is>
          <t>Yes</t>
        </is>
      </c>
      <c r="AR806">
        <f>HYPERLINK("http://catalog.hathitrust.org/Record/002593419","HathiTrust Record")</f>
        <v/>
      </c>
      <c r="AS806">
        <f>HYPERLINK("https://creighton-primo.hosted.exlibrisgroup.com/primo-explore/search?tab=default_tab&amp;search_scope=EVERYTHING&amp;vid=01CRU&amp;lang=en_US&amp;offset=0&amp;query=any,contains,991001802709702656","Catalog Record")</f>
        <v/>
      </c>
      <c r="AT806">
        <f>HYPERLINK("http://www.worldcat.org/oclc/25874159","WorldCat Record")</f>
        <v/>
      </c>
      <c r="AU806" t="inlineStr">
        <is>
          <t>590790:eng</t>
        </is>
      </c>
      <c r="AV806" t="inlineStr">
        <is>
          <t>25874159</t>
        </is>
      </c>
      <c r="AW806" t="inlineStr">
        <is>
          <t>991001802709702656</t>
        </is>
      </c>
      <c r="AX806" t="inlineStr">
        <is>
          <t>991001802709702656</t>
        </is>
      </c>
      <c r="AY806" t="inlineStr">
        <is>
          <t>2269218850002656</t>
        </is>
      </c>
      <c r="AZ806" t="inlineStr">
        <is>
          <t>BOOK</t>
        </is>
      </c>
      <c r="BB806" t="inlineStr">
        <is>
          <t>9780803945937</t>
        </is>
      </c>
      <c r="BC806" t="inlineStr">
        <is>
          <t>32285001844801</t>
        </is>
      </c>
      <c r="BD806" t="inlineStr">
        <is>
          <t>893433152</t>
        </is>
      </c>
    </row>
    <row r="807">
      <c r="A807" t="inlineStr">
        <is>
          <t>No</t>
        </is>
      </c>
      <c r="B807" t="inlineStr">
        <is>
          <t>E184.A1 L63 1998</t>
        </is>
      </c>
      <c r="C807" t="inlineStr">
        <is>
          <t>0                      E  0184000A  1                  L  63          1998</t>
        </is>
      </c>
      <c r="D807" t="inlineStr">
        <is>
          <t>Increasing multicultural understanding : a comprehensive model / Don C. Locke.</t>
        </is>
      </c>
      <c r="F807" t="inlineStr">
        <is>
          <t>No</t>
        </is>
      </c>
      <c r="G807" t="inlineStr">
        <is>
          <t>1</t>
        </is>
      </c>
      <c r="H807" t="inlineStr">
        <is>
          <t>No</t>
        </is>
      </c>
      <c r="I807" t="inlineStr">
        <is>
          <t>Yes</t>
        </is>
      </c>
      <c r="J807" t="inlineStr">
        <is>
          <t>0</t>
        </is>
      </c>
      <c r="K807" t="inlineStr">
        <is>
          <t>Locke, Don C.</t>
        </is>
      </c>
      <c r="L807" t="inlineStr">
        <is>
          <t>Thousand Oaks, Calif. : Sage Publications, c1998.</t>
        </is>
      </c>
      <c r="M807" t="inlineStr">
        <is>
          <t>1998</t>
        </is>
      </c>
      <c r="N807" t="inlineStr">
        <is>
          <t>2nd ed.</t>
        </is>
      </c>
      <c r="O807" t="inlineStr">
        <is>
          <t>eng</t>
        </is>
      </c>
      <c r="P807" t="inlineStr">
        <is>
          <t>cau</t>
        </is>
      </c>
      <c r="Q807" t="inlineStr">
        <is>
          <t>Multicultural aspects of counseling series ; 1</t>
        </is>
      </c>
      <c r="R807" t="inlineStr">
        <is>
          <t xml:space="preserve">E  </t>
        </is>
      </c>
      <c r="S807" t="n">
        <v>6</v>
      </c>
      <c r="T807" t="n">
        <v>6</v>
      </c>
      <c r="U807" t="inlineStr">
        <is>
          <t>2002-10-24</t>
        </is>
      </c>
      <c r="V807" t="inlineStr">
        <is>
          <t>2002-10-24</t>
        </is>
      </c>
      <c r="W807" t="inlineStr">
        <is>
          <t>2000-10-23</t>
        </is>
      </c>
      <c r="X807" t="inlineStr">
        <is>
          <t>2000-10-23</t>
        </is>
      </c>
      <c r="Y807" t="n">
        <v>402</v>
      </c>
      <c r="Z807" t="n">
        <v>330</v>
      </c>
      <c r="AA807" t="n">
        <v>1034</v>
      </c>
      <c r="AB807" t="n">
        <v>4</v>
      </c>
      <c r="AC807" t="n">
        <v>9</v>
      </c>
      <c r="AD807" t="n">
        <v>19</v>
      </c>
      <c r="AE807" t="n">
        <v>37</v>
      </c>
      <c r="AF807" t="n">
        <v>4</v>
      </c>
      <c r="AG807" t="n">
        <v>12</v>
      </c>
      <c r="AH807" t="n">
        <v>6</v>
      </c>
      <c r="AI807" t="n">
        <v>7</v>
      </c>
      <c r="AJ807" t="n">
        <v>10</v>
      </c>
      <c r="AK807" t="n">
        <v>20</v>
      </c>
      <c r="AL807" t="n">
        <v>3</v>
      </c>
      <c r="AM807" t="n">
        <v>7</v>
      </c>
      <c r="AN807" t="n">
        <v>0</v>
      </c>
      <c r="AO807" t="n">
        <v>0</v>
      </c>
      <c r="AP807" t="inlineStr">
        <is>
          <t>No</t>
        </is>
      </c>
      <c r="AQ807" t="inlineStr">
        <is>
          <t>No</t>
        </is>
      </c>
      <c r="AS807">
        <f>HYPERLINK("https://creighton-primo.hosted.exlibrisgroup.com/primo-explore/search?tab=default_tab&amp;search_scope=EVERYTHING&amp;vid=01CRU&amp;lang=en_US&amp;offset=0&amp;query=any,contains,991003283799702656","Catalog Record")</f>
        <v/>
      </c>
      <c r="AT807">
        <f>HYPERLINK("http://www.worldcat.org/oclc/37725464","WorldCat Record")</f>
        <v/>
      </c>
      <c r="AU807" t="inlineStr">
        <is>
          <t>590790:eng</t>
        </is>
      </c>
      <c r="AV807" t="inlineStr">
        <is>
          <t>37725464</t>
        </is>
      </c>
      <c r="AW807" t="inlineStr">
        <is>
          <t>991003283799702656</t>
        </is>
      </c>
      <c r="AX807" t="inlineStr">
        <is>
          <t>991003283799702656</t>
        </is>
      </c>
      <c r="AY807" t="inlineStr">
        <is>
          <t>2255881000002656</t>
        </is>
      </c>
      <c r="AZ807" t="inlineStr">
        <is>
          <t>BOOK</t>
        </is>
      </c>
      <c r="BB807" t="inlineStr">
        <is>
          <t>9780761911180</t>
        </is>
      </c>
      <c r="BC807" t="inlineStr">
        <is>
          <t>32285003769576</t>
        </is>
      </c>
      <c r="BD807" t="inlineStr">
        <is>
          <t>893227899</t>
        </is>
      </c>
    </row>
    <row r="808">
      <c r="A808" t="inlineStr">
        <is>
          <t>No</t>
        </is>
      </c>
      <c r="B808" t="inlineStr">
        <is>
          <t>E184.A1 M28</t>
        </is>
      </c>
      <c r="C808" t="inlineStr">
        <is>
          <t>0                      E  0184000A  1                  M  28</t>
        </is>
      </c>
      <c r="D808" t="inlineStr">
        <is>
          <t>The one and the many : reflections on the American identity / Arthur Mann.</t>
        </is>
      </c>
      <c r="F808" t="inlineStr">
        <is>
          <t>No</t>
        </is>
      </c>
      <c r="G808" t="inlineStr">
        <is>
          <t>1</t>
        </is>
      </c>
      <c r="H808" t="inlineStr">
        <is>
          <t>No</t>
        </is>
      </c>
      <c r="I808" t="inlineStr">
        <is>
          <t>No</t>
        </is>
      </c>
      <c r="J808" t="inlineStr">
        <is>
          <t>0</t>
        </is>
      </c>
      <c r="K808" t="inlineStr">
        <is>
          <t>Mann, Arthur, 1922-1993, 1922-</t>
        </is>
      </c>
      <c r="L808" t="inlineStr">
        <is>
          <t>Chicago : University of Chicago Press, c1979.</t>
        </is>
      </c>
      <c r="M808" t="inlineStr">
        <is>
          <t>1979</t>
        </is>
      </c>
      <c r="O808" t="inlineStr">
        <is>
          <t>eng</t>
        </is>
      </c>
      <c r="P808" t="inlineStr">
        <is>
          <t>ilu</t>
        </is>
      </c>
      <c r="R808" t="inlineStr">
        <is>
          <t xml:space="preserve">E  </t>
        </is>
      </c>
      <c r="S808" t="n">
        <v>2</v>
      </c>
      <c r="T808" t="n">
        <v>2</v>
      </c>
      <c r="U808" t="inlineStr">
        <is>
          <t>1996-02-02</t>
        </is>
      </c>
      <c r="V808" t="inlineStr">
        <is>
          <t>1996-02-02</t>
        </is>
      </c>
      <c r="W808" t="inlineStr">
        <is>
          <t>1991-02-13</t>
        </is>
      </c>
      <c r="X808" t="inlineStr">
        <is>
          <t>1991-02-13</t>
        </is>
      </c>
      <c r="Y808" t="n">
        <v>690</v>
      </c>
      <c r="Z808" t="n">
        <v>580</v>
      </c>
      <c r="AA808" t="n">
        <v>580</v>
      </c>
      <c r="AB808" t="n">
        <v>4</v>
      </c>
      <c r="AC808" t="n">
        <v>4</v>
      </c>
      <c r="AD808" t="n">
        <v>23</v>
      </c>
      <c r="AE808" t="n">
        <v>23</v>
      </c>
      <c r="AF808" t="n">
        <v>7</v>
      </c>
      <c r="AG808" t="n">
        <v>7</v>
      </c>
      <c r="AH808" t="n">
        <v>5</v>
      </c>
      <c r="AI808" t="n">
        <v>5</v>
      </c>
      <c r="AJ808" t="n">
        <v>14</v>
      </c>
      <c r="AK808" t="n">
        <v>14</v>
      </c>
      <c r="AL808" t="n">
        <v>3</v>
      </c>
      <c r="AM808" t="n">
        <v>3</v>
      </c>
      <c r="AN808" t="n">
        <v>0</v>
      </c>
      <c r="AO808" t="n">
        <v>0</v>
      </c>
      <c r="AP808" t="inlineStr">
        <is>
          <t>No</t>
        </is>
      </c>
      <c r="AQ808" t="inlineStr">
        <is>
          <t>No</t>
        </is>
      </c>
      <c r="AS808">
        <f>HYPERLINK("https://creighton-primo.hosted.exlibrisgroup.com/primo-explore/search?tab=default_tab&amp;search_scope=EVERYTHING&amp;vid=01CRU&amp;lang=en_US&amp;offset=0&amp;query=any,contains,991004686199702656","Catalog Record")</f>
        <v/>
      </c>
      <c r="AT808">
        <f>HYPERLINK("http://www.worldcat.org/oclc/4593056","WorldCat Record")</f>
        <v/>
      </c>
      <c r="AU808" t="inlineStr">
        <is>
          <t>198897132:eng</t>
        </is>
      </c>
      <c r="AV808" t="inlineStr">
        <is>
          <t>4593056</t>
        </is>
      </c>
      <c r="AW808" t="inlineStr">
        <is>
          <t>991004686199702656</t>
        </is>
      </c>
      <c r="AX808" t="inlineStr">
        <is>
          <t>991004686199702656</t>
        </is>
      </c>
      <c r="AY808" t="inlineStr">
        <is>
          <t>2271055850002656</t>
        </is>
      </c>
      <c r="AZ808" t="inlineStr">
        <is>
          <t>BOOK</t>
        </is>
      </c>
      <c r="BB808" t="inlineStr">
        <is>
          <t>9780226503370</t>
        </is>
      </c>
      <c r="BC808" t="inlineStr">
        <is>
          <t>32285000482884</t>
        </is>
      </c>
      <c r="BD808" t="inlineStr">
        <is>
          <t>893260044</t>
        </is>
      </c>
    </row>
    <row r="809">
      <c r="A809" t="inlineStr">
        <is>
          <t>No</t>
        </is>
      </c>
      <c r="B809" t="inlineStr">
        <is>
          <t>E184.A1 M673</t>
        </is>
      </c>
      <c r="C809" t="inlineStr">
        <is>
          <t>0                      E  0184000A  1                  M  673</t>
        </is>
      </c>
      <c r="D809" t="inlineStr">
        <is>
          <t>America without ethnicity / Gordon D. Morgan.</t>
        </is>
      </c>
      <c r="F809" t="inlineStr">
        <is>
          <t>No</t>
        </is>
      </c>
      <c r="G809" t="inlineStr">
        <is>
          <t>1</t>
        </is>
      </c>
      <c r="H809" t="inlineStr">
        <is>
          <t>No</t>
        </is>
      </c>
      <c r="I809" t="inlineStr">
        <is>
          <t>No</t>
        </is>
      </c>
      <c r="J809" t="inlineStr">
        <is>
          <t>0</t>
        </is>
      </c>
      <c r="K809" t="inlineStr">
        <is>
          <t>Morgan, Gordon D.</t>
        </is>
      </c>
      <c r="L809" t="inlineStr">
        <is>
          <t>Port Washington, N.Y. : Kennikat Press, 1981.</t>
        </is>
      </c>
      <c r="M809" t="inlineStr">
        <is>
          <t>1981</t>
        </is>
      </c>
      <c r="O809" t="inlineStr">
        <is>
          <t>eng</t>
        </is>
      </c>
      <c r="P809" t="inlineStr">
        <is>
          <t>nyu</t>
        </is>
      </c>
      <c r="Q809" t="inlineStr">
        <is>
          <t>Interdisciplinary urban series</t>
        </is>
      </c>
      <c r="R809" t="inlineStr">
        <is>
          <t xml:space="preserve">E  </t>
        </is>
      </c>
      <c r="S809" t="n">
        <v>3</v>
      </c>
      <c r="T809" t="n">
        <v>3</v>
      </c>
      <c r="U809" t="inlineStr">
        <is>
          <t>1996-02-02</t>
        </is>
      </c>
      <c r="V809" t="inlineStr">
        <is>
          <t>1996-02-02</t>
        </is>
      </c>
      <c r="W809" t="inlineStr">
        <is>
          <t>1991-02-13</t>
        </is>
      </c>
      <c r="X809" t="inlineStr">
        <is>
          <t>1991-02-13</t>
        </is>
      </c>
      <c r="Y809" t="n">
        <v>400</v>
      </c>
      <c r="Z809" t="n">
        <v>371</v>
      </c>
      <c r="AA809" t="n">
        <v>377</v>
      </c>
      <c r="AB809" t="n">
        <v>3</v>
      </c>
      <c r="AC809" t="n">
        <v>3</v>
      </c>
      <c r="AD809" t="n">
        <v>18</v>
      </c>
      <c r="AE809" t="n">
        <v>18</v>
      </c>
      <c r="AF809" t="n">
        <v>7</v>
      </c>
      <c r="AG809" t="n">
        <v>7</v>
      </c>
      <c r="AH809" t="n">
        <v>2</v>
      </c>
      <c r="AI809" t="n">
        <v>2</v>
      </c>
      <c r="AJ809" t="n">
        <v>10</v>
      </c>
      <c r="AK809" t="n">
        <v>10</v>
      </c>
      <c r="AL809" t="n">
        <v>2</v>
      </c>
      <c r="AM809" t="n">
        <v>2</v>
      </c>
      <c r="AN809" t="n">
        <v>0</v>
      </c>
      <c r="AO809" t="n">
        <v>0</v>
      </c>
      <c r="AP809" t="inlineStr">
        <is>
          <t>No</t>
        </is>
      </c>
      <c r="AQ809" t="inlineStr">
        <is>
          <t>Yes</t>
        </is>
      </c>
      <c r="AR809">
        <f>HYPERLINK("http://catalog.hathitrust.org/Record/000265479","HathiTrust Record")</f>
        <v/>
      </c>
      <c r="AS809">
        <f>HYPERLINK("https://creighton-primo.hosted.exlibrisgroup.com/primo-explore/search?tab=default_tab&amp;search_scope=EVERYTHING&amp;vid=01CRU&amp;lang=en_US&amp;offset=0&amp;query=any,contains,991005177079702656","Catalog Record")</f>
        <v/>
      </c>
      <c r="AT809">
        <f>HYPERLINK("http://www.worldcat.org/oclc/7924478","WorldCat Record")</f>
        <v/>
      </c>
      <c r="AU809" t="inlineStr">
        <is>
          <t>459201:eng</t>
        </is>
      </c>
      <c r="AV809" t="inlineStr">
        <is>
          <t>7924478</t>
        </is>
      </c>
      <c r="AW809" t="inlineStr">
        <is>
          <t>991005177079702656</t>
        </is>
      </c>
      <c r="AX809" t="inlineStr">
        <is>
          <t>991005177079702656</t>
        </is>
      </c>
      <c r="AY809" t="inlineStr">
        <is>
          <t>2270798040002656</t>
        </is>
      </c>
      <c r="AZ809" t="inlineStr">
        <is>
          <t>BOOK</t>
        </is>
      </c>
      <c r="BB809" t="inlineStr">
        <is>
          <t>9780804692939</t>
        </is>
      </c>
      <c r="BC809" t="inlineStr">
        <is>
          <t>32285000482892</t>
        </is>
      </c>
      <c r="BD809" t="inlineStr">
        <is>
          <t>893344779</t>
        </is>
      </c>
    </row>
    <row r="810">
      <c r="A810" t="inlineStr">
        <is>
          <t>No</t>
        </is>
      </c>
      <c r="B810" t="inlineStr">
        <is>
          <t>E184.A1 M8 1997</t>
        </is>
      </c>
      <c r="C810" t="inlineStr">
        <is>
          <t>0                      E  0184000A  1                  M  8           1997</t>
        </is>
      </c>
      <c r="D810" t="inlineStr">
        <is>
          <t>MultiAmerica : essays on cultural wars and cultural peace / edited by Ishmael Reed.</t>
        </is>
      </c>
      <c r="F810" t="inlineStr">
        <is>
          <t>No</t>
        </is>
      </c>
      <c r="G810" t="inlineStr">
        <is>
          <t>1</t>
        </is>
      </c>
      <c r="H810" t="inlineStr">
        <is>
          <t>No</t>
        </is>
      </c>
      <c r="I810" t="inlineStr">
        <is>
          <t>No</t>
        </is>
      </c>
      <c r="J810" t="inlineStr">
        <is>
          <t>0</t>
        </is>
      </c>
      <c r="L810" t="inlineStr">
        <is>
          <t>New York : Viking, 1997.</t>
        </is>
      </c>
      <c r="M810" t="inlineStr">
        <is>
          <t>1997</t>
        </is>
      </c>
      <c r="O810" t="inlineStr">
        <is>
          <t>eng</t>
        </is>
      </c>
      <c r="P810" t="inlineStr">
        <is>
          <t>nyu</t>
        </is>
      </c>
      <c r="R810" t="inlineStr">
        <is>
          <t xml:space="preserve">E  </t>
        </is>
      </c>
      <c r="S810" t="n">
        <v>4</v>
      </c>
      <c r="T810" t="n">
        <v>4</v>
      </c>
      <c r="U810" t="inlineStr">
        <is>
          <t>1998-04-05</t>
        </is>
      </c>
      <c r="V810" t="inlineStr">
        <is>
          <t>1998-04-05</t>
        </is>
      </c>
      <c r="W810" t="inlineStr">
        <is>
          <t>1997-05-09</t>
        </is>
      </c>
      <c r="X810" t="inlineStr">
        <is>
          <t>1997-05-09</t>
        </is>
      </c>
      <c r="Y810" t="n">
        <v>707</v>
      </c>
      <c r="Z810" t="n">
        <v>660</v>
      </c>
      <c r="AA810" t="n">
        <v>779</v>
      </c>
      <c r="AB810" t="n">
        <v>2</v>
      </c>
      <c r="AC810" t="n">
        <v>2</v>
      </c>
      <c r="AD810" t="n">
        <v>28</v>
      </c>
      <c r="AE810" t="n">
        <v>33</v>
      </c>
      <c r="AF810" t="n">
        <v>16</v>
      </c>
      <c r="AG810" t="n">
        <v>19</v>
      </c>
      <c r="AH810" t="n">
        <v>6</v>
      </c>
      <c r="AI810" t="n">
        <v>7</v>
      </c>
      <c r="AJ810" t="n">
        <v>14</v>
      </c>
      <c r="AK810" t="n">
        <v>16</v>
      </c>
      <c r="AL810" t="n">
        <v>1</v>
      </c>
      <c r="AM810" t="n">
        <v>1</v>
      </c>
      <c r="AN810" t="n">
        <v>0</v>
      </c>
      <c r="AO810" t="n">
        <v>0</v>
      </c>
      <c r="AP810" t="inlineStr">
        <is>
          <t>No</t>
        </is>
      </c>
      <c r="AQ810" t="inlineStr">
        <is>
          <t>Yes</t>
        </is>
      </c>
      <c r="AR810">
        <f>HYPERLINK("http://catalog.hathitrust.org/Record/003148277","HathiTrust Record")</f>
        <v/>
      </c>
      <c r="AS810">
        <f>HYPERLINK("https://creighton-primo.hosted.exlibrisgroup.com/primo-explore/search?tab=default_tab&amp;search_scope=EVERYTHING&amp;vid=01CRU&amp;lang=en_US&amp;offset=0&amp;query=any,contains,991002663779702656","Catalog Record")</f>
        <v/>
      </c>
      <c r="AT810">
        <f>HYPERLINK("http://www.worldcat.org/oclc/34832635","WorldCat Record")</f>
        <v/>
      </c>
      <c r="AU810" t="inlineStr">
        <is>
          <t>796513088:eng</t>
        </is>
      </c>
      <c r="AV810" t="inlineStr">
        <is>
          <t>34832635</t>
        </is>
      </c>
      <c r="AW810" t="inlineStr">
        <is>
          <t>991002663779702656</t>
        </is>
      </c>
      <c r="AX810" t="inlineStr">
        <is>
          <t>991002663779702656</t>
        </is>
      </c>
      <c r="AY810" t="inlineStr">
        <is>
          <t>2260797020002656</t>
        </is>
      </c>
      <c r="AZ810" t="inlineStr">
        <is>
          <t>BOOK</t>
        </is>
      </c>
      <c r="BB810" t="inlineStr">
        <is>
          <t>9780670867530</t>
        </is>
      </c>
      <c r="BC810" t="inlineStr">
        <is>
          <t>32285002606787</t>
        </is>
      </c>
      <c r="BD810" t="inlineStr">
        <is>
          <t>893251491</t>
        </is>
      </c>
    </row>
    <row r="811">
      <c r="A811" t="inlineStr">
        <is>
          <t>No</t>
        </is>
      </c>
      <c r="B811" t="inlineStr">
        <is>
          <t>E184.A1 P845 2004</t>
        </is>
      </c>
      <c r="C811" t="inlineStr">
        <is>
          <t>0                      E  0184000A  1                  P  845         2004</t>
        </is>
      </c>
      <c r="D811" t="inlineStr">
        <is>
          <t>Sharing the dream : white males in multicultural America / Dominic J. Pulera.</t>
        </is>
      </c>
      <c r="F811" t="inlineStr">
        <is>
          <t>No</t>
        </is>
      </c>
      <c r="G811" t="inlineStr">
        <is>
          <t>1</t>
        </is>
      </c>
      <c r="H811" t="inlineStr">
        <is>
          <t>No</t>
        </is>
      </c>
      <c r="I811" t="inlineStr">
        <is>
          <t>No</t>
        </is>
      </c>
      <c r="J811" t="inlineStr">
        <is>
          <t>0</t>
        </is>
      </c>
      <c r="K811" t="inlineStr">
        <is>
          <t>Pulera, Dominic.</t>
        </is>
      </c>
      <c r="L811" t="inlineStr">
        <is>
          <t>New York : Continuum, c2004.</t>
        </is>
      </c>
      <c r="M811" t="inlineStr">
        <is>
          <t>2004</t>
        </is>
      </c>
      <c r="O811" t="inlineStr">
        <is>
          <t>eng</t>
        </is>
      </c>
      <c r="P811" t="inlineStr">
        <is>
          <t>nyu</t>
        </is>
      </c>
      <c r="R811" t="inlineStr">
        <is>
          <t xml:space="preserve">E  </t>
        </is>
      </c>
      <c r="S811" t="n">
        <v>1</v>
      </c>
      <c r="T811" t="n">
        <v>1</v>
      </c>
      <c r="U811" t="inlineStr">
        <is>
          <t>2005-12-05</t>
        </is>
      </c>
      <c r="V811" t="inlineStr">
        <is>
          <t>2005-12-05</t>
        </is>
      </c>
      <c r="W811" t="inlineStr">
        <is>
          <t>2005-12-05</t>
        </is>
      </c>
      <c r="X811" t="inlineStr">
        <is>
          <t>2005-12-05</t>
        </is>
      </c>
      <c r="Y811" t="n">
        <v>817</v>
      </c>
      <c r="Z811" t="n">
        <v>770</v>
      </c>
      <c r="AA811" t="n">
        <v>798</v>
      </c>
      <c r="AB811" t="n">
        <v>7</v>
      </c>
      <c r="AC811" t="n">
        <v>7</v>
      </c>
      <c r="AD811" t="n">
        <v>34</v>
      </c>
      <c r="AE811" t="n">
        <v>35</v>
      </c>
      <c r="AF811" t="n">
        <v>13</v>
      </c>
      <c r="AG811" t="n">
        <v>14</v>
      </c>
      <c r="AH811" t="n">
        <v>6</v>
      </c>
      <c r="AI811" t="n">
        <v>7</v>
      </c>
      <c r="AJ811" t="n">
        <v>16</v>
      </c>
      <c r="AK811" t="n">
        <v>16</v>
      </c>
      <c r="AL811" t="n">
        <v>6</v>
      </c>
      <c r="AM811" t="n">
        <v>6</v>
      </c>
      <c r="AN811" t="n">
        <v>0</v>
      </c>
      <c r="AO811" t="n">
        <v>0</v>
      </c>
      <c r="AP811" t="inlineStr">
        <is>
          <t>No</t>
        </is>
      </c>
      <c r="AQ811" t="inlineStr">
        <is>
          <t>Yes</t>
        </is>
      </c>
      <c r="AR811">
        <f>HYPERLINK("http://catalog.hathitrust.org/Record/004925582","HathiTrust Record")</f>
        <v/>
      </c>
      <c r="AS811">
        <f>HYPERLINK("https://creighton-primo.hosted.exlibrisgroup.com/primo-explore/search?tab=default_tab&amp;search_scope=EVERYTHING&amp;vid=01CRU&amp;lang=en_US&amp;offset=0&amp;query=any,contains,991004633899702656","Catalog Record")</f>
        <v/>
      </c>
      <c r="AT811">
        <f>HYPERLINK("http://www.worldcat.org/oclc/56386997","WorldCat Record")</f>
        <v/>
      </c>
      <c r="AU811" t="inlineStr">
        <is>
          <t>1024249:eng</t>
        </is>
      </c>
      <c r="AV811" t="inlineStr">
        <is>
          <t>56386997</t>
        </is>
      </c>
      <c r="AW811" t="inlineStr">
        <is>
          <t>991004633899702656</t>
        </is>
      </c>
      <c r="AX811" t="inlineStr">
        <is>
          <t>991004633899702656</t>
        </is>
      </c>
      <c r="AY811" t="inlineStr">
        <is>
          <t>2266293590002656</t>
        </is>
      </c>
      <c r="AZ811" t="inlineStr">
        <is>
          <t>BOOK</t>
        </is>
      </c>
      <c r="BB811" t="inlineStr">
        <is>
          <t>9780826416438</t>
        </is>
      </c>
      <c r="BC811" t="inlineStr">
        <is>
          <t>32285005150924</t>
        </is>
      </c>
      <c r="BD811" t="inlineStr">
        <is>
          <t>893436508</t>
        </is>
      </c>
    </row>
    <row r="812">
      <c r="A812" t="inlineStr">
        <is>
          <t>No</t>
        </is>
      </c>
      <c r="B812" t="inlineStr">
        <is>
          <t>E184.A1 S34 1992</t>
        </is>
      </c>
      <c r="C812" t="inlineStr">
        <is>
          <t>0                      E  0184000A  1                  S  34          1992</t>
        </is>
      </c>
      <c r="D812" t="inlineStr">
        <is>
          <t>The disuniting of America / Arthur M. Schlesinger, Jr.</t>
        </is>
      </c>
      <c r="F812" t="inlineStr">
        <is>
          <t>No</t>
        </is>
      </c>
      <c r="G812" t="inlineStr">
        <is>
          <t>1</t>
        </is>
      </c>
      <c r="H812" t="inlineStr">
        <is>
          <t>No</t>
        </is>
      </c>
      <c r="I812" t="inlineStr">
        <is>
          <t>Yes</t>
        </is>
      </c>
      <c r="J812" t="inlineStr">
        <is>
          <t>0</t>
        </is>
      </c>
      <c r="K812" t="inlineStr">
        <is>
          <t>Schlesinger, Arthur M., Jr. (Arthur Meier), 1917-2007.</t>
        </is>
      </c>
      <c r="L812" t="inlineStr">
        <is>
          <t>New York : Norton, c1992.</t>
        </is>
      </c>
      <c r="M812" t="inlineStr">
        <is>
          <t>1992</t>
        </is>
      </c>
      <c r="O812" t="inlineStr">
        <is>
          <t>eng</t>
        </is>
      </c>
      <c r="P812" t="inlineStr">
        <is>
          <t>nyu</t>
        </is>
      </c>
      <c r="R812" t="inlineStr">
        <is>
          <t xml:space="preserve">E  </t>
        </is>
      </c>
      <c r="S812" t="n">
        <v>17</v>
      </c>
      <c r="T812" t="n">
        <v>17</v>
      </c>
      <c r="U812" t="inlineStr">
        <is>
          <t>2002-11-06</t>
        </is>
      </c>
      <c r="V812" t="inlineStr">
        <is>
          <t>2002-11-06</t>
        </is>
      </c>
      <c r="W812" t="inlineStr">
        <is>
          <t>1992-05-28</t>
        </is>
      </c>
      <c r="X812" t="inlineStr">
        <is>
          <t>1992-05-28</t>
        </is>
      </c>
      <c r="Y812" t="n">
        <v>1994</v>
      </c>
      <c r="Z812" t="n">
        <v>1793</v>
      </c>
      <c r="AA812" t="n">
        <v>2696</v>
      </c>
      <c r="AB812" t="n">
        <v>13</v>
      </c>
      <c r="AC812" t="n">
        <v>20</v>
      </c>
      <c r="AD812" t="n">
        <v>37</v>
      </c>
      <c r="AE812" t="n">
        <v>64</v>
      </c>
      <c r="AF812" t="n">
        <v>15</v>
      </c>
      <c r="AG812" t="n">
        <v>28</v>
      </c>
      <c r="AH812" t="n">
        <v>7</v>
      </c>
      <c r="AI812" t="n">
        <v>10</v>
      </c>
      <c r="AJ812" t="n">
        <v>11</v>
      </c>
      <c r="AK812" t="n">
        <v>23</v>
      </c>
      <c r="AL812" t="n">
        <v>6</v>
      </c>
      <c r="AM812" t="n">
        <v>11</v>
      </c>
      <c r="AN812" t="n">
        <v>3</v>
      </c>
      <c r="AO812" t="n">
        <v>4</v>
      </c>
      <c r="AP812" t="inlineStr">
        <is>
          <t>No</t>
        </is>
      </c>
      <c r="AQ812" t="inlineStr">
        <is>
          <t>No</t>
        </is>
      </c>
      <c r="AS812">
        <f>HYPERLINK("https://creighton-primo.hosted.exlibrisgroup.com/primo-explore/search?tab=default_tab&amp;search_scope=EVERYTHING&amp;vid=01CRU&amp;lang=en_US&amp;offset=0&amp;query=any,contains,991001958429702656","Catalog Record")</f>
        <v/>
      </c>
      <c r="AT812">
        <f>HYPERLINK("http://www.worldcat.org/oclc/24796236","WorldCat Record")</f>
        <v/>
      </c>
      <c r="AU812" t="inlineStr">
        <is>
          <t>69627663:eng</t>
        </is>
      </c>
      <c r="AV812" t="inlineStr">
        <is>
          <t>24796236</t>
        </is>
      </c>
      <c r="AW812" t="inlineStr">
        <is>
          <t>991001958429702656</t>
        </is>
      </c>
      <c r="AX812" t="inlineStr">
        <is>
          <t>991001958429702656</t>
        </is>
      </c>
      <c r="AY812" t="inlineStr">
        <is>
          <t>2263562430002656</t>
        </is>
      </c>
      <c r="AZ812" t="inlineStr">
        <is>
          <t>BOOK</t>
        </is>
      </c>
      <c r="BB812" t="inlineStr">
        <is>
          <t>9780393033809</t>
        </is>
      </c>
      <c r="BC812" t="inlineStr">
        <is>
          <t>32285001119196</t>
        </is>
      </c>
      <c r="BD812" t="inlineStr">
        <is>
          <t>893408519</t>
        </is>
      </c>
    </row>
    <row r="813">
      <c r="A813" t="inlineStr">
        <is>
          <t>No</t>
        </is>
      </c>
      <c r="B813" t="inlineStr">
        <is>
          <t>E184.A1 S565 1999</t>
        </is>
      </c>
      <c r="C813" t="inlineStr">
        <is>
          <t>0                      E  0184000A  1                  S  565         1999</t>
        </is>
      </c>
      <c r="D813" t="inlineStr">
        <is>
          <t>Marketing the American creed abroad : diasporas in the U.S. and their homelands / Yossi Shain.</t>
        </is>
      </c>
      <c r="F813" t="inlineStr">
        <is>
          <t>No</t>
        </is>
      </c>
      <c r="G813" t="inlineStr">
        <is>
          <t>1</t>
        </is>
      </c>
      <c r="H813" t="inlineStr">
        <is>
          <t>No</t>
        </is>
      </c>
      <c r="I813" t="inlineStr">
        <is>
          <t>No</t>
        </is>
      </c>
      <c r="J813" t="inlineStr">
        <is>
          <t>0</t>
        </is>
      </c>
      <c r="K813" t="inlineStr">
        <is>
          <t>Shain, Yossi, 1956-</t>
        </is>
      </c>
      <c r="L813" t="inlineStr">
        <is>
          <t>Cambridge, UK ; New York : Cambridge University Press, 1999.</t>
        </is>
      </c>
      <c r="M813" t="inlineStr">
        <is>
          <t>1999</t>
        </is>
      </c>
      <c r="O813" t="inlineStr">
        <is>
          <t>eng</t>
        </is>
      </c>
      <c r="P813" t="inlineStr">
        <is>
          <t>nyu</t>
        </is>
      </c>
      <c r="R813" t="inlineStr">
        <is>
          <t xml:space="preserve">E  </t>
        </is>
      </c>
      <c r="S813" t="n">
        <v>1</v>
      </c>
      <c r="T813" t="n">
        <v>1</v>
      </c>
      <c r="U813" t="inlineStr">
        <is>
          <t>2000-09-26</t>
        </is>
      </c>
      <c r="V813" t="inlineStr">
        <is>
          <t>2000-09-26</t>
        </is>
      </c>
      <c r="W813" t="inlineStr">
        <is>
          <t>2000-09-26</t>
        </is>
      </c>
      <c r="X813" t="inlineStr">
        <is>
          <t>2000-09-26</t>
        </is>
      </c>
      <c r="Y813" t="n">
        <v>514</v>
      </c>
      <c r="Z813" t="n">
        <v>448</v>
      </c>
      <c r="AA813" t="n">
        <v>448</v>
      </c>
      <c r="AB813" t="n">
        <v>5</v>
      </c>
      <c r="AC813" t="n">
        <v>5</v>
      </c>
      <c r="AD813" t="n">
        <v>22</v>
      </c>
      <c r="AE813" t="n">
        <v>22</v>
      </c>
      <c r="AF813" t="n">
        <v>8</v>
      </c>
      <c r="AG813" t="n">
        <v>8</v>
      </c>
      <c r="AH813" t="n">
        <v>6</v>
      </c>
      <c r="AI813" t="n">
        <v>6</v>
      </c>
      <c r="AJ813" t="n">
        <v>11</v>
      </c>
      <c r="AK813" t="n">
        <v>11</v>
      </c>
      <c r="AL813" t="n">
        <v>4</v>
      </c>
      <c r="AM813" t="n">
        <v>4</v>
      </c>
      <c r="AN813" t="n">
        <v>0</v>
      </c>
      <c r="AO813" t="n">
        <v>0</v>
      </c>
      <c r="AP813" t="inlineStr">
        <is>
          <t>No</t>
        </is>
      </c>
      <c r="AQ813" t="inlineStr">
        <is>
          <t>No</t>
        </is>
      </c>
      <c r="AS813">
        <f>HYPERLINK("https://creighton-primo.hosted.exlibrisgroup.com/primo-explore/search?tab=default_tab&amp;search_scope=EVERYTHING&amp;vid=01CRU&amp;lang=en_US&amp;offset=0&amp;query=any,contains,991003260969702656","Catalog Record")</f>
        <v/>
      </c>
      <c r="AT813">
        <f>HYPERLINK("http://www.worldcat.org/oclc/39614991","WorldCat Record")</f>
        <v/>
      </c>
      <c r="AU813" t="inlineStr">
        <is>
          <t>365831574:eng</t>
        </is>
      </c>
      <c r="AV813" t="inlineStr">
        <is>
          <t>39614991</t>
        </is>
      </c>
      <c r="AW813" t="inlineStr">
        <is>
          <t>991003260969702656</t>
        </is>
      </c>
      <c r="AX813" t="inlineStr">
        <is>
          <t>991003260969702656</t>
        </is>
      </c>
      <c r="AY813" t="inlineStr">
        <is>
          <t>2256704380002656</t>
        </is>
      </c>
      <c r="AZ813" t="inlineStr">
        <is>
          <t>BOOK</t>
        </is>
      </c>
      <c r="BB813" t="inlineStr">
        <is>
          <t>9780521642255</t>
        </is>
      </c>
      <c r="BC813" t="inlineStr">
        <is>
          <t>32285003764700</t>
        </is>
      </c>
      <c r="BD813" t="inlineStr">
        <is>
          <t>893445587</t>
        </is>
      </c>
    </row>
    <row r="814">
      <c r="A814" t="inlineStr">
        <is>
          <t>No</t>
        </is>
      </c>
      <c r="B814" t="inlineStr">
        <is>
          <t>E184.A1 S794 1981</t>
        </is>
      </c>
      <c r="C814" t="inlineStr">
        <is>
          <t>0                      E  0184000A  1                  S  794         1981</t>
        </is>
      </c>
      <c r="D814" t="inlineStr">
        <is>
          <t>The ethnic myth : race, ethnicity, and class in America / Stephen Steinberg.</t>
        </is>
      </c>
      <c r="F814" t="inlineStr">
        <is>
          <t>No</t>
        </is>
      </c>
      <c r="G814" t="inlineStr">
        <is>
          <t>1</t>
        </is>
      </c>
      <c r="H814" t="inlineStr">
        <is>
          <t>No</t>
        </is>
      </c>
      <c r="I814" t="inlineStr">
        <is>
          <t>Yes</t>
        </is>
      </c>
      <c r="J814" t="inlineStr">
        <is>
          <t>0</t>
        </is>
      </c>
      <c r="K814" t="inlineStr">
        <is>
          <t>Steinberg, Stephen.</t>
        </is>
      </c>
      <c r="L814" t="inlineStr">
        <is>
          <t>New York : Atheneum, 1981.</t>
        </is>
      </c>
      <c r="M814" t="inlineStr">
        <is>
          <t>1981</t>
        </is>
      </c>
      <c r="N814" t="inlineStr">
        <is>
          <t>1st ed.</t>
        </is>
      </c>
      <c r="O814" t="inlineStr">
        <is>
          <t>eng</t>
        </is>
      </c>
      <c r="P814" t="inlineStr">
        <is>
          <t>nyu</t>
        </is>
      </c>
      <c r="R814" t="inlineStr">
        <is>
          <t xml:space="preserve">E  </t>
        </is>
      </c>
      <c r="S814" t="n">
        <v>3</v>
      </c>
      <c r="T814" t="n">
        <v>3</v>
      </c>
      <c r="U814" t="inlineStr">
        <is>
          <t>1999-04-22</t>
        </is>
      </c>
      <c r="V814" t="inlineStr">
        <is>
          <t>1999-04-22</t>
        </is>
      </c>
      <c r="W814" t="inlineStr">
        <is>
          <t>1991-02-13</t>
        </is>
      </c>
      <c r="X814" t="inlineStr">
        <is>
          <t>1991-02-13</t>
        </is>
      </c>
      <c r="Y814" t="n">
        <v>926</v>
      </c>
      <c r="Z814" t="n">
        <v>813</v>
      </c>
      <c r="AA814" t="n">
        <v>1265</v>
      </c>
      <c r="AB814" t="n">
        <v>6</v>
      </c>
      <c r="AC814" t="n">
        <v>8</v>
      </c>
      <c r="AD814" t="n">
        <v>32</v>
      </c>
      <c r="AE814" t="n">
        <v>48</v>
      </c>
      <c r="AF814" t="n">
        <v>13</v>
      </c>
      <c r="AG814" t="n">
        <v>22</v>
      </c>
      <c r="AH814" t="n">
        <v>6</v>
      </c>
      <c r="AI814" t="n">
        <v>9</v>
      </c>
      <c r="AJ814" t="n">
        <v>14</v>
      </c>
      <c r="AK814" t="n">
        <v>22</v>
      </c>
      <c r="AL814" t="n">
        <v>5</v>
      </c>
      <c r="AM814" t="n">
        <v>7</v>
      </c>
      <c r="AN814" t="n">
        <v>0</v>
      </c>
      <c r="AO814" t="n">
        <v>0</v>
      </c>
      <c r="AP814" t="inlineStr">
        <is>
          <t>No</t>
        </is>
      </c>
      <c r="AQ814" t="inlineStr">
        <is>
          <t>Yes</t>
        </is>
      </c>
      <c r="AR814">
        <f>HYPERLINK("http://catalog.hathitrust.org/Record/000222873","HathiTrust Record")</f>
        <v/>
      </c>
      <c r="AS814">
        <f>HYPERLINK("https://creighton-primo.hosted.exlibrisgroup.com/primo-explore/search?tab=default_tab&amp;search_scope=EVERYTHING&amp;vid=01CRU&amp;lang=en_US&amp;offset=0&amp;query=any,contains,991005061189702656","Catalog Record")</f>
        <v/>
      </c>
      <c r="AT814">
        <f>HYPERLINK("http://www.worldcat.org/oclc/6918467","WorldCat Record")</f>
        <v/>
      </c>
      <c r="AU814" t="inlineStr">
        <is>
          <t>437721:eng</t>
        </is>
      </c>
      <c r="AV814" t="inlineStr">
        <is>
          <t>6918467</t>
        </is>
      </c>
      <c r="AW814" t="inlineStr">
        <is>
          <t>991005061189702656</t>
        </is>
      </c>
      <c r="AX814" t="inlineStr">
        <is>
          <t>991005061189702656</t>
        </is>
      </c>
      <c r="AY814" t="inlineStr">
        <is>
          <t>2265404900002656</t>
        </is>
      </c>
      <c r="AZ814" t="inlineStr">
        <is>
          <t>BOOK</t>
        </is>
      </c>
      <c r="BB814" t="inlineStr">
        <is>
          <t>9780689111518</t>
        </is>
      </c>
      <c r="BC814" t="inlineStr">
        <is>
          <t>32285000483007</t>
        </is>
      </c>
      <c r="BD814" t="inlineStr">
        <is>
          <t>893688531</t>
        </is>
      </c>
    </row>
    <row r="815">
      <c r="A815" t="inlineStr">
        <is>
          <t>No</t>
        </is>
      </c>
      <c r="B815" t="inlineStr">
        <is>
          <t>E184.A1 S794 1989</t>
        </is>
      </c>
      <c r="C815" t="inlineStr">
        <is>
          <t>0                      E  0184000A  1                  S  794         1989</t>
        </is>
      </c>
      <c r="D815" t="inlineStr">
        <is>
          <t>The ethnic myth : race, ethnicity, and class in America / Stephen Steinberg ; with a new epilogue by the author.</t>
        </is>
      </c>
      <c r="F815" t="inlineStr">
        <is>
          <t>No</t>
        </is>
      </c>
      <c r="G815" t="inlineStr">
        <is>
          <t>1</t>
        </is>
      </c>
      <c r="H815" t="inlineStr">
        <is>
          <t>No</t>
        </is>
      </c>
      <c r="I815" t="inlineStr">
        <is>
          <t>Yes</t>
        </is>
      </c>
      <c r="J815" t="inlineStr">
        <is>
          <t>0</t>
        </is>
      </c>
      <c r="K815" t="inlineStr">
        <is>
          <t>Steinberg, Stephen.</t>
        </is>
      </c>
      <c r="L815" t="inlineStr">
        <is>
          <t>Boston, Mass. : Beacon Press, 1989.</t>
        </is>
      </c>
      <c r="M815" t="inlineStr">
        <is>
          <t>1989</t>
        </is>
      </c>
      <c r="N815" t="inlineStr">
        <is>
          <t>Updated and expanded ed.</t>
        </is>
      </c>
      <c r="O815" t="inlineStr">
        <is>
          <t>eng</t>
        </is>
      </c>
      <c r="P815" t="inlineStr">
        <is>
          <t>mau</t>
        </is>
      </c>
      <c r="R815" t="inlineStr">
        <is>
          <t xml:space="preserve">E  </t>
        </is>
      </c>
      <c r="S815" t="n">
        <v>4</v>
      </c>
      <c r="T815" t="n">
        <v>4</v>
      </c>
      <c r="U815" t="inlineStr">
        <is>
          <t>1995-11-11</t>
        </is>
      </c>
      <c r="V815" t="inlineStr">
        <is>
          <t>1995-11-11</t>
        </is>
      </c>
      <c r="W815" t="inlineStr">
        <is>
          <t>1990-06-28</t>
        </is>
      </c>
      <c r="X815" t="inlineStr">
        <is>
          <t>1990-06-28</t>
        </is>
      </c>
      <c r="Y815" t="n">
        <v>454</v>
      </c>
      <c r="Z815" t="n">
        <v>398</v>
      </c>
      <c r="AA815" t="n">
        <v>1265</v>
      </c>
      <c r="AB815" t="n">
        <v>4</v>
      </c>
      <c r="AC815" t="n">
        <v>8</v>
      </c>
      <c r="AD815" t="n">
        <v>19</v>
      </c>
      <c r="AE815" t="n">
        <v>48</v>
      </c>
      <c r="AF815" t="n">
        <v>8</v>
      </c>
      <c r="AG815" t="n">
        <v>22</v>
      </c>
      <c r="AH815" t="n">
        <v>2</v>
      </c>
      <c r="AI815" t="n">
        <v>9</v>
      </c>
      <c r="AJ815" t="n">
        <v>12</v>
      </c>
      <c r="AK815" t="n">
        <v>22</v>
      </c>
      <c r="AL815" t="n">
        <v>3</v>
      </c>
      <c r="AM815" t="n">
        <v>7</v>
      </c>
      <c r="AN815" t="n">
        <v>0</v>
      </c>
      <c r="AO815" t="n">
        <v>0</v>
      </c>
      <c r="AP815" t="inlineStr">
        <is>
          <t>No</t>
        </is>
      </c>
      <c r="AQ815" t="inlineStr">
        <is>
          <t>No</t>
        </is>
      </c>
      <c r="AS815">
        <f>HYPERLINK("https://creighton-primo.hosted.exlibrisgroup.com/primo-explore/search?tab=default_tab&amp;search_scope=EVERYTHING&amp;vid=01CRU&amp;lang=en_US&amp;offset=0&amp;query=any,contains,991001488109702656","Catalog Record")</f>
        <v/>
      </c>
      <c r="AT815">
        <f>HYPERLINK("http://www.worldcat.org/oclc/19671973","WorldCat Record")</f>
        <v/>
      </c>
      <c r="AU815" t="inlineStr">
        <is>
          <t>437721:eng</t>
        </is>
      </c>
      <c r="AV815" t="inlineStr">
        <is>
          <t>19671973</t>
        </is>
      </c>
      <c r="AW815" t="inlineStr">
        <is>
          <t>991001488109702656</t>
        </is>
      </c>
      <c r="AX815" t="inlineStr">
        <is>
          <t>991001488109702656</t>
        </is>
      </c>
      <c r="AY815" t="inlineStr">
        <is>
          <t>2265012830002656</t>
        </is>
      </c>
      <c r="AZ815" t="inlineStr">
        <is>
          <t>BOOK</t>
        </is>
      </c>
      <c r="BB815" t="inlineStr">
        <is>
          <t>9780807041512</t>
        </is>
      </c>
      <c r="BC815" t="inlineStr">
        <is>
          <t>32285000206200</t>
        </is>
      </c>
      <c r="BD815" t="inlineStr">
        <is>
          <t>893516225</t>
        </is>
      </c>
    </row>
    <row r="816">
      <c r="A816" t="inlineStr">
        <is>
          <t>No</t>
        </is>
      </c>
      <c r="B816" t="inlineStr">
        <is>
          <t>E184.A1 T6 1992</t>
        </is>
      </c>
      <c r="C816" t="inlineStr">
        <is>
          <t>0                      E  0184000A  1                  T  6           1992</t>
        </is>
      </c>
      <c r="D816" t="inlineStr">
        <is>
          <t>To build in a new land : ethnic landscapes in North America / edited by Allen G. Noble.</t>
        </is>
      </c>
      <c r="F816" t="inlineStr">
        <is>
          <t>No</t>
        </is>
      </c>
      <c r="G816" t="inlineStr">
        <is>
          <t>1</t>
        </is>
      </c>
      <c r="H816" t="inlineStr">
        <is>
          <t>No</t>
        </is>
      </c>
      <c r="I816" t="inlineStr">
        <is>
          <t>No</t>
        </is>
      </c>
      <c r="J816" t="inlineStr">
        <is>
          <t>0</t>
        </is>
      </c>
      <c r="L816" t="inlineStr">
        <is>
          <t>Baltimore : Johns Hopkins University Press, c1992.</t>
        </is>
      </c>
      <c r="M816" t="inlineStr">
        <is>
          <t>1992</t>
        </is>
      </c>
      <c r="O816" t="inlineStr">
        <is>
          <t>eng</t>
        </is>
      </c>
      <c r="P816" t="inlineStr">
        <is>
          <t>mdu</t>
        </is>
      </c>
      <c r="Q816" t="inlineStr">
        <is>
          <t>Creating the North American landscape</t>
        </is>
      </c>
      <c r="R816" t="inlineStr">
        <is>
          <t xml:space="preserve">E  </t>
        </is>
      </c>
      <c r="S816" t="n">
        <v>6</v>
      </c>
      <c r="T816" t="n">
        <v>6</v>
      </c>
      <c r="U816" t="inlineStr">
        <is>
          <t>1997-07-15</t>
        </is>
      </c>
      <c r="V816" t="inlineStr">
        <is>
          <t>1997-07-15</t>
        </is>
      </c>
      <c r="W816" t="inlineStr">
        <is>
          <t>1992-11-30</t>
        </is>
      </c>
      <c r="X816" t="inlineStr">
        <is>
          <t>1992-11-30</t>
        </is>
      </c>
      <c r="Y816" t="n">
        <v>576</v>
      </c>
      <c r="Z816" t="n">
        <v>467</v>
      </c>
      <c r="AA816" t="n">
        <v>467</v>
      </c>
      <c r="AB816" t="n">
        <v>5</v>
      </c>
      <c r="AC816" t="n">
        <v>5</v>
      </c>
      <c r="AD816" t="n">
        <v>24</v>
      </c>
      <c r="AE816" t="n">
        <v>24</v>
      </c>
      <c r="AF816" t="n">
        <v>8</v>
      </c>
      <c r="AG816" t="n">
        <v>8</v>
      </c>
      <c r="AH816" t="n">
        <v>7</v>
      </c>
      <c r="AI816" t="n">
        <v>7</v>
      </c>
      <c r="AJ816" t="n">
        <v>12</v>
      </c>
      <c r="AK816" t="n">
        <v>12</v>
      </c>
      <c r="AL816" t="n">
        <v>4</v>
      </c>
      <c r="AM816" t="n">
        <v>4</v>
      </c>
      <c r="AN816" t="n">
        <v>0</v>
      </c>
      <c r="AO816" t="n">
        <v>0</v>
      </c>
      <c r="AP816" t="inlineStr">
        <is>
          <t>No</t>
        </is>
      </c>
      <c r="AQ816" t="inlineStr">
        <is>
          <t>No</t>
        </is>
      </c>
      <c r="AS816">
        <f>HYPERLINK("https://creighton-primo.hosted.exlibrisgroup.com/primo-explore/search?tab=default_tab&amp;search_scope=EVERYTHING&amp;vid=01CRU&amp;lang=en_US&amp;offset=0&amp;query=any,contains,991001894759702656","Catalog Record")</f>
        <v/>
      </c>
      <c r="AT816">
        <f>HYPERLINK("http://www.worldcat.org/oclc/23940528","WorldCat Record")</f>
        <v/>
      </c>
      <c r="AU816" t="inlineStr">
        <is>
          <t>836876448:eng</t>
        </is>
      </c>
      <c r="AV816" t="inlineStr">
        <is>
          <t>23940528</t>
        </is>
      </c>
      <c r="AW816" t="inlineStr">
        <is>
          <t>991001894759702656</t>
        </is>
      </c>
      <c r="AX816" t="inlineStr">
        <is>
          <t>991001894759702656</t>
        </is>
      </c>
      <c r="AY816" t="inlineStr">
        <is>
          <t>2267609590002656</t>
        </is>
      </c>
      <c r="AZ816" t="inlineStr">
        <is>
          <t>BOOK</t>
        </is>
      </c>
      <c r="BB816" t="inlineStr">
        <is>
          <t>9780801841897</t>
        </is>
      </c>
      <c r="BC816" t="inlineStr">
        <is>
          <t>32285001400406</t>
        </is>
      </c>
      <c r="BD816" t="inlineStr">
        <is>
          <t>893497516</t>
        </is>
      </c>
    </row>
    <row r="817">
      <c r="A817" t="inlineStr">
        <is>
          <t>No</t>
        </is>
      </c>
      <c r="B817" t="inlineStr">
        <is>
          <t>E184.A1 U47</t>
        </is>
      </c>
      <c r="C817" t="inlineStr">
        <is>
          <t>0                      E  0184000A  1                  U  47</t>
        </is>
      </c>
      <c r="D817" t="inlineStr">
        <is>
          <t>Uncertain Americans : readings in ethnic history / edited by Leonard Dinnerstein and Frederic Co[p]le Jaher.</t>
        </is>
      </c>
      <c r="F817" t="inlineStr">
        <is>
          <t>No</t>
        </is>
      </c>
      <c r="G817" t="inlineStr">
        <is>
          <t>1</t>
        </is>
      </c>
      <c r="H817" t="inlineStr">
        <is>
          <t>No</t>
        </is>
      </c>
      <c r="I817" t="inlineStr">
        <is>
          <t>No</t>
        </is>
      </c>
      <c r="J817" t="inlineStr">
        <is>
          <t>0</t>
        </is>
      </c>
      <c r="L817" t="inlineStr">
        <is>
          <t>New York : Oxford University Press, 1977.</t>
        </is>
      </c>
      <c r="M817" t="inlineStr">
        <is>
          <t>1977</t>
        </is>
      </c>
      <c r="N817" t="inlineStr">
        <is>
          <t>New and rev. ed.</t>
        </is>
      </c>
      <c r="O817" t="inlineStr">
        <is>
          <t>eng</t>
        </is>
      </c>
      <c r="P817" t="inlineStr">
        <is>
          <t>nyu</t>
        </is>
      </c>
      <c r="R817" t="inlineStr">
        <is>
          <t xml:space="preserve">E  </t>
        </is>
      </c>
      <c r="S817" t="n">
        <v>3</v>
      </c>
      <c r="T817" t="n">
        <v>3</v>
      </c>
      <c r="U817" t="inlineStr">
        <is>
          <t>2003-11-25</t>
        </is>
      </c>
      <c r="V817" t="inlineStr">
        <is>
          <t>2003-11-25</t>
        </is>
      </c>
      <c r="W817" t="inlineStr">
        <is>
          <t>1992-12-16</t>
        </is>
      </c>
      <c r="X817" t="inlineStr">
        <is>
          <t>1992-12-16</t>
        </is>
      </c>
      <c r="Y817" t="n">
        <v>448</v>
      </c>
      <c r="Z817" t="n">
        <v>409</v>
      </c>
      <c r="AA817" t="n">
        <v>416</v>
      </c>
      <c r="AB817" t="n">
        <v>6</v>
      </c>
      <c r="AC817" t="n">
        <v>6</v>
      </c>
      <c r="AD817" t="n">
        <v>28</v>
      </c>
      <c r="AE817" t="n">
        <v>28</v>
      </c>
      <c r="AF817" t="n">
        <v>6</v>
      </c>
      <c r="AG817" t="n">
        <v>6</v>
      </c>
      <c r="AH817" t="n">
        <v>5</v>
      </c>
      <c r="AI817" t="n">
        <v>5</v>
      </c>
      <c r="AJ817" t="n">
        <v>18</v>
      </c>
      <c r="AK817" t="n">
        <v>18</v>
      </c>
      <c r="AL817" t="n">
        <v>5</v>
      </c>
      <c r="AM817" t="n">
        <v>5</v>
      </c>
      <c r="AN817" t="n">
        <v>0</v>
      </c>
      <c r="AO817" t="n">
        <v>0</v>
      </c>
      <c r="AP817" t="inlineStr">
        <is>
          <t>No</t>
        </is>
      </c>
      <c r="AQ817" t="inlineStr">
        <is>
          <t>Yes</t>
        </is>
      </c>
      <c r="AR817">
        <f>HYPERLINK("http://catalog.hathitrust.org/Record/101508132","HathiTrust Record")</f>
        <v/>
      </c>
      <c r="AS817">
        <f>HYPERLINK("https://creighton-primo.hosted.exlibrisgroup.com/primo-explore/search?tab=default_tab&amp;search_scope=EVERYTHING&amp;vid=01CRU&amp;lang=en_US&amp;offset=0&amp;query=any,contains,991004218199702656","Catalog Record")</f>
        <v/>
      </c>
      <c r="AT817">
        <f>HYPERLINK("http://www.worldcat.org/oclc/2704021","WorldCat Record")</f>
        <v/>
      </c>
      <c r="AU817" t="inlineStr">
        <is>
          <t>792624405:eng</t>
        </is>
      </c>
      <c r="AV817" t="inlineStr">
        <is>
          <t>2704021</t>
        </is>
      </c>
      <c r="AW817" t="inlineStr">
        <is>
          <t>991004218199702656</t>
        </is>
      </c>
      <c r="AX817" t="inlineStr">
        <is>
          <t>991004218199702656</t>
        </is>
      </c>
      <c r="AY817" t="inlineStr">
        <is>
          <t>2257113120002656</t>
        </is>
      </c>
      <c r="AZ817" t="inlineStr">
        <is>
          <t>BOOK</t>
        </is>
      </c>
      <c r="BB817" t="inlineStr">
        <is>
          <t>9780195021332</t>
        </is>
      </c>
      <c r="BC817" t="inlineStr">
        <is>
          <t>32285001443083</t>
        </is>
      </c>
      <c r="BD817" t="inlineStr">
        <is>
          <t>893259468</t>
        </is>
      </c>
    </row>
    <row r="818">
      <c r="A818" t="inlineStr">
        <is>
          <t>No</t>
        </is>
      </c>
      <c r="B818" t="inlineStr">
        <is>
          <t>E184.A1 W25</t>
        </is>
      </c>
      <c r="C818" t="inlineStr">
        <is>
          <t>0                      E  0184000A  1                  W  25</t>
        </is>
      </c>
      <c r="D818" t="inlineStr">
        <is>
          <t>The social systems of American ethnic groups / by W. Lloyd Warner and Leo Srole.</t>
        </is>
      </c>
      <c r="F818" t="inlineStr">
        <is>
          <t>No</t>
        </is>
      </c>
      <c r="G818" t="inlineStr">
        <is>
          <t>1</t>
        </is>
      </c>
      <c r="H818" t="inlineStr">
        <is>
          <t>No</t>
        </is>
      </c>
      <c r="I818" t="inlineStr">
        <is>
          <t>No</t>
        </is>
      </c>
      <c r="J818" t="inlineStr">
        <is>
          <t>0</t>
        </is>
      </c>
      <c r="K818" t="inlineStr">
        <is>
          <t>Warner, W. Lloyd (William Lloyd), 1898-1970.</t>
        </is>
      </c>
      <c r="L818" t="inlineStr">
        <is>
          <t>New Haven : Yale University Press ; London : H. Milford, Oxford University Press, 1945.</t>
        </is>
      </c>
      <c r="M818" t="inlineStr">
        <is>
          <t>1945</t>
        </is>
      </c>
      <c r="O818" t="inlineStr">
        <is>
          <t>eng</t>
        </is>
      </c>
      <c r="P818" t="inlineStr">
        <is>
          <t>ctu</t>
        </is>
      </c>
      <c r="Q818" t="inlineStr">
        <is>
          <t>Yankee city series, vol. III</t>
        </is>
      </c>
      <c r="R818" t="inlineStr">
        <is>
          <t xml:space="preserve">E  </t>
        </is>
      </c>
      <c r="S818" t="n">
        <v>2</v>
      </c>
      <c r="T818" t="n">
        <v>2</v>
      </c>
      <c r="U818" t="inlineStr">
        <is>
          <t>1998-03-16</t>
        </is>
      </c>
      <c r="V818" t="inlineStr">
        <is>
          <t>1998-03-16</t>
        </is>
      </c>
      <c r="W818" t="inlineStr">
        <is>
          <t>1992-12-10</t>
        </is>
      </c>
      <c r="X818" t="inlineStr">
        <is>
          <t>1992-12-10</t>
        </is>
      </c>
      <c r="Y818" t="n">
        <v>896</v>
      </c>
      <c r="Z818" t="n">
        <v>787</v>
      </c>
      <c r="AA818" t="n">
        <v>896</v>
      </c>
      <c r="AB818" t="n">
        <v>6</v>
      </c>
      <c r="AC818" t="n">
        <v>6</v>
      </c>
      <c r="AD818" t="n">
        <v>37</v>
      </c>
      <c r="AE818" t="n">
        <v>44</v>
      </c>
      <c r="AF818" t="n">
        <v>17</v>
      </c>
      <c r="AG818" t="n">
        <v>20</v>
      </c>
      <c r="AH818" t="n">
        <v>6</v>
      </c>
      <c r="AI818" t="n">
        <v>8</v>
      </c>
      <c r="AJ818" t="n">
        <v>20</v>
      </c>
      <c r="AK818" t="n">
        <v>23</v>
      </c>
      <c r="AL818" t="n">
        <v>5</v>
      </c>
      <c r="AM818" t="n">
        <v>5</v>
      </c>
      <c r="AN818" t="n">
        <v>0</v>
      </c>
      <c r="AO818" t="n">
        <v>0</v>
      </c>
      <c r="AP818" t="inlineStr">
        <is>
          <t>No</t>
        </is>
      </c>
      <c r="AQ818" t="inlineStr">
        <is>
          <t>Yes</t>
        </is>
      </c>
      <c r="AR818">
        <f>HYPERLINK("http://catalog.hathitrust.org/Record/006068757","HathiTrust Record")</f>
        <v/>
      </c>
      <c r="AS818">
        <f>HYPERLINK("https://creighton-primo.hosted.exlibrisgroup.com/primo-explore/search?tab=default_tab&amp;search_scope=EVERYTHING&amp;vid=01CRU&amp;lang=en_US&amp;offset=0&amp;query=any,contains,991002797249702656","Catalog Record")</f>
        <v/>
      </c>
      <c r="AT818">
        <f>HYPERLINK("http://www.worldcat.org/oclc/445645","WorldCat Record")</f>
        <v/>
      </c>
      <c r="AU818" t="inlineStr">
        <is>
          <t>10624671741:eng</t>
        </is>
      </c>
      <c r="AV818" t="inlineStr">
        <is>
          <t>445645</t>
        </is>
      </c>
      <c r="AW818" t="inlineStr">
        <is>
          <t>991002797249702656</t>
        </is>
      </c>
      <c r="AX818" t="inlineStr">
        <is>
          <t>991002797249702656</t>
        </is>
      </c>
      <c r="AY818" t="inlineStr">
        <is>
          <t>2262971740002656</t>
        </is>
      </c>
      <c r="AZ818" t="inlineStr">
        <is>
          <t>BOOK</t>
        </is>
      </c>
      <c r="BC818" t="inlineStr">
        <is>
          <t>32285001414555</t>
        </is>
      </c>
      <c r="BD818" t="inlineStr">
        <is>
          <t>893251622</t>
        </is>
      </c>
    </row>
    <row r="819">
      <c r="A819" t="inlineStr">
        <is>
          <t>No</t>
        </is>
      </c>
      <c r="B819" t="inlineStr">
        <is>
          <t>E184.A1 W35</t>
        </is>
      </c>
      <c r="C819" t="inlineStr">
        <is>
          <t>0                      E  0184000A  1                  W  35</t>
        </is>
      </c>
      <c r="D819" t="inlineStr">
        <is>
          <t>The American heritage history of the American people, by Bernard A. Weisberger and the editors of American heritage. Editor in charge, Michael Harwood. Pictorial commentary, Kristi Witker.</t>
        </is>
      </c>
      <c r="F819" t="inlineStr">
        <is>
          <t>No</t>
        </is>
      </c>
      <c r="G819" t="inlineStr">
        <is>
          <t>1</t>
        </is>
      </c>
      <c r="H819" t="inlineStr">
        <is>
          <t>No</t>
        </is>
      </c>
      <c r="I819" t="inlineStr">
        <is>
          <t>No</t>
        </is>
      </c>
      <c r="J819" t="inlineStr">
        <is>
          <t>0</t>
        </is>
      </c>
      <c r="K819" t="inlineStr">
        <is>
          <t>Weisberger, Bernard A., 1922-</t>
        </is>
      </c>
      <c r="L819" t="inlineStr">
        <is>
          <t>New York, American Heritage Pub. Co. [1971]</t>
        </is>
      </c>
      <c r="M819" t="inlineStr">
        <is>
          <t>1971</t>
        </is>
      </c>
      <c r="O819" t="inlineStr">
        <is>
          <t>eng</t>
        </is>
      </c>
      <c r="P819" t="inlineStr">
        <is>
          <t>nyu</t>
        </is>
      </c>
      <c r="R819" t="inlineStr">
        <is>
          <t xml:space="preserve">E  </t>
        </is>
      </c>
      <c r="S819" t="n">
        <v>2</v>
      </c>
      <c r="T819" t="n">
        <v>2</v>
      </c>
      <c r="U819" t="inlineStr">
        <is>
          <t>1997-04-10</t>
        </is>
      </c>
      <c r="V819" t="inlineStr">
        <is>
          <t>1997-04-10</t>
        </is>
      </c>
      <c r="W819" t="inlineStr">
        <is>
          <t>1997-04-09</t>
        </is>
      </c>
      <c r="X819" t="inlineStr">
        <is>
          <t>1997-04-09</t>
        </is>
      </c>
      <c r="Y819" t="n">
        <v>1199</v>
      </c>
      <c r="Z819" t="n">
        <v>1165</v>
      </c>
      <c r="AA819" t="n">
        <v>1261</v>
      </c>
      <c r="AB819" t="n">
        <v>8</v>
      </c>
      <c r="AC819" t="n">
        <v>8</v>
      </c>
      <c r="AD819" t="n">
        <v>23</v>
      </c>
      <c r="AE819" t="n">
        <v>27</v>
      </c>
      <c r="AF819" t="n">
        <v>9</v>
      </c>
      <c r="AG819" t="n">
        <v>10</v>
      </c>
      <c r="AH819" t="n">
        <v>5</v>
      </c>
      <c r="AI819" t="n">
        <v>8</v>
      </c>
      <c r="AJ819" t="n">
        <v>11</v>
      </c>
      <c r="AK819" t="n">
        <v>12</v>
      </c>
      <c r="AL819" t="n">
        <v>4</v>
      </c>
      <c r="AM819" t="n">
        <v>4</v>
      </c>
      <c r="AN819" t="n">
        <v>1</v>
      </c>
      <c r="AO819" t="n">
        <v>1</v>
      </c>
      <c r="AP819" t="inlineStr">
        <is>
          <t>No</t>
        </is>
      </c>
      <c r="AQ819" t="inlineStr">
        <is>
          <t>Yes</t>
        </is>
      </c>
      <c r="AR819">
        <f>HYPERLINK("http://catalog.hathitrust.org/Record/000003225","HathiTrust Record")</f>
        <v/>
      </c>
      <c r="AS819">
        <f>HYPERLINK("https://creighton-primo.hosted.exlibrisgroup.com/primo-explore/search?tab=default_tab&amp;search_scope=EVERYTHING&amp;vid=01CRU&amp;lang=en_US&amp;offset=0&amp;query=any,contains,991001296219702656","Catalog Record")</f>
        <v/>
      </c>
      <c r="AT819">
        <f>HYPERLINK("http://www.worldcat.org/oclc/219729","WorldCat Record")</f>
        <v/>
      </c>
      <c r="AU819" t="inlineStr">
        <is>
          <t>1319380:eng</t>
        </is>
      </c>
      <c r="AV819" t="inlineStr">
        <is>
          <t>219729</t>
        </is>
      </c>
      <c r="AW819" t="inlineStr">
        <is>
          <t>991001296219702656</t>
        </is>
      </c>
      <c r="AX819" t="inlineStr">
        <is>
          <t>991001296219702656</t>
        </is>
      </c>
      <c r="AY819" t="inlineStr">
        <is>
          <t>2258139050002656</t>
        </is>
      </c>
      <c r="AZ819" t="inlineStr">
        <is>
          <t>BOOK</t>
        </is>
      </c>
      <c r="BB819" t="inlineStr">
        <is>
          <t>9780070690561</t>
        </is>
      </c>
      <c r="BC819" t="inlineStr">
        <is>
          <t>32285002509114</t>
        </is>
      </c>
      <c r="BD819" t="inlineStr">
        <is>
          <t>893408026</t>
        </is>
      </c>
    </row>
    <row r="820">
      <c r="A820" t="inlineStr">
        <is>
          <t>No</t>
        </is>
      </c>
      <c r="B820" t="inlineStr">
        <is>
          <t>E184.C3 A83 1994</t>
        </is>
      </c>
      <c r="C820" t="inlineStr">
        <is>
          <t>0                      E  0184000C  3                  A  83          1994</t>
        </is>
      </c>
      <c r="D820" t="inlineStr">
        <is>
          <t>A new rite : conservative Catholic organizations and their allies / researched and written by Steve Askin for Catholics for a Free Choice.</t>
        </is>
      </c>
      <c r="F820" t="inlineStr">
        <is>
          <t>No</t>
        </is>
      </c>
      <c r="G820" t="inlineStr">
        <is>
          <t>1</t>
        </is>
      </c>
      <c r="H820" t="inlineStr">
        <is>
          <t>No</t>
        </is>
      </c>
      <c r="I820" t="inlineStr">
        <is>
          <t>No</t>
        </is>
      </c>
      <c r="J820" t="inlineStr">
        <is>
          <t>0</t>
        </is>
      </c>
      <c r="K820" t="inlineStr">
        <is>
          <t>Askin, Steve.</t>
        </is>
      </c>
      <c r="L820" t="inlineStr">
        <is>
          <t>Washington, D.C. : Catholics for a Free Choice : Conscience, Vol. XV, no. 1 (Spring 1994), c1994.</t>
        </is>
      </c>
      <c r="M820" t="inlineStr">
        <is>
          <t>1994</t>
        </is>
      </c>
      <c r="O820" t="inlineStr">
        <is>
          <t>eng</t>
        </is>
      </c>
      <c r="P820" t="inlineStr">
        <is>
          <t>dcu</t>
        </is>
      </c>
      <c r="R820" t="inlineStr">
        <is>
          <t xml:space="preserve">E  </t>
        </is>
      </c>
      <c r="S820" t="n">
        <v>3</v>
      </c>
      <c r="T820" t="n">
        <v>3</v>
      </c>
      <c r="U820" t="inlineStr">
        <is>
          <t>2005-11-12</t>
        </is>
      </c>
      <c r="V820" t="inlineStr">
        <is>
          <t>2005-11-12</t>
        </is>
      </c>
      <c r="W820" t="inlineStr">
        <is>
          <t>1994-12-28</t>
        </is>
      </c>
      <c r="X820" t="inlineStr">
        <is>
          <t>1994-12-28</t>
        </is>
      </c>
      <c r="Y820" t="n">
        <v>1</v>
      </c>
      <c r="Z820" t="n">
        <v>1</v>
      </c>
      <c r="AA820" t="n">
        <v>140</v>
      </c>
      <c r="AB820" t="n">
        <v>1</v>
      </c>
      <c r="AC820" t="n">
        <v>1</v>
      </c>
      <c r="AD820" t="n">
        <v>0</v>
      </c>
      <c r="AE820" t="n">
        <v>17</v>
      </c>
      <c r="AF820" t="n">
        <v>0</v>
      </c>
      <c r="AG820" t="n">
        <v>5</v>
      </c>
      <c r="AH820" t="n">
        <v>0</v>
      </c>
      <c r="AI820" t="n">
        <v>7</v>
      </c>
      <c r="AJ820" t="n">
        <v>0</v>
      </c>
      <c r="AK820" t="n">
        <v>12</v>
      </c>
      <c r="AL820" t="n">
        <v>0</v>
      </c>
      <c r="AM820" t="n">
        <v>0</v>
      </c>
      <c r="AN820" t="n">
        <v>0</v>
      </c>
      <c r="AO820" t="n">
        <v>0</v>
      </c>
      <c r="AP820" t="inlineStr">
        <is>
          <t>No</t>
        </is>
      </c>
      <c r="AQ820" t="inlineStr">
        <is>
          <t>No</t>
        </is>
      </c>
      <c r="AS820">
        <f>HYPERLINK("https://creighton-primo.hosted.exlibrisgroup.com/primo-explore/search?tab=default_tab&amp;search_scope=EVERYTHING&amp;vid=01CRU&amp;lang=en_US&amp;offset=0&amp;query=any,contains,991002412009702656","Catalog Record")</f>
        <v/>
      </c>
      <c r="AT820">
        <f>HYPERLINK("http://www.worldcat.org/oclc/31389618","WorldCat Record")</f>
        <v/>
      </c>
      <c r="AU820" t="inlineStr">
        <is>
          <t>32615512:eng</t>
        </is>
      </c>
      <c r="AV820" t="inlineStr">
        <is>
          <t>31389618</t>
        </is>
      </c>
      <c r="AW820" t="inlineStr">
        <is>
          <t>991002412009702656</t>
        </is>
      </c>
      <c r="AX820" t="inlineStr">
        <is>
          <t>991002412009702656</t>
        </is>
      </c>
      <c r="AY820" t="inlineStr">
        <is>
          <t>2256101110002656</t>
        </is>
      </c>
      <c r="AZ820" t="inlineStr">
        <is>
          <t>BOOK</t>
        </is>
      </c>
      <c r="BC820" t="inlineStr">
        <is>
          <t>32285001974152</t>
        </is>
      </c>
      <c r="BD820" t="inlineStr">
        <is>
          <t>893697745</t>
        </is>
      </c>
    </row>
    <row r="821">
      <c r="A821" t="inlineStr">
        <is>
          <t>No</t>
        </is>
      </c>
      <c r="B821" t="inlineStr">
        <is>
          <t>E184.C3 C48 1988</t>
        </is>
      </c>
      <c r="C821" t="inlineStr">
        <is>
          <t>0                      E  0184000C  3                  C  48          1988</t>
        </is>
      </c>
      <c r="D821" t="inlineStr">
        <is>
          <t>A Church of many cultures : selected historical essays on ethnic American Catholicism / edited with an introduction by Dolores Liptak.</t>
        </is>
      </c>
      <c r="F821" t="inlineStr">
        <is>
          <t>No</t>
        </is>
      </c>
      <c r="G821" t="inlineStr">
        <is>
          <t>1</t>
        </is>
      </c>
      <c r="H821" t="inlineStr">
        <is>
          <t>No</t>
        </is>
      </c>
      <c r="I821" t="inlineStr">
        <is>
          <t>No</t>
        </is>
      </c>
      <c r="J821" t="inlineStr">
        <is>
          <t>0</t>
        </is>
      </c>
      <c r="L821" t="inlineStr">
        <is>
          <t>New York : Garland Pub., 1988.</t>
        </is>
      </c>
      <c r="M821" t="inlineStr">
        <is>
          <t>1988</t>
        </is>
      </c>
      <c r="O821" t="inlineStr">
        <is>
          <t>eng</t>
        </is>
      </c>
      <c r="P821" t="inlineStr">
        <is>
          <t>nyu</t>
        </is>
      </c>
      <c r="Q821" t="inlineStr">
        <is>
          <t>The Heritage of American Catholicism</t>
        </is>
      </c>
      <c r="R821" t="inlineStr">
        <is>
          <t xml:space="preserve">E  </t>
        </is>
      </c>
      <c r="S821" t="n">
        <v>4</v>
      </c>
      <c r="T821" t="n">
        <v>4</v>
      </c>
      <c r="U821" t="inlineStr">
        <is>
          <t>1995-11-12</t>
        </is>
      </c>
      <c r="V821" t="inlineStr">
        <is>
          <t>1995-11-12</t>
        </is>
      </c>
      <c r="W821" t="inlineStr">
        <is>
          <t>1991-05-24</t>
        </is>
      </c>
      <c r="X821" t="inlineStr">
        <is>
          <t>1991-05-24</t>
        </is>
      </c>
      <c r="Y821" t="n">
        <v>196</v>
      </c>
      <c r="Z821" t="n">
        <v>178</v>
      </c>
      <c r="AA821" t="n">
        <v>180</v>
      </c>
      <c r="AB821" t="n">
        <v>1</v>
      </c>
      <c r="AC821" t="n">
        <v>1</v>
      </c>
      <c r="AD821" t="n">
        <v>25</v>
      </c>
      <c r="AE821" t="n">
        <v>25</v>
      </c>
      <c r="AF821" t="n">
        <v>10</v>
      </c>
      <c r="AG821" t="n">
        <v>10</v>
      </c>
      <c r="AH821" t="n">
        <v>7</v>
      </c>
      <c r="AI821" t="n">
        <v>7</v>
      </c>
      <c r="AJ821" t="n">
        <v>16</v>
      </c>
      <c r="AK821" t="n">
        <v>16</v>
      </c>
      <c r="AL821" t="n">
        <v>0</v>
      </c>
      <c r="AM821" t="n">
        <v>0</v>
      </c>
      <c r="AN821" t="n">
        <v>0</v>
      </c>
      <c r="AO821" t="n">
        <v>0</v>
      </c>
      <c r="AP821" t="inlineStr">
        <is>
          <t>No</t>
        </is>
      </c>
      <c r="AQ821" t="inlineStr">
        <is>
          <t>Yes</t>
        </is>
      </c>
      <c r="AR821">
        <f>HYPERLINK("http://catalog.hathitrust.org/Record/101508141","HathiTrust Record")</f>
        <v/>
      </c>
      <c r="AS821">
        <f>HYPERLINK("https://creighton-primo.hosted.exlibrisgroup.com/primo-explore/search?tab=default_tab&amp;search_scope=EVERYTHING&amp;vid=01CRU&amp;lang=en_US&amp;offset=0&amp;query=any,contains,991001343749702656","Catalog Record")</f>
        <v/>
      </c>
      <c r="AT821">
        <f>HYPERLINK("http://www.worldcat.org/oclc/18411339","WorldCat Record")</f>
        <v/>
      </c>
      <c r="AU821" t="inlineStr">
        <is>
          <t>795501966:eng</t>
        </is>
      </c>
      <c r="AV821" t="inlineStr">
        <is>
          <t>18411339</t>
        </is>
      </c>
      <c r="AW821" t="inlineStr">
        <is>
          <t>991001343749702656</t>
        </is>
      </c>
      <c r="AX821" t="inlineStr">
        <is>
          <t>991001343749702656</t>
        </is>
      </c>
      <c r="AY821" t="inlineStr">
        <is>
          <t>2255242690002656</t>
        </is>
      </c>
      <c r="AZ821" t="inlineStr">
        <is>
          <t>BOOK</t>
        </is>
      </c>
      <c r="BB821" t="inlineStr">
        <is>
          <t>9780824040819</t>
        </is>
      </c>
      <c r="BC821" t="inlineStr">
        <is>
          <t>32285000524982</t>
        </is>
      </c>
      <c r="BD821" t="inlineStr">
        <is>
          <t>893503339</t>
        </is>
      </c>
    </row>
    <row r="822">
      <c r="A822" t="inlineStr">
        <is>
          <t>No</t>
        </is>
      </c>
      <c r="B822" t="inlineStr">
        <is>
          <t>E184.C3 I53 1988</t>
        </is>
      </c>
      <c r="C822" t="inlineStr">
        <is>
          <t>0                      E  0184000C  3                  I  53          1988</t>
        </is>
      </c>
      <c r="D822" t="inlineStr">
        <is>
          <t>The Inculturation of American Catholicism, 1820-1900 : selected historical essays / edited with an introduction by William L. Portier.</t>
        </is>
      </c>
      <c r="F822" t="inlineStr">
        <is>
          <t>No</t>
        </is>
      </c>
      <c r="G822" t="inlineStr">
        <is>
          <t>1</t>
        </is>
      </c>
      <c r="H822" t="inlineStr">
        <is>
          <t>No</t>
        </is>
      </c>
      <c r="I822" t="inlineStr">
        <is>
          <t>No</t>
        </is>
      </c>
      <c r="J822" t="inlineStr">
        <is>
          <t>0</t>
        </is>
      </c>
      <c r="L822" t="inlineStr">
        <is>
          <t>New York : Garland, 1988.</t>
        </is>
      </c>
      <c r="M822" t="inlineStr">
        <is>
          <t>1988</t>
        </is>
      </c>
      <c r="O822" t="inlineStr">
        <is>
          <t>eng</t>
        </is>
      </c>
      <c r="P822" t="inlineStr">
        <is>
          <t>nyu</t>
        </is>
      </c>
      <c r="Q822" t="inlineStr">
        <is>
          <t>The Heritage of American Catholicism</t>
        </is>
      </c>
      <c r="R822" t="inlineStr">
        <is>
          <t xml:space="preserve">E  </t>
        </is>
      </c>
      <c r="S822" t="n">
        <v>3</v>
      </c>
      <c r="T822" t="n">
        <v>3</v>
      </c>
      <c r="U822" t="inlineStr">
        <is>
          <t>1995-10-06</t>
        </is>
      </c>
      <c r="V822" t="inlineStr">
        <is>
          <t>1995-10-06</t>
        </is>
      </c>
      <c r="W822" t="inlineStr">
        <is>
          <t>1991-05-24</t>
        </is>
      </c>
      <c r="X822" t="inlineStr">
        <is>
          <t>1991-05-24</t>
        </is>
      </c>
      <c r="Y822" t="n">
        <v>148</v>
      </c>
      <c r="Z822" t="n">
        <v>133</v>
      </c>
      <c r="AA822" t="n">
        <v>134</v>
      </c>
      <c r="AB822" t="n">
        <v>1</v>
      </c>
      <c r="AC822" t="n">
        <v>1</v>
      </c>
      <c r="AD822" t="n">
        <v>19</v>
      </c>
      <c r="AE822" t="n">
        <v>19</v>
      </c>
      <c r="AF822" t="n">
        <v>6</v>
      </c>
      <c r="AG822" t="n">
        <v>6</v>
      </c>
      <c r="AH822" t="n">
        <v>6</v>
      </c>
      <c r="AI822" t="n">
        <v>6</v>
      </c>
      <c r="AJ822" t="n">
        <v>13</v>
      </c>
      <c r="AK822" t="n">
        <v>13</v>
      </c>
      <c r="AL822" t="n">
        <v>0</v>
      </c>
      <c r="AM822" t="n">
        <v>0</v>
      </c>
      <c r="AN822" t="n">
        <v>0</v>
      </c>
      <c r="AO822" t="n">
        <v>0</v>
      </c>
      <c r="AP822" t="inlineStr">
        <is>
          <t>No</t>
        </is>
      </c>
      <c r="AQ822" t="inlineStr">
        <is>
          <t>No</t>
        </is>
      </c>
      <c r="AS822">
        <f>HYPERLINK("https://creighton-primo.hosted.exlibrisgroup.com/primo-explore/search?tab=default_tab&amp;search_scope=EVERYTHING&amp;vid=01CRU&amp;lang=en_US&amp;offset=0&amp;query=any,contains,991001343959702656","Catalog Record")</f>
        <v/>
      </c>
      <c r="AT822">
        <f>HYPERLINK("http://www.worldcat.org/oclc/18411472","WorldCat Record")</f>
        <v/>
      </c>
      <c r="AU822" t="inlineStr">
        <is>
          <t>836719800:eng</t>
        </is>
      </c>
      <c r="AV822" t="inlineStr">
        <is>
          <t>18411472</t>
        </is>
      </c>
      <c r="AW822" t="inlineStr">
        <is>
          <t>991001343959702656</t>
        </is>
      </c>
      <c r="AX822" t="inlineStr">
        <is>
          <t>991001343959702656</t>
        </is>
      </c>
      <c r="AY822" t="inlineStr">
        <is>
          <t>2255204460002656</t>
        </is>
      </c>
      <c r="AZ822" t="inlineStr">
        <is>
          <t>BOOK</t>
        </is>
      </c>
      <c r="BB822" t="inlineStr">
        <is>
          <t>9780824040765</t>
        </is>
      </c>
      <c r="BC822" t="inlineStr">
        <is>
          <t>32285000524990</t>
        </is>
      </c>
      <c r="BD822" t="inlineStr">
        <is>
          <t>893256190</t>
        </is>
      </c>
    </row>
    <row r="823">
      <c r="A823" t="inlineStr">
        <is>
          <t>No</t>
        </is>
      </c>
      <c r="B823" t="inlineStr">
        <is>
          <t>E184.C3 U6 v.25</t>
        </is>
      </c>
      <c r="C823" t="inlineStr">
        <is>
          <t>0                      E  0184000C  3                  U  6                                 v.25</t>
        </is>
      </c>
      <c r="D823" t="inlineStr">
        <is>
          <t>Andrés Pérez de Ribas, pioneer black robe of the West Coast, administrator, historian. Edited by John J. Meng.</t>
        </is>
      </c>
      <c r="E823" t="inlineStr">
        <is>
          <t>V.25</t>
        </is>
      </c>
      <c r="F823" t="inlineStr">
        <is>
          <t>No</t>
        </is>
      </c>
      <c r="G823" t="inlineStr">
        <is>
          <t>1</t>
        </is>
      </c>
      <c r="H823" t="inlineStr">
        <is>
          <t>No</t>
        </is>
      </c>
      <c r="I823" t="inlineStr">
        <is>
          <t>No</t>
        </is>
      </c>
      <c r="J823" t="inlineStr">
        <is>
          <t>0</t>
        </is>
      </c>
      <c r="K823" t="inlineStr">
        <is>
          <t>Dunne, Peter Masten, 1889-1957.</t>
        </is>
      </c>
      <c r="L823" t="inlineStr">
        <is>
          <t>N.Y., United States Catholic Historical Society, 1951.</t>
        </is>
      </c>
      <c r="M823" t="inlineStr">
        <is>
          <t>1951</t>
        </is>
      </c>
      <c r="O823" t="inlineStr">
        <is>
          <t>eng</t>
        </is>
      </c>
      <c r="P823" t="inlineStr">
        <is>
          <t xml:space="preserve">xx </t>
        </is>
      </c>
      <c r="Q823" t="inlineStr">
        <is>
          <t>United States Catholic Historical Society. Monograph series, 25</t>
        </is>
      </c>
      <c r="R823" t="inlineStr">
        <is>
          <t xml:space="preserve">E  </t>
        </is>
      </c>
      <c r="S823" t="n">
        <v>4</v>
      </c>
      <c r="T823" t="n">
        <v>4</v>
      </c>
      <c r="U823" t="inlineStr">
        <is>
          <t>2000-03-27</t>
        </is>
      </c>
      <c r="V823" t="inlineStr">
        <is>
          <t>2000-03-27</t>
        </is>
      </c>
      <c r="W823" t="inlineStr">
        <is>
          <t>1997-04-09</t>
        </is>
      </c>
      <c r="X823" t="inlineStr">
        <is>
          <t>1997-04-09</t>
        </is>
      </c>
      <c r="Y823" t="n">
        <v>140</v>
      </c>
      <c r="Z823" t="n">
        <v>137</v>
      </c>
      <c r="AA823" t="n">
        <v>144</v>
      </c>
      <c r="AB823" t="n">
        <v>1</v>
      </c>
      <c r="AC823" t="n">
        <v>1</v>
      </c>
      <c r="AD823" t="n">
        <v>26</v>
      </c>
      <c r="AE823" t="n">
        <v>26</v>
      </c>
      <c r="AF823" t="n">
        <v>9</v>
      </c>
      <c r="AG823" t="n">
        <v>9</v>
      </c>
      <c r="AH823" t="n">
        <v>6</v>
      </c>
      <c r="AI823" t="n">
        <v>6</v>
      </c>
      <c r="AJ823" t="n">
        <v>22</v>
      </c>
      <c r="AK823" t="n">
        <v>22</v>
      </c>
      <c r="AL823" t="n">
        <v>0</v>
      </c>
      <c r="AM823" t="n">
        <v>0</v>
      </c>
      <c r="AN823" t="n">
        <v>0</v>
      </c>
      <c r="AO823" t="n">
        <v>0</v>
      </c>
      <c r="AP823" t="inlineStr">
        <is>
          <t>No</t>
        </is>
      </c>
      <c r="AQ823" t="inlineStr">
        <is>
          <t>Yes</t>
        </is>
      </c>
      <c r="AR823">
        <f>HYPERLINK("http://catalog.hathitrust.org/Record/001592180","HathiTrust Record")</f>
        <v/>
      </c>
      <c r="AS823">
        <f>HYPERLINK("https://creighton-primo.hosted.exlibrisgroup.com/primo-explore/search?tab=default_tab&amp;search_scope=EVERYTHING&amp;vid=01CRU&amp;lang=en_US&amp;offset=0&amp;query=any,contains,991003486969702656","Catalog Record")</f>
        <v/>
      </c>
      <c r="AT823">
        <f>HYPERLINK("http://www.worldcat.org/oclc/1034397","WorldCat Record")</f>
        <v/>
      </c>
      <c r="AU823" t="inlineStr">
        <is>
          <t>505518261:eng</t>
        </is>
      </c>
      <c r="AV823" t="inlineStr">
        <is>
          <t>1034397</t>
        </is>
      </c>
      <c r="AW823" t="inlineStr">
        <is>
          <t>991003486969702656</t>
        </is>
      </c>
      <c r="AX823" t="inlineStr">
        <is>
          <t>991003486969702656</t>
        </is>
      </c>
      <c r="AY823" t="inlineStr">
        <is>
          <t>2266948940002656</t>
        </is>
      </c>
      <c r="AZ823" t="inlineStr">
        <is>
          <t>BOOK</t>
        </is>
      </c>
      <c r="BC823" t="inlineStr">
        <is>
          <t>32285002509312</t>
        </is>
      </c>
      <c r="BD823" t="inlineStr">
        <is>
          <t>893518513</t>
        </is>
      </c>
    </row>
    <row r="824">
      <c r="A824" t="inlineStr">
        <is>
          <t>No</t>
        </is>
      </c>
      <c r="B824" t="inlineStr">
        <is>
          <t>E184.C3 U6 v.26</t>
        </is>
      </c>
      <c r="C824" t="inlineStr">
        <is>
          <t>0                      E  0184000C  3                  U  6                                 v.26</t>
        </is>
      </c>
      <c r="D824" t="inlineStr">
        <is>
          <t>The mission frontier in Sonora, 1620-1687. Edited by James A. Reynolds.</t>
        </is>
      </c>
      <c r="E824" t="inlineStr">
        <is>
          <t>V.26</t>
        </is>
      </c>
      <c r="F824" t="inlineStr">
        <is>
          <t>No</t>
        </is>
      </c>
      <c r="G824" t="inlineStr">
        <is>
          <t>1</t>
        </is>
      </c>
      <c r="H824" t="inlineStr">
        <is>
          <t>No</t>
        </is>
      </c>
      <c r="I824" t="inlineStr">
        <is>
          <t>No</t>
        </is>
      </c>
      <c r="J824" t="inlineStr">
        <is>
          <t>0</t>
        </is>
      </c>
      <c r="K824" t="inlineStr">
        <is>
          <t>Bannon, John Francis, 1905-1986.</t>
        </is>
      </c>
      <c r="L824" t="inlineStr">
        <is>
          <t>New York, United States Catholic Historical Society, 1955.</t>
        </is>
      </c>
      <c r="M824" t="inlineStr">
        <is>
          <t>1955</t>
        </is>
      </c>
      <c r="O824" t="inlineStr">
        <is>
          <t>eng</t>
        </is>
      </c>
      <c r="P824" t="inlineStr">
        <is>
          <t>nyu</t>
        </is>
      </c>
      <c r="Q824" t="inlineStr">
        <is>
          <t>United States Catholic Historical Society. Monograph series, 26</t>
        </is>
      </c>
      <c r="R824" t="inlineStr">
        <is>
          <t xml:space="preserve">E  </t>
        </is>
      </c>
      <c r="S824" t="n">
        <v>6</v>
      </c>
      <c r="T824" t="n">
        <v>6</v>
      </c>
      <c r="U824" t="inlineStr">
        <is>
          <t>2000-03-27</t>
        </is>
      </c>
      <c r="V824" t="inlineStr">
        <is>
          <t>2000-03-27</t>
        </is>
      </c>
      <c r="W824" t="inlineStr">
        <is>
          <t>1997-04-09</t>
        </is>
      </c>
      <c r="X824" t="inlineStr">
        <is>
          <t>1997-04-09</t>
        </is>
      </c>
      <c r="Y824" t="n">
        <v>160</v>
      </c>
      <c r="Z824" t="n">
        <v>155</v>
      </c>
      <c r="AA824" t="n">
        <v>156</v>
      </c>
      <c r="AB824" t="n">
        <v>4</v>
      </c>
      <c r="AC824" t="n">
        <v>4</v>
      </c>
      <c r="AD824" t="n">
        <v>26</v>
      </c>
      <c r="AE824" t="n">
        <v>26</v>
      </c>
      <c r="AF824" t="n">
        <v>8</v>
      </c>
      <c r="AG824" t="n">
        <v>8</v>
      </c>
      <c r="AH824" t="n">
        <v>7</v>
      </c>
      <c r="AI824" t="n">
        <v>7</v>
      </c>
      <c r="AJ824" t="n">
        <v>20</v>
      </c>
      <c r="AK824" t="n">
        <v>20</v>
      </c>
      <c r="AL824" t="n">
        <v>2</v>
      </c>
      <c r="AM824" t="n">
        <v>2</v>
      </c>
      <c r="AN824" t="n">
        <v>0</v>
      </c>
      <c r="AO824" t="n">
        <v>0</v>
      </c>
      <c r="AP824" t="inlineStr">
        <is>
          <t>No</t>
        </is>
      </c>
      <c r="AQ824" t="inlineStr">
        <is>
          <t>Yes</t>
        </is>
      </c>
      <c r="AR824">
        <f>HYPERLINK("http://catalog.hathitrust.org/Record/001972294","HathiTrust Record")</f>
        <v/>
      </c>
      <c r="AS824">
        <f>HYPERLINK("https://creighton-primo.hosted.exlibrisgroup.com/primo-explore/search?tab=default_tab&amp;search_scope=EVERYTHING&amp;vid=01CRU&amp;lang=en_US&amp;offset=0&amp;query=any,contains,991002910379702656","Catalog Record")</f>
        <v/>
      </c>
      <c r="AT824">
        <f>HYPERLINK("http://www.worldcat.org/oclc/521771","WorldCat Record")</f>
        <v/>
      </c>
      <c r="AU824" t="inlineStr">
        <is>
          <t>5218578584:eng</t>
        </is>
      </c>
      <c r="AV824" t="inlineStr">
        <is>
          <t>521771</t>
        </is>
      </c>
      <c r="AW824" t="inlineStr">
        <is>
          <t>991002910379702656</t>
        </is>
      </c>
      <c r="AX824" t="inlineStr">
        <is>
          <t>991002910379702656</t>
        </is>
      </c>
      <c r="AY824" t="inlineStr">
        <is>
          <t>2260481970002656</t>
        </is>
      </c>
      <c r="AZ824" t="inlineStr">
        <is>
          <t>BOOK</t>
        </is>
      </c>
      <c r="BC824" t="inlineStr">
        <is>
          <t>32285002509320</t>
        </is>
      </c>
      <c r="BD824" t="inlineStr">
        <is>
          <t>893799161</t>
        </is>
      </c>
    </row>
    <row r="825">
      <c r="A825" t="inlineStr">
        <is>
          <t>No</t>
        </is>
      </c>
      <c r="B825" t="inlineStr">
        <is>
          <t>E184.D9 D87 1985</t>
        </is>
      </c>
      <c r="C825" t="inlineStr">
        <is>
          <t>0                      E  0184000D  9                  D  87          1985</t>
        </is>
      </c>
      <c r="D825" t="inlineStr">
        <is>
          <t>The Dutch in America : immigration, settlement, and cultural change / edited by Robert P. Swierenga.</t>
        </is>
      </c>
      <c r="F825" t="inlineStr">
        <is>
          <t>No</t>
        </is>
      </c>
      <c r="G825" t="inlineStr">
        <is>
          <t>1</t>
        </is>
      </c>
      <c r="H825" t="inlineStr">
        <is>
          <t>No</t>
        </is>
      </c>
      <c r="I825" t="inlineStr">
        <is>
          <t>No</t>
        </is>
      </c>
      <c r="J825" t="inlineStr">
        <is>
          <t>0</t>
        </is>
      </c>
      <c r="L825" t="inlineStr">
        <is>
          <t>New Brunswick, N.J. : Rutgers University Press, c1985.</t>
        </is>
      </c>
      <c r="M825" t="inlineStr">
        <is>
          <t>1985</t>
        </is>
      </c>
      <c r="O825" t="inlineStr">
        <is>
          <t>eng</t>
        </is>
      </c>
      <c r="P825" t="inlineStr">
        <is>
          <t>nju</t>
        </is>
      </c>
      <c r="R825" t="inlineStr">
        <is>
          <t xml:space="preserve">E  </t>
        </is>
      </c>
      <c r="S825" t="n">
        <v>6</v>
      </c>
      <c r="T825" t="n">
        <v>6</v>
      </c>
      <c r="U825" t="inlineStr">
        <is>
          <t>1998-11-10</t>
        </is>
      </c>
      <c r="V825" t="inlineStr">
        <is>
          <t>1998-11-10</t>
        </is>
      </c>
      <c r="W825" t="inlineStr">
        <is>
          <t>1991-02-14</t>
        </is>
      </c>
      <c r="X825" t="inlineStr">
        <is>
          <t>1991-02-14</t>
        </is>
      </c>
      <c r="Y825" t="n">
        <v>541</v>
      </c>
      <c r="Z825" t="n">
        <v>475</v>
      </c>
      <c r="AA825" t="n">
        <v>475</v>
      </c>
      <c r="AB825" t="n">
        <v>4</v>
      </c>
      <c r="AC825" t="n">
        <v>4</v>
      </c>
      <c r="AD825" t="n">
        <v>18</v>
      </c>
      <c r="AE825" t="n">
        <v>18</v>
      </c>
      <c r="AF825" t="n">
        <v>7</v>
      </c>
      <c r="AG825" t="n">
        <v>7</v>
      </c>
      <c r="AH825" t="n">
        <v>5</v>
      </c>
      <c r="AI825" t="n">
        <v>5</v>
      </c>
      <c r="AJ825" t="n">
        <v>9</v>
      </c>
      <c r="AK825" t="n">
        <v>9</v>
      </c>
      <c r="AL825" t="n">
        <v>2</v>
      </c>
      <c r="AM825" t="n">
        <v>2</v>
      </c>
      <c r="AN825" t="n">
        <v>0</v>
      </c>
      <c r="AO825" t="n">
        <v>0</v>
      </c>
      <c r="AP825" t="inlineStr">
        <is>
          <t>No</t>
        </is>
      </c>
      <c r="AQ825" t="inlineStr">
        <is>
          <t>No</t>
        </is>
      </c>
      <c r="AS825">
        <f>HYPERLINK("https://creighton-primo.hosted.exlibrisgroup.com/primo-explore/search?tab=default_tab&amp;search_scope=EVERYTHING&amp;vid=01CRU&amp;lang=en_US&amp;offset=0&amp;query=any,contains,991000398869702656","Catalog Record")</f>
        <v/>
      </c>
      <c r="AT825">
        <f>HYPERLINK("http://www.worldcat.org/oclc/10605517","WorldCat Record")</f>
        <v/>
      </c>
      <c r="AU825" t="inlineStr">
        <is>
          <t>54636976:eng</t>
        </is>
      </c>
      <c r="AV825" t="inlineStr">
        <is>
          <t>10605517</t>
        </is>
      </c>
      <c r="AW825" t="inlineStr">
        <is>
          <t>991000398869702656</t>
        </is>
      </c>
      <c r="AX825" t="inlineStr">
        <is>
          <t>991000398869702656</t>
        </is>
      </c>
      <c r="AY825" t="inlineStr">
        <is>
          <t>2258739320002656</t>
        </is>
      </c>
      <c r="AZ825" t="inlineStr">
        <is>
          <t>BOOK</t>
        </is>
      </c>
      <c r="BB825" t="inlineStr">
        <is>
          <t>9780813510637</t>
        </is>
      </c>
      <c r="BC825" t="inlineStr">
        <is>
          <t>32285000483205</t>
        </is>
      </c>
      <c r="BD825" t="inlineStr">
        <is>
          <t>893695800</t>
        </is>
      </c>
    </row>
    <row r="826">
      <c r="A826" t="inlineStr">
        <is>
          <t>No</t>
        </is>
      </c>
      <c r="B826" t="inlineStr">
        <is>
          <t>E184.E95 E973 1992</t>
        </is>
      </c>
      <c r="C826" t="inlineStr">
        <is>
          <t>0                      E  0184000E  95                 E  973         1992</t>
        </is>
      </c>
      <c r="D826" t="inlineStr">
        <is>
          <t>The European emigrant experience in the U.S.A. / edited by Walter Hölbling and Reinhold Wagnleitner.</t>
        </is>
      </c>
      <c r="F826" t="inlineStr">
        <is>
          <t>No</t>
        </is>
      </c>
      <c r="G826" t="inlineStr">
        <is>
          <t>1</t>
        </is>
      </c>
      <c r="H826" t="inlineStr">
        <is>
          <t>No</t>
        </is>
      </c>
      <c r="I826" t="inlineStr">
        <is>
          <t>No</t>
        </is>
      </c>
      <c r="J826" t="inlineStr">
        <is>
          <t>0</t>
        </is>
      </c>
      <c r="L826" t="inlineStr">
        <is>
          <t>Tübingen : G. Narr Verlag, 1992.</t>
        </is>
      </c>
      <c r="M826" t="inlineStr">
        <is>
          <t>1992</t>
        </is>
      </c>
      <c r="O826" t="inlineStr">
        <is>
          <t>eng</t>
        </is>
      </c>
      <c r="P826" t="inlineStr">
        <is>
          <t xml:space="preserve">gw </t>
        </is>
      </c>
      <c r="Q826" t="inlineStr">
        <is>
          <t>Buchreihe zu den Arbeiten aus Anglistik und Amerikanistik ; Bd. 5</t>
        </is>
      </c>
      <c r="R826" t="inlineStr">
        <is>
          <t xml:space="preserve">E  </t>
        </is>
      </c>
      <c r="S826" t="n">
        <v>2</v>
      </c>
      <c r="T826" t="n">
        <v>2</v>
      </c>
      <c r="U826" t="inlineStr">
        <is>
          <t>1995-04-13</t>
        </is>
      </c>
      <c r="V826" t="inlineStr">
        <is>
          <t>1995-04-13</t>
        </is>
      </c>
      <c r="W826" t="inlineStr">
        <is>
          <t>1994-02-11</t>
        </is>
      </c>
      <c r="X826" t="inlineStr">
        <is>
          <t>1994-02-11</t>
        </is>
      </c>
      <c r="Y826" t="n">
        <v>104</v>
      </c>
      <c r="Z826" t="n">
        <v>60</v>
      </c>
      <c r="AA826" t="n">
        <v>60</v>
      </c>
      <c r="AB826" t="n">
        <v>2</v>
      </c>
      <c r="AC826" t="n">
        <v>2</v>
      </c>
      <c r="AD826" t="n">
        <v>3</v>
      </c>
      <c r="AE826" t="n">
        <v>3</v>
      </c>
      <c r="AF826" t="n">
        <v>1</v>
      </c>
      <c r="AG826" t="n">
        <v>1</v>
      </c>
      <c r="AH826" t="n">
        <v>1</v>
      </c>
      <c r="AI826" t="n">
        <v>1</v>
      </c>
      <c r="AJ826" t="n">
        <v>1</v>
      </c>
      <c r="AK826" t="n">
        <v>1</v>
      </c>
      <c r="AL826" t="n">
        <v>1</v>
      </c>
      <c r="AM826" t="n">
        <v>1</v>
      </c>
      <c r="AN826" t="n">
        <v>0</v>
      </c>
      <c r="AO826" t="n">
        <v>0</v>
      </c>
      <c r="AP826" t="inlineStr">
        <is>
          <t>No</t>
        </is>
      </c>
      <c r="AQ826" t="inlineStr">
        <is>
          <t>No</t>
        </is>
      </c>
      <c r="AS826">
        <f>HYPERLINK("https://creighton-primo.hosted.exlibrisgroup.com/primo-explore/search?tab=default_tab&amp;search_scope=EVERYTHING&amp;vid=01CRU&amp;lang=en_US&amp;offset=0&amp;query=any,contains,991002073799702656","Catalog Record")</f>
        <v/>
      </c>
      <c r="AT826">
        <f>HYPERLINK("http://www.worldcat.org/oclc/26579870","WorldCat Record")</f>
        <v/>
      </c>
      <c r="AU826" t="inlineStr">
        <is>
          <t>350387855:eng</t>
        </is>
      </c>
      <c r="AV826" t="inlineStr">
        <is>
          <t>26579870</t>
        </is>
      </c>
      <c r="AW826" t="inlineStr">
        <is>
          <t>991002073799702656</t>
        </is>
      </c>
      <c r="AX826" t="inlineStr">
        <is>
          <t>991002073799702656</t>
        </is>
      </c>
      <c r="AY826" t="inlineStr">
        <is>
          <t>2261471340002656</t>
        </is>
      </c>
      <c r="AZ826" t="inlineStr">
        <is>
          <t>BOOK</t>
        </is>
      </c>
      <c r="BB826" t="inlineStr">
        <is>
          <t>9783878084662</t>
        </is>
      </c>
      <c r="BC826" t="inlineStr">
        <is>
          <t>32285001840999</t>
        </is>
      </c>
      <c r="BD826" t="inlineStr">
        <is>
          <t>893256840</t>
        </is>
      </c>
    </row>
    <row r="827">
      <c r="A827" t="inlineStr">
        <is>
          <t>No</t>
        </is>
      </c>
      <c r="B827" t="inlineStr">
        <is>
          <t>E184.E95 W96 1993</t>
        </is>
      </c>
      <c r="C827" t="inlineStr">
        <is>
          <t>0                      E  0184000E  95                 W  96          1993</t>
        </is>
      </c>
      <c r="D827" t="inlineStr">
        <is>
          <t>Round-trip to America : the immigrants return to Europe, 1880-1930 / Mark Wyman.</t>
        </is>
      </c>
      <c r="F827" t="inlineStr">
        <is>
          <t>No</t>
        </is>
      </c>
      <c r="G827" t="inlineStr">
        <is>
          <t>1</t>
        </is>
      </c>
      <c r="H827" t="inlineStr">
        <is>
          <t>No</t>
        </is>
      </c>
      <c r="I827" t="inlineStr">
        <is>
          <t>No</t>
        </is>
      </c>
      <c r="J827" t="inlineStr">
        <is>
          <t>0</t>
        </is>
      </c>
      <c r="K827" t="inlineStr">
        <is>
          <t>Wyman, Mark.</t>
        </is>
      </c>
      <c r="L827" t="inlineStr">
        <is>
          <t>Ithaca, N.Y. : Cornell University Press, 1993.</t>
        </is>
      </c>
      <c r="M827" t="inlineStr">
        <is>
          <t>1993</t>
        </is>
      </c>
      <c r="O827" t="inlineStr">
        <is>
          <t>eng</t>
        </is>
      </c>
      <c r="P827" t="inlineStr">
        <is>
          <t>nyu</t>
        </is>
      </c>
      <c r="R827" t="inlineStr">
        <is>
          <t xml:space="preserve">E  </t>
        </is>
      </c>
      <c r="S827" t="n">
        <v>4</v>
      </c>
      <c r="T827" t="n">
        <v>4</v>
      </c>
      <c r="U827" t="inlineStr">
        <is>
          <t>1995-05-08</t>
        </is>
      </c>
      <c r="V827" t="inlineStr">
        <is>
          <t>1995-05-08</t>
        </is>
      </c>
      <c r="W827" t="inlineStr">
        <is>
          <t>1994-08-03</t>
        </is>
      </c>
      <c r="X827" t="inlineStr">
        <is>
          <t>1994-08-03</t>
        </is>
      </c>
      <c r="Y827" t="n">
        <v>652</v>
      </c>
      <c r="Z827" t="n">
        <v>556</v>
      </c>
      <c r="AA827" t="n">
        <v>741</v>
      </c>
      <c r="AB827" t="n">
        <v>7</v>
      </c>
      <c r="AC827" t="n">
        <v>7</v>
      </c>
      <c r="AD827" t="n">
        <v>33</v>
      </c>
      <c r="AE827" t="n">
        <v>36</v>
      </c>
      <c r="AF827" t="n">
        <v>11</v>
      </c>
      <c r="AG827" t="n">
        <v>14</v>
      </c>
      <c r="AH827" t="n">
        <v>9</v>
      </c>
      <c r="AI827" t="n">
        <v>10</v>
      </c>
      <c r="AJ827" t="n">
        <v>17</v>
      </c>
      <c r="AK827" t="n">
        <v>18</v>
      </c>
      <c r="AL827" t="n">
        <v>5</v>
      </c>
      <c r="AM827" t="n">
        <v>5</v>
      </c>
      <c r="AN827" t="n">
        <v>0</v>
      </c>
      <c r="AO827" t="n">
        <v>0</v>
      </c>
      <c r="AP827" t="inlineStr">
        <is>
          <t>No</t>
        </is>
      </c>
      <c r="AQ827" t="inlineStr">
        <is>
          <t>Yes</t>
        </is>
      </c>
      <c r="AR827">
        <f>HYPERLINK("http://catalog.hathitrust.org/Record/002787992","HathiTrust Record")</f>
        <v/>
      </c>
      <c r="AS827">
        <f>HYPERLINK("https://creighton-primo.hosted.exlibrisgroup.com/primo-explore/search?tab=default_tab&amp;search_scope=EVERYTHING&amp;vid=01CRU&amp;lang=en_US&amp;offset=0&amp;query=any,contains,991002139779702656","Catalog Record")</f>
        <v/>
      </c>
      <c r="AT827">
        <f>HYPERLINK("http://www.worldcat.org/oclc/27431157","WorldCat Record")</f>
        <v/>
      </c>
      <c r="AU827" t="inlineStr">
        <is>
          <t>351353:eng</t>
        </is>
      </c>
      <c r="AV827" t="inlineStr">
        <is>
          <t>27431157</t>
        </is>
      </c>
      <c r="AW827" t="inlineStr">
        <is>
          <t>991002139779702656</t>
        </is>
      </c>
      <c r="AX827" t="inlineStr">
        <is>
          <t>991002139779702656</t>
        </is>
      </c>
      <c r="AY827" t="inlineStr">
        <is>
          <t>2264438390002656</t>
        </is>
      </c>
      <c r="AZ827" t="inlineStr">
        <is>
          <t>BOOK</t>
        </is>
      </c>
      <c r="BB827" t="inlineStr">
        <is>
          <t>9780801428753</t>
        </is>
      </c>
      <c r="BC827" t="inlineStr">
        <is>
          <t>32285001941003</t>
        </is>
      </c>
      <c r="BD827" t="inlineStr">
        <is>
          <t>893529589</t>
        </is>
      </c>
    </row>
    <row r="828">
      <c r="A828" t="inlineStr">
        <is>
          <t>No</t>
        </is>
      </c>
      <c r="B828" t="inlineStr">
        <is>
          <t>E184.F85 P37 1983</t>
        </is>
      </c>
      <c r="C828" t="inlineStr">
        <is>
          <t>0                      E  0184000F  85                 P  37          1983</t>
        </is>
      </c>
      <c r="D828" t="inlineStr">
        <is>
          <t>Ethnic identity, the case of the French Americans / James Hill Parker.</t>
        </is>
      </c>
      <c r="F828" t="inlineStr">
        <is>
          <t>No</t>
        </is>
      </c>
      <c r="G828" t="inlineStr">
        <is>
          <t>1</t>
        </is>
      </c>
      <c r="H828" t="inlineStr">
        <is>
          <t>No</t>
        </is>
      </c>
      <c r="I828" t="inlineStr">
        <is>
          <t>No</t>
        </is>
      </c>
      <c r="J828" t="inlineStr">
        <is>
          <t>0</t>
        </is>
      </c>
      <c r="K828" t="inlineStr">
        <is>
          <t>Parker, James Hill.</t>
        </is>
      </c>
      <c r="L828" t="inlineStr">
        <is>
          <t>Washinton, D.C. : University Press of America, c1983.</t>
        </is>
      </c>
      <c r="M828" t="inlineStr">
        <is>
          <t>1983</t>
        </is>
      </c>
      <c r="O828" t="inlineStr">
        <is>
          <t>eng</t>
        </is>
      </c>
      <c r="P828" t="inlineStr">
        <is>
          <t>dcu</t>
        </is>
      </c>
      <c r="R828" t="inlineStr">
        <is>
          <t xml:space="preserve">E  </t>
        </is>
      </c>
      <c r="S828" t="n">
        <v>2</v>
      </c>
      <c r="T828" t="n">
        <v>2</v>
      </c>
      <c r="U828" t="inlineStr">
        <is>
          <t>1996-10-21</t>
        </is>
      </c>
      <c r="V828" t="inlineStr">
        <is>
          <t>1996-10-21</t>
        </is>
      </c>
      <c r="W828" t="inlineStr">
        <is>
          <t>1991-02-14</t>
        </is>
      </c>
      <c r="X828" t="inlineStr">
        <is>
          <t>1991-02-14</t>
        </is>
      </c>
      <c r="Y828" t="n">
        <v>303</v>
      </c>
      <c r="Z828" t="n">
        <v>259</v>
      </c>
      <c r="AA828" t="n">
        <v>265</v>
      </c>
      <c r="AB828" t="n">
        <v>2</v>
      </c>
      <c r="AC828" t="n">
        <v>2</v>
      </c>
      <c r="AD828" t="n">
        <v>15</v>
      </c>
      <c r="AE828" t="n">
        <v>15</v>
      </c>
      <c r="AF828" t="n">
        <v>4</v>
      </c>
      <c r="AG828" t="n">
        <v>4</v>
      </c>
      <c r="AH828" t="n">
        <v>6</v>
      </c>
      <c r="AI828" t="n">
        <v>6</v>
      </c>
      <c r="AJ828" t="n">
        <v>10</v>
      </c>
      <c r="AK828" t="n">
        <v>10</v>
      </c>
      <c r="AL828" t="n">
        <v>1</v>
      </c>
      <c r="AM828" t="n">
        <v>1</v>
      </c>
      <c r="AN828" t="n">
        <v>0</v>
      </c>
      <c r="AO828" t="n">
        <v>0</v>
      </c>
      <c r="AP828" t="inlineStr">
        <is>
          <t>No</t>
        </is>
      </c>
      <c r="AQ828" t="inlineStr">
        <is>
          <t>No</t>
        </is>
      </c>
      <c r="AS828">
        <f>HYPERLINK("https://creighton-primo.hosted.exlibrisgroup.com/primo-explore/search?tab=default_tab&amp;search_scope=EVERYTHING&amp;vid=01CRU&amp;lang=en_US&amp;offset=0&amp;query=any,contains,991000124919702656","Catalog Record")</f>
        <v/>
      </c>
      <c r="AT828">
        <f>HYPERLINK("http://www.worldcat.org/oclc/9082399","WorldCat Record")</f>
        <v/>
      </c>
      <c r="AU828" t="inlineStr">
        <is>
          <t>43529318:eng</t>
        </is>
      </c>
      <c r="AV828" t="inlineStr">
        <is>
          <t>9082399</t>
        </is>
      </c>
      <c r="AW828" t="inlineStr">
        <is>
          <t>991000124919702656</t>
        </is>
      </c>
      <c r="AX828" t="inlineStr">
        <is>
          <t>991000124919702656</t>
        </is>
      </c>
      <c r="AY828" t="inlineStr">
        <is>
          <t>2255908610002656</t>
        </is>
      </c>
      <c r="AZ828" t="inlineStr">
        <is>
          <t>BOOK</t>
        </is>
      </c>
      <c r="BB828" t="inlineStr">
        <is>
          <t>9780819129826</t>
        </is>
      </c>
      <c r="BC828" t="inlineStr">
        <is>
          <t>32285000483239</t>
        </is>
      </c>
      <c r="BD828" t="inlineStr">
        <is>
          <t>893626213</t>
        </is>
      </c>
    </row>
    <row r="829">
      <c r="A829" t="inlineStr">
        <is>
          <t>No</t>
        </is>
      </c>
      <c r="B829" t="inlineStr">
        <is>
          <t>E184.F89 J7</t>
        </is>
      </c>
      <c r="C829" t="inlineStr">
        <is>
          <t>0                      E  0184000F  89                 J  7</t>
        </is>
      </c>
      <c r="D829" t="inlineStr">
        <is>
          <t>The Quakers in the American Colonies, by Rufus M. Jones, assisted by Isaac Sharpless and Amelia M. Gummere.</t>
        </is>
      </c>
      <c r="F829" t="inlineStr">
        <is>
          <t>No</t>
        </is>
      </c>
      <c r="G829" t="inlineStr">
        <is>
          <t>1</t>
        </is>
      </c>
      <c r="H829" t="inlineStr">
        <is>
          <t>No</t>
        </is>
      </c>
      <c r="I829" t="inlineStr">
        <is>
          <t>No</t>
        </is>
      </c>
      <c r="J829" t="inlineStr">
        <is>
          <t>0</t>
        </is>
      </c>
      <c r="K829" t="inlineStr">
        <is>
          <t>Jones, Rufus M. (Rufus Matthew), 1863-1948.</t>
        </is>
      </c>
      <c r="L829" t="inlineStr">
        <is>
          <t>New York, Russell &amp; Russell, 1962.</t>
        </is>
      </c>
      <c r="M829" t="inlineStr">
        <is>
          <t>1962</t>
        </is>
      </c>
      <c r="O829" t="inlineStr">
        <is>
          <t>eng</t>
        </is>
      </c>
      <c r="P829" t="inlineStr">
        <is>
          <t>nyu</t>
        </is>
      </c>
      <c r="R829" t="inlineStr">
        <is>
          <t xml:space="preserve">E  </t>
        </is>
      </c>
      <c r="S829" t="n">
        <v>2</v>
      </c>
      <c r="T829" t="n">
        <v>2</v>
      </c>
      <c r="U829" t="inlineStr">
        <is>
          <t>2001-04-11</t>
        </is>
      </c>
      <c r="V829" t="inlineStr">
        <is>
          <t>2001-04-11</t>
        </is>
      </c>
      <c r="W829" t="inlineStr">
        <is>
          <t>1997-04-09</t>
        </is>
      </c>
      <c r="X829" t="inlineStr">
        <is>
          <t>1997-04-09</t>
        </is>
      </c>
      <c r="Y829" t="n">
        <v>575</v>
      </c>
      <c r="Z829" t="n">
        <v>538</v>
      </c>
      <c r="AA829" t="n">
        <v>1186</v>
      </c>
      <c r="AB829" t="n">
        <v>5</v>
      </c>
      <c r="AC829" t="n">
        <v>13</v>
      </c>
      <c r="AD829" t="n">
        <v>21</v>
      </c>
      <c r="AE829" t="n">
        <v>45</v>
      </c>
      <c r="AF829" t="n">
        <v>9</v>
      </c>
      <c r="AG829" t="n">
        <v>15</v>
      </c>
      <c r="AH829" t="n">
        <v>4</v>
      </c>
      <c r="AI829" t="n">
        <v>10</v>
      </c>
      <c r="AJ829" t="n">
        <v>11</v>
      </c>
      <c r="AK829" t="n">
        <v>20</v>
      </c>
      <c r="AL829" t="n">
        <v>4</v>
      </c>
      <c r="AM829" t="n">
        <v>11</v>
      </c>
      <c r="AN829" t="n">
        <v>0</v>
      </c>
      <c r="AO829" t="n">
        <v>0</v>
      </c>
      <c r="AP829" t="inlineStr">
        <is>
          <t>Yes</t>
        </is>
      </c>
      <c r="AQ829" t="inlineStr">
        <is>
          <t>No</t>
        </is>
      </c>
      <c r="AR829">
        <f>HYPERLINK("http://catalog.hathitrust.org/Record/001593625","HathiTrust Record")</f>
        <v/>
      </c>
      <c r="AS829">
        <f>HYPERLINK("https://creighton-primo.hosted.exlibrisgroup.com/primo-explore/search?tab=default_tab&amp;search_scope=EVERYTHING&amp;vid=01CRU&amp;lang=en_US&amp;offset=0&amp;query=any,contains,991004283269702656","Catalog Record")</f>
        <v/>
      </c>
      <c r="AT829">
        <f>HYPERLINK("http://www.worldcat.org/oclc/2916038","WorldCat Record")</f>
        <v/>
      </c>
      <c r="AU829" t="inlineStr">
        <is>
          <t>1440521:eng</t>
        </is>
      </c>
      <c r="AV829" t="inlineStr">
        <is>
          <t>2916038</t>
        </is>
      </c>
      <c r="AW829" t="inlineStr">
        <is>
          <t>991004283269702656</t>
        </is>
      </c>
      <c r="AX829" t="inlineStr">
        <is>
          <t>991004283269702656</t>
        </is>
      </c>
      <c r="AY829" t="inlineStr">
        <is>
          <t>2270294340002656</t>
        </is>
      </c>
      <c r="AZ829" t="inlineStr">
        <is>
          <t>BOOK</t>
        </is>
      </c>
      <c r="BC829" t="inlineStr">
        <is>
          <t>32285002509379</t>
        </is>
      </c>
      <c r="BD829" t="inlineStr">
        <is>
          <t>893693751</t>
        </is>
      </c>
    </row>
    <row r="830">
      <c r="A830" t="inlineStr">
        <is>
          <t>No</t>
        </is>
      </c>
      <c r="B830" t="inlineStr">
        <is>
          <t>E184.G3 B38</t>
        </is>
      </c>
      <c r="C830" t="inlineStr">
        <is>
          <t>0                      E  0184000G  3                  B  38</t>
        </is>
      </c>
      <c r="D830" t="inlineStr">
        <is>
          <t>Americans from Germany : a study in cultural diversity.</t>
        </is>
      </c>
      <c r="F830" t="inlineStr">
        <is>
          <t>No</t>
        </is>
      </c>
      <c r="G830" t="inlineStr">
        <is>
          <t>1</t>
        </is>
      </c>
      <c r="H830" t="inlineStr">
        <is>
          <t>No</t>
        </is>
      </c>
      <c r="I830" t="inlineStr">
        <is>
          <t>No</t>
        </is>
      </c>
      <c r="J830" t="inlineStr">
        <is>
          <t>0</t>
        </is>
      </c>
      <c r="K830" t="inlineStr">
        <is>
          <t>Billigmeier, Robert Henry.</t>
        </is>
      </c>
      <c r="L830" t="inlineStr">
        <is>
          <t>Belmont, Calif. : Wadsworth Pub. Co., [1974]</t>
        </is>
      </c>
      <c r="M830" t="inlineStr">
        <is>
          <t>1974</t>
        </is>
      </c>
      <c r="O830" t="inlineStr">
        <is>
          <t>eng</t>
        </is>
      </c>
      <c r="P830" t="inlineStr">
        <is>
          <t>cau</t>
        </is>
      </c>
      <c r="Q830" t="inlineStr">
        <is>
          <t>Minorities in American life series</t>
        </is>
      </c>
      <c r="R830" t="inlineStr">
        <is>
          <t xml:space="preserve">E  </t>
        </is>
      </c>
      <c r="S830" t="n">
        <v>5</v>
      </c>
      <c r="T830" t="n">
        <v>5</v>
      </c>
      <c r="U830" t="inlineStr">
        <is>
          <t>2004-10-13</t>
        </is>
      </c>
      <c r="V830" t="inlineStr">
        <is>
          <t>2004-10-13</t>
        </is>
      </c>
      <c r="W830" t="inlineStr">
        <is>
          <t>1990-10-23</t>
        </is>
      </c>
      <c r="X830" t="inlineStr">
        <is>
          <t>1990-10-23</t>
        </is>
      </c>
      <c r="Y830" t="n">
        <v>448</v>
      </c>
      <c r="Z830" t="n">
        <v>420</v>
      </c>
      <c r="AA830" t="n">
        <v>427</v>
      </c>
      <c r="AB830" t="n">
        <v>4</v>
      </c>
      <c r="AC830" t="n">
        <v>4</v>
      </c>
      <c r="AD830" t="n">
        <v>16</v>
      </c>
      <c r="AE830" t="n">
        <v>16</v>
      </c>
      <c r="AF830" t="n">
        <v>7</v>
      </c>
      <c r="AG830" t="n">
        <v>7</v>
      </c>
      <c r="AH830" t="n">
        <v>5</v>
      </c>
      <c r="AI830" t="n">
        <v>5</v>
      </c>
      <c r="AJ830" t="n">
        <v>7</v>
      </c>
      <c r="AK830" t="n">
        <v>7</v>
      </c>
      <c r="AL830" t="n">
        <v>2</v>
      </c>
      <c r="AM830" t="n">
        <v>2</v>
      </c>
      <c r="AN830" t="n">
        <v>0</v>
      </c>
      <c r="AO830" t="n">
        <v>0</v>
      </c>
      <c r="AP830" t="inlineStr">
        <is>
          <t>No</t>
        </is>
      </c>
      <c r="AQ830" t="inlineStr">
        <is>
          <t>Yes</t>
        </is>
      </c>
      <c r="AR830">
        <f>HYPERLINK("http://catalog.hathitrust.org/Record/000016260","HathiTrust Record")</f>
        <v/>
      </c>
      <c r="AS830">
        <f>HYPERLINK("https://creighton-primo.hosted.exlibrisgroup.com/primo-explore/search?tab=default_tab&amp;search_scope=EVERYTHING&amp;vid=01CRU&amp;lang=en_US&amp;offset=0&amp;query=any,contains,991003456049702656","Catalog Record")</f>
        <v/>
      </c>
      <c r="AT830">
        <f>HYPERLINK("http://www.worldcat.org/oclc/995256","WorldCat Record")</f>
        <v/>
      </c>
      <c r="AU830" t="inlineStr">
        <is>
          <t>422939840:eng</t>
        </is>
      </c>
      <c r="AV830" t="inlineStr">
        <is>
          <t>995256</t>
        </is>
      </c>
      <c r="AW830" t="inlineStr">
        <is>
          <t>991003456049702656</t>
        </is>
      </c>
      <c r="AX830" t="inlineStr">
        <is>
          <t>991003456049702656</t>
        </is>
      </c>
      <c r="AY830" t="inlineStr">
        <is>
          <t>2257008170002656</t>
        </is>
      </c>
      <c r="AZ830" t="inlineStr">
        <is>
          <t>BOOK</t>
        </is>
      </c>
      <c r="BB830" t="inlineStr">
        <is>
          <t>9780534003555</t>
        </is>
      </c>
      <c r="BC830" t="inlineStr">
        <is>
          <t>32285000350800</t>
        </is>
      </c>
      <c r="BD830" t="inlineStr">
        <is>
          <t>893441298</t>
        </is>
      </c>
    </row>
    <row r="831">
      <c r="A831" t="inlineStr">
        <is>
          <t>No</t>
        </is>
      </c>
      <c r="B831" t="inlineStr">
        <is>
          <t>E184.G3 C363 1990</t>
        </is>
      </c>
      <c r="C831" t="inlineStr">
        <is>
          <t>0                      E  0184000G  3                  C  363         1990</t>
        </is>
      </c>
      <c r="D831" t="inlineStr">
        <is>
          <t>America's Nazis : a democratic dilemma : a history of the German American Bund / by Susan Canedy.</t>
        </is>
      </c>
      <c r="F831" t="inlineStr">
        <is>
          <t>No</t>
        </is>
      </c>
      <c r="G831" t="inlineStr">
        <is>
          <t>1</t>
        </is>
      </c>
      <c r="H831" t="inlineStr">
        <is>
          <t>No</t>
        </is>
      </c>
      <c r="I831" t="inlineStr">
        <is>
          <t>No</t>
        </is>
      </c>
      <c r="J831" t="inlineStr">
        <is>
          <t>0</t>
        </is>
      </c>
      <c r="K831" t="inlineStr">
        <is>
          <t>Canedy, Susan.</t>
        </is>
      </c>
      <c r="L831" t="inlineStr">
        <is>
          <t>Menlo Park, CA : Markgraf Publications Group, c1990.</t>
        </is>
      </c>
      <c r="M831" t="inlineStr">
        <is>
          <t>1990</t>
        </is>
      </c>
      <c r="O831" t="inlineStr">
        <is>
          <t>eng</t>
        </is>
      </c>
      <c r="P831" t="inlineStr">
        <is>
          <t>cau</t>
        </is>
      </c>
      <c r="R831" t="inlineStr">
        <is>
          <t xml:space="preserve">E  </t>
        </is>
      </c>
      <c r="S831" t="n">
        <v>4</v>
      </c>
      <c r="T831" t="n">
        <v>4</v>
      </c>
      <c r="U831" t="inlineStr">
        <is>
          <t>1994-04-27</t>
        </is>
      </c>
      <c r="V831" t="inlineStr">
        <is>
          <t>1994-04-27</t>
        </is>
      </c>
      <c r="W831" t="inlineStr">
        <is>
          <t>1991-03-14</t>
        </is>
      </c>
      <c r="X831" t="inlineStr">
        <is>
          <t>1991-03-14</t>
        </is>
      </c>
      <c r="Y831" t="n">
        <v>455</v>
      </c>
      <c r="Z831" t="n">
        <v>420</v>
      </c>
      <c r="AA831" t="n">
        <v>428</v>
      </c>
      <c r="AB831" t="n">
        <v>5</v>
      </c>
      <c r="AC831" t="n">
        <v>5</v>
      </c>
      <c r="AD831" t="n">
        <v>19</v>
      </c>
      <c r="AE831" t="n">
        <v>19</v>
      </c>
      <c r="AF831" t="n">
        <v>7</v>
      </c>
      <c r="AG831" t="n">
        <v>7</v>
      </c>
      <c r="AH831" t="n">
        <v>4</v>
      </c>
      <c r="AI831" t="n">
        <v>4</v>
      </c>
      <c r="AJ831" t="n">
        <v>10</v>
      </c>
      <c r="AK831" t="n">
        <v>10</v>
      </c>
      <c r="AL831" t="n">
        <v>3</v>
      </c>
      <c r="AM831" t="n">
        <v>3</v>
      </c>
      <c r="AN831" t="n">
        <v>0</v>
      </c>
      <c r="AO831" t="n">
        <v>0</v>
      </c>
      <c r="AP831" t="inlineStr">
        <is>
          <t>No</t>
        </is>
      </c>
      <c r="AQ831" t="inlineStr">
        <is>
          <t>Yes</t>
        </is>
      </c>
      <c r="AR831">
        <f>HYPERLINK("http://catalog.hathitrust.org/Record/002454923","HathiTrust Record")</f>
        <v/>
      </c>
      <c r="AS831">
        <f>HYPERLINK("https://creighton-primo.hosted.exlibrisgroup.com/primo-explore/search?tab=default_tab&amp;search_scope=EVERYTHING&amp;vid=01CRU&amp;lang=en_US&amp;offset=0&amp;query=any,contains,991001702559702656","Catalog Record")</f>
        <v/>
      </c>
      <c r="AT831">
        <f>HYPERLINK("http://www.worldcat.org/oclc/21525165","WorldCat Record")</f>
        <v/>
      </c>
      <c r="AU831" t="inlineStr">
        <is>
          <t>480227782:eng</t>
        </is>
      </c>
      <c r="AV831" t="inlineStr">
        <is>
          <t>21525165</t>
        </is>
      </c>
      <c r="AW831" t="inlineStr">
        <is>
          <t>991001702559702656</t>
        </is>
      </c>
      <c r="AX831" t="inlineStr">
        <is>
          <t>991001702559702656</t>
        </is>
      </c>
      <c r="AY831" t="inlineStr">
        <is>
          <t>2255879210002656</t>
        </is>
      </c>
      <c r="AZ831" t="inlineStr">
        <is>
          <t>BOOK</t>
        </is>
      </c>
      <c r="BB831" t="inlineStr">
        <is>
          <t>9780944109069</t>
        </is>
      </c>
      <c r="BC831" t="inlineStr">
        <is>
          <t>32285000511526</t>
        </is>
      </c>
      <c r="BD831" t="inlineStr">
        <is>
          <t>893590568</t>
        </is>
      </c>
    </row>
    <row r="832">
      <c r="A832" t="inlineStr">
        <is>
          <t>No</t>
        </is>
      </c>
      <c r="B832" t="inlineStr">
        <is>
          <t>E184.G3 C652 2004</t>
        </is>
      </c>
      <c r="C832" t="inlineStr">
        <is>
          <t>0                      E  0184000G  3                  C  652         2004</t>
        </is>
      </c>
      <c r="D832" t="inlineStr">
        <is>
          <t>Translating America : an immigrant press visualizes American popular culture, 1895-1918 / Peter Conolly-Smith.</t>
        </is>
      </c>
      <c r="F832" t="inlineStr">
        <is>
          <t>No</t>
        </is>
      </c>
      <c r="G832" t="inlineStr">
        <is>
          <t>1</t>
        </is>
      </c>
      <c r="H832" t="inlineStr">
        <is>
          <t>No</t>
        </is>
      </c>
      <c r="I832" t="inlineStr">
        <is>
          <t>No</t>
        </is>
      </c>
      <c r="J832" t="inlineStr">
        <is>
          <t>0</t>
        </is>
      </c>
      <c r="K832" t="inlineStr">
        <is>
          <t>Conolly-Smith, Peter.</t>
        </is>
      </c>
      <c r="L832" t="inlineStr">
        <is>
          <t>Washington : Smithsonian Books, c2004.</t>
        </is>
      </c>
      <c r="M832" t="inlineStr">
        <is>
          <t>2004</t>
        </is>
      </c>
      <c r="O832" t="inlineStr">
        <is>
          <t>eng</t>
        </is>
      </c>
      <c r="P832" t="inlineStr">
        <is>
          <t>dcu</t>
        </is>
      </c>
      <c r="R832" t="inlineStr">
        <is>
          <t xml:space="preserve">E  </t>
        </is>
      </c>
      <c r="S832" t="n">
        <v>3</v>
      </c>
      <c r="T832" t="n">
        <v>3</v>
      </c>
      <c r="U832" t="inlineStr">
        <is>
          <t>2004-10-12</t>
        </is>
      </c>
      <c r="V832" t="inlineStr">
        <is>
          <t>2004-10-12</t>
        </is>
      </c>
      <c r="W832" t="inlineStr">
        <is>
          <t>2004-09-01</t>
        </is>
      </c>
      <c r="X832" t="inlineStr">
        <is>
          <t>2004-09-01</t>
        </is>
      </c>
      <c r="Y832" t="n">
        <v>300</v>
      </c>
      <c r="Z832" t="n">
        <v>271</v>
      </c>
      <c r="AA832" t="n">
        <v>292</v>
      </c>
      <c r="AB832" t="n">
        <v>2</v>
      </c>
      <c r="AC832" t="n">
        <v>2</v>
      </c>
      <c r="AD832" t="n">
        <v>23</v>
      </c>
      <c r="AE832" t="n">
        <v>23</v>
      </c>
      <c r="AF832" t="n">
        <v>11</v>
      </c>
      <c r="AG832" t="n">
        <v>11</v>
      </c>
      <c r="AH832" t="n">
        <v>8</v>
      </c>
      <c r="AI832" t="n">
        <v>8</v>
      </c>
      <c r="AJ832" t="n">
        <v>11</v>
      </c>
      <c r="AK832" t="n">
        <v>11</v>
      </c>
      <c r="AL832" t="n">
        <v>1</v>
      </c>
      <c r="AM832" t="n">
        <v>1</v>
      </c>
      <c r="AN832" t="n">
        <v>1</v>
      </c>
      <c r="AO832" t="n">
        <v>1</v>
      </c>
      <c r="AP832" t="inlineStr">
        <is>
          <t>No</t>
        </is>
      </c>
      <c r="AQ832" t="inlineStr">
        <is>
          <t>No</t>
        </is>
      </c>
      <c r="AS832">
        <f>HYPERLINK("https://creighton-primo.hosted.exlibrisgroup.com/primo-explore/search?tab=default_tab&amp;search_scope=EVERYTHING&amp;vid=01CRU&amp;lang=en_US&amp;offset=0&amp;query=any,contains,991004349159702656","Catalog Record")</f>
        <v/>
      </c>
      <c r="AT832">
        <f>HYPERLINK("http://www.worldcat.org/oclc/52631375","WorldCat Record")</f>
        <v/>
      </c>
      <c r="AU832" t="inlineStr">
        <is>
          <t>287480405:eng</t>
        </is>
      </c>
      <c r="AV832" t="inlineStr">
        <is>
          <t>52631375</t>
        </is>
      </c>
      <c r="AW832" t="inlineStr">
        <is>
          <t>991004349159702656</t>
        </is>
      </c>
      <c r="AX832" t="inlineStr">
        <is>
          <t>991004349159702656</t>
        </is>
      </c>
      <c r="AY832" t="inlineStr">
        <is>
          <t>2255437010002656</t>
        </is>
      </c>
      <c r="AZ832" t="inlineStr">
        <is>
          <t>BOOK</t>
        </is>
      </c>
      <c r="BB832" t="inlineStr">
        <is>
          <t>9781588341679</t>
        </is>
      </c>
      <c r="BC832" t="inlineStr">
        <is>
          <t>32285004984752</t>
        </is>
      </c>
      <c r="BD832" t="inlineStr">
        <is>
          <t>893593584</t>
        </is>
      </c>
    </row>
    <row r="833">
      <c r="A833" t="inlineStr">
        <is>
          <t>No</t>
        </is>
      </c>
      <c r="B833" t="inlineStr">
        <is>
          <t>E184.G3 D8</t>
        </is>
      </c>
      <c r="C833" t="inlineStr">
        <is>
          <t>0                      E  0184000G  3                  D  8</t>
        </is>
      </c>
      <c r="D833" t="inlineStr">
        <is>
          <t>The Germans in American life / edited by Rachel Davis-DuBois [and] Emma Schweppe.</t>
        </is>
      </c>
      <c r="F833" t="inlineStr">
        <is>
          <t>No</t>
        </is>
      </c>
      <c r="G833" t="inlineStr">
        <is>
          <t>1</t>
        </is>
      </c>
      <c r="H833" t="inlineStr">
        <is>
          <t>No</t>
        </is>
      </c>
      <c r="I833" t="inlineStr">
        <is>
          <t>No</t>
        </is>
      </c>
      <c r="J833" t="inlineStr">
        <is>
          <t>0</t>
        </is>
      </c>
      <c r="K833" t="inlineStr">
        <is>
          <t>DuBois, Rachel Davis, editor.</t>
        </is>
      </c>
      <c r="L833" t="inlineStr">
        <is>
          <t>New York : T. Nelson and Sons, 1936.</t>
        </is>
      </c>
      <c r="M833" t="inlineStr">
        <is>
          <t>1936</t>
        </is>
      </c>
      <c r="O833" t="inlineStr">
        <is>
          <t>eng</t>
        </is>
      </c>
      <c r="P833" t="inlineStr">
        <is>
          <t>nyu</t>
        </is>
      </c>
      <c r="Q833" t="inlineStr">
        <is>
          <t>Building American culture</t>
        </is>
      </c>
      <c r="R833" t="inlineStr">
        <is>
          <t xml:space="preserve">E  </t>
        </is>
      </c>
      <c r="S833" t="n">
        <v>1</v>
      </c>
      <c r="T833" t="n">
        <v>1</v>
      </c>
      <c r="U833" t="inlineStr">
        <is>
          <t>2004-10-30</t>
        </is>
      </c>
      <c r="V833" t="inlineStr">
        <is>
          <t>2004-10-30</t>
        </is>
      </c>
      <c r="W833" t="inlineStr">
        <is>
          <t>1992-12-09</t>
        </is>
      </c>
      <c r="X833" t="inlineStr">
        <is>
          <t>1992-12-09</t>
        </is>
      </c>
      <c r="Y833" t="n">
        <v>121</v>
      </c>
      <c r="Z833" t="n">
        <v>119</v>
      </c>
      <c r="AA833" t="n">
        <v>150</v>
      </c>
      <c r="AB833" t="n">
        <v>3</v>
      </c>
      <c r="AC833" t="n">
        <v>3</v>
      </c>
      <c r="AD833" t="n">
        <v>5</v>
      </c>
      <c r="AE833" t="n">
        <v>5</v>
      </c>
      <c r="AF833" t="n">
        <v>1</v>
      </c>
      <c r="AG833" t="n">
        <v>1</v>
      </c>
      <c r="AH833" t="n">
        <v>2</v>
      </c>
      <c r="AI833" t="n">
        <v>2</v>
      </c>
      <c r="AJ833" t="n">
        <v>3</v>
      </c>
      <c r="AK833" t="n">
        <v>3</v>
      </c>
      <c r="AL833" t="n">
        <v>1</v>
      </c>
      <c r="AM833" t="n">
        <v>1</v>
      </c>
      <c r="AN833" t="n">
        <v>0</v>
      </c>
      <c r="AO833" t="n">
        <v>0</v>
      </c>
      <c r="AP833" t="inlineStr">
        <is>
          <t>No</t>
        </is>
      </c>
      <c r="AQ833" t="inlineStr">
        <is>
          <t>No</t>
        </is>
      </c>
      <c r="AR833">
        <f>HYPERLINK("http://catalog.hathitrust.org/Record/006539315","HathiTrust Record")</f>
        <v/>
      </c>
      <c r="AS833">
        <f>HYPERLINK("https://creighton-primo.hosted.exlibrisgroup.com/primo-explore/search?tab=default_tab&amp;search_scope=EVERYTHING&amp;vid=01CRU&amp;lang=en_US&amp;offset=0&amp;query=any,contains,991003753769702656","Catalog Record")</f>
        <v/>
      </c>
      <c r="AT833">
        <f>HYPERLINK("http://www.worldcat.org/oclc/1432876","WorldCat Record")</f>
        <v/>
      </c>
      <c r="AU833" t="inlineStr">
        <is>
          <t>1518225:eng</t>
        </is>
      </c>
      <c r="AV833" t="inlineStr">
        <is>
          <t>1432876</t>
        </is>
      </c>
      <c r="AW833" t="inlineStr">
        <is>
          <t>991003753769702656</t>
        </is>
      </c>
      <c r="AX833" t="inlineStr">
        <is>
          <t>991003753769702656</t>
        </is>
      </c>
      <c r="AY833" t="inlineStr">
        <is>
          <t>2268824100002656</t>
        </is>
      </c>
      <c r="AZ833" t="inlineStr">
        <is>
          <t>BOOK</t>
        </is>
      </c>
      <c r="BC833" t="inlineStr">
        <is>
          <t>32285001413904</t>
        </is>
      </c>
      <c r="BD833" t="inlineStr">
        <is>
          <t>893705590</t>
        </is>
      </c>
    </row>
    <row r="834">
      <c r="A834" t="inlineStr">
        <is>
          <t>No</t>
        </is>
      </c>
      <c r="B834" t="inlineStr">
        <is>
          <t>E184.G3 G314 1991</t>
        </is>
      </c>
      <c r="C834" t="inlineStr">
        <is>
          <t>0                      E  0184000G  3                  G  314         1991</t>
        </is>
      </c>
      <c r="D834" t="inlineStr">
        <is>
          <t>German-American life : recipes and traditions / edited by John D. Zug and Karin Gottier ; photography, Joan Liffring-Zug and Karin Gottier.</t>
        </is>
      </c>
      <c r="F834" t="inlineStr">
        <is>
          <t>No</t>
        </is>
      </c>
      <c r="G834" t="inlineStr">
        <is>
          <t>1</t>
        </is>
      </c>
      <c r="H834" t="inlineStr">
        <is>
          <t>No</t>
        </is>
      </c>
      <c r="I834" t="inlineStr">
        <is>
          <t>No</t>
        </is>
      </c>
      <c r="J834" t="inlineStr">
        <is>
          <t>0</t>
        </is>
      </c>
      <c r="L834" t="inlineStr">
        <is>
          <t>Iowa City, Iowa : Penfield Press, c1991.</t>
        </is>
      </c>
      <c r="M834" t="inlineStr">
        <is>
          <t>1991</t>
        </is>
      </c>
      <c r="O834" t="inlineStr">
        <is>
          <t>eng</t>
        </is>
      </c>
      <c r="P834" t="inlineStr">
        <is>
          <t>iau</t>
        </is>
      </c>
      <c r="R834" t="inlineStr">
        <is>
          <t xml:space="preserve">E  </t>
        </is>
      </c>
      <c r="S834" t="n">
        <v>3</v>
      </c>
      <c r="T834" t="n">
        <v>3</v>
      </c>
      <c r="U834" t="inlineStr">
        <is>
          <t>2005-04-01</t>
        </is>
      </c>
      <c r="V834" t="inlineStr">
        <is>
          <t>2005-04-01</t>
        </is>
      </c>
      <c r="W834" t="inlineStr">
        <is>
          <t>2004-10-14</t>
        </is>
      </c>
      <c r="X834" t="inlineStr">
        <is>
          <t>2004-10-14</t>
        </is>
      </c>
      <c r="Y834" t="n">
        <v>114</v>
      </c>
      <c r="Z834" t="n">
        <v>109</v>
      </c>
      <c r="AA834" t="n">
        <v>110</v>
      </c>
      <c r="AB834" t="n">
        <v>2</v>
      </c>
      <c r="AC834" t="n">
        <v>2</v>
      </c>
      <c r="AD834" t="n">
        <v>0</v>
      </c>
      <c r="AE834" t="n">
        <v>0</v>
      </c>
      <c r="AF834" t="n">
        <v>0</v>
      </c>
      <c r="AG834" t="n">
        <v>0</v>
      </c>
      <c r="AH834" t="n">
        <v>0</v>
      </c>
      <c r="AI834" t="n">
        <v>0</v>
      </c>
      <c r="AJ834" t="n">
        <v>0</v>
      </c>
      <c r="AK834" t="n">
        <v>0</v>
      </c>
      <c r="AL834" t="n">
        <v>0</v>
      </c>
      <c r="AM834" t="n">
        <v>0</v>
      </c>
      <c r="AN834" t="n">
        <v>0</v>
      </c>
      <c r="AO834" t="n">
        <v>0</v>
      </c>
      <c r="AP834" t="inlineStr">
        <is>
          <t>No</t>
        </is>
      </c>
      <c r="AQ834" t="inlineStr">
        <is>
          <t>Yes</t>
        </is>
      </c>
      <c r="AR834">
        <f>HYPERLINK("http://catalog.hathitrust.org/Record/007059330","HathiTrust Record")</f>
        <v/>
      </c>
      <c r="AS834">
        <f>HYPERLINK("https://creighton-primo.hosted.exlibrisgroup.com/primo-explore/search?tab=default_tab&amp;search_scope=EVERYTHING&amp;vid=01CRU&amp;lang=en_US&amp;offset=0&amp;query=any,contains,991004349939702656","Catalog Record")</f>
        <v/>
      </c>
      <c r="AT834">
        <f>HYPERLINK("http://www.worldcat.org/oclc/24649107","WorldCat Record")</f>
        <v/>
      </c>
      <c r="AU834" t="inlineStr">
        <is>
          <t>43784924:eng</t>
        </is>
      </c>
      <c r="AV834" t="inlineStr">
        <is>
          <t>24649107</t>
        </is>
      </c>
      <c r="AW834" t="inlineStr">
        <is>
          <t>991004349939702656</t>
        </is>
      </c>
      <c r="AX834" t="inlineStr">
        <is>
          <t>991004349939702656</t>
        </is>
      </c>
      <c r="AY834" t="inlineStr">
        <is>
          <t>2262717960002656</t>
        </is>
      </c>
      <c r="AZ834" t="inlineStr">
        <is>
          <t>BOOK</t>
        </is>
      </c>
      <c r="BB834" t="inlineStr">
        <is>
          <t>9780941016834</t>
        </is>
      </c>
      <c r="BC834" t="inlineStr">
        <is>
          <t>32285005003909</t>
        </is>
      </c>
      <c r="BD834" t="inlineStr">
        <is>
          <t>893628110</t>
        </is>
      </c>
    </row>
    <row r="835">
      <c r="A835" t="inlineStr">
        <is>
          <t>No</t>
        </is>
      </c>
      <c r="B835" t="inlineStr">
        <is>
          <t>E184.G3 G34</t>
        </is>
      </c>
      <c r="C835" t="inlineStr">
        <is>
          <t>0                      E  0184000G  3                  G  34</t>
        </is>
      </c>
      <c r="D835" t="inlineStr">
        <is>
          <t>The German contribution to the building of the Americas : studies in honor of Karl J. R. Arndt / edited by Gerhard K. Friesen, Walter Schatzberg.</t>
        </is>
      </c>
      <c r="F835" t="inlineStr">
        <is>
          <t>No</t>
        </is>
      </c>
      <c r="G835" t="inlineStr">
        <is>
          <t>1</t>
        </is>
      </c>
      <c r="H835" t="inlineStr">
        <is>
          <t>No</t>
        </is>
      </c>
      <c r="I835" t="inlineStr">
        <is>
          <t>No</t>
        </is>
      </c>
      <c r="J835" t="inlineStr">
        <is>
          <t>0</t>
        </is>
      </c>
      <c r="L835" t="inlineStr">
        <is>
          <t>[Worcester, Mass.] : Clark University Press ; Hanover, N.H. : distributed by the University Press of New England, 1977.</t>
        </is>
      </c>
      <c r="M835" t="inlineStr">
        <is>
          <t>1977</t>
        </is>
      </c>
      <c r="O835" t="inlineStr">
        <is>
          <t>eng</t>
        </is>
      </c>
      <c r="P835" t="inlineStr">
        <is>
          <t>mau</t>
        </is>
      </c>
      <c r="R835" t="inlineStr">
        <is>
          <t xml:space="preserve">E  </t>
        </is>
      </c>
      <c r="S835" t="n">
        <v>2</v>
      </c>
      <c r="T835" t="n">
        <v>2</v>
      </c>
      <c r="U835" t="inlineStr">
        <is>
          <t>2004-10-30</t>
        </is>
      </c>
      <c r="V835" t="inlineStr">
        <is>
          <t>2004-10-30</t>
        </is>
      </c>
      <c r="W835" t="inlineStr">
        <is>
          <t>1992-12-09</t>
        </is>
      </c>
      <c r="X835" t="inlineStr">
        <is>
          <t>1992-12-09</t>
        </is>
      </c>
      <c r="Y835" t="n">
        <v>525</v>
      </c>
      <c r="Z835" t="n">
        <v>480</v>
      </c>
      <c r="AA835" t="n">
        <v>485</v>
      </c>
      <c r="AB835" t="n">
        <v>5</v>
      </c>
      <c r="AC835" t="n">
        <v>5</v>
      </c>
      <c r="AD835" t="n">
        <v>20</v>
      </c>
      <c r="AE835" t="n">
        <v>20</v>
      </c>
      <c r="AF835" t="n">
        <v>7</v>
      </c>
      <c r="AG835" t="n">
        <v>7</v>
      </c>
      <c r="AH835" t="n">
        <v>6</v>
      </c>
      <c r="AI835" t="n">
        <v>6</v>
      </c>
      <c r="AJ835" t="n">
        <v>8</v>
      </c>
      <c r="AK835" t="n">
        <v>8</v>
      </c>
      <c r="AL835" t="n">
        <v>3</v>
      </c>
      <c r="AM835" t="n">
        <v>3</v>
      </c>
      <c r="AN835" t="n">
        <v>0</v>
      </c>
      <c r="AO835" t="n">
        <v>0</v>
      </c>
      <c r="AP835" t="inlineStr">
        <is>
          <t>No</t>
        </is>
      </c>
      <c r="AQ835" t="inlineStr">
        <is>
          <t>Yes</t>
        </is>
      </c>
      <c r="AR835">
        <f>HYPERLINK("http://catalog.hathitrust.org/Record/000131638","HathiTrust Record")</f>
        <v/>
      </c>
      <c r="AS835">
        <f>HYPERLINK("https://creighton-primo.hosted.exlibrisgroup.com/primo-explore/search?tab=default_tab&amp;search_scope=EVERYTHING&amp;vid=01CRU&amp;lang=en_US&amp;offset=0&amp;query=any,contains,991004499499702656","Catalog Record")</f>
        <v/>
      </c>
      <c r="AT835">
        <f>HYPERLINK("http://www.worldcat.org/oclc/3710687","WorldCat Record")</f>
        <v/>
      </c>
      <c r="AU835" t="inlineStr">
        <is>
          <t>181258376:eng</t>
        </is>
      </c>
      <c r="AV835" t="inlineStr">
        <is>
          <t>3710687</t>
        </is>
      </c>
      <c r="AW835" t="inlineStr">
        <is>
          <t>991004499499702656</t>
        </is>
      </c>
      <c r="AX835" t="inlineStr">
        <is>
          <t>991004499499702656</t>
        </is>
      </c>
      <c r="AY835" t="inlineStr">
        <is>
          <t>2263969890002656</t>
        </is>
      </c>
      <c r="AZ835" t="inlineStr">
        <is>
          <t>BOOK</t>
        </is>
      </c>
      <c r="BB835" t="inlineStr">
        <is>
          <t>9780874511338</t>
        </is>
      </c>
      <c r="BC835" t="inlineStr">
        <is>
          <t>32285001413896</t>
        </is>
      </c>
      <c r="BD835" t="inlineStr">
        <is>
          <t>893782303</t>
        </is>
      </c>
    </row>
    <row r="836">
      <c r="A836" t="inlineStr">
        <is>
          <t>No</t>
        </is>
      </c>
      <c r="B836" t="inlineStr">
        <is>
          <t>E184.G3 H2346 1999</t>
        </is>
      </c>
      <c r="C836" t="inlineStr">
        <is>
          <t>0                      E  0184000G  3                  H  2346        1999</t>
        </is>
      </c>
      <c r="D836" t="inlineStr">
        <is>
          <t>Finding your German ancestors : a beginner's guide / Kevan M. Hansen.</t>
        </is>
      </c>
      <c r="F836" t="inlineStr">
        <is>
          <t>No</t>
        </is>
      </c>
      <c r="G836" t="inlineStr">
        <is>
          <t>1</t>
        </is>
      </c>
      <c r="H836" t="inlineStr">
        <is>
          <t>No</t>
        </is>
      </c>
      <c r="I836" t="inlineStr">
        <is>
          <t>No</t>
        </is>
      </c>
      <c r="J836" t="inlineStr">
        <is>
          <t>0</t>
        </is>
      </c>
      <c r="K836" t="inlineStr">
        <is>
          <t>Hansen, Kevan M., 1962-</t>
        </is>
      </c>
      <c r="L836" t="inlineStr">
        <is>
          <t>Orem, Utah : Ancestry, c1999.</t>
        </is>
      </c>
      <c r="M836" t="inlineStr">
        <is>
          <t>1999</t>
        </is>
      </c>
      <c r="O836" t="inlineStr">
        <is>
          <t>eng</t>
        </is>
      </c>
      <c r="P836" t="inlineStr">
        <is>
          <t>utu</t>
        </is>
      </c>
      <c r="R836" t="inlineStr">
        <is>
          <t xml:space="preserve">E  </t>
        </is>
      </c>
      <c r="S836" t="n">
        <v>1</v>
      </c>
      <c r="T836" t="n">
        <v>1</v>
      </c>
      <c r="U836" t="inlineStr">
        <is>
          <t>2004-10-14</t>
        </is>
      </c>
      <c r="V836" t="inlineStr">
        <is>
          <t>2004-10-14</t>
        </is>
      </c>
      <c r="W836" t="inlineStr">
        <is>
          <t>2004-10-14</t>
        </is>
      </c>
      <c r="X836" t="inlineStr">
        <is>
          <t>2004-10-14</t>
        </is>
      </c>
      <c r="Y836" t="n">
        <v>265</v>
      </c>
      <c r="Z836" t="n">
        <v>247</v>
      </c>
      <c r="AA836" t="n">
        <v>251</v>
      </c>
      <c r="AB836" t="n">
        <v>3</v>
      </c>
      <c r="AC836" t="n">
        <v>3</v>
      </c>
      <c r="AD836" t="n">
        <v>1</v>
      </c>
      <c r="AE836" t="n">
        <v>1</v>
      </c>
      <c r="AF836" t="n">
        <v>0</v>
      </c>
      <c r="AG836" t="n">
        <v>0</v>
      </c>
      <c r="AH836" t="n">
        <v>0</v>
      </c>
      <c r="AI836" t="n">
        <v>0</v>
      </c>
      <c r="AJ836" t="n">
        <v>0</v>
      </c>
      <c r="AK836" t="n">
        <v>0</v>
      </c>
      <c r="AL836" t="n">
        <v>1</v>
      </c>
      <c r="AM836" t="n">
        <v>1</v>
      </c>
      <c r="AN836" t="n">
        <v>0</v>
      </c>
      <c r="AO836" t="n">
        <v>0</v>
      </c>
      <c r="AP836" t="inlineStr">
        <is>
          <t>No</t>
        </is>
      </c>
      <c r="AQ836" t="inlineStr">
        <is>
          <t>No</t>
        </is>
      </c>
      <c r="AS836">
        <f>HYPERLINK("https://creighton-primo.hosted.exlibrisgroup.com/primo-explore/search?tab=default_tab&amp;search_scope=EVERYTHING&amp;vid=01CRU&amp;lang=en_US&amp;offset=0&amp;query=any,contains,991004349189702656","Catalog Record")</f>
        <v/>
      </c>
      <c r="AT836">
        <f>HYPERLINK("http://www.worldcat.org/oclc/40179571","WorldCat Record")</f>
        <v/>
      </c>
      <c r="AU836" t="inlineStr">
        <is>
          <t>477646687:eng</t>
        </is>
      </c>
      <c r="AV836" t="inlineStr">
        <is>
          <t>40179571</t>
        </is>
      </c>
      <c r="AW836" t="inlineStr">
        <is>
          <t>991004349189702656</t>
        </is>
      </c>
      <c r="AX836" t="inlineStr">
        <is>
          <t>991004349189702656</t>
        </is>
      </c>
      <c r="AY836" t="inlineStr">
        <is>
          <t>2263833830002656</t>
        </is>
      </c>
      <c r="AZ836" t="inlineStr">
        <is>
          <t>BOOK</t>
        </is>
      </c>
      <c r="BB836" t="inlineStr">
        <is>
          <t>9780916489830</t>
        </is>
      </c>
      <c r="BC836" t="inlineStr">
        <is>
          <t>32285005003891</t>
        </is>
      </c>
      <c r="BD836" t="inlineStr">
        <is>
          <t>893229247</t>
        </is>
      </c>
    </row>
    <row r="837">
      <c r="A837" t="inlineStr">
        <is>
          <t>No</t>
        </is>
      </c>
      <c r="B837" t="inlineStr">
        <is>
          <t>E184.G3 H27 1970</t>
        </is>
      </c>
      <c r="C837" t="inlineStr">
        <is>
          <t>0                      E  0184000G  3                  H  27          1970</t>
        </is>
      </c>
      <c r="D837" t="inlineStr">
        <is>
          <t>The tragedy of German-America.</t>
        </is>
      </c>
      <c r="F837" t="inlineStr">
        <is>
          <t>No</t>
        </is>
      </c>
      <c r="G837" t="inlineStr">
        <is>
          <t>1</t>
        </is>
      </c>
      <c r="H837" t="inlineStr">
        <is>
          <t>No</t>
        </is>
      </c>
      <c r="I837" t="inlineStr">
        <is>
          <t>No</t>
        </is>
      </c>
      <c r="J837" t="inlineStr">
        <is>
          <t>0</t>
        </is>
      </c>
      <c r="K837" t="inlineStr">
        <is>
          <t>Hawgood, John A. (John Arkas), 1905-1971.</t>
        </is>
      </c>
      <c r="L837" t="inlineStr">
        <is>
          <t>New York : Arno Press, 1970 [c1940]</t>
        </is>
      </c>
      <c r="M837" t="inlineStr">
        <is>
          <t>1970</t>
        </is>
      </c>
      <c r="O837" t="inlineStr">
        <is>
          <t>eng</t>
        </is>
      </c>
      <c r="P837" t="inlineStr">
        <is>
          <t>nyu</t>
        </is>
      </c>
      <c r="Q837" t="inlineStr">
        <is>
          <t>The American immigration collection. Series II</t>
        </is>
      </c>
      <c r="R837" t="inlineStr">
        <is>
          <t xml:space="preserve">E  </t>
        </is>
      </c>
      <c r="S837" t="n">
        <v>4</v>
      </c>
      <c r="T837" t="n">
        <v>4</v>
      </c>
      <c r="U837" t="inlineStr">
        <is>
          <t>2004-09-17</t>
        </is>
      </c>
      <c r="V837" t="inlineStr">
        <is>
          <t>2004-09-17</t>
        </is>
      </c>
      <c r="W837" t="inlineStr">
        <is>
          <t>1992-12-09</t>
        </is>
      </c>
      <c r="X837" t="inlineStr">
        <is>
          <t>1992-12-09</t>
        </is>
      </c>
      <c r="Y837" t="n">
        <v>354</v>
      </c>
      <c r="Z837" t="n">
        <v>330</v>
      </c>
      <c r="AA837" t="n">
        <v>337</v>
      </c>
      <c r="AB837" t="n">
        <v>6</v>
      </c>
      <c r="AC837" t="n">
        <v>6</v>
      </c>
      <c r="AD837" t="n">
        <v>25</v>
      </c>
      <c r="AE837" t="n">
        <v>25</v>
      </c>
      <c r="AF837" t="n">
        <v>10</v>
      </c>
      <c r="AG837" t="n">
        <v>10</v>
      </c>
      <c r="AH837" t="n">
        <v>6</v>
      </c>
      <c r="AI837" t="n">
        <v>6</v>
      </c>
      <c r="AJ837" t="n">
        <v>9</v>
      </c>
      <c r="AK837" t="n">
        <v>9</v>
      </c>
      <c r="AL837" t="n">
        <v>5</v>
      </c>
      <c r="AM837" t="n">
        <v>5</v>
      </c>
      <c r="AN837" t="n">
        <v>0</v>
      </c>
      <c r="AO837" t="n">
        <v>0</v>
      </c>
      <c r="AP837" t="inlineStr">
        <is>
          <t>No</t>
        </is>
      </c>
      <c r="AQ837" t="inlineStr">
        <is>
          <t>No</t>
        </is>
      </c>
      <c r="AS837">
        <f>HYPERLINK("https://creighton-primo.hosted.exlibrisgroup.com/primo-explore/search?tab=default_tab&amp;search_scope=EVERYTHING&amp;vid=01CRU&amp;lang=en_US&amp;offset=0&amp;query=any,contains,991000632269702656","Catalog Record")</f>
        <v/>
      </c>
      <c r="AT837">
        <f>HYPERLINK("http://www.worldcat.org/oclc/106236","WorldCat Record")</f>
        <v/>
      </c>
      <c r="AU837" t="inlineStr">
        <is>
          <t>9592793880:eng</t>
        </is>
      </c>
      <c r="AV837" t="inlineStr">
        <is>
          <t>106236</t>
        </is>
      </c>
      <c r="AW837" t="inlineStr">
        <is>
          <t>991000632269702656</t>
        </is>
      </c>
      <c r="AX837" t="inlineStr">
        <is>
          <t>991000632269702656</t>
        </is>
      </c>
      <c r="AY837" t="inlineStr">
        <is>
          <t>2263898640002656</t>
        </is>
      </c>
      <c r="AZ837" t="inlineStr">
        <is>
          <t>BOOK</t>
        </is>
      </c>
      <c r="BB837" t="inlineStr">
        <is>
          <t>9780405005541</t>
        </is>
      </c>
      <c r="BC837" t="inlineStr">
        <is>
          <t>32285001413888</t>
        </is>
      </c>
      <c r="BD837" t="inlineStr">
        <is>
          <t>893432143</t>
        </is>
      </c>
    </row>
    <row r="838">
      <c r="A838" t="inlineStr">
        <is>
          <t>No</t>
        </is>
      </c>
      <c r="B838" t="inlineStr">
        <is>
          <t>E184.G3 H65 1996</t>
        </is>
      </c>
      <c r="C838" t="inlineStr">
        <is>
          <t>0                      E  0184000G  3                  H  65          1996</t>
        </is>
      </c>
      <c r="D838" t="inlineStr">
        <is>
          <t>The German American family album / Dorothy and Thomas Hoobler ; introduction by Werner Klemperer.</t>
        </is>
      </c>
      <c r="F838" t="inlineStr">
        <is>
          <t>No</t>
        </is>
      </c>
      <c r="G838" t="inlineStr">
        <is>
          <t>1</t>
        </is>
      </c>
      <c r="H838" t="inlineStr">
        <is>
          <t>No</t>
        </is>
      </c>
      <c r="I838" t="inlineStr">
        <is>
          <t>No</t>
        </is>
      </c>
      <c r="J838" t="inlineStr">
        <is>
          <t>0</t>
        </is>
      </c>
      <c r="K838" t="inlineStr">
        <is>
          <t>Hoobler, Dorothy.</t>
        </is>
      </c>
      <c r="L838" t="inlineStr">
        <is>
          <t>New York : Oxford University Press, 1996.</t>
        </is>
      </c>
      <c r="M838" t="inlineStr">
        <is>
          <t>1996</t>
        </is>
      </c>
      <c r="O838" t="inlineStr">
        <is>
          <t>eng</t>
        </is>
      </c>
      <c r="P838" t="inlineStr">
        <is>
          <t>nyu</t>
        </is>
      </c>
      <c r="Q838" t="inlineStr">
        <is>
          <t>American family albums</t>
        </is>
      </c>
      <c r="R838" t="inlineStr">
        <is>
          <t xml:space="preserve">E  </t>
        </is>
      </c>
      <c r="S838" t="n">
        <v>3</v>
      </c>
      <c r="T838" t="n">
        <v>3</v>
      </c>
      <c r="U838" t="inlineStr">
        <is>
          <t>1999-03-29</t>
        </is>
      </c>
      <c r="V838" t="inlineStr">
        <is>
          <t>1999-03-29</t>
        </is>
      </c>
      <c r="W838" t="inlineStr">
        <is>
          <t>1997-04-01</t>
        </is>
      </c>
      <c r="X838" t="inlineStr">
        <is>
          <t>1997-04-01</t>
        </is>
      </c>
      <c r="Y838" t="n">
        <v>504</v>
      </c>
      <c r="Z838" t="n">
        <v>502</v>
      </c>
      <c r="AA838" t="n">
        <v>707</v>
      </c>
      <c r="AB838" t="n">
        <v>7</v>
      </c>
      <c r="AC838" t="n">
        <v>9</v>
      </c>
      <c r="AD838" t="n">
        <v>6</v>
      </c>
      <c r="AE838" t="n">
        <v>10</v>
      </c>
      <c r="AF838" t="n">
        <v>3</v>
      </c>
      <c r="AG838" t="n">
        <v>4</v>
      </c>
      <c r="AH838" t="n">
        <v>0</v>
      </c>
      <c r="AI838" t="n">
        <v>0</v>
      </c>
      <c r="AJ838" t="n">
        <v>3</v>
      </c>
      <c r="AK838" t="n">
        <v>5</v>
      </c>
      <c r="AL838" t="n">
        <v>1</v>
      </c>
      <c r="AM838" t="n">
        <v>3</v>
      </c>
      <c r="AN838" t="n">
        <v>0</v>
      </c>
      <c r="AO838" t="n">
        <v>0</v>
      </c>
      <c r="AP838" t="inlineStr">
        <is>
          <t>No</t>
        </is>
      </c>
      <c r="AQ838" t="inlineStr">
        <is>
          <t>No</t>
        </is>
      </c>
      <c r="AS838">
        <f>HYPERLINK("https://creighton-primo.hosted.exlibrisgroup.com/primo-explore/search?tab=default_tab&amp;search_scope=EVERYTHING&amp;vid=01CRU&amp;lang=en_US&amp;offset=0&amp;query=any,contains,991002479299702656","Catalog Record")</f>
        <v/>
      </c>
      <c r="AT838">
        <f>HYPERLINK("http://www.worldcat.org/oclc/32274457","WorldCat Record")</f>
        <v/>
      </c>
      <c r="AU838" t="inlineStr">
        <is>
          <t>3857897979:eng</t>
        </is>
      </c>
      <c r="AV838" t="inlineStr">
        <is>
          <t>32274457</t>
        </is>
      </c>
      <c r="AW838" t="inlineStr">
        <is>
          <t>991002479299702656</t>
        </is>
      </c>
      <c r="AX838" t="inlineStr">
        <is>
          <t>991002479299702656</t>
        </is>
      </c>
      <c r="AY838" t="inlineStr">
        <is>
          <t>2260386700002656</t>
        </is>
      </c>
      <c r="AZ838" t="inlineStr">
        <is>
          <t>BOOK</t>
        </is>
      </c>
      <c r="BB838" t="inlineStr">
        <is>
          <t>9780195081336</t>
        </is>
      </c>
      <c r="BC838" t="inlineStr">
        <is>
          <t>32285002477676</t>
        </is>
      </c>
      <c r="BD838" t="inlineStr">
        <is>
          <t>893892598</t>
        </is>
      </c>
    </row>
    <row r="839">
      <c r="A839" t="inlineStr">
        <is>
          <t>No</t>
        </is>
      </c>
      <c r="B839" t="inlineStr">
        <is>
          <t>E184.G3 K47 1980</t>
        </is>
      </c>
      <c r="C839" t="inlineStr">
        <is>
          <t>0                      E  0184000G  3                  K  47          1980</t>
        </is>
      </c>
      <c r="D839" t="inlineStr">
        <is>
          <t>German-American history and life : a guide to information sources / Michael Keresztesi, and Gary R. Cocozzoli.</t>
        </is>
      </c>
      <c r="F839" t="inlineStr">
        <is>
          <t>No</t>
        </is>
      </c>
      <c r="G839" t="inlineStr">
        <is>
          <t>1</t>
        </is>
      </c>
      <c r="H839" t="inlineStr">
        <is>
          <t>No</t>
        </is>
      </c>
      <c r="I839" t="inlineStr">
        <is>
          <t>No</t>
        </is>
      </c>
      <c r="J839" t="inlineStr">
        <is>
          <t>0</t>
        </is>
      </c>
      <c r="K839" t="inlineStr">
        <is>
          <t>Keresztesi, Michael.</t>
        </is>
      </c>
      <c r="L839" t="inlineStr">
        <is>
          <t>Detroit, Mich. : Gale Research Co., c1980.</t>
        </is>
      </c>
      <c r="M839" t="inlineStr">
        <is>
          <t>1980</t>
        </is>
      </c>
      <c r="O839" t="inlineStr">
        <is>
          <t>eng</t>
        </is>
      </c>
      <c r="P839" t="inlineStr">
        <is>
          <t>miu</t>
        </is>
      </c>
      <c r="Q839" t="inlineStr">
        <is>
          <t>Ethnic studies information guide series ; v. 4</t>
        </is>
      </c>
      <c r="R839" t="inlineStr">
        <is>
          <t xml:space="preserve">E  </t>
        </is>
      </c>
      <c r="S839" t="n">
        <v>10</v>
      </c>
      <c r="T839" t="n">
        <v>10</v>
      </c>
      <c r="U839" t="inlineStr">
        <is>
          <t>2005-04-01</t>
        </is>
      </c>
      <c r="V839" t="inlineStr">
        <is>
          <t>2005-04-01</t>
        </is>
      </c>
      <c r="W839" t="inlineStr">
        <is>
          <t>1990-06-12</t>
        </is>
      </c>
      <c r="X839" t="inlineStr">
        <is>
          <t>1990-06-12</t>
        </is>
      </c>
      <c r="Y839" t="n">
        <v>263</v>
      </c>
      <c r="Z839" t="n">
        <v>233</v>
      </c>
      <c r="AA839" t="n">
        <v>239</v>
      </c>
      <c r="AB839" t="n">
        <v>3</v>
      </c>
      <c r="AC839" t="n">
        <v>3</v>
      </c>
      <c r="AD839" t="n">
        <v>8</v>
      </c>
      <c r="AE839" t="n">
        <v>8</v>
      </c>
      <c r="AF839" t="n">
        <v>2</v>
      </c>
      <c r="AG839" t="n">
        <v>2</v>
      </c>
      <c r="AH839" t="n">
        <v>1</v>
      </c>
      <c r="AI839" t="n">
        <v>1</v>
      </c>
      <c r="AJ839" t="n">
        <v>4</v>
      </c>
      <c r="AK839" t="n">
        <v>4</v>
      </c>
      <c r="AL839" t="n">
        <v>2</v>
      </c>
      <c r="AM839" t="n">
        <v>2</v>
      </c>
      <c r="AN839" t="n">
        <v>0</v>
      </c>
      <c r="AO839" t="n">
        <v>0</v>
      </c>
      <c r="AP839" t="inlineStr">
        <is>
          <t>No</t>
        </is>
      </c>
      <c r="AQ839" t="inlineStr">
        <is>
          <t>Yes</t>
        </is>
      </c>
      <c r="AR839">
        <f>HYPERLINK("http://catalog.hathitrust.org/Record/000692532","HathiTrust Record")</f>
        <v/>
      </c>
      <c r="AS839">
        <f>HYPERLINK("https://creighton-primo.hosted.exlibrisgroup.com/primo-explore/search?tab=default_tab&amp;search_scope=EVERYTHING&amp;vid=01CRU&amp;lang=en_US&amp;offset=0&amp;query=any,contains,991004861419702656","Catalog Record")</f>
        <v/>
      </c>
      <c r="AT839">
        <f>HYPERLINK("http://www.worldcat.org/oclc/5706548","WorldCat Record")</f>
        <v/>
      </c>
      <c r="AU839" t="inlineStr">
        <is>
          <t>291018748:eng</t>
        </is>
      </c>
      <c r="AV839" t="inlineStr">
        <is>
          <t>5706548</t>
        </is>
      </c>
      <c r="AW839" t="inlineStr">
        <is>
          <t>991004861419702656</t>
        </is>
      </c>
      <c r="AX839" t="inlineStr">
        <is>
          <t>991004861419702656</t>
        </is>
      </c>
      <c r="AY839" t="inlineStr">
        <is>
          <t>2261442400002656</t>
        </is>
      </c>
      <c r="AZ839" t="inlineStr">
        <is>
          <t>BOOK</t>
        </is>
      </c>
      <c r="BB839" t="inlineStr">
        <is>
          <t>9780810314597</t>
        </is>
      </c>
      <c r="BC839" t="inlineStr">
        <is>
          <t>32285000190669</t>
        </is>
      </c>
      <c r="BD839" t="inlineStr">
        <is>
          <t>893507312</t>
        </is>
      </c>
    </row>
    <row r="840">
      <c r="A840" t="inlineStr">
        <is>
          <t>No</t>
        </is>
      </c>
      <c r="B840" t="inlineStr">
        <is>
          <t>E184.G3 R5 1980</t>
        </is>
      </c>
      <c r="C840" t="inlineStr">
        <is>
          <t>0                      E  0184000G  3                  R  5           1980</t>
        </is>
      </c>
      <c r="D840" t="inlineStr">
        <is>
          <t>Of German ways / by LaVern Rippley ; illustrated by Henning B. Jensen.</t>
        </is>
      </c>
      <c r="F840" t="inlineStr">
        <is>
          <t>No</t>
        </is>
      </c>
      <c r="G840" t="inlineStr">
        <is>
          <t>1</t>
        </is>
      </c>
      <c r="H840" t="inlineStr">
        <is>
          <t>No</t>
        </is>
      </c>
      <c r="I840" t="inlineStr">
        <is>
          <t>No</t>
        </is>
      </c>
      <c r="J840" t="inlineStr">
        <is>
          <t>0</t>
        </is>
      </c>
      <c r="K840" t="inlineStr">
        <is>
          <t>Rippley, La Vern J.</t>
        </is>
      </c>
      <c r="L840" t="inlineStr">
        <is>
          <t>New York : Barnes &amp; Noble Books, 1980, c1970.</t>
        </is>
      </c>
      <c r="M840" t="inlineStr">
        <is>
          <t>1980</t>
        </is>
      </c>
      <c r="O840" t="inlineStr">
        <is>
          <t>eng</t>
        </is>
      </c>
      <c r="P840" t="inlineStr">
        <is>
          <t>nyu</t>
        </is>
      </c>
      <c r="R840" t="inlineStr">
        <is>
          <t xml:space="preserve">E  </t>
        </is>
      </c>
      <c r="S840" t="n">
        <v>3</v>
      </c>
      <c r="T840" t="n">
        <v>3</v>
      </c>
      <c r="U840" t="inlineStr">
        <is>
          <t>1999-04-09</t>
        </is>
      </c>
      <c r="V840" t="inlineStr">
        <is>
          <t>1999-04-09</t>
        </is>
      </c>
      <c r="W840" t="inlineStr">
        <is>
          <t>1996-06-13</t>
        </is>
      </c>
      <c r="X840" t="inlineStr">
        <is>
          <t>1996-06-13</t>
        </is>
      </c>
      <c r="Y840" t="n">
        <v>191</v>
      </c>
      <c r="Z840" t="n">
        <v>185</v>
      </c>
      <c r="AA840" t="n">
        <v>680</v>
      </c>
      <c r="AB840" t="n">
        <v>7</v>
      </c>
      <c r="AC840" t="n">
        <v>13</v>
      </c>
      <c r="AD840" t="n">
        <v>7</v>
      </c>
      <c r="AE840" t="n">
        <v>17</v>
      </c>
      <c r="AF840" t="n">
        <v>2</v>
      </c>
      <c r="AG840" t="n">
        <v>5</v>
      </c>
      <c r="AH840" t="n">
        <v>1</v>
      </c>
      <c r="AI840" t="n">
        <v>5</v>
      </c>
      <c r="AJ840" t="n">
        <v>2</v>
      </c>
      <c r="AK840" t="n">
        <v>7</v>
      </c>
      <c r="AL840" t="n">
        <v>3</v>
      </c>
      <c r="AM840" t="n">
        <v>4</v>
      </c>
      <c r="AN840" t="n">
        <v>0</v>
      </c>
      <c r="AO840" t="n">
        <v>0</v>
      </c>
      <c r="AP840" t="inlineStr">
        <is>
          <t>No</t>
        </is>
      </c>
      <c r="AQ840" t="inlineStr">
        <is>
          <t>No</t>
        </is>
      </c>
      <c r="AS840">
        <f>HYPERLINK("https://creighton-primo.hosted.exlibrisgroup.com/primo-explore/search?tab=default_tab&amp;search_scope=EVERYTHING&amp;vid=01CRU&amp;lang=en_US&amp;offset=0&amp;query=any,contains,991004986239702656","Catalog Record")</f>
        <v/>
      </c>
      <c r="AT840">
        <f>HYPERLINK("http://www.worldcat.org/oclc/6451414","WorldCat Record")</f>
        <v/>
      </c>
      <c r="AU840" t="inlineStr">
        <is>
          <t>517230:eng</t>
        </is>
      </c>
      <c r="AV840" t="inlineStr">
        <is>
          <t>6451414</t>
        </is>
      </c>
      <c r="AW840" t="inlineStr">
        <is>
          <t>991004986239702656</t>
        </is>
      </c>
      <c r="AX840" t="inlineStr">
        <is>
          <t>991004986239702656</t>
        </is>
      </c>
      <c r="AY840" t="inlineStr">
        <is>
          <t>2260119740002656</t>
        </is>
      </c>
      <c r="AZ840" t="inlineStr">
        <is>
          <t>BOOK</t>
        </is>
      </c>
      <c r="BB840" t="inlineStr">
        <is>
          <t>9780064640367</t>
        </is>
      </c>
      <c r="BC840" t="inlineStr">
        <is>
          <t>32285002192804</t>
        </is>
      </c>
      <c r="BD840" t="inlineStr">
        <is>
          <t>893344483</t>
        </is>
      </c>
    </row>
    <row r="841">
      <c r="A841" t="inlineStr">
        <is>
          <t>No</t>
        </is>
      </c>
      <c r="B841" t="inlineStr">
        <is>
          <t>E184.G3 S36</t>
        </is>
      </c>
      <c r="C841" t="inlineStr">
        <is>
          <t>0                      E  0184000G  3                  S  36</t>
        </is>
      </c>
      <c r="D841" t="inlineStr">
        <is>
          <t>The Germans in the making of America / by Frederick Franklin Schrader.</t>
        </is>
      </c>
      <c r="F841" t="inlineStr">
        <is>
          <t>No</t>
        </is>
      </c>
      <c r="G841" t="inlineStr">
        <is>
          <t>1</t>
        </is>
      </c>
      <c r="H841" t="inlineStr">
        <is>
          <t>No</t>
        </is>
      </c>
      <c r="I841" t="inlineStr">
        <is>
          <t>No</t>
        </is>
      </c>
      <c r="J841" t="inlineStr">
        <is>
          <t>0</t>
        </is>
      </c>
      <c r="K841" t="inlineStr">
        <is>
          <t>Schrader, Frederick Franklin, 1857-1943.</t>
        </is>
      </c>
      <c r="L841" t="inlineStr">
        <is>
          <t>Boston, Mass. : The Stratford Co., 1924.</t>
        </is>
      </c>
      <c r="M841" t="inlineStr">
        <is>
          <t>1924</t>
        </is>
      </c>
      <c r="O841" t="inlineStr">
        <is>
          <t>eng</t>
        </is>
      </c>
      <c r="P841" t="inlineStr">
        <is>
          <t>mau</t>
        </is>
      </c>
      <c r="Q841" t="inlineStr">
        <is>
          <t>Knights of Columbus racial contribution series</t>
        </is>
      </c>
      <c r="R841" t="inlineStr">
        <is>
          <t xml:space="preserve">E  </t>
        </is>
      </c>
      <c r="S841" t="n">
        <v>2</v>
      </c>
      <c r="T841" t="n">
        <v>2</v>
      </c>
      <c r="U841" t="inlineStr">
        <is>
          <t>1994-11-30</t>
        </is>
      </c>
      <c r="V841" t="inlineStr">
        <is>
          <t>1994-11-30</t>
        </is>
      </c>
      <c r="W841" t="inlineStr">
        <is>
          <t>1992-12-09</t>
        </is>
      </c>
      <c r="X841" t="inlineStr">
        <is>
          <t>1992-12-09</t>
        </is>
      </c>
      <c r="Y841" t="n">
        <v>271</v>
      </c>
      <c r="Z841" t="n">
        <v>246</v>
      </c>
      <c r="AA841" t="n">
        <v>338</v>
      </c>
      <c r="AB841" t="n">
        <v>5</v>
      </c>
      <c r="AC841" t="n">
        <v>5</v>
      </c>
      <c r="AD841" t="n">
        <v>19</v>
      </c>
      <c r="AE841" t="n">
        <v>23</v>
      </c>
      <c r="AF841" t="n">
        <v>7</v>
      </c>
      <c r="AG841" t="n">
        <v>10</v>
      </c>
      <c r="AH841" t="n">
        <v>3</v>
      </c>
      <c r="AI841" t="n">
        <v>4</v>
      </c>
      <c r="AJ841" t="n">
        <v>10</v>
      </c>
      <c r="AK841" t="n">
        <v>12</v>
      </c>
      <c r="AL841" t="n">
        <v>3</v>
      </c>
      <c r="AM841" t="n">
        <v>3</v>
      </c>
      <c r="AN841" t="n">
        <v>0</v>
      </c>
      <c r="AO841" t="n">
        <v>0</v>
      </c>
      <c r="AP841" t="inlineStr">
        <is>
          <t>Yes</t>
        </is>
      </c>
      <c r="AQ841" t="inlineStr">
        <is>
          <t>No</t>
        </is>
      </c>
      <c r="AR841">
        <f>HYPERLINK("http://catalog.hathitrust.org/Record/006539316","HathiTrust Record")</f>
        <v/>
      </c>
      <c r="AS841">
        <f>HYPERLINK("https://creighton-primo.hosted.exlibrisgroup.com/primo-explore/search?tab=default_tab&amp;search_scope=EVERYTHING&amp;vid=01CRU&amp;lang=en_US&amp;offset=0&amp;query=any,contains,991002996299702656","Catalog Record")</f>
        <v/>
      </c>
      <c r="AT841">
        <f>HYPERLINK("http://www.worldcat.org/oclc/564778","WorldCat Record")</f>
        <v/>
      </c>
      <c r="AU841" t="inlineStr">
        <is>
          <t>502830:eng</t>
        </is>
      </c>
      <c r="AV841" t="inlineStr">
        <is>
          <t>564778</t>
        </is>
      </c>
      <c r="AW841" t="inlineStr">
        <is>
          <t>991002996299702656</t>
        </is>
      </c>
      <c r="AX841" t="inlineStr">
        <is>
          <t>991002996299702656</t>
        </is>
      </c>
      <c r="AY841" t="inlineStr">
        <is>
          <t>2256914530002656</t>
        </is>
      </c>
      <c r="AZ841" t="inlineStr">
        <is>
          <t>BOOK</t>
        </is>
      </c>
      <c r="BC841" t="inlineStr">
        <is>
          <t>32285001413870</t>
        </is>
      </c>
      <c r="BD841" t="inlineStr">
        <is>
          <t>893717195</t>
        </is>
      </c>
    </row>
    <row r="842">
      <c r="A842" t="inlineStr">
        <is>
          <t>No</t>
        </is>
      </c>
      <c r="B842" t="inlineStr">
        <is>
          <t>E184.G3 T66 2001</t>
        </is>
      </c>
      <c r="C842" t="inlineStr">
        <is>
          <t>0                      E  0184000G  3                  T  66          2001</t>
        </is>
      </c>
      <c r="D842" t="inlineStr">
        <is>
          <t>German-American studies : selected essays / Don Heinrich Tolzmann.</t>
        </is>
      </c>
      <c r="F842" t="inlineStr">
        <is>
          <t>No</t>
        </is>
      </c>
      <c r="G842" t="inlineStr">
        <is>
          <t>1</t>
        </is>
      </c>
      <c r="H842" t="inlineStr">
        <is>
          <t>No</t>
        </is>
      </c>
      <c r="I842" t="inlineStr">
        <is>
          <t>No</t>
        </is>
      </c>
      <c r="J842" t="inlineStr">
        <is>
          <t>0</t>
        </is>
      </c>
      <c r="K842" t="inlineStr">
        <is>
          <t>Tolzmann, Don Heinrich, 1945-</t>
        </is>
      </c>
      <c r="L842" t="inlineStr">
        <is>
          <t>New York : P. Lang, c2001.</t>
        </is>
      </c>
      <c r="M842" t="inlineStr">
        <is>
          <t>2001</t>
        </is>
      </c>
      <c r="O842" t="inlineStr">
        <is>
          <t>eng</t>
        </is>
      </c>
      <c r="P842" t="inlineStr">
        <is>
          <t>nyu</t>
        </is>
      </c>
      <c r="Q842" t="inlineStr">
        <is>
          <t>New German-American studies ; vol. 24 = Neue deutsch-amerikanische Studien</t>
        </is>
      </c>
      <c r="R842" t="inlineStr">
        <is>
          <t xml:space="preserve">E  </t>
        </is>
      </c>
      <c r="S842" t="n">
        <v>2</v>
      </c>
      <c r="T842" t="n">
        <v>2</v>
      </c>
      <c r="U842" t="inlineStr">
        <is>
          <t>2004-05-19</t>
        </is>
      </c>
      <c r="V842" t="inlineStr">
        <is>
          <t>2004-05-19</t>
        </is>
      </c>
      <c r="W842" t="inlineStr">
        <is>
          <t>2004-05-19</t>
        </is>
      </c>
      <c r="X842" t="inlineStr">
        <is>
          <t>2004-05-19</t>
        </is>
      </c>
      <c r="Y842" t="n">
        <v>97</v>
      </c>
      <c r="Z842" t="n">
        <v>81</v>
      </c>
      <c r="AA842" t="n">
        <v>83</v>
      </c>
      <c r="AB842" t="n">
        <v>2</v>
      </c>
      <c r="AC842" t="n">
        <v>2</v>
      </c>
      <c r="AD842" t="n">
        <v>7</v>
      </c>
      <c r="AE842" t="n">
        <v>7</v>
      </c>
      <c r="AF842" t="n">
        <v>0</v>
      </c>
      <c r="AG842" t="n">
        <v>0</v>
      </c>
      <c r="AH842" t="n">
        <v>2</v>
      </c>
      <c r="AI842" t="n">
        <v>2</v>
      </c>
      <c r="AJ842" t="n">
        <v>5</v>
      </c>
      <c r="AK842" t="n">
        <v>5</v>
      </c>
      <c r="AL842" t="n">
        <v>1</v>
      </c>
      <c r="AM842" t="n">
        <v>1</v>
      </c>
      <c r="AN842" t="n">
        <v>0</v>
      </c>
      <c r="AO842" t="n">
        <v>0</v>
      </c>
      <c r="AP842" t="inlineStr">
        <is>
          <t>No</t>
        </is>
      </c>
      <c r="AQ842" t="inlineStr">
        <is>
          <t>Yes</t>
        </is>
      </c>
      <c r="AR842">
        <f>HYPERLINK("http://catalog.hathitrust.org/Record/004159023","HathiTrust Record")</f>
        <v/>
      </c>
      <c r="AS842">
        <f>HYPERLINK("https://creighton-primo.hosted.exlibrisgroup.com/primo-explore/search?tab=default_tab&amp;search_scope=EVERYTHING&amp;vid=01CRU&amp;lang=en_US&amp;offset=0&amp;query=any,contains,991004283519702656","Catalog Record")</f>
        <v/>
      </c>
      <c r="AT842">
        <f>HYPERLINK("http://www.worldcat.org/oclc/43441572","WorldCat Record")</f>
        <v/>
      </c>
      <c r="AU842" t="inlineStr">
        <is>
          <t>44819407:eng</t>
        </is>
      </c>
      <c r="AV842" t="inlineStr">
        <is>
          <t>43441572</t>
        </is>
      </c>
      <c r="AW842" t="inlineStr">
        <is>
          <t>991004283519702656</t>
        </is>
      </c>
      <c r="AX842" t="inlineStr">
        <is>
          <t>991004283519702656</t>
        </is>
      </c>
      <c r="AY842" t="inlineStr">
        <is>
          <t>2270211620002656</t>
        </is>
      </c>
      <c r="AZ842" t="inlineStr">
        <is>
          <t>BOOK</t>
        </is>
      </c>
      <c r="BB842" t="inlineStr">
        <is>
          <t>9780820450148</t>
        </is>
      </c>
      <c r="BC842" t="inlineStr">
        <is>
          <t>32285004906672</t>
        </is>
      </c>
      <c r="BD842" t="inlineStr">
        <is>
          <t>893800815</t>
        </is>
      </c>
    </row>
    <row r="843">
      <c r="A843" t="inlineStr">
        <is>
          <t>No</t>
        </is>
      </c>
      <c r="B843" t="inlineStr">
        <is>
          <t>E184.G3 W35</t>
        </is>
      </c>
      <c r="C843" t="inlineStr">
        <is>
          <t>0                      E  0184000G  3                  W  35</t>
        </is>
      </c>
      <c r="D843" t="inlineStr">
        <is>
          <t>The German dimension of American history / Joseph Wandel.</t>
        </is>
      </c>
      <c r="F843" t="inlineStr">
        <is>
          <t>No</t>
        </is>
      </c>
      <c r="G843" t="inlineStr">
        <is>
          <t>1</t>
        </is>
      </c>
      <c r="H843" t="inlineStr">
        <is>
          <t>No</t>
        </is>
      </c>
      <c r="I843" t="inlineStr">
        <is>
          <t>No</t>
        </is>
      </c>
      <c r="J843" t="inlineStr">
        <is>
          <t>0</t>
        </is>
      </c>
      <c r="K843" t="inlineStr">
        <is>
          <t>Wandel, Joseph.</t>
        </is>
      </c>
      <c r="L843" t="inlineStr">
        <is>
          <t>Chicago : Nelson-Hall, c1979.</t>
        </is>
      </c>
      <c r="M843" t="inlineStr">
        <is>
          <t>1979</t>
        </is>
      </c>
      <c r="O843" t="inlineStr">
        <is>
          <t>eng</t>
        </is>
      </c>
      <c r="P843" t="inlineStr">
        <is>
          <t>ilu</t>
        </is>
      </c>
      <c r="R843" t="inlineStr">
        <is>
          <t xml:space="preserve">E  </t>
        </is>
      </c>
      <c r="S843" t="n">
        <v>9</v>
      </c>
      <c r="T843" t="n">
        <v>9</v>
      </c>
      <c r="U843" t="inlineStr">
        <is>
          <t>2004-09-23</t>
        </is>
      </c>
      <c r="V843" t="inlineStr">
        <is>
          <t>2004-09-23</t>
        </is>
      </c>
      <c r="W843" t="inlineStr">
        <is>
          <t>1991-02-14</t>
        </is>
      </c>
      <c r="X843" t="inlineStr">
        <is>
          <t>1991-02-14</t>
        </is>
      </c>
      <c r="Y843" t="n">
        <v>362</v>
      </c>
      <c r="Z843" t="n">
        <v>331</v>
      </c>
      <c r="AA843" t="n">
        <v>333</v>
      </c>
      <c r="AB843" t="n">
        <v>3</v>
      </c>
      <c r="AC843" t="n">
        <v>3</v>
      </c>
      <c r="AD843" t="n">
        <v>14</v>
      </c>
      <c r="AE843" t="n">
        <v>14</v>
      </c>
      <c r="AF843" t="n">
        <v>4</v>
      </c>
      <c r="AG843" t="n">
        <v>4</v>
      </c>
      <c r="AH843" t="n">
        <v>5</v>
      </c>
      <c r="AI843" t="n">
        <v>5</v>
      </c>
      <c r="AJ843" t="n">
        <v>8</v>
      </c>
      <c r="AK843" t="n">
        <v>8</v>
      </c>
      <c r="AL843" t="n">
        <v>2</v>
      </c>
      <c r="AM843" t="n">
        <v>2</v>
      </c>
      <c r="AN843" t="n">
        <v>0</v>
      </c>
      <c r="AO843" t="n">
        <v>0</v>
      </c>
      <c r="AP843" t="inlineStr">
        <is>
          <t>No</t>
        </is>
      </c>
      <c r="AQ843" t="inlineStr">
        <is>
          <t>Yes</t>
        </is>
      </c>
      <c r="AR843">
        <f>HYPERLINK("http://catalog.hathitrust.org/Record/000256037","HathiTrust Record")</f>
        <v/>
      </c>
      <c r="AS843">
        <f>HYPERLINK("https://creighton-primo.hosted.exlibrisgroup.com/primo-explore/search?tab=default_tab&amp;search_scope=EVERYTHING&amp;vid=01CRU&amp;lang=en_US&amp;offset=0&amp;query=any,contains,991004653289702656","Catalog Record")</f>
        <v/>
      </c>
      <c r="AT843">
        <f>HYPERLINK("http://www.worldcat.org/oclc/4494588","WorldCat Record")</f>
        <v/>
      </c>
      <c r="AU843" t="inlineStr">
        <is>
          <t>541180:eng</t>
        </is>
      </c>
      <c r="AV843" t="inlineStr">
        <is>
          <t>4494588</t>
        </is>
      </c>
      <c r="AW843" t="inlineStr">
        <is>
          <t>991004653289702656</t>
        </is>
      </c>
      <c r="AX843" t="inlineStr">
        <is>
          <t>991004653289702656</t>
        </is>
      </c>
      <c r="AY843" t="inlineStr">
        <is>
          <t>2265279270002656</t>
        </is>
      </c>
      <c r="AZ843" t="inlineStr">
        <is>
          <t>BOOK</t>
        </is>
      </c>
      <c r="BB843" t="inlineStr">
        <is>
          <t>9780882291475</t>
        </is>
      </c>
      <c r="BC843" t="inlineStr">
        <is>
          <t>32285000483346</t>
        </is>
      </c>
      <c r="BD843" t="inlineStr">
        <is>
          <t>893411800</t>
        </is>
      </c>
    </row>
    <row r="844">
      <c r="A844" t="inlineStr">
        <is>
          <t>No</t>
        </is>
      </c>
      <c r="B844" t="inlineStr">
        <is>
          <t>E184.G7 G69 1982</t>
        </is>
      </c>
      <c r="C844" t="inlineStr">
        <is>
          <t>0                      E  0184000G  7                  G  69          1982</t>
        </is>
      </c>
      <c r="D844" t="inlineStr">
        <is>
          <t>The Greek American community in transition / edited by Harry J. Psomiades, Alice Scourby ; with a bibliographic guide by John G. Zenelis.</t>
        </is>
      </c>
      <c r="F844" t="inlineStr">
        <is>
          <t>No</t>
        </is>
      </c>
      <c r="G844" t="inlineStr">
        <is>
          <t>1</t>
        </is>
      </c>
      <c r="H844" t="inlineStr">
        <is>
          <t>No</t>
        </is>
      </c>
      <c r="I844" t="inlineStr">
        <is>
          <t>No</t>
        </is>
      </c>
      <c r="J844" t="inlineStr">
        <is>
          <t>0</t>
        </is>
      </c>
      <c r="L844" t="inlineStr">
        <is>
          <t>New York : Pella Pub. Co., 1982.</t>
        </is>
      </c>
      <c r="M844" t="inlineStr">
        <is>
          <t>1982</t>
        </is>
      </c>
      <c r="O844" t="inlineStr">
        <is>
          <t>eng</t>
        </is>
      </c>
      <c r="P844" t="inlineStr">
        <is>
          <t>nyu</t>
        </is>
      </c>
      <c r="Q844" t="inlineStr">
        <is>
          <t>Modern Greek research series ; 4</t>
        </is>
      </c>
      <c r="R844" t="inlineStr">
        <is>
          <t xml:space="preserve">E  </t>
        </is>
      </c>
      <c r="S844" t="n">
        <v>3</v>
      </c>
      <c r="T844" t="n">
        <v>3</v>
      </c>
      <c r="U844" t="inlineStr">
        <is>
          <t>1995-05-02</t>
        </is>
      </c>
      <c r="V844" t="inlineStr">
        <is>
          <t>1995-05-02</t>
        </is>
      </c>
      <c r="W844" t="inlineStr">
        <is>
          <t>1995-06-30</t>
        </is>
      </c>
      <c r="X844" t="inlineStr">
        <is>
          <t>1995-06-30</t>
        </is>
      </c>
      <c r="Y844" t="n">
        <v>211</v>
      </c>
      <c r="Z844" t="n">
        <v>175</v>
      </c>
      <c r="AA844" t="n">
        <v>175</v>
      </c>
      <c r="AB844" t="n">
        <v>1</v>
      </c>
      <c r="AC844" t="n">
        <v>1</v>
      </c>
      <c r="AD844" t="n">
        <v>11</v>
      </c>
      <c r="AE844" t="n">
        <v>11</v>
      </c>
      <c r="AF844" t="n">
        <v>3</v>
      </c>
      <c r="AG844" t="n">
        <v>3</v>
      </c>
      <c r="AH844" t="n">
        <v>4</v>
      </c>
      <c r="AI844" t="n">
        <v>4</v>
      </c>
      <c r="AJ844" t="n">
        <v>7</v>
      </c>
      <c r="AK844" t="n">
        <v>7</v>
      </c>
      <c r="AL844" t="n">
        <v>0</v>
      </c>
      <c r="AM844" t="n">
        <v>0</v>
      </c>
      <c r="AN844" t="n">
        <v>0</v>
      </c>
      <c r="AO844" t="n">
        <v>0</v>
      </c>
      <c r="AP844" t="inlineStr">
        <is>
          <t>No</t>
        </is>
      </c>
      <c r="AQ844" t="inlineStr">
        <is>
          <t>No</t>
        </is>
      </c>
      <c r="AS844">
        <f>HYPERLINK("https://creighton-primo.hosted.exlibrisgroup.com/primo-explore/search?tab=default_tab&amp;search_scope=EVERYTHING&amp;vid=01CRU&amp;lang=en_US&amp;offset=0&amp;query=any,contains,991000068779702656","Catalog Record")</f>
        <v/>
      </c>
      <c r="AT844">
        <f>HYPERLINK("http://www.worldcat.org/oclc/8765884","WorldCat Record")</f>
        <v/>
      </c>
      <c r="AU844" t="inlineStr">
        <is>
          <t>368396310:eng</t>
        </is>
      </c>
      <c r="AV844" t="inlineStr">
        <is>
          <t>8765884</t>
        </is>
      </c>
      <c r="AW844" t="inlineStr">
        <is>
          <t>991000068779702656</t>
        </is>
      </c>
      <c r="AX844" t="inlineStr">
        <is>
          <t>991000068779702656</t>
        </is>
      </c>
      <c r="AY844" t="inlineStr">
        <is>
          <t>2267925500002656</t>
        </is>
      </c>
      <c r="AZ844" t="inlineStr">
        <is>
          <t>BOOK</t>
        </is>
      </c>
      <c r="BB844" t="inlineStr">
        <is>
          <t>9780918618221</t>
        </is>
      </c>
      <c r="BC844" t="inlineStr">
        <is>
          <t>32285002021904</t>
        </is>
      </c>
      <c r="BD844" t="inlineStr">
        <is>
          <t>893527766</t>
        </is>
      </c>
    </row>
    <row r="845">
      <c r="A845" t="inlineStr">
        <is>
          <t>No</t>
        </is>
      </c>
      <c r="B845" t="inlineStr">
        <is>
          <t>E184.G7 X3 1972</t>
        </is>
      </c>
      <c r="C845" t="inlineStr">
        <is>
          <t>0                      E  0184000G  7                  X  3           1972</t>
        </is>
      </c>
      <c r="D845" t="inlineStr">
        <is>
          <t>The Greeks in America / by J. P. Xenides. With an introd. by Charles Hatch Sears. New York, G. H. Doran.</t>
        </is>
      </c>
      <c r="F845" t="inlineStr">
        <is>
          <t>No</t>
        </is>
      </c>
      <c r="G845" t="inlineStr">
        <is>
          <t>1</t>
        </is>
      </c>
      <c r="H845" t="inlineStr">
        <is>
          <t>No</t>
        </is>
      </c>
      <c r="I845" t="inlineStr">
        <is>
          <t>No</t>
        </is>
      </c>
      <c r="J845" t="inlineStr">
        <is>
          <t>0</t>
        </is>
      </c>
      <c r="K845" t="inlineStr">
        <is>
          <t>Xenides, J. P.</t>
        </is>
      </c>
      <c r="L845" t="inlineStr">
        <is>
          <t>[San Francisco : R and E Research Associates, 1972]</t>
        </is>
      </c>
      <c r="M845" t="inlineStr">
        <is>
          <t>1972</t>
        </is>
      </c>
      <c r="O845" t="inlineStr">
        <is>
          <t>eng</t>
        </is>
      </c>
      <c r="P845" t="inlineStr">
        <is>
          <t>cau</t>
        </is>
      </c>
      <c r="R845" t="inlineStr">
        <is>
          <t xml:space="preserve">E  </t>
        </is>
      </c>
      <c r="S845" t="n">
        <v>1</v>
      </c>
      <c r="T845" t="n">
        <v>1</v>
      </c>
      <c r="U845" t="inlineStr">
        <is>
          <t>1997-04-13</t>
        </is>
      </c>
      <c r="V845" t="inlineStr">
        <is>
          <t>1997-04-13</t>
        </is>
      </c>
      <c r="W845" t="inlineStr">
        <is>
          <t>1995-05-02</t>
        </is>
      </c>
      <c r="X845" t="inlineStr">
        <is>
          <t>1995-05-02</t>
        </is>
      </c>
      <c r="Y845" t="n">
        <v>123</v>
      </c>
      <c r="Z845" t="n">
        <v>116</v>
      </c>
      <c r="AA845" t="n">
        <v>341</v>
      </c>
      <c r="AB845" t="n">
        <v>3</v>
      </c>
      <c r="AC845" t="n">
        <v>5</v>
      </c>
      <c r="AD845" t="n">
        <v>8</v>
      </c>
      <c r="AE845" t="n">
        <v>17</v>
      </c>
      <c r="AF845" t="n">
        <v>1</v>
      </c>
      <c r="AG845" t="n">
        <v>5</v>
      </c>
      <c r="AH845" t="n">
        <v>2</v>
      </c>
      <c r="AI845" t="n">
        <v>4</v>
      </c>
      <c r="AJ845" t="n">
        <v>5</v>
      </c>
      <c r="AK845" t="n">
        <v>6</v>
      </c>
      <c r="AL845" t="n">
        <v>2</v>
      </c>
      <c r="AM845" t="n">
        <v>4</v>
      </c>
      <c r="AN845" t="n">
        <v>0</v>
      </c>
      <c r="AO845" t="n">
        <v>0</v>
      </c>
      <c r="AP845" t="inlineStr">
        <is>
          <t>Yes</t>
        </is>
      </c>
      <c r="AQ845" t="inlineStr">
        <is>
          <t>No</t>
        </is>
      </c>
      <c r="AR845">
        <f>HYPERLINK("http://catalog.hathitrust.org/Record/011528229","HathiTrust Record")</f>
        <v/>
      </c>
      <c r="AS845">
        <f>HYPERLINK("https://creighton-primo.hosted.exlibrisgroup.com/primo-explore/search?tab=default_tab&amp;search_scope=EVERYTHING&amp;vid=01CRU&amp;lang=en_US&amp;offset=0&amp;query=any,contains,991003067349702656","Catalog Record")</f>
        <v/>
      </c>
      <c r="AT845">
        <f>HYPERLINK("http://www.worldcat.org/oclc/623143","WorldCat Record")</f>
        <v/>
      </c>
      <c r="AU845" t="inlineStr">
        <is>
          <t>1703074:eng</t>
        </is>
      </c>
      <c r="AV845" t="inlineStr">
        <is>
          <t>623143</t>
        </is>
      </c>
      <c r="AW845" t="inlineStr">
        <is>
          <t>991003067349702656</t>
        </is>
      </c>
      <c r="AX845" t="inlineStr">
        <is>
          <t>991003067349702656</t>
        </is>
      </c>
      <c r="AY845" t="inlineStr">
        <is>
          <t>2256118940002656</t>
        </is>
      </c>
      <c r="AZ845" t="inlineStr">
        <is>
          <t>BOOK</t>
        </is>
      </c>
      <c r="BB845" t="inlineStr">
        <is>
          <t>9780882472027</t>
        </is>
      </c>
      <c r="BC845" t="inlineStr">
        <is>
          <t>32285002031408</t>
        </is>
      </c>
      <c r="BD845" t="inlineStr">
        <is>
          <t>893692361</t>
        </is>
      </c>
    </row>
    <row r="846">
      <c r="A846" t="inlineStr">
        <is>
          <t>No</t>
        </is>
      </c>
      <c r="B846" t="inlineStr">
        <is>
          <t>E184.I6 A64 1984</t>
        </is>
      </c>
      <c r="C846" t="inlineStr">
        <is>
          <t>0                      E  0184000I  6                  A  64          1984</t>
        </is>
      </c>
      <c r="D846" t="inlineStr">
        <is>
          <t>The American Irish revival : a decade of the Recorder, 1974-1983 / edited by Kevin M. Cahill.</t>
        </is>
      </c>
      <c r="F846" t="inlineStr">
        <is>
          <t>No</t>
        </is>
      </c>
      <c r="G846" t="inlineStr">
        <is>
          <t>1</t>
        </is>
      </c>
      <c r="H846" t="inlineStr">
        <is>
          <t>No</t>
        </is>
      </c>
      <c r="I846" t="inlineStr">
        <is>
          <t>No</t>
        </is>
      </c>
      <c r="J846" t="inlineStr">
        <is>
          <t>0</t>
        </is>
      </c>
      <c r="L846" t="inlineStr">
        <is>
          <t>Port Washington, N.Y. : Associated Faculty Press, c1984.</t>
        </is>
      </c>
      <c r="M846" t="inlineStr">
        <is>
          <t>1984</t>
        </is>
      </c>
      <c r="O846" t="inlineStr">
        <is>
          <t>eng</t>
        </is>
      </c>
      <c r="P846" t="inlineStr">
        <is>
          <t>nyu</t>
        </is>
      </c>
      <c r="R846" t="inlineStr">
        <is>
          <t xml:space="preserve">E  </t>
        </is>
      </c>
      <c r="S846" t="n">
        <v>1</v>
      </c>
      <c r="T846" t="n">
        <v>1</v>
      </c>
      <c r="U846" t="inlineStr">
        <is>
          <t>1993-01-27</t>
        </is>
      </c>
      <c r="V846" t="inlineStr">
        <is>
          <t>1993-01-27</t>
        </is>
      </c>
      <c r="W846" t="inlineStr">
        <is>
          <t>1991-02-18</t>
        </is>
      </c>
      <c r="X846" t="inlineStr">
        <is>
          <t>1991-02-18</t>
        </is>
      </c>
      <c r="Y846" t="n">
        <v>99</v>
      </c>
      <c r="Z846" t="n">
        <v>88</v>
      </c>
      <c r="AA846" t="n">
        <v>90</v>
      </c>
      <c r="AB846" t="n">
        <v>2</v>
      </c>
      <c r="AC846" t="n">
        <v>2</v>
      </c>
      <c r="AD846" t="n">
        <v>7</v>
      </c>
      <c r="AE846" t="n">
        <v>7</v>
      </c>
      <c r="AF846" t="n">
        <v>2</v>
      </c>
      <c r="AG846" t="n">
        <v>2</v>
      </c>
      <c r="AH846" t="n">
        <v>2</v>
      </c>
      <c r="AI846" t="n">
        <v>2</v>
      </c>
      <c r="AJ846" t="n">
        <v>6</v>
      </c>
      <c r="AK846" t="n">
        <v>6</v>
      </c>
      <c r="AL846" t="n">
        <v>0</v>
      </c>
      <c r="AM846" t="n">
        <v>0</v>
      </c>
      <c r="AN846" t="n">
        <v>0</v>
      </c>
      <c r="AO846" t="n">
        <v>0</v>
      </c>
      <c r="AP846" t="inlineStr">
        <is>
          <t>No</t>
        </is>
      </c>
      <c r="AQ846" t="inlineStr">
        <is>
          <t>Yes</t>
        </is>
      </c>
      <c r="AR846">
        <f>HYPERLINK("http://catalog.hathitrust.org/Record/000658178","HathiTrust Record")</f>
        <v/>
      </c>
      <c r="AS846">
        <f>HYPERLINK("https://creighton-primo.hosted.exlibrisgroup.com/primo-explore/search?tab=default_tab&amp;search_scope=EVERYTHING&amp;vid=01CRU&amp;lang=en_US&amp;offset=0&amp;query=any,contains,991000385149702656","Catalog Record")</f>
        <v/>
      </c>
      <c r="AT846">
        <f>HYPERLINK("http://www.worldcat.org/oclc/10507569","WorldCat Record")</f>
        <v/>
      </c>
      <c r="AU846" t="inlineStr">
        <is>
          <t>54627872:eng</t>
        </is>
      </c>
      <c r="AV846" t="inlineStr">
        <is>
          <t>10507569</t>
        </is>
      </c>
      <c r="AW846" t="inlineStr">
        <is>
          <t>991000385149702656</t>
        </is>
      </c>
      <c r="AX846" t="inlineStr">
        <is>
          <t>991000385149702656</t>
        </is>
      </c>
      <c r="AY846" t="inlineStr">
        <is>
          <t>2256981050002656</t>
        </is>
      </c>
      <c r="AZ846" t="inlineStr">
        <is>
          <t>BOOK</t>
        </is>
      </c>
      <c r="BB846" t="inlineStr">
        <is>
          <t>9780804693592</t>
        </is>
      </c>
      <c r="BC846" t="inlineStr">
        <is>
          <t>32285000483379</t>
        </is>
      </c>
      <c r="BD846" t="inlineStr">
        <is>
          <t>893231072</t>
        </is>
      </c>
    </row>
    <row r="847">
      <c r="A847" t="inlineStr">
        <is>
          <t>No</t>
        </is>
      </c>
      <c r="B847" t="inlineStr">
        <is>
          <t>E184.I6 B86 1966a</t>
        </is>
      </c>
      <c r="C847" t="inlineStr">
        <is>
          <t>0                      E  0184000I  6                  B  86          1966a</t>
        </is>
      </c>
      <c r="D847" t="inlineStr">
        <is>
          <t>Irish-American nationalism, 1870-1890 / Thomas N. Brown.</t>
        </is>
      </c>
      <c r="F847" t="inlineStr">
        <is>
          <t>No</t>
        </is>
      </c>
      <c r="G847" t="inlineStr">
        <is>
          <t>1</t>
        </is>
      </c>
      <c r="H847" t="inlineStr">
        <is>
          <t>No</t>
        </is>
      </c>
      <c r="I847" t="inlineStr">
        <is>
          <t>No</t>
        </is>
      </c>
      <c r="J847" t="inlineStr">
        <is>
          <t>0</t>
        </is>
      </c>
      <c r="K847" t="inlineStr">
        <is>
          <t>Brown, Thomas N., 1920-</t>
        </is>
      </c>
      <c r="L847" t="inlineStr">
        <is>
          <t>Westport, Conn. : Greenwood Press, 1980, c1966.</t>
        </is>
      </c>
      <c r="M847" t="inlineStr">
        <is>
          <t>1980</t>
        </is>
      </c>
      <c r="O847" t="inlineStr">
        <is>
          <t>eng</t>
        </is>
      </c>
      <c r="P847" t="inlineStr">
        <is>
          <t>ctu</t>
        </is>
      </c>
      <c r="R847" t="inlineStr">
        <is>
          <t xml:space="preserve">E  </t>
        </is>
      </c>
      <c r="S847" t="n">
        <v>5</v>
      </c>
      <c r="T847" t="n">
        <v>5</v>
      </c>
      <c r="U847" t="inlineStr">
        <is>
          <t>2001-10-04</t>
        </is>
      </c>
      <c r="V847" t="inlineStr">
        <is>
          <t>2001-10-04</t>
        </is>
      </c>
      <c r="W847" t="inlineStr">
        <is>
          <t>1991-02-18</t>
        </is>
      </c>
      <c r="X847" t="inlineStr">
        <is>
          <t>1991-02-18</t>
        </is>
      </c>
      <c r="Y847" t="n">
        <v>109</v>
      </c>
      <c r="Z847" t="n">
        <v>95</v>
      </c>
      <c r="AA847" t="n">
        <v>716</v>
      </c>
      <c r="AB847" t="n">
        <v>1</v>
      </c>
      <c r="AC847" t="n">
        <v>4</v>
      </c>
      <c r="AD847" t="n">
        <v>6</v>
      </c>
      <c r="AE847" t="n">
        <v>40</v>
      </c>
      <c r="AF847" t="n">
        <v>3</v>
      </c>
      <c r="AG847" t="n">
        <v>18</v>
      </c>
      <c r="AH847" t="n">
        <v>3</v>
      </c>
      <c r="AI847" t="n">
        <v>10</v>
      </c>
      <c r="AJ847" t="n">
        <v>3</v>
      </c>
      <c r="AK847" t="n">
        <v>22</v>
      </c>
      <c r="AL847" t="n">
        <v>0</v>
      </c>
      <c r="AM847" t="n">
        <v>3</v>
      </c>
      <c r="AN847" t="n">
        <v>0</v>
      </c>
      <c r="AO847" t="n">
        <v>0</v>
      </c>
      <c r="AP847" t="inlineStr">
        <is>
          <t>No</t>
        </is>
      </c>
      <c r="AQ847" t="inlineStr">
        <is>
          <t>No</t>
        </is>
      </c>
      <c r="AS847">
        <f>HYPERLINK("https://creighton-primo.hosted.exlibrisgroup.com/primo-explore/search?tab=default_tab&amp;search_scope=EVERYTHING&amp;vid=01CRU&amp;lang=en_US&amp;offset=0&amp;query=any,contains,991004920749702656","Catalog Record")</f>
        <v/>
      </c>
      <c r="AT847">
        <f>HYPERLINK("http://www.worldcat.org/oclc/6042988","WorldCat Record")</f>
        <v/>
      </c>
      <c r="AU847" t="inlineStr">
        <is>
          <t>446189:eng</t>
        </is>
      </c>
      <c r="AV847" t="inlineStr">
        <is>
          <t>6042988</t>
        </is>
      </c>
      <c r="AW847" t="inlineStr">
        <is>
          <t>991004920749702656</t>
        </is>
      </c>
      <c r="AX847" t="inlineStr">
        <is>
          <t>991004920749702656</t>
        </is>
      </c>
      <c r="AY847" t="inlineStr">
        <is>
          <t>2256149890002656</t>
        </is>
      </c>
      <c r="AZ847" t="inlineStr">
        <is>
          <t>BOOK</t>
        </is>
      </c>
      <c r="BB847" t="inlineStr">
        <is>
          <t>9780313222047</t>
        </is>
      </c>
      <c r="BC847" t="inlineStr">
        <is>
          <t>32285000483387</t>
        </is>
      </c>
      <c r="BD847" t="inlineStr">
        <is>
          <t>893513806</t>
        </is>
      </c>
    </row>
    <row r="848">
      <c r="A848" t="inlineStr">
        <is>
          <t>No</t>
        </is>
      </c>
      <c r="B848" t="inlineStr">
        <is>
          <t>E184.I6 C68 1986</t>
        </is>
      </c>
      <c r="C848" t="inlineStr">
        <is>
          <t>0                      E  0184000I  6                  C  68          1986</t>
        </is>
      </c>
      <c r="D848" t="inlineStr">
        <is>
          <t>Hibernia America : the Irish and regional cultures / Dennis Clark.</t>
        </is>
      </c>
      <c r="F848" t="inlineStr">
        <is>
          <t>No</t>
        </is>
      </c>
      <c r="G848" t="inlineStr">
        <is>
          <t>1</t>
        </is>
      </c>
      <c r="H848" t="inlineStr">
        <is>
          <t>No</t>
        </is>
      </c>
      <c r="I848" t="inlineStr">
        <is>
          <t>No</t>
        </is>
      </c>
      <c r="J848" t="inlineStr">
        <is>
          <t>0</t>
        </is>
      </c>
      <c r="K848" t="inlineStr">
        <is>
          <t>Clark, Dennis, 1927-1993.</t>
        </is>
      </c>
      <c r="L848" t="inlineStr">
        <is>
          <t>New York : Greenwood Press, 1986.</t>
        </is>
      </c>
      <c r="M848" t="inlineStr">
        <is>
          <t>1986</t>
        </is>
      </c>
      <c r="O848" t="inlineStr">
        <is>
          <t>eng</t>
        </is>
      </c>
      <c r="P848" t="inlineStr">
        <is>
          <t>nyu</t>
        </is>
      </c>
      <c r="Q848" t="inlineStr">
        <is>
          <t>Contributions in ethnic studies, 0196-7088 ; no. 14</t>
        </is>
      </c>
      <c r="R848" t="inlineStr">
        <is>
          <t xml:space="preserve">E  </t>
        </is>
      </c>
      <c r="S848" t="n">
        <v>4</v>
      </c>
      <c r="T848" t="n">
        <v>4</v>
      </c>
      <c r="U848" t="inlineStr">
        <is>
          <t>1993-03-27</t>
        </is>
      </c>
      <c r="V848" t="inlineStr">
        <is>
          <t>1993-03-27</t>
        </is>
      </c>
      <c r="W848" t="inlineStr">
        <is>
          <t>1990-04-02</t>
        </is>
      </c>
      <c r="X848" t="inlineStr">
        <is>
          <t>1990-04-02</t>
        </is>
      </c>
      <c r="Y848" t="n">
        <v>454</v>
      </c>
      <c r="Z848" t="n">
        <v>391</v>
      </c>
      <c r="AA848" t="n">
        <v>393</v>
      </c>
      <c r="AB848" t="n">
        <v>3</v>
      </c>
      <c r="AC848" t="n">
        <v>3</v>
      </c>
      <c r="AD848" t="n">
        <v>27</v>
      </c>
      <c r="AE848" t="n">
        <v>27</v>
      </c>
      <c r="AF848" t="n">
        <v>11</v>
      </c>
      <c r="AG848" t="n">
        <v>11</v>
      </c>
      <c r="AH848" t="n">
        <v>8</v>
      </c>
      <c r="AI848" t="n">
        <v>8</v>
      </c>
      <c r="AJ848" t="n">
        <v>16</v>
      </c>
      <c r="AK848" t="n">
        <v>16</v>
      </c>
      <c r="AL848" t="n">
        <v>2</v>
      </c>
      <c r="AM848" t="n">
        <v>2</v>
      </c>
      <c r="AN848" t="n">
        <v>0</v>
      </c>
      <c r="AO848" t="n">
        <v>0</v>
      </c>
      <c r="AP848" t="inlineStr">
        <is>
          <t>No</t>
        </is>
      </c>
      <c r="AQ848" t="inlineStr">
        <is>
          <t>Yes</t>
        </is>
      </c>
      <c r="AR848">
        <f>HYPERLINK("http://catalog.hathitrust.org/Record/000483800","HathiTrust Record")</f>
        <v/>
      </c>
      <c r="AS848">
        <f>HYPERLINK("https://creighton-primo.hosted.exlibrisgroup.com/primo-explore/search?tab=default_tab&amp;search_scope=EVERYTHING&amp;vid=01CRU&amp;lang=en_US&amp;offset=0&amp;query=any,contains,991000754689702656","Catalog Record")</f>
        <v/>
      </c>
      <c r="AT848">
        <f>HYPERLINK("http://www.worldcat.org/oclc/12946171","WorldCat Record")</f>
        <v/>
      </c>
      <c r="AU848" t="inlineStr">
        <is>
          <t>2611617:eng</t>
        </is>
      </c>
      <c r="AV848" t="inlineStr">
        <is>
          <t>12946171</t>
        </is>
      </c>
      <c r="AW848" t="inlineStr">
        <is>
          <t>991000754689702656</t>
        </is>
      </c>
      <c r="AX848" t="inlineStr">
        <is>
          <t>991000754689702656</t>
        </is>
      </c>
      <c r="AY848" t="inlineStr">
        <is>
          <t>2271329810002656</t>
        </is>
      </c>
      <c r="AZ848" t="inlineStr">
        <is>
          <t>BOOK</t>
        </is>
      </c>
      <c r="BB848" t="inlineStr">
        <is>
          <t>9780313252525</t>
        </is>
      </c>
      <c r="BC848" t="inlineStr">
        <is>
          <t>32285000107960</t>
        </is>
      </c>
      <c r="BD848" t="inlineStr">
        <is>
          <t>893784509</t>
        </is>
      </c>
    </row>
    <row r="849">
      <c r="A849" t="inlineStr">
        <is>
          <t>No</t>
        </is>
      </c>
      <c r="B849" t="inlineStr">
        <is>
          <t>E184.I6 C75</t>
        </is>
      </c>
      <c r="C849" t="inlineStr">
        <is>
          <t>0                      E  0184000I  6                  C  75</t>
        </is>
      </c>
      <c r="D849" t="inlineStr">
        <is>
          <t>It's the Irish / foreword by James A. Farley.</t>
        </is>
      </c>
      <c r="F849" t="inlineStr">
        <is>
          <t>No</t>
        </is>
      </c>
      <c r="G849" t="inlineStr">
        <is>
          <t>1</t>
        </is>
      </c>
      <c r="H849" t="inlineStr">
        <is>
          <t>No</t>
        </is>
      </c>
      <c r="I849" t="inlineStr">
        <is>
          <t>No</t>
        </is>
      </c>
      <c r="J849" t="inlineStr">
        <is>
          <t>0</t>
        </is>
      </c>
      <c r="K849" t="inlineStr">
        <is>
          <t>Considine, Bob, 1906-1975.</t>
        </is>
      </c>
      <c r="L849" t="inlineStr">
        <is>
          <t>Garden City, N.Y. : Doubleday, 1961.</t>
        </is>
      </c>
      <c r="M849" t="inlineStr">
        <is>
          <t>1961</t>
        </is>
      </c>
      <c r="N849" t="inlineStr">
        <is>
          <t>[1st ed.]</t>
        </is>
      </c>
      <c r="O849" t="inlineStr">
        <is>
          <t>eng</t>
        </is>
      </c>
      <c r="P849" t="inlineStr">
        <is>
          <t>nyu</t>
        </is>
      </c>
      <c r="Q849" t="inlineStr">
        <is>
          <t>Your ancestor series</t>
        </is>
      </c>
      <c r="R849" t="inlineStr">
        <is>
          <t xml:space="preserve">E  </t>
        </is>
      </c>
      <c r="S849" t="n">
        <v>5</v>
      </c>
      <c r="T849" t="n">
        <v>5</v>
      </c>
      <c r="U849" t="inlineStr">
        <is>
          <t>1997-06-06</t>
        </is>
      </c>
      <c r="V849" t="inlineStr">
        <is>
          <t>1997-06-06</t>
        </is>
      </c>
      <c r="W849" t="inlineStr">
        <is>
          <t>1991-04-19</t>
        </is>
      </c>
      <c r="X849" t="inlineStr">
        <is>
          <t>1991-04-19</t>
        </is>
      </c>
      <c r="Y849" t="n">
        <v>380</v>
      </c>
      <c r="Z849" t="n">
        <v>365</v>
      </c>
      <c r="AA849" t="n">
        <v>387</v>
      </c>
      <c r="AB849" t="n">
        <v>4</v>
      </c>
      <c r="AC849" t="n">
        <v>4</v>
      </c>
      <c r="AD849" t="n">
        <v>19</v>
      </c>
      <c r="AE849" t="n">
        <v>21</v>
      </c>
      <c r="AF849" t="n">
        <v>6</v>
      </c>
      <c r="AG849" t="n">
        <v>7</v>
      </c>
      <c r="AH849" t="n">
        <v>3</v>
      </c>
      <c r="AI849" t="n">
        <v>4</v>
      </c>
      <c r="AJ849" t="n">
        <v>13</v>
      </c>
      <c r="AK849" t="n">
        <v>13</v>
      </c>
      <c r="AL849" t="n">
        <v>2</v>
      </c>
      <c r="AM849" t="n">
        <v>2</v>
      </c>
      <c r="AN849" t="n">
        <v>0</v>
      </c>
      <c r="AO849" t="n">
        <v>0</v>
      </c>
      <c r="AP849" t="inlineStr">
        <is>
          <t>No</t>
        </is>
      </c>
      <c r="AQ849" t="inlineStr">
        <is>
          <t>Yes</t>
        </is>
      </c>
      <c r="AR849">
        <f>HYPERLINK("http://catalog.hathitrust.org/Record/006830769","HathiTrust Record")</f>
        <v/>
      </c>
      <c r="AS849">
        <f>HYPERLINK("https://creighton-primo.hosted.exlibrisgroup.com/primo-explore/search?tab=default_tab&amp;search_scope=EVERYTHING&amp;vid=01CRU&amp;lang=en_US&amp;offset=0&amp;query=any,contains,991003685209702656","Catalog Record")</f>
        <v/>
      </c>
      <c r="AT849">
        <f>HYPERLINK("http://www.worldcat.org/oclc/1313277","WorldCat Record")</f>
        <v/>
      </c>
      <c r="AU849" t="inlineStr">
        <is>
          <t>2186278:eng</t>
        </is>
      </c>
      <c r="AV849" t="inlineStr">
        <is>
          <t>1313277</t>
        </is>
      </c>
      <c r="AW849" t="inlineStr">
        <is>
          <t>991003685209702656</t>
        </is>
      </c>
      <c r="AX849" t="inlineStr">
        <is>
          <t>991003685209702656</t>
        </is>
      </c>
      <c r="AY849" t="inlineStr">
        <is>
          <t>2257478330002656</t>
        </is>
      </c>
      <c r="AZ849" t="inlineStr">
        <is>
          <t>BOOK</t>
        </is>
      </c>
      <c r="BC849" t="inlineStr">
        <is>
          <t>32285000583731</t>
        </is>
      </c>
      <c r="BD849" t="inlineStr">
        <is>
          <t>893246628</t>
        </is>
      </c>
    </row>
    <row r="850">
      <c r="A850" t="inlineStr">
        <is>
          <t>No</t>
        </is>
      </c>
      <c r="B850" t="inlineStr">
        <is>
          <t>E184.I6 F24</t>
        </is>
      </c>
      <c r="C850" t="inlineStr">
        <is>
          <t>0                      E  0184000I  6                  F  24</t>
        </is>
      </c>
      <c r="D850" t="inlineStr">
        <is>
          <t>Irish Americans : identity and assimilation / Marjorie R. Fallows.</t>
        </is>
      </c>
      <c r="F850" t="inlineStr">
        <is>
          <t>No</t>
        </is>
      </c>
      <c r="G850" t="inlineStr">
        <is>
          <t>1</t>
        </is>
      </c>
      <c r="H850" t="inlineStr">
        <is>
          <t>No</t>
        </is>
      </c>
      <c r="I850" t="inlineStr">
        <is>
          <t>No</t>
        </is>
      </c>
      <c r="J850" t="inlineStr">
        <is>
          <t>0</t>
        </is>
      </c>
      <c r="K850" t="inlineStr">
        <is>
          <t>Fallows, Marjorie R., 1926-</t>
        </is>
      </c>
      <c r="L850" t="inlineStr">
        <is>
          <t>Englewood Cliffs, N.J. : Prentice-Hall, c1979.</t>
        </is>
      </c>
      <c r="M850" t="inlineStr">
        <is>
          <t>1979</t>
        </is>
      </c>
      <c r="O850" t="inlineStr">
        <is>
          <t>eng</t>
        </is>
      </c>
      <c r="P850" t="inlineStr">
        <is>
          <t>nju</t>
        </is>
      </c>
      <c r="Q850" t="inlineStr">
        <is>
          <t>Ethnic groups in American life series</t>
        </is>
      </c>
      <c r="R850" t="inlineStr">
        <is>
          <t xml:space="preserve">E  </t>
        </is>
      </c>
      <c r="S850" t="n">
        <v>12</v>
      </c>
      <c r="T850" t="n">
        <v>12</v>
      </c>
      <c r="U850" t="inlineStr">
        <is>
          <t>1999-03-29</t>
        </is>
      </c>
      <c r="V850" t="inlineStr">
        <is>
          <t>1999-03-29</t>
        </is>
      </c>
      <c r="W850" t="inlineStr">
        <is>
          <t>1990-03-20</t>
        </is>
      </c>
      <c r="X850" t="inlineStr">
        <is>
          <t>1990-03-20</t>
        </is>
      </c>
      <c r="Y850" t="n">
        <v>880</v>
      </c>
      <c r="Z850" t="n">
        <v>808</v>
      </c>
      <c r="AA850" t="n">
        <v>815</v>
      </c>
      <c r="AB850" t="n">
        <v>7</v>
      </c>
      <c r="AC850" t="n">
        <v>7</v>
      </c>
      <c r="AD850" t="n">
        <v>40</v>
      </c>
      <c r="AE850" t="n">
        <v>40</v>
      </c>
      <c r="AF850" t="n">
        <v>19</v>
      </c>
      <c r="AG850" t="n">
        <v>19</v>
      </c>
      <c r="AH850" t="n">
        <v>7</v>
      </c>
      <c r="AI850" t="n">
        <v>7</v>
      </c>
      <c r="AJ850" t="n">
        <v>17</v>
      </c>
      <c r="AK850" t="n">
        <v>17</v>
      </c>
      <c r="AL850" t="n">
        <v>6</v>
      </c>
      <c r="AM850" t="n">
        <v>6</v>
      </c>
      <c r="AN850" t="n">
        <v>0</v>
      </c>
      <c r="AO850" t="n">
        <v>0</v>
      </c>
      <c r="AP850" t="inlineStr">
        <is>
          <t>No</t>
        </is>
      </c>
      <c r="AQ850" t="inlineStr">
        <is>
          <t>Yes</t>
        </is>
      </c>
      <c r="AR850">
        <f>HYPERLINK("http://catalog.hathitrust.org/Record/000039009","HathiTrust Record")</f>
        <v/>
      </c>
      <c r="AS850">
        <f>HYPERLINK("https://creighton-primo.hosted.exlibrisgroup.com/primo-explore/search?tab=default_tab&amp;search_scope=EVERYTHING&amp;vid=01CRU&amp;lang=en_US&amp;offset=0&amp;query=any,contains,991004652299702656","Catalog Record")</f>
        <v/>
      </c>
      <c r="AT850">
        <f>HYPERLINK("http://www.worldcat.org/oclc/4494327","WorldCat Record")</f>
        <v/>
      </c>
      <c r="AU850" t="inlineStr">
        <is>
          <t>325881101:eng</t>
        </is>
      </c>
      <c r="AV850" t="inlineStr">
        <is>
          <t>4494327</t>
        </is>
      </c>
      <c r="AW850" t="inlineStr">
        <is>
          <t>991004652299702656</t>
        </is>
      </c>
      <c r="AX850" t="inlineStr">
        <is>
          <t>991004652299702656</t>
        </is>
      </c>
      <c r="AY850" t="inlineStr">
        <is>
          <t>2265470480002656</t>
        </is>
      </c>
      <c r="AZ850" t="inlineStr">
        <is>
          <t>BOOK</t>
        </is>
      </c>
      <c r="BB850" t="inlineStr">
        <is>
          <t>9780135062531</t>
        </is>
      </c>
      <c r="BC850" t="inlineStr">
        <is>
          <t>32285000087600</t>
        </is>
      </c>
      <c r="BD850" t="inlineStr">
        <is>
          <t>893424037</t>
        </is>
      </c>
    </row>
    <row r="851">
      <c r="A851" t="inlineStr">
        <is>
          <t>No</t>
        </is>
      </c>
      <c r="B851" t="inlineStr">
        <is>
          <t>E184.I6 F76 1986</t>
        </is>
      </c>
      <c r="C851" t="inlineStr">
        <is>
          <t>0                      E  0184000I  6                  F  76          1986</t>
        </is>
      </c>
      <c r="D851" t="inlineStr">
        <is>
          <t>From Paddy to Studs : Irish-American communities in the turn of the century era, 1880 to 1920 / edited by Timothy J. Meagher.</t>
        </is>
      </c>
      <c r="F851" t="inlineStr">
        <is>
          <t>No</t>
        </is>
      </c>
      <c r="G851" t="inlineStr">
        <is>
          <t>1</t>
        </is>
      </c>
      <c r="H851" t="inlineStr">
        <is>
          <t>No</t>
        </is>
      </c>
      <c r="I851" t="inlineStr">
        <is>
          <t>No</t>
        </is>
      </c>
      <c r="J851" t="inlineStr">
        <is>
          <t>0</t>
        </is>
      </c>
      <c r="L851" t="inlineStr">
        <is>
          <t>Westport, Conn. : Greenwood Press, 1986.</t>
        </is>
      </c>
      <c r="M851" t="inlineStr">
        <is>
          <t>1986</t>
        </is>
      </c>
      <c r="O851" t="inlineStr">
        <is>
          <t>eng</t>
        </is>
      </c>
      <c r="P851" t="inlineStr">
        <is>
          <t>ctu</t>
        </is>
      </c>
      <c r="Q851" t="inlineStr">
        <is>
          <t>Contributions in ethnic studies, 0196-7088 ; no. 13</t>
        </is>
      </c>
      <c r="R851" t="inlineStr">
        <is>
          <t xml:space="preserve">E  </t>
        </is>
      </c>
      <c r="S851" t="n">
        <v>4</v>
      </c>
      <c r="T851" t="n">
        <v>4</v>
      </c>
      <c r="U851" t="inlineStr">
        <is>
          <t>1996-11-24</t>
        </is>
      </c>
      <c r="V851" t="inlineStr">
        <is>
          <t>1996-11-24</t>
        </is>
      </c>
      <c r="W851" t="inlineStr">
        <is>
          <t>1990-03-20</t>
        </is>
      </c>
      <c r="X851" t="inlineStr">
        <is>
          <t>1990-03-20</t>
        </is>
      </c>
      <c r="Y851" t="n">
        <v>357</v>
      </c>
      <c r="Z851" t="n">
        <v>302</v>
      </c>
      <c r="AA851" t="n">
        <v>314</v>
      </c>
      <c r="AB851" t="n">
        <v>1</v>
      </c>
      <c r="AC851" t="n">
        <v>1</v>
      </c>
      <c r="AD851" t="n">
        <v>21</v>
      </c>
      <c r="AE851" t="n">
        <v>21</v>
      </c>
      <c r="AF851" t="n">
        <v>9</v>
      </c>
      <c r="AG851" t="n">
        <v>9</v>
      </c>
      <c r="AH851" t="n">
        <v>6</v>
      </c>
      <c r="AI851" t="n">
        <v>6</v>
      </c>
      <c r="AJ851" t="n">
        <v>14</v>
      </c>
      <c r="AK851" t="n">
        <v>14</v>
      </c>
      <c r="AL851" t="n">
        <v>0</v>
      </c>
      <c r="AM851" t="n">
        <v>0</v>
      </c>
      <c r="AN851" t="n">
        <v>0</v>
      </c>
      <c r="AO851" t="n">
        <v>0</v>
      </c>
      <c r="AP851" t="inlineStr">
        <is>
          <t>No</t>
        </is>
      </c>
      <c r="AQ851" t="inlineStr">
        <is>
          <t>Yes</t>
        </is>
      </c>
      <c r="AR851">
        <f>HYPERLINK("http://catalog.hathitrust.org/Record/000397849","HathiTrust Record")</f>
        <v/>
      </c>
      <c r="AS851">
        <f>HYPERLINK("https://creighton-primo.hosted.exlibrisgroup.com/primo-explore/search?tab=default_tab&amp;search_scope=EVERYTHING&amp;vid=01CRU&amp;lang=en_US&amp;offset=0&amp;query=any,contains,991000759109702656","Catalog Record")</f>
        <v/>
      </c>
      <c r="AT851">
        <f>HYPERLINK("http://www.worldcat.org/oclc/12971096","WorldCat Record")</f>
        <v/>
      </c>
      <c r="AU851" t="inlineStr">
        <is>
          <t>836690968:eng</t>
        </is>
      </c>
      <c r="AV851" t="inlineStr">
        <is>
          <t>12971096</t>
        </is>
      </c>
      <c r="AW851" t="inlineStr">
        <is>
          <t>991000759109702656</t>
        </is>
      </c>
      <c r="AX851" t="inlineStr">
        <is>
          <t>991000759109702656</t>
        </is>
      </c>
      <c r="AY851" t="inlineStr">
        <is>
          <t>2268307940002656</t>
        </is>
      </c>
      <c r="AZ851" t="inlineStr">
        <is>
          <t>BOOK</t>
        </is>
      </c>
      <c r="BB851" t="inlineStr">
        <is>
          <t>9780313246708</t>
        </is>
      </c>
      <c r="BC851" t="inlineStr">
        <is>
          <t>32285000087618</t>
        </is>
      </c>
      <c r="BD851" t="inlineStr">
        <is>
          <t>893321321</t>
        </is>
      </c>
    </row>
    <row r="852">
      <c r="A852" t="inlineStr">
        <is>
          <t>No</t>
        </is>
      </c>
      <c r="B852" t="inlineStr">
        <is>
          <t>E184.I6 G73</t>
        </is>
      </c>
      <c r="C852" t="inlineStr">
        <is>
          <t>0                      E  0184000I  6                  G  73</t>
        </is>
      </c>
      <c r="D852" t="inlineStr">
        <is>
          <t>That most distressful nation : the taming of the American Irish / by Andrew M. Greeley. Foreword by Daniel P. Moynihan.</t>
        </is>
      </c>
      <c r="F852" t="inlineStr">
        <is>
          <t>No</t>
        </is>
      </c>
      <c r="G852" t="inlineStr">
        <is>
          <t>1</t>
        </is>
      </c>
      <c r="H852" t="inlineStr">
        <is>
          <t>No</t>
        </is>
      </c>
      <c r="I852" t="inlineStr">
        <is>
          <t>No</t>
        </is>
      </c>
      <c r="J852" t="inlineStr">
        <is>
          <t>0</t>
        </is>
      </c>
      <c r="K852" t="inlineStr">
        <is>
          <t>Greeley, Andrew M., 1928-2013.</t>
        </is>
      </c>
      <c r="L852" t="inlineStr">
        <is>
          <t>Chicago : Quadrangle Books, 1972.</t>
        </is>
      </c>
      <c r="M852" t="inlineStr">
        <is>
          <t>1972</t>
        </is>
      </c>
      <c r="O852" t="inlineStr">
        <is>
          <t>eng</t>
        </is>
      </c>
      <c r="P852" t="inlineStr">
        <is>
          <t>ilu</t>
        </is>
      </c>
      <c r="R852" t="inlineStr">
        <is>
          <t xml:space="preserve">E  </t>
        </is>
      </c>
      <c r="S852" t="n">
        <v>4</v>
      </c>
      <c r="T852" t="n">
        <v>4</v>
      </c>
      <c r="U852" t="inlineStr">
        <is>
          <t>2000-04-01</t>
        </is>
      </c>
      <c r="V852" t="inlineStr">
        <is>
          <t>2000-04-01</t>
        </is>
      </c>
      <c r="W852" t="inlineStr">
        <is>
          <t>1995-05-18</t>
        </is>
      </c>
      <c r="X852" t="inlineStr">
        <is>
          <t>1995-05-18</t>
        </is>
      </c>
      <c r="Y852" t="n">
        <v>709</v>
      </c>
      <c r="Z852" t="n">
        <v>642</v>
      </c>
      <c r="AA852" t="n">
        <v>649</v>
      </c>
      <c r="AB852" t="n">
        <v>4</v>
      </c>
      <c r="AC852" t="n">
        <v>4</v>
      </c>
      <c r="AD852" t="n">
        <v>36</v>
      </c>
      <c r="AE852" t="n">
        <v>36</v>
      </c>
      <c r="AF852" t="n">
        <v>15</v>
      </c>
      <c r="AG852" t="n">
        <v>15</v>
      </c>
      <c r="AH852" t="n">
        <v>9</v>
      </c>
      <c r="AI852" t="n">
        <v>9</v>
      </c>
      <c r="AJ852" t="n">
        <v>21</v>
      </c>
      <c r="AK852" t="n">
        <v>21</v>
      </c>
      <c r="AL852" t="n">
        <v>3</v>
      </c>
      <c r="AM852" t="n">
        <v>3</v>
      </c>
      <c r="AN852" t="n">
        <v>0</v>
      </c>
      <c r="AO852" t="n">
        <v>0</v>
      </c>
      <c r="AP852" t="inlineStr">
        <is>
          <t>No</t>
        </is>
      </c>
      <c r="AQ852" t="inlineStr">
        <is>
          <t>Yes</t>
        </is>
      </c>
      <c r="AR852">
        <f>HYPERLINK("http://catalog.hathitrust.org/Record/000005730","HathiTrust Record")</f>
        <v/>
      </c>
      <c r="AS852">
        <f>HYPERLINK("https://creighton-primo.hosted.exlibrisgroup.com/primo-explore/search?tab=default_tab&amp;search_scope=EVERYTHING&amp;vid=01CRU&amp;lang=en_US&amp;offset=0&amp;query=any,contains,991002712809702656","Catalog Record")</f>
        <v/>
      </c>
      <c r="AT852">
        <f>HYPERLINK("http://www.worldcat.org/oclc/410372","WorldCat Record")</f>
        <v/>
      </c>
      <c r="AU852" t="inlineStr">
        <is>
          <t>148117010:eng</t>
        </is>
      </c>
      <c r="AV852" t="inlineStr">
        <is>
          <t>410372</t>
        </is>
      </c>
      <c r="AW852" t="inlineStr">
        <is>
          <t>991002712809702656</t>
        </is>
      </c>
      <c r="AX852" t="inlineStr">
        <is>
          <t>991002712809702656</t>
        </is>
      </c>
      <c r="AY852" t="inlineStr">
        <is>
          <t>2265616610002656</t>
        </is>
      </c>
      <c r="AZ852" t="inlineStr">
        <is>
          <t>BOOK</t>
        </is>
      </c>
      <c r="BC852" t="inlineStr">
        <is>
          <t>32285002034725</t>
        </is>
      </c>
      <c r="BD852" t="inlineStr">
        <is>
          <t>893899114</t>
        </is>
      </c>
    </row>
    <row r="853">
      <c r="A853" t="inlineStr">
        <is>
          <t>No</t>
        </is>
      </c>
      <c r="B853" t="inlineStr">
        <is>
          <t>E184.I6 M36 1992</t>
        </is>
      </c>
      <c r="C853" t="inlineStr">
        <is>
          <t>0                      E  0184000I  6                  M  36          1992</t>
        </is>
      </c>
      <c r="D853" t="inlineStr">
        <is>
          <t>Textures of Irish America / Lawrence J. McCaffrey.</t>
        </is>
      </c>
      <c r="F853" t="inlineStr">
        <is>
          <t>No</t>
        </is>
      </c>
      <c r="G853" t="inlineStr">
        <is>
          <t>1</t>
        </is>
      </c>
      <c r="H853" t="inlineStr">
        <is>
          <t>No</t>
        </is>
      </c>
      <c r="I853" t="inlineStr">
        <is>
          <t>No</t>
        </is>
      </c>
      <c r="J853" t="inlineStr">
        <is>
          <t>0</t>
        </is>
      </c>
      <c r="K853" t="inlineStr">
        <is>
          <t>McCaffrey, Lawrence J. (Lawrence John), 1925-</t>
        </is>
      </c>
      <c r="L853" t="inlineStr">
        <is>
          <t>Syracuse, N.Y. : Syracuse University Press, 1992.</t>
        </is>
      </c>
      <c r="M853" t="inlineStr">
        <is>
          <t>1992</t>
        </is>
      </c>
      <c r="N853" t="inlineStr">
        <is>
          <t>1st ed.</t>
        </is>
      </c>
      <c r="O853" t="inlineStr">
        <is>
          <t>eng</t>
        </is>
      </c>
      <c r="P853" t="inlineStr">
        <is>
          <t>nyu</t>
        </is>
      </c>
      <c r="Q853" t="inlineStr">
        <is>
          <t>Irish studies</t>
        </is>
      </c>
      <c r="R853" t="inlineStr">
        <is>
          <t xml:space="preserve">E  </t>
        </is>
      </c>
      <c r="S853" t="n">
        <v>21</v>
      </c>
      <c r="T853" t="n">
        <v>21</v>
      </c>
      <c r="U853" t="inlineStr">
        <is>
          <t>2000-03-21</t>
        </is>
      </c>
      <c r="V853" t="inlineStr">
        <is>
          <t>2000-03-21</t>
        </is>
      </c>
      <c r="W853" t="inlineStr">
        <is>
          <t>1993-11-29</t>
        </is>
      </c>
      <c r="X853" t="inlineStr">
        <is>
          <t>1993-11-29</t>
        </is>
      </c>
      <c r="Y853" t="n">
        <v>490</v>
      </c>
      <c r="Z853" t="n">
        <v>445</v>
      </c>
      <c r="AA853" t="n">
        <v>974</v>
      </c>
      <c r="AB853" t="n">
        <v>4</v>
      </c>
      <c r="AC853" t="n">
        <v>4</v>
      </c>
      <c r="AD853" t="n">
        <v>26</v>
      </c>
      <c r="AE853" t="n">
        <v>31</v>
      </c>
      <c r="AF853" t="n">
        <v>10</v>
      </c>
      <c r="AG853" t="n">
        <v>13</v>
      </c>
      <c r="AH853" t="n">
        <v>6</v>
      </c>
      <c r="AI853" t="n">
        <v>8</v>
      </c>
      <c r="AJ853" t="n">
        <v>16</v>
      </c>
      <c r="AK853" t="n">
        <v>17</v>
      </c>
      <c r="AL853" t="n">
        <v>3</v>
      </c>
      <c r="AM853" t="n">
        <v>3</v>
      </c>
      <c r="AN853" t="n">
        <v>0</v>
      </c>
      <c r="AO853" t="n">
        <v>0</v>
      </c>
      <c r="AP853" t="inlineStr">
        <is>
          <t>No</t>
        </is>
      </c>
      <c r="AQ853" t="inlineStr">
        <is>
          <t>Yes</t>
        </is>
      </c>
      <c r="AR853">
        <f>HYPERLINK("http://catalog.hathitrust.org/Record/002579597","HathiTrust Record")</f>
        <v/>
      </c>
      <c r="AS853">
        <f>HYPERLINK("https://creighton-primo.hosted.exlibrisgroup.com/primo-explore/search?tab=default_tab&amp;search_scope=EVERYTHING&amp;vid=01CRU&amp;lang=en_US&amp;offset=0&amp;query=any,contains,991001958229702656","Catalog Record")</f>
        <v/>
      </c>
      <c r="AT853">
        <f>HYPERLINK("http://www.worldcat.org/oclc/24795829","WorldCat Record")</f>
        <v/>
      </c>
      <c r="AU853" t="inlineStr">
        <is>
          <t>26477938:eng</t>
        </is>
      </c>
      <c r="AV853" t="inlineStr">
        <is>
          <t>24795829</t>
        </is>
      </c>
      <c r="AW853" t="inlineStr">
        <is>
          <t>991001958229702656</t>
        </is>
      </c>
      <c r="AX853" t="inlineStr">
        <is>
          <t>991001958229702656</t>
        </is>
      </c>
      <c r="AY853" t="inlineStr">
        <is>
          <t>2259739090002656</t>
        </is>
      </c>
      <c r="AZ853" t="inlineStr">
        <is>
          <t>BOOK</t>
        </is>
      </c>
      <c r="BB853" t="inlineStr">
        <is>
          <t>9780815602675</t>
        </is>
      </c>
      <c r="BC853" t="inlineStr">
        <is>
          <t>32285001812774</t>
        </is>
      </c>
      <c r="BD853" t="inlineStr">
        <is>
          <t>893773059</t>
        </is>
      </c>
    </row>
    <row r="854">
      <c r="A854" t="inlineStr">
        <is>
          <t>No</t>
        </is>
      </c>
      <c r="B854" t="inlineStr">
        <is>
          <t>E184.I6 M48 1995</t>
        </is>
      </c>
      <c r="C854" t="inlineStr">
        <is>
          <t>0                      E  0184000I  6                  M  48          1995</t>
        </is>
      </c>
      <c r="D854" t="inlineStr">
        <is>
          <t>The American Irish and Irish nationalism : a sociohistorical introduction / Seamus P. Metress.</t>
        </is>
      </c>
      <c r="F854" t="inlineStr">
        <is>
          <t>No</t>
        </is>
      </c>
      <c r="G854" t="inlineStr">
        <is>
          <t>1</t>
        </is>
      </c>
      <c r="H854" t="inlineStr">
        <is>
          <t>No</t>
        </is>
      </c>
      <c r="I854" t="inlineStr">
        <is>
          <t>No</t>
        </is>
      </c>
      <c r="J854" t="inlineStr">
        <is>
          <t>0</t>
        </is>
      </c>
      <c r="K854" t="inlineStr">
        <is>
          <t>Metress, Seamus P.</t>
        </is>
      </c>
      <c r="L854" t="inlineStr">
        <is>
          <t>Lanham, Md. : Scarecrow Press, c1995.</t>
        </is>
      </c>
      <c r="M854" t="inlineStr">
        <is>
          <t>1995</t>
        </is>
      </c>
      <c r="O854" t="inlineStr">
        <is>
          <t>eng</t>
        </is>
      </c>
      <c r="P854" t="inlineStr">
        <is>
          <t>mdu</t>
        </is>
      </c>
      <c r="R854" t="inlineStr">
        <is>
          <t xml:space="preserve">E  </t>
        </is>
      </c>
      <c r="S854" t="n">
        <v>3</v>
      </c>
      <c r="T854" t="n">
        <v>3</v>
      </c>
      <c r="U854" t="inlineStr">
        <is>
          <t>2005-02-09</t>
        </is>
      </c>
      <c r="V854" t="inlineStr">
        <is>
          <t>2005-02-09</t>
        </is>
      </c>
      <c r="W854" t="inlineStr">
        <is>
          <t>2004-11-22</t>
        </is>
      </c>
      <c r="X854" t="inlineStr">
        <is>
          <t>2004-11-22</t>
        </is>
      </c>
      <c r="Y854" t="n">
        <v>167</v>
      </c>
      <c r="Z854" t="n">
        <v>138</v>
      </c>
      <c r="AA854" t="n">
        <v>140</v>
      </c>
      <c r="AB854" t="n">
        <v>2</v>
      </c>
      <c r="AC854" t="n">
        <v>2</v>
      </c>
      <c r="AD854" t="n">
        <v>8</v>
      </c>
      <c r="AE854" t="n">
        <v>8</v>
      </c>
      <c r="AF854" t="n">
        <v>1</v>
      </c>
      <c r="AG854" t="n">
        <v>1</v>
      </c>
      <c r="AH854" t="n">
        <v>3</v>
      </c>
      <c r="AI854" t="n">
        <v>3</v>
      </c>
      <c r="AJ854" t="n">
        <v>4</v>
      </c>
      <c r="AK854" t="n">
        <v>4</v>
      </c>
      <c r="AL854" t="n">
        <v>1</v>
      </c>
      <c r="AM854" t="n">
        <v>1</v>
      </c>
      <c r="AN854" t="n">
        <v>1</v>
      </c>
      <c r="AO854" t="n">
        <v>1</v>
      </c>
      <c r="AP854" t="inlineStr">
        <is>
          <t>No</t>
        </is>
      </c>
      <c r="AQ854" t="inlineStr">
        <is>
          <t>Yes</t>
        </is>
      </c>
      <c r="AR854">
        <f>HYPERLINK("http://catalog.hathitrust.org/Record/003030770","HathiTrust Record")</f>
        <v/>
      </c>
      <c r="AS854">
        <f>HYPERLINK("https://creighton-primo.hosted.exlibrisgroup.com/primo-explore/search?tab=default_tab&amp;search_scope=EVERYTHING&amp;vid=01CRU&amp;lang=en_US&amp;offset=0&amp;query=any,contains,991004415679702656","Catalog Record")</f>
        <v/>
      </c>
      <c r="AT854">
        <f>HYPERLINK("http://www.worldcat.org/oclc/32853786","WorldCat Record")</f>
        <v/>
      </c>
      <c r="AU854" t="inlineStr">
        <is>
          <t>37161381:eng</t>
        </is>
      </c>
      <c r="AV854" t="inlineStr">
        <is>
          <t>32853786</t>
        </is>
      </c>
      <c r="AW854" t="inlineStr">
        <is>
          <t>991004415679702656</t>
        </is>
      </c>
      <c r="AX854" t="inlineStr">
        <is>
          <t>991004415679702656</t>
        </is>
      </c>
      <c r="AY854" t="inlineStr">
        <is>
          <t>2270912270002656</t>
        </is>
      </c>
      <c r="AZ854" t="inlineStr">
        <is>
          <t>BOOK</t>
        </is>
      </c>
      <c r="BB854" t="inlineStr">
        <is>
          <t>9780810830592</t>
        </is>
      </c>
      <c r="BC854" t="inlineStr">
        <is>
          <t>32285005012785</t>
        </is>
      </c>
      <c r="BD854" t="inlineStr">
        <is>
          <t>893325358</t>
        </is>
      </c>
    </row>
    <row r="855">
      <c r="A855" t="inlineStr">
        <is>
          <t>No</t>
        </is>
      </c>
      <c r="B855" t="inlineStr">
        <is>
          <t>E184.I6 P6</t>
        </is>
      </c>
      <c r="C855" t="inlineStr">
        <is>
          <t>0                      E  0184000I  6                  P  6</t>
        </is>
      </c>
      <c r="D855" t="inlineStr">
        <is>
          <t>To the golden door; the story of the Irish in Ireland and America.</t>
        </is>
      </c>
      <c r="F855" t="inlineStr">
        <is>
          <t>No</t>
        </is>
      </c>
      <c r="G855" t="inlineStr">
        <is>
          <t>1</t>
        </is>
      </c>
      <c r="H855" t="inlineStr">
        <is>
          <t>No</t>
        </is>
      </c>
      <c r="I855" t="inlineStr">
        <is>
          <t>No</t>
        </is>
      </c>
      <c r="J855" t="inlineStr">
        <is>
          <t>0</t>
        </is>
      </c>
      <c r="K855" t="inlineStr">
        <is>
          <t>Potter, George W.</t>
        </is>
      </c>
      <c r="L855" t="inlineStr">
        <is>
          <t>Boston, Little, Brown [1960]</t>
        </is>
      </c>
      <c r="M855" t="inlineStr">
        <is>
          <t>1960</t>
        </is>
      </c>
      <c r="N855" t="inlineStr">
        <is>
          <t>[1st ed.]</t>
        </is>
      </c>
      <c r="O855" t="inlineStr">
        <is>
          <t>eng</t>
        </is>
      </c>
      <c r="P855" t="inlineStr">
        <is>
          <t xml:space="preserve">xx </t>
        </is>
      </c>
      <c r="R855" t="inlineStr">
        <is>
          <t xml:space="preserve">E  </t>
        </is>
      </c>
      <c r="S855" t="n">
        <v>9</v>
      </c>
      <c r="T855" t="n">
        <v>9</v>
      </c>
      <c r="U855" t="inlineStr">
        <is>
          <t>1996-11-24</t>
        </is>
      </c>
      <c r="V855" t="inlineStr">
        <is>
          <t>1996-11-24</t>
        </is>
      </c>
      <c r="W855" t="inlineStr">
        <is>
          <t>1992-02-12</t>
        </is>
      </c>
      <c r="X855" t="inlineStr">
        <is>
          <t>1992-02-12</t>
        </is>
      </c>
      <c r="Y855" t="n">
        <v>477</v>
      </c>
      <c r="Z855" t="n">
        <v>433</v>
      </c>
      <c r="AA855" t="n">
        <v>710</v>
      </c>
      <c r="AB855" t="n">
        <v>3</v>
      </c>
      <c r="AC855" t="n">
        <v>5</v>
      </c>
      <c r="AD855" t="n">
        <v>30</v>
      </c>
      <c r="AE855" t="n">
        <v>42</v>
      </c>
      <c r="AF855" t="n">
        <v>10</v>
      </c>
      <c r="AG855" t="n">
        <v>14</v>
      </c>
      <c r="AH855" t="n">
        <v>7</v>
      </c>
      <c r="AI855" t="n">
        <v>9</v>
      </c>
      <c r="AJ855" t="n">
        <v>20</v>
      </c>
      <c r="AK855" t="n">
        <v>22</v>
      </c>
      <c r="AL855" t="n">
        <v>1</v>
      </c>
      <c r="AM855" t="n">
        <v>2</v>
      </c>
      <c r="AN855" t="n">
        <v>0</v>
      </c>
      <c r="AO855" t="n">
        <v>5</v>
      </c>
      <c r="AP855" t="inlineStr">
        <is>
          <t>Yes</t>
        </is>
      </c>
      <c r="AQ855" t="inlineStr">
        <is>
          <t>No</t>
        </is>
      </c>
      <c r="AR855">
        <f>HYPERLINK("http://catalog.hathitrust.org/Record/000336066","HathiTrust Record")</f>
        <v/>
      </c>
      <c r="AS855">
        <f>HYPERLINK("https://creighton-primo.hosted.exlibrisgroup.com/primo-explore/search?tab=default_tab&amp;search_scope=EVERYTHING&amp;vid=01CRU&amp;lang=en_US&amp;offset=0&amp;query=any,contains,991003759769702656","Catalog Record")</f>
        <v/>
      </c>
      <c r="AT855">
        <f>HYPERLINK("http://www.worldcat.org/oclc/1444699","WorldCat Record")</f>
        <v/>
      </c>
      <c r="AU855" t="inlineStr">
        <is>
          <t>500739:eng</t>
        </is>
      </c>
      <c r="AV855" t="inlineStr">
        <is>
          <t>1444699</t>
        </is>
      </c>
      <c r="AW855" t="inlineStr">
        <is>
          <t>991003759769702656</t>
        </is>
      </c>
      <c r="AX855" t="inlineStr">
        <is>
          <t>991003759769702656</t>
        </is>
      </c>
      <c r="AY855" t="inlineStr">
        <is>
          <t>2256093200002656</t>
        </is>
      </c>
      <c r="AZ855" t="inlineStr">
        <is>
          <t>BOOK</t>
        </is>
      </c>
      <c r="BC855" t="inlineStr">
        <is>
          <t>32285000946375</t>
        </is>
      </c>
      <c r="BD855" t="inlineStr">
        <is>
          <t>893722083</t>
        </is>
      </c>
    </row>
    <row r="856">
      <c r="A856" t="inlineStr">
        <is>
          <t>No</t>
        </is>
      </c>
      <c r="B856" t="inlineStr">
        <is>
          <t>E184.I6 R44 1991</t>
        </is>
      </c>
      <c r="C856" t="inlineStr">
        <is>
          <t>0                      E  0184000I  6                  R  44          1991</t>
        </is>
      </c>
      <c r="D856" t="inlineStr">
        <is>
          <t>From the ward to the White House : the Irish in American politics / George E. Reedy.</t>
        </is>
      </c>
      <c r="F856" t="inlineStr">
        <is>
          <t>No</t>
        </is>
      </c>
      <c r="G856" t="inlineStr">
        <is>
          <t>1</t>
        </is>
      </c>
      <c r="H856" t="inlineStr">
        <is>
          <t>No</t>
        </is>
      </c>
      <c r="I856" t="inlineStr">
        <is>
          <t>No</t>
        </is>
      </c>
      <c r="J856" t="inlineStr">
        <is>
          <t>0</t>
        </is>
      </c>
      <c r="K856" t="inlineStr">
        <is>
          <t>Reedy, George E., 1917-1999.</t>
        </is>
      </c>
      <c r="L856" t="inlineStr">
        <is>
          <t>New York : C. Scribner's Sons ; Toronto : Collier Macmillan ; New York : Maxwell Macmillan, c1991.</t>
        </is>
      </c>
      <c r="M856" t="inlineStr">
        <is>
          <t>1991</t>
        </is>
      </c>
      <c r="O856" t="inlineStr">
        <is>
          <t>eng</t>
        </is>
      </c>
      <c r="P856" t="inlineStr">
        <is>
          <t>nyu</t>
        </is>
      </c>
      <c r="R856" t="inlineStr">
        <is>
          <t xml:space="preserve">E  </t>
        </is>
      </c>
      <c r="S856" t="n">
        <v>8</v>
      </c>
      <c r="T856" t="n">
        <v>8</v>
      </c>
      <c r="U856" t="inlineStr">
        <is>
          <t>2000-03-26</t>
        </is>
      </c>
      <c r="V856" t="inlineStr">
        <is>
          <t>2000-03-26</t>
        </is>
      </c>
      <c r="W856" t="inlineStr">
        <is>
          <t>1991-07-25</t>
        </is>
      </c>
      <c r="X856" t="inlineStr">
        <is>
          <t>1991-07-25</t>
        </is>
      </c>
      <c r="Y856" t="n">
        <v>529</v>
      </c>
      <c r="Z856" t="n">
        <v>494</v>
      </c>
      <c r="AA856" t="n">
        <v>501</v>
      </c>
      <c r="AB856" t="n">
        <v>3</v>
      </c>
      <c r="AC856" t="n">
        <v>3</v>
      </c>
      <c r="AD856" t="n">
        <v>24</v>
      </c>
      <c r="AE856" t="n">
        <v>24</v>
      </c>
      <c r="AF856" t="n">
        <v>10</v>
      </c>
      <c r="AG856" t="n">
        <v>10</v>
      </c>
      <c r="AH856" t="n">
        <v>7</v>
      </c>
      <c r="AI856" t="n">
        <v>7</v>
      </c>
      <c r="AJ856" t="n">
        <v>14</v>
      </c>
      <c r="AK856" t="n">
        <v>14</v>
      </c>
      <c r="AL856" t="n">
        <v>2</v>
      </c>
      <c r="AM856" t="n">
        <v>2</v>
      </c>
      <c r="AN856" t="n">
        <v>0</v>
      </c>
      <c r="AO856" t="n">
        <v>0</v>
      </c>
      <c r="AP856" t="inlineStr">
        <is>
          <t>No</t>
        </is>
      </c>
      <c r="AQ856" t="inlineStr">
        <is>
          <t>Yes</t>
        </is>
      </c>
      <c r="AR856">
        <f>HYPERLINK("http://catalog.hathitrust.org/Record/002443287","HathiTrust Record")</f>
        <v/>
      </c>
      <c r="AS856">
        <f>HYPERLINK("https://creighton-primo.hosted.exlibrisgroup.com/primo-explore/search?tab=default_tab&amp;search_scope=EVERYTHING&amp;vid=01CRU&amp;lang=en_US&amp;offset=0&amp;query=any,contains,991001757699702656","Catalog Record")</f>
        <v/>
      </c>
      <c r="AT856">
        <f>HYPERLINK("http://www.worldcat.org/oclc/22239439","WorldCat Record")</f>
        <v/>
      </c>
      <c r="AU856" t="inlineStr">
        <is>
          <t>323292940:eng</t>
        </is>
      </c>
      <c r="AV856" t="inlineStr">
        <is>
          <t>22239439</t>
        </is>
      </c>
      <c r="AW856" t="inlineStr">
        <is>
          <t>991001757699702656</t>
        </is>
      </c>
      <c r="AX856" t="inlineStr">
        <is>
          <t>991001757699702656</t>
        </is>
      </c>
      <c r="AY856" t="inlineStr">
        <is>
          <t>2258891600002656</t>
        </is>
      </c>
      <c r="AZ856" t="inlineStr">
        <is>
          <t>BOOK</t>
        </is>
      </c>
      <c r="BB856" t="inlineStr">
        <is>
          <t>9780684189772</t>
        </is>
      </c>
      <c r="BC856" t="inlineStr">
        <is>
          <t>32285000662501</t>
        </is>
      </c>
      <c r="BD856" t="inlineStr">
        <is>
          <t>893626815</t>
        </is>
      </c>
    </row>
    <row r="857">
      <c r="A857" t="inlineStr">
        <is>
          <t>No</t>
        </is>
      </c>
      <c r="B857" t="inlineStr">
        <is>
          <t>E184.I8 H66 1994</t>
        </is>
      </c>
      <c r="C857" t="inlineStr">
        <is>
          <t>0                      E  0184000I  8                  H  66          1994</t>
        </is>
      </c>
      <c r="D857" t="inlineStr">
        <is>
          <t>The Italian American family album / Dorothy and Thomas Hoobler ; introduction by Governor Mario M. Cuomo.</t>
        </is>
      </c>
      <c r="F857" t="inlineStr">
        <is>
          <t>No</t>
        </is>
      </c>
      <c r="G857" t="inlineStr">
        <is>
          <t>1</t>
        </is>
      </c>
      <c r="H857" t="inlineStr">
        <is>
          <t>No</t>
        </is>
      </c>
      <c r="I857" t="inlineStr">
        <is>
          <t>No</t>
        </is>
      </c>
      <c r="J857" t="inlineStr">
        <is>
          <t>0</t>
        </is>
      </c>
      <c r="K857" t="inlineStr">
        <is>
          <t>Hoobler, Dorothy.</t>
        </is>
      </c>
      <c r="L857" t="inlineStr">
        <is>
          <t>New York : Oxford University Press, c1994.</t>
        </is>
      </c>
      <c r="M857" t="inlineStr">
        <is>
          <t>1994</t>
        </is>
      </c>
      <c r="O857" t="inlineStr">
        <is>
          <t>eng</t>
        </is>
      </c>
      <c r="P857" t="inlineStr">
        <is>
          <t>nyu</t>
        </is>
      </c>
      <c r="Q857" t="inlineStr">
        <is>
          <t>American family albums</t>
        </is>
      </c>
      <c r="R857" t="inlineStr">
        <is>
          <t xml:space="preserve">E  </t>
        </is>
      </c>
      <c r="S857" t="n">
        <v>4</v>
      </c>
      <c r="T857" t="n">
        <v>4</v>
      </c>
      <c r="U857" t="inlineStr">
        <is>
          <t>1998-02-20</t>
        </is>
      </c>
      <c r="V857" t="inlineStr">
        <is>
          <t>1998-02-20</t>
        </is>
      </c>
      <c r="W857" t="inlineStr">
        <is>
          <t>1997-04-01</t>
        </is>
      </c>
      <c r="X857" t="inlineStr">
        <is>
          <t>1997-04-01</t>
        </is>
      </c>
      <c r="Y857" t="n">
        <v>710</v>
      </c>
      <c r="Z857" t="n">
        <v>702</v>
      </c>
      <c r="AA857" t="n">
        <v>709</v>
      </c>
      <c r="AB857" t="n">
        <v>9</v>
      </c>
      <c r="AC857" t="n">
        <v>9</v>
      </c>
      <c r="AD857" t="n">
        <v>12</v>
      </c>
      <c r="AE857" t="n">
        <v>12</v>
      </c>
      <c r="AF857" t="n">
        <v>4</v>
      </c>
      <c r="AG857" t="n">
        <v>4</v>
      </c>
      <c r="AH857" t="n">
        <v>3</v>
      </c>
      <c r="AI857" t="n">
        <v>3</v>
      </c>
      <c r="AJ857" t="n">
        <v>7</v>
      </c>
      <c r="AK857" t="n">
        <v>7</v>
      </c>
      <c r="AL857" t="n">
        <v>1</v>
      </c>
      <c r="AM857" t="n">
        <v>1</v>
      </c>
      <c r="AN857" t="n">
        <v>0</v>
      </c>
      <c r="AO857" t="n">
        <v>0</v>
      </c>
      <c r="AP857" t="inlineStr">
        <is>
          <t>No</t>
        </is>
      </c>
      <c r="AQ857" t="inlineStr">
        <is>
          <t>Yes</t>
        </is>
      </c>
      <c r="AR857">
        <f>HYPERLINK("http://catalog.hathitrust.org/Record/008573002","HathiTrust Record")</f>
        <v/>
      </c>
      <c r="AS857">
        <f>HYPERLINK("https://creighton-primo.hosted.exlibrisgroup.com/primo-explore/search?tab=default_tab&amp;search_scope=EVERYTHING&amp;vid=01CRU&amp;lang=en_US&amp;offset=0&amp;query=any,contains,991002281729702656","Catalog Record")</f>
        <v/>
      </c>
      <c r="AT857">
        <f>HYPERLINK("http://www.worldcat.org/oclc/29594450","WorldCat Record")</f>
        <v/>
      </c>
      <c r="AU857" t="inlineStr">
        <is>
          <t>34256165:eng</t>
        </is>
      </c>
      <c r="AV857" t="inlineStr">
        <is>
          <t>29594450</t>
        </is>
      </c>
      <c r="AW857" t="inlineStr">
        <is>
          <t>991002281729702656</t>
        </is>
      </c>
      <c r="AX857" t="inlineStr">
        <is>
          <t>991002281729702656</t>
        </is>
      </c>
      <c r="AY857" t="inlineStr">
        <is>
          <t>2260764280002656</t>
        </is>
      </c>
      <c r="AZ857" t="inlineStr">
        <is>
          <t>BOOK</t>
        </is>
      </c>
      <c r="BB857" t="inlineStr">
        <is>
          <t>9780195081268</t>
        </is>
      </c>
      <c r="BC857" t="inlineStr">
        <is>
          <t>32285002477650</t>
        </is>
      </c>
      <c r="BD857" t="inlineStr">
        <is>
          <t>893597240</t>
        </is>
      </c>
    </row>
    <row r="858">
      <c r="A858" t="inlineStr">
        <is>
          <t>No</t>
        </is>
      </c>
      <c r="B858" t="inlineStr">
        <is>
          <t>E184.I8 L28 1985</t>
        </is>
      </c>
      <c r="C858" t="inlineStr">
        <is>
          <t>0                      E  0184000I  8                  L  28          1985</t>
        </is>
      </c>
      <c r="D858" t="inlineStr">
        <is>
          <t>La merica : images of Italian greenhorn experience / Michael La Sorte.</t>
        </is>
      </c>
      <c r="F858" t="inlineStr">
        <is>
          <t>No</t>
        </is>
      </c>
      <c r="G858" t="inlineStr">
        <is>
          <t>1</t>
        </is>
      </c>
      <c r="H858" t="inlineStr">
        <is>
          <t>No</t>
        </is>
      </c>
      <c r="I858" t="inlineStr">
        <is>
          <t>No</t>
        </is>
      </c>
      <c r="J858" t="inlineStr">
        <is>
          <t>0</t>
        </is>
      </c>
      <c r="K858" t="inlineStr">
        <is>
          <t>La Sorte, Michael.</t>
        </is>
      </c>
      <c r="L858" t="inlineStr">
        <is>
          <t>Philadelphia : Temple University Press, 1985.</t>
        </is>
      </c>
      <c r="M858" t="inlineStr">
        <is>
          <t>1985</t>
        </is>
      </c>
      <c r="O858" t="inlineStr">
        <is>
          <t>eng</t>
        </is>
      </c>
      <c r="P858" t="inlineStr">
        <is>
          <t>pau</t>
        </is>
      </c>
      <c r="R858" t="inlineStr">
        <is>
          <t xml:space="preserve">E  </t>
        </is>
      </c>
      <c r="S858" t="n">
        <v>4</v>
      </c>
      <c r="T858" t="n">
        <v>4</v>
      </c>
      <c r="U858" t="inlineStr">
        <is>
          <t>1998-04-19</t>
        </is>
      </c>
      <c r="V858" t="inlineStr">
        <is>
          <t>1998-04-19</t>
        </is>
      </c>
      <c r="W858" t="inlineStr">
        <is>
          <t>1991-02-18</t>
        </is>
      </c>
      <c r="X858" t="inlineStr">
        <is>
          <t>1991-02-18</t>
        </is>
      </c>
      <c r="Y858" t="n">
        <v>435</v>
      </c>
      <c r="Z858" t="n">
        <v>407</v>
      </c>
      <c r="AA858" t="n">
        <v>631</v>
      </c>
      <c r="AB858" t="n">
        <v>3</v>
      </c>
      <c r="AC858" t="n">
        <v>3</v>
      </c>
      <c r="AD858" t="n">
        <v>19</v>
      </c>
      <c r="AE858" t="n">
        <v>29</v>
      </c>
      <c r="AF858" t="n">
        <v>7</v>
      </c>
      <c r="AG858" t="n">
        <v>13</v>
      </c>
      <c r="AH858" t="n">
        <v>6</v>
      </c>
      <c r="AI858" t="n">
        <v>8</v>
      </c>
      <c r="AJ858" t="n">
        <v>12</v>
      </c>
      <c r="AK858" t="n">
        <v>16</v>
      </c>
      <c r="AL858" t="n">
        <v>2</v>
      </c>
      <c r="AM858" t="n">
        <v>2</v>
      </c>
      <c r="AN858" t="n">
        <v>0</v>
      </c>
      <c r="AO858" t="n">
        <v>0</v>
      </c>
      <c r="AP858" t="inlineStr">
        <is>
          <t>No</t>
        </is>
      </c>
      <c r="AQ858" t="inlineStr">
        <is>
          <t>No</t>
        </is>
      </c>
      <c r="AS858">
        <f>HYPERLINK("https://creighton-primo.hosted.exlibrisgroup.com/primo-explore/search?tab=default_tab&amp;search_scope=EVERYTHING&amp;vid=01CRU&amp;lang=en_US&amp;offset=0&amp;query=any,contains,991000491889702656","Catalog Record")</f>
        <v/>
      </c>
      <c r="AT858">
        <f>HYPERLINK("http://www.worldcat.org/oclc/11113451","WorldCat Record")</f>
        <v/>
      </c>
      <c r="AU858" t="inlineStr">
        <is>
          <t>365471856:eng</t>
        </is>
      </c>
      <c r="AV858" t="inlineStr">
        <is>
          <t>11113451</t>
        </is>
      </c>
      <c r="AW858" t="inlineStr">
        <is>
          <t>991000491889702656</t>
        </is>
      </c>
      <c r="AX858" t="inlineStr">
        <is>
          <t>991000491889702656</t>
        </is>
      </c>
      <c r="AY858" t="inlineStr">
        <is>
          <t>2258162620002656</t>
        </is>
      </c>
      <c r="AZ858" t="inlineStr">
        <is>
          <t>BOOK</t>
        </is>
      </c>
      <c r="BB858" t="inlineStr">
        <is>
          <t>9780877223825</t>
        </is>
      </c>
      <c r="BC858" t="inlineStr">
        <is>
          <t>32285000483437</t>
        </is>
      </c>
      <c r="BD858" t="inlineStr">
        <is>
          <t>893432001</t>
        </is>
      </c>
    </row>
    <row r="859">
      <c r="A859" t="inlineStr">
        <is>
          <t>No</t>
        </is>
      </c>
      <c r="B859" t="inlineStr">
        <is>
          <t>E184.I8 M8</t>
        </is>
      </c>
      <c r="C859" t="inlineStr">
        <is>
          <t>0                      E  0184000I  8                  M  8</t>
        </is>
      </c>
      <c r="D859" t="inlineStr">
        <is>
          <t>The story of the Italians in America / [by] Michael A. Musmanno.</t>
        </is>
      </c>
      <c r="F859" t="inlineStr">
        <is>
          <t>No</t>
        </is>
      </c>
      <c r="G859" t="inlineStr">
        <is>
          <t>1</t>
        </is>
      </c>
      <c r="H859" t="inlineStr">
        <is>
          <t>No</t>
        </is>
      </c>
      <c r="I859" t="inlineStr">
        <is>
          <t>No</t>
        </is>
      </c>
      <c r="J859" t="inlineStr">
        <is>
          <t>0</t>
        </is>
      </c>
      <c r="K859" t="inlineStr">
        <is>
          <t>Musmanno, Michael A. (Michael Angelo), 1897-1968.</t>
        </is>
      </c>
      <c r="L859" t="inlineStr">
        <is>
          <t>Garden City, N.Y. : Doubleday, 1965.</t>
        </is>
      </c>
      <c r="M859" t="inlineStr">
        <is>
          <t>1965</t>
        </is>
      </c>
      <c r="N859" t="inlineStr">
        <is>
          <t>[1st ed.]</t>
        </is>
      </c>
      <c r="O859" t="inlineStr">
        <is>
          <t>eng</t>
        </is>
      </c>
      <c r="P859" t="inlineStr">
        <is>
          <t>nyu</t>
        </is>
      </c>
      <c r="Q859" t="inlineStr">
        <is>
          <t>Your ancestor series</t>
        </is>
      </c>
      <c r="R859" t="inlineStr">
        <is>
          <t xml:space="preserve">E  </t>
        </is>
      </c>
      <c r="S859" t="n">
        <v>7</v>
      </c>
      <c r="T859" t="n">
        <v>7</v>
      </c>
      <c r="U859" t="inlineStr">
        <is>
          <t>2002-03-19</t>
        </is>
      </c>
      <c r="V859" t="inlineStr">
        <is>
          <t>2002-03-19</t>
        </is>
      </c>
      <c r="W859" t="inlineStr">
        <is>
          <t>1993-04-06</t>
        </is>
      </c>
      <c r="X859" t="inlineStr">
        <is>
          <t>1993-04-06</t>
        </is>
      </c>
      <c r="Y859" t="n">
        <v>432</v>
      </c>
      <c r="Z859" t="n">
        <v>418</v>
      </c>
      <c r="AA859" t="n">
        <v>419</v>
      </c>
      <c r="AB859" t="n">
        <v>3</v>
      </c>
      <c r="AC859" t="n">
        <v>3</v>
      </c>
      <c r="AD859" t="n">
        <v>19</v>
      </c>
      <c r="AE859" t="n">
        <v>19</v>
      </c>
      <c r="AF859" t="n">
        <v>6</v>
      </c>
      <c r="AG859" t="n">
        <v>6</v>
      </c>
      <c r="AH859" t="n">
        <v>5</v>
      </c>
      <c r="AI859" t="n">
        <v>5</v>
      </c>
      <c r="AJ859" t="n">
        <v>9</v>
      </c>
      <c r="AK859" t="n">
        <v>9</v>
      </c>
      <c r="AL859" t="n">
        <v>2</v>
      </c>
      <c r="AM859" t="n">
        <v>2</v>
      </c>
      <c r="AN859" t="n">
        <v>0</v>
      </c>
      <c r="AO859" t="n">
        <v>0</v>
      </c>
      <c r="AP859" t="inlineStr">
        <is>
          <t>No</t>
        </is>
      </c>
      <c r="AQ859" t="inlineStr">
        <is>
          <t>Yes</t>
        </is>
      </c>
      <c r="AR859">
        <f>HYPERLINK("http://catalog.hathitrust.org/Record/000337277","HathiTrust Record")</f>
        <v/>
      </c>
      <c r="AS859">
        <f>HYPERLINK("https://creighton-primo.hosted.exlibrisgroup.com/primo-explore/search?tab=default_tab&amp;search_scope=EVERYTHING&amp;vid=01CRU&amp;lang=en_US&amp;offset=0&amp;query=any,contains,991002698839702656","Catalog Record")</f>
        <v/>
      </c>
      <c r="AT859">
        <f>HYPERLINK("http://www.worldcat.org/oclc/404718","WorldCat Record")</f>
        <v/>
      </c>
      <c r="AU859" t="inlineStr">
        <is>
          <t>1427801:eng</t>
        </is>
      </c>
      <c r="AV859" t="inlineStr">
        <is>
          <t>404718</t>
        </is>
      </c>
      <c r="AW859" t="inlineStr">
        <is>
          <t>991002698839702656</t>
        </is>
      </c>
      <c r="AX859" t="inlineStr">
        <is>
          <t>991002698839702656</t>
        </is>
      </c>
      <c r="AY859" t="inlineStr">
        <is>
          <t>2260395690002656</t>
        </is>
      </c>
      <c r="AZ859" t="inlineStr">
        <is>
          <t>BOOK</t>
        </is>
      </c>
      <c r="BC859" t="inlineStr">
        <is>
          <t>32285001602555</t>
        </is>
      </c>
      <c r="BD859" t="inlineStr">
        <is>
          <t>893773929</t>
        </is>
      </c>
    </row>
    <row r="860">
      <c r="A860" t="inlineStr">
        <is>
          <t>No</t>
        </is>
      </c>
      <c r="B860" t="inlineStr">
        <is>
          <t>E184.P3 R64 1998</t>
        </is>
      </c>
      <c r="C860" t="inlineStr">
        <is>
          <t>0                      E  0184000P  3                  R  64          1998</t>
        </is>
      </c>
      <c r="D860" t="inlineStr">
        <is>
          <t>Palatines, liberty, and property : German Lutherans in colonial British America / A.G. Roeber ; with a new preface.</t>
        </is>
      </c>
      <c r="F860" t="inlineStr">
        <is>
          <t>No</t>
        </is>
      </c>
      <c r="G860" t="inlineStr">
        <is>
          <t>1</t>
        </is>
      </c>
      <c r="H860" t="inlineStr">
        <is>
          <t>No</t>
        </is>
      </c>
      <c r="I860" t="inlineStr">
        <is>
          <t>No</t>
        </is>
      </c>
      <c r="J860" t="inlineStr">
        <is>
          <t>0</t>
        </is>
      </c>
      <c r="K860" t="inlineStr">
        <is>
          <t>Roeber, A. G. (Anthony Gregg), 1949-</t>
        </is>
      </c>
      <c r="L860" t="inlineStr">
        <is>
          <t>Baltimore : Johns Hopkins University Press, c1998.</t>
        </is>
      </c>
      <c r="M860" t="inlineStr">
        <is>
          <t>1998</t>
        </is>
      </c>
      <c r="N860" t="inlineStr">
        <is>
          <t>Johns Hopkins paperbacks ed.</t>
        </is>
      </c>
      <c r="O860" t="inlineStr">
        <is>
          <t>eng</t>
        </is>
      </c>
      <c r="P860" t="inlineStr">
        <is>
          <t>mdu</t>
        </is>
      </c>
      <c r="Q860" t="inlineStr">
        <is>
          <t>Early America</t>
        </is>
      </c>
      <c r="R860" t="inlineStr">
        <is>
          <t xml:space="preserve">E  </t>
        </is>
      </c>
      <c r="S860" t="n">
        <v>1</v>
      </c>
      <c r="T860" t="n">
        <v>1</v>
      </c>
      <c r="U860" t="inlineStr">
        <is>
          <t>2004-08-30</t>
        </is>
      </c>
      <c r="V860" t="inlineStr">
        <is>
          <t>2004-08-30</t>
        </is>
      </c>
      <c r="W860" t="inlineStr">
        <is>
          <t>2004-08-30</t>
        </is>
      </c>
      <c r="X860" t="inlineStr">
        <is>
          <t>2004-08-30</t>
        </is>
      </c>
      <c r="Y860" t="n">
        <v>83</v>
      </c>
      <c r="Z860" t="n">
        <v>73</v>
      </c>
      <c r="AA860" t="n">
        <v>616</v>
      </c>
      <c r="AB860" t="n">
        <v>2</v>
      </c>
      <c r="AC860" t="n">
        <v>6</v>
      </c>
      <c r="AD860" t="n">
        <v>8</v>
      </c>
      <c r="AE860" t="n">
        <v>37</v>
      </c>
      <c r="AF860" t="n">
        <v>6</v>
      </c>
      <c r="AG860" t="n">
        <v>14</v>
      </c>
      <c r="AH860" t="n">
        <v>1</v>
      </c>
      <c r="AI860" t="n">
        <v>9</v>
      </c>
      <c r="AJ860" t="n">
        <v>1</v>
      </c>
      <c r="AK860" t="n">
        <v>17</v>
      </c>
      <c r="AL860" t="n">
        <v>1</v>
      </c>
      <c r="AM860" t="n">
        <v>5</v>
      </c>
      <c r="AN860" t="n">
        <v>0</v>
      </c>
      <c r="AO860" t="n">
        <v>2</v>
      </c>
      <c r="AP860" t="inlineStr">
        <is>
          <t>No</t>
        </is>
      </c>
      <c r="AQ860" t="inlineStr">
        <is>
          <t>No</t>
        </is>
      </c>
      <c r="AS860">
        <f>HYPERLINK("https://creighton-primo.hosted.exlibrisgroup.com/primo-explore/search?tab=default_tab&amp;search_scope=EVERYTHING&amp;vid=01CRU&amp;lang=en_US&amp;offset=0&amp;query=any,contains,991004349579702656","Catalog Record")</f>
        <v/>
      </c>
      <c r="AT860">
        <f>HYPERLINK("http://www.worldcat.org/oclc/39623392","WorldCat Record")</f>
        <v/>
      </c>
      <c r="AU860" t="inlineStr">
        <is>
          <t>836928457:eng</t>
        </is>
      </c>
      <c r="AV860" t="inlineStr">
        <is>
          <t>39623392</t>
        </is>
      </c>
      <c r="AW860" t="inlineStr">
        <is>
          <t>991004349579702656</t>
        </is>
      </c>
      <c r="AX860" t="inlineStr">
        <is>
          <t>991004349579702656</t>
        </is>
      </c>
      <c r="AY860" t="inlineStr">
        <is>
          <t>2261507120002656</t>
        </is>
      </c>
      <c r="AZ860" t="inlineStr">
        <is>
          <t>BOOK</t>
        </is>
      </c>
      <c r="BB860" t="inlineStr">
        <is>
          <t>9780801859687</t>
        </is>
      </c>
      <c r="BC860" t="inlineStr">
        <is>
          <t>32285004984273</t>
        </is>
      </c>
      <c r="BD860" t="inlineStr">
        <is>
          <t>893319105</t>
        </is>
      </c>
    </row>
    <row r="861">
      <c r="A861" t="inlineStr">
        <is>
          <t>No</t>
        </is>
      </c>
      <c r="B861" t="inlineStr">
        <is>
          <t>E184.P7 B813</t>
        </is>
      </c>
      <c r="C861" t="inlineStr">
        <is>
          <t>0                      E  0184000P  7                  B  813</t>
        </is>
      </c>
      <c r="D861" t="inlineStr">
        <is>
          <t>The melting-pot revisited : twenty well-known Americans of Polish background / Olgierd Budrewicz ; [transl. Edward Józef Czerwiński and Andrzej Makarewicz].</t>
        </is>
      </c>
      <c r="F861" t="inlineStr">
        <is>
          <t>No</t>
        </is>
      </c>
      <c r="G861" t="inlineStr">
        <is>
          <t>1</t>
        </is>
      </c>
      <c r="H861" t="inlineStr">
        <is>
          <t>No</t>
        </is>
      </c>
      <c r="I861" t="inlineStr">
        <is>
          <t>No</t>
        </is>
      </c>
      <c r="J861" t="inlineStr">
        <is>
          <t>0</t>
        </is>
      </c>
      <c r="K861" t="inlineStr">
        <is>
          <t>Budrewicz, Olgierd, 1923-2011.</t>
        </is>
      </c>
      <c r="L861" t="inlineStr">
        <is>
          <t>Warsaw : Interpress, 1977</t>
        </is>
      </c>
      <c r="M861" t="inlineStr">
        <is>
          <t>1977</t>
        </is>
      </c>
      <c r="O861" t="inlineStr">
        <is>
          <t>eng</t>
        </is>
      </c>
      <c r="P861" t="inlineStr">
        <is>
          <t xml:space="preserve">pl </t>
        </is>
      </c>
      <c r="R861" t="inlineStr">
        <is>
          <t xml:space="preserve">E  </t>
        </is>
      </c>
      <c r="S861" t="n">
        <v>1</v>
      </c>
      <c r="T861" t="n">
        <v>1</v>
      </c>
      <c r="U861" t="inlineStr">
        <is>
          <t>1992-07-07</t>
        </is>
      </c>
      <c r="V861" t="inlineStr">
        <is>
          <t>1992-07-07</t>
        </is>
      </c>
      <c r="W861" t="inlineStr">
        <is>
          <t>1991-02-19</t>
        </is>
      </c>
      <c r="X861" t="inlineStr">
        <is>
          <t>1991-02-19</t>
        </is>
      </c>
      <c r="Y861" t="n">
        <v>69</v>
      </c>
      <c r="Z861" t="n">
        <v>58</v>
      </c>
      <c r="AA861" t="n">
        <v>60</v>
      </c>
      <c r="AB861" t="n">
        <v>1</v>
      </c>
      <c r="AC861" t="n">
        <v>1</v>
      </c>
      <c r="AD861" t="n">
        <v>0</v>
      </c>
      <c r="AE861" t="n">
        <v>0</v>
      </c>
      <c r="AF861" t="n">
        <v>0</v>
      </c>
      <c r="AG861" t="n">
        <v>0</v>
      </c>
      <c r="AH861" t="n">
        <v>0</v>
      </c>
      <c r="AI861" t="n">
        <v>0</v>
      </c>
      <c r="AJ861" t="n">
        <v>0</v>
      </c>
      <c r="AK861" t="n">
        <v>0</v>
      </c>
      <c r="AL861" t="n">
        <v>0</v>
      </c>
      <c r="AM861" t="n">
        <v>0</v>
      </c>
      <c r="AN861" t="n">
        <v>0</v>
      </c>
      <c r="AO861" t="n">
        <v>0</v>
      </c>
      <c r="AP861" t="inlineStr">
        <is>
          <t>No</t>
        </is>
      </c>
      <c r="AQ861" t="inlineStr">
        <is>
          <t>Yes</t>
        </is>
      </c>
      <c r="AR861">
        <f>HYPERLINK("http://catalog.hathitrust.org/Record/000687035","HathiTrust Record")</f>
        <v/>
      </c>
      <c r="AS861">
        <f>HYPERLINK("https://creighton-primo.hosted.exlibrisgroup.com/primo-explore/search?tab=default_tab&amp;search_scope=EVERYTHING&amp;vid=01CRU&amp;lang=en_US&amp;offset=0&amp;query=any,contains,991004748869702656","Catalog Record")</f>
        <v/>
      </c>
      <c r="AT861">
        <f>HYPERLINK("http://www.worldcat.org/oclc/4931800","WorldCat Record")</f>
        <v/>
      </c>
      <c r="AU861" t="inlineStr">
        <is>
          <t>5704277:eng</t>
        </is>
      </c>
      <c r="AV861" t="inlineStr">
        <is>
          <t>4931800</t>
        </is>
      </c>
      <c r="AW861" t="inlineStr">
        <is>
          <t>991004748869702656</t>
        </is>
      </c>
      <c r="AX861" t="inlineStr">
        <is>
          <t>991004748869702656</t>
        </is>
      </c>
      <c r="AY861" t="inlineStr">
        <is>
          <t>2270023660002656</t>
        </is>
      </c>
      <c r="AZ861" t="inlineStr">
        <is>
          <t>BOOK</t>
        </is>
      </c>
      <c r="BC861" t="inlineStr">
        <is>
          <t>32285000484005</t>
        </is>
      </c>
      <c r="BD861" t="inlineStr">
        <is>
          <t>893905057</t>
        </is>
      </c>
    </row>
    <row r="862">
      <c r="A862" t="inlineStr">
        <is>
          <t>No</t>
        </is>
      </c>
      <c r="B862" t="inlineStr">
        <is>
          <t>E184.P7 F8 1970</t>
        </is>
      </c>
      <c r="C862" t="inlineStr">
        <is>
          <t>0                      E  0184000P  7                  F  8           1970</t>
        </is>
      </c>
      <c r="D862" t="inlineStr">
        <is>
          <t>The Poles in America.</t>
        </is>
      </c>
      <c r="F862" t="inlineStr">
        <is>
          <t>No</t>
        </is>
      </c>
      <c r="G862" t="inlineStr">
        <is>
          <t>1</t>
        </is>
      </c>
      <c r="H862" t="inlineStr">
        <is>
          <t>No</t>
        </is>
      </c>
      <c r="I862" t="inlineStr">
        <is>
          <t>No</t>
        </is>
      </c>
      <c r="J862" t="inlineStr">
        <is>
          <t>0</t>
        </is>
      </c>
      <c r="K862" t="inlineStr">
        <is>
          <t>Fox, Paul, 1874-</t>
        </is>
      </c>
      <c r="L862" t="inlineStr">
        <is>
          <t>New York : Arno Press, 1970, [c1922]</t>
        </is>
      </c>
      <c r="M862" t="inlineStr">
        <is>
          <t>1970</t>
        </is>
      </c>
      <c r="O862" t="inlineStr">
        <is>
          <t>eng</t>
        </is>
      </c>
      <c r="P862" t="inlineStr">
        <is>
          <t>nyu</t>
        </is>
      </c>
      <c r="Q862" t="inlineStr">
        <is>
          <t>The American immigration collection. Series II</t>
        </is>
      </c>
      <c r="R862" t="inlineStr">
        <is>
          <t xml:space="preserve">E  </t>
        </is>
      </c>
      <c r="S862" t="n">
        <v>4</v>
      </c>
      <c r="T862" t="n">
        <v>4</v>
      </c>
      <c r="U862" t="inlineStr">
        <is>
          <t>1997-11-21</t>
        </is>
      </c>
      <c r="V862" t="inlineStr">
        <is>
          <t>1997-11-21</t>
        </is>
      </c>
      <c r="W862" t="inlineStr">
        <is>
          <t>1992-05-13</t>
        </is>
      </c>
      <c r="X862" t="inlineStr">
        <is>
          <t>1992-05-13</t>
        </is>
      </c>
      <c r="Y862" t="n">
        <v>341</v>
      </c>
      <c r="Z862" t="n">
        <v>325</v>
      </c>
      <c r="AA862" t="n">
        <v>446</v>
      </c>
      <c r="AB862" t="n">
        <v>4</v>
      </c>
      <c r="AC862" t="n">
        <v>4</v>
      </c>
      <c r="AD862" t="n">
        <v>21</v>
      </c>
      <c r="AE862" t="n">
        <v>27</v>
      </c>
      <c r="AF862" t="n">
        <v>9</v>
      </c>
      <c r="AG862" t="n">
        <v>10</v>
      </c>
      <c r="AH862" t="n">
        <v>6</v>
      </c>
      <c r="AI862" t="n">
        <v>9</v>
      </c>
      <c r="AJ862" t="n">
        <v>10</v>
      </c>
      <c r="AK862" t="n">
        <v>14</v>
      </c>
      <c r="AL862" t="n">
        <v>3</v>
      </c>
      <c r="AM862" t="n">
        <v>3</v>
      </c>
      <c r="AN862" t="n">
        <v>0</v>
      </c>
      <c r="AO862" t="n">
        <v>0</v>
      </c>
      <c r="AP862" t="inlineStr">
        <is>
          <t>No</t>
        </is>
      </c>
      <c r="AQ862" t="inlineStr">
        <is>
          <t>No</t>
        </is>
      </c>
      <c r="AS862">
        <f>HYPERLINK("https://creighton-primo.hosted.exlibrisgroup.com/primo-explore/search?tab=default_tab&amp;search_scope=EVERYTHING&amp;vid=01CRU&amp;lang=en_US&amp;offset=0&amp;query=any,contains,991000631919702656","Catalog Record")</f>
        <v/>
      </c>
      <c r="AT862">
        <f>HYPERLINK("http://www.worldcat.org/oclc/106166","WorldCat Record")</f>
        <v/>
      </c>
      <c r="AU862" t="inlineStr">
        <is>
          <t>1188633:eng</t>
        </is>
      </c>
      <c r="AV862" t="inlineStr">
        <is>
          <t>106166</t>
        </is>
      </c>
      <c r="AW862" t="inlineStr">
        <is>
          <t>991000631919702656</t>
        </is>
      </c>
      <c r="AX862" t="inlineStr">
        <is>
          <t>991000631919702656</t>
        </is>
      </c>
      <c r="AY862" t="inlineStr">
        <is>
          <t>2263935560002656</t>
        </is>
      </c>
      <c r="AZ862" t="inlineStr">
        <is>
          <t>BOOK</t>
        </is>
      </c>
      <c r="BB862" t="inlineStr">
        <is>
          <t>9780405005510</t>
        </is>
      </c>
      <c r="BC862" t="inlineStr">
        <is>
          <t>32285001109049</t>
        </is>
      </c>
      <c r="BD862" t="inlineStr">
        <is>
          <t>893249521</t>
        </is>
      </c>
    </row>
    <row r="863">
      <c r="A863" t="inlineStr">
        <is>
          <t>No</t>
        </is>
      </c>
      <c r="B863" t="inlineStr">
        <is>
          <t>E184.P7 G73</t>
        </is>
      </c>
      <c r="C863" t="inlineStr">
        <is>
          <t>0                      E  0184000P  7                  G  73</t>
        </is>
      </c>
      <c r="D863" t="inlineStr">
        <is>
          <t>For God and country : the rise of Polish and Lithuanian ethnic consciousness in America, 1860-1910 / Victor Greene.</t>
        </is>
      </c>
      <c r="F863" t="inlineStr">
        <is>
          <t>No</t>
        </is>
      </c>
      <c r="G863" t="inlineStr">
        <is>
          <t>1</t>
        </is>
      </c>
      <c r="H863" t="inlineStr">
        <is>
          <t>No</t>
        </is>
      </c>
      <c r="I863" t="inlineStr">
        <is>
          <t>No</t>
        </is>
      </c>
      <c r="J863" t="inlineStr">
        <is>
          <t>0</t>
        </is>
      </c>
      <c r="K863" t="inlineStr">
        <is>
          <t>Greene, Victor R.</t>
        </is>
      </c>
      <c r="L863" t="inlineStr">
        <is>
          <t>Madison : State Historical Society of Wisconsin, 1975.</t>
        </is>
      </c>
      <c r="M863" t="inlineStr">
        <is>
          <t>1975</t>
        </is>
      </c>
      <c r="O863" t="inlineStr">
        <is>
          <t>eng</t>
        </is>
      </c>
      <c r="P863" t="inlineStr">
        <is>
          <t>wiu</t>
        </is>
      </c>
      <c r="R863" t="inlineStr">
        <is>
          <t xml:space="preserve">E  </t>
        </is>
      </c>
      <c r="S863" t="n">
        <v>1</v>
      </c>
      <c r="T863" t="n">
        <v>1</v>
      </c>
      <c r="U863" t="inlineStr">
        <is>
          <t>2005-09-11</t>
        </is>
      </c>
      <c r="V863" t="inlineStr">
        <is>
          <t>2005-09-11</t>
        </is>
      </c>
      <c r="W863" t="inlineStr">
        <is>
          <t>1997-06-24</t>
        </is>
      </c>
      <c r="X863" t="inlineStr">
        <is>
          <t>1997-06-24</t>
        </is>
      </c>
      <c r="Y863" t="n">
        <v>434</v>
      </c>
      <c r="Z863" t="n">
        <v>390</v>
      </c>
      <c r="AA863" t="n">
        <v>397</v>
      </c>
      <c r="AB863" t="n">
        <v>3</v>
      </c>
      <c r="AC863" t="n">
        <v>3</v>
      </c>
      <c r="AD863" t="n">
        <v>28</v>
      </c>
      <c r="AE863" t="n">
        <v>28</v>
      </c>
      <c r="AF863" t="n">
        <v>11</v>
      </c>
      <c r="AG863" t="n">
        <v>11</v>
      </c>
      <c r="AH863" t="n">
        <v>8</v>
      </c>
      <c r="AI863" t="n">
        <v>8</v>
      </c>
      <c r="AJ863" t="n">
        <v>14</v>
      </c>
      <c r="AK863" t="n">
        <v>14</v>
      </c>
      <c r="AL863" t="n">
        <v>2</v>
      </c>
      <c r="AM863" t="n">
        <v>2</v>
      </c>
      <c r="AN863" t="n">
        <v>0</v>
      </c>
      <c r="AO863" t="n">
        <v>0</v>
      </c>
      <c r="AP863" t="inlineStr">
        <is>
          <t>No</t>
        </is>
      </c>
      <c r="AQ863" t="inlineStr">
        <is>
          <t>Yes</t>
        </is>
      </c>
      <c r="AR863">
        <f>HYPERLINK("http://catalog.hathitrust.org/Record/000036090","HathiTrust Record")</f>
        <v/>
      </c>
      <c r="AS863">
        <f>HYPERLINK("https://creighton-primo.hosted.exlibrisgroup.com/primo-explore/search?tab=default_tab&amp;search_scope=EVERYTHING&amp;vid=01CRU&amp;lang=en_US&amp;offset=0&amp;query=any,contains,991003787139702656","Catalog Record")</f>
        <v/>
      </c>
      <c r="AT863">
        <f>HYPERLINK("http://www.worldcat.org/oclc/1502526","WorldCat Record")</f>
        <v/>
      </c>
      <c r="AU863" t="inlineStr">
        <is>
          <t>514351:eng</t>
        </is>
      </c>
      <c r="AV863" t="inlineStr">
        <is>
          <t>1502526</t>
        </is>
      </c>
      <c r="AW863" t="inlineStr">
        <is>
          <t>991003787139702656</t>
        </is>
      </c>
      <c r="AX863" t="inlineStr">
        <is>
          <t>991003787139702656</t>
        </is>
      </c>
      <c r="AY863" t="inlineStr">
        <is>
          <t>2263472430002656</t>
        </is>
      </c>
      <c r="AZ863" t="inlineStr">
        <is>
          <t>BOOK</t>
        </is>
      </c>
      <c r="BB863" t="inlineStr">
        <is>
          <t>9780870201554</t>
        </is>
      </c>
      <c r="BC863" t="inlineStr">
        <is>
          <t>32285002831351</t>
        </is>
      </c>
      <c r="BD863" t="inlineStr">
        <is>
          <t>893410709</t>
        </is>
      </c>
    </row>
    <row r="864">
      <c r="A864" t="inlineStr">
        <is>
          <t>No</t>
        </is>
      </c>
      <c r="B864" t="inlineStr">
        <is>
          <t>E184.P7 G7713 1976</t>
        </is>
      </c>
      <c r="C864" t="inlineStr">
        <is>
          <t>0                      E  0184000P  7                  G  7713        1976</t>
        </is>
      </c>
      <c r="D864" t="inlineStr">
        <is>
          <t>Poles in the United States of America, 1776-1865 / Bogdan Grzeloński.</t>
        </is>
      </c>
      <c r="F864" t="inlineStr">
        <is>
          <t>No</t>
        </is>
      </c>
      <c r="G864" t="inlineStr">
        <is>
          <t>1</t>
        </is>
      </c>
      <c r="H864" t="inlineStr">
        <is>
          <t>No</t>
        </is>
      </c>
      <c r="I864" t="inlineStr">
        <is>
          <t>No</t>
        </is>
      </c>
      <c r="J864" t="inlineStr">
        <is>
          <t>0</t>
        </is>
      </c>
      <c r="K864" t="inlineStr">
        <is>
          <t>Grzeloński, Bogdan.</t>
        </is>
      </c>
      <c r="L864" t="inlineStr">
        <is>
          <t>Warsaw : Interpress, 1976.</t>
        </is>
      </c>
      <c r="M864" t="inlineStr">
        <is>
          <t>1976</t>
        </is>
      </c>
      <c r="O864" t="inlineStr">
        <is>
          <t>eng</t>
        </is>
      </c>
      <c r="P864" t="inlineStr">
        <is>
          <t xml:space="preserve">pl </t>
        </is>
      </c>
      <c r="R864" t="inlineStr">
        <is>
          <t xml:space="preserve">E  </t>
        </is>
      </c>
      <c r="S864" t="n">
        <v>1</v>
      </c>
      <c r="T864" t="n">
        <v>1</v>
      </c>
      <c r="U864" t="inlineStr">
        <is>
          <t>1992-02-27</t>
        </is>
      </c>
      <c r="V864" t="inlineStr">
        <is>
          <t>1992-02-27</t>
        </is>
      </c>
      <c r="W864" t="inlineStr">
        <is>
          <t>1991-07-10</t>
        </is>
      </c>
      <c r="X864" t="inlineStr">
        <is>
          <t>1991-07-10</t>
        </is>
      </c>
      <c r="Y864" t="n">
        <v>179</v>
      </c>
      <c r="Z864" t="n">
        <v>157</v>
      </c>
      <c r="AA864" t="n">
        <v>159</v>
      </c>
      <c r="AB864" t="n">
        <v>4</v>
      </c>
      <c r="AC864" t="n">
        <v>4</v>
      </c>
      <c r="AD864" t="n">
        <v>10</v>
      </c>
      <c r="AE864" t="n">
        <v>10</v>
      </c>
      <c r="AF864" t="n">
        <v>5</v>
      </c>
      <c r="AG864" t="n">
        <v>5</v>
      </c>
      <c r="AH864" t="n">
        <v>1</v>
      </c>
      <c r="AI864" t="n">
        <v>1</v>
      </c>
      <c r="AJ864" t="n">
        <v>3</v>
      </c>
      <c r="AK864" t="n">
        <v>3</v>
      </c>
      <c r="AL864" t="n">
        <v>3</v>
      </c>
      <c r="AM864" t="n">
        <v>3</v>
      </c>
      <c r="AN864" t="n">
        <v>0</v>
      </c>
      <c r="AO864" t="n">
        <v>0</v>
      </c>
      <c r="AP864" t="inlineStr">
        <is>
          <t>No</t>
        </is>
      </c>
      <c r="AQ864" t="inlineStr">
        <is>
          <t>Yes</t>
        </is>
      </c>
      <c r="AR864">
        <f>HYPERLINK("http://catalog.hathitrust.org/Record/000723861","HathiTrust Record")</f>
        <v/>
      </c>
      <c r="AS864">
        <f>HYPERLINK("https://creighton-primo.hosted.exlibrisgroup.com/primo-explore/search?tab=default_tab&amp;search_scope=EVERYTHING&amp;vid=01CRU&amp;lang=en_US&amp;offset=0&amp;query=any,contains,991004266939702656","Catalog Record")</f>
        <v/>
      </c>
      <c r="AT864">
        <f>HYPERLINK("http://www.worldcat.org/oclc/2869586","WorldCat Record")</f>
        <v/>
      </c>
      <c r="AU864" t="inlineStr">
        <is>
          <t>6329762:eng</t>
        </is>
      </c>
      <c r="AV864" t="inlineStr">
        <is>
          <t>2869586</t>
        </is>
      </c>
      <c r="AW864" t="inlineStr">
        <is>
          <t>991004266939702656</t>
        </is>
      </c>
      <c r="AX864" t="inlineStr">
        <is>
          <t>991004266939702656</t>
        </is>
      </c>
      <c r="AY864" t="inlineStr">
        <is>
          <t>2265002730002656</t>
        </is>
      </c>
      <c r="AZ864" t="inlineStr">
        <is>
          <t>BOOK</t>
        </is>
      </c>
      <c r="BC864" t="inlineStr">
        <is>
          <t>32285000648831</t>
        </is>
      </c>
      <c r="BD864" t="inlineStr">
        <is>
          <t>893442411</t>
        </is>
      </c>
    </row>
    <row r="865">
      <c r="A865" t="inlineStr">
        <is>
          <t>No</t>
        </is>
      </c>
      <c r="B865" t="inlineStr">
        <is>
          <t>E184.P7 P5318 1991</t>
        </is>
      </c>
      <c r="C865" t="inlineStr">
        <is>
          <t>0                      E  0184000P  7                  P  5318        1991</t>
        </is>
      </c>
      <c r="D865" t="inlineStr">
        <is>
          <t>For your freedom through ours : Polish-American efforts on Poland's behalf, 1863-1991 / Donald E. Pienkos.</t>
        </is>
      </c>
      <c r="F865" t="inlineStr">
        <is>
          <t>No</t>
        </is>
      </c>
      <c r="G865" t="inlineStr">
        <is>
          <t>1</t>
        </is>
      </c>
      <c r="H865" t="inlineStr">
        <is>
          <t>No</t>
        </is>
      </c>
      <c r="I865" t="inlineStr">
        <is>
          <t>No</t>
        </is>
      </c>
      <c r="J865" t="inlineStr">
        <is>
          <t>0</t>
        </is>
      </c>
      <c r="K865" t="inlineStr">
        <is>
          <t>Pienkos, Donald E.</t>
        </is>
      </c>
      <c r="L865" t="inlineStr">
        <is>
          <t>Boulder : East European Monographs ; New York : Distributed by Columbia University Press, 1991.</t>
        </is>
      </c>
      <c r="M865" t="inlineStr">
        <is>
          <t>1991</t>
        </is>
      </c>
      <c r="O865" t="inlineStr">
        <is>
          <t>eng</t>
        </is>
      </c>
      <c r="P865" t="inlineStr">
        <is>
          <t>cou</t>
        </is>
      </c>
      <c r="Q865" t="inlineStr">
        <is>
          <t>East European monographs ; no. 311</t>
        </is>
      </c>
      <c r="R865" t="inlineStr">
        <is>
          <t xml:space="preserve">E  </t>
        </is>
      </c>
      <c r="S865" t="n">
        <v>9</v>
      </c>
      <c r="T865" t="n">
        <v>9</v>
      </c>
      <c r="U865" t="inlineStr">
        <is>
          <t>2005-11-15</t>
        </is>
      </c>
      <c r="V865" t="inlineStr">
        <is>
          <t>2005-11-15</t>
        </is>
      </c>
      <c r="W865" t="inlineStr">
        <is>
          <t>1992-11-17</t>
        </is>
      </c>
      <c r="X865" t="inlineStr">
        <is>
          <t>1992-11-17</t>
        </is>
      </c>
      <c r="Y865" t="n">
        <v>184</v>
      </c>
      <c r="Z865" t="n">
        <v>152</v>
      </c>
      <c r="AA865" t="n">
        <v>154</v>
      </c>
      <c r="AB865" t="n">
        <v>3</v>
      </c>
      <c r="AC865" t="n">
        <v>3</v>
      </c>
      <c r="AD865" t="n">
        <v>15</v>
      </c>
      <c r="AE865" t="n">
        <v>15</v>
      </c>
      <c r="AF865" t="n">
        <v>4</v>
      </c>
      <c r="AG865" t="n">
        <v>4</v>
      </c>
      <c r="AH865" t="n">
        <v>3</v>
      </c>
      <c r="AI865" t="n">
        <v>3</v>
      </c>
      <c r="AJ865" t="n">
        <v>9</v>
      </c>
      <c r="AK865" t="n">
        <v>9</v>
      </c>
      <c r="AL865" t="n">
        <v>2</v>
      </c>
      <c r="AM865" t="n">
        <v>2</v>
      </c>
      <c r="AN865" t="n">
        <v>1</v>
      </c>
      <c r="AO865" t="n">
        <v>1</v>
      </c>
      <c r="AP865" t="inlineStr">
        <is>
          <t>No</t>
        </is>
      </c>
      <c r="AQ865" t="inlineStr">
        <is>
          <t>Yes</t>
        </is>
      </c>
      <c r="AR865">
        <f>HYPERLINK("http://catalog.hathitrust.org/Record/002530711","HathiTrust Record")</f>
        <v/>
      </c>
      <c r="AS865">
        <f>HYPERLINK("https://creighton-primo.hosted.exlibrisgroup.com/primo-explore/search?tab=default_tab&amp;search_scope=EVERYTHING&amp;vid=01CRU&amp;lang=en_US&amp;offset=0&amp;query=any,contains,991001988539702656","Catalog Record")</f>
        <v/>
      </c>
      <c r="AT865">
        <f>HYPERLINK("http://www.worldcat.org/oclc/25264957","WorldCat Record")</f>
        <v/>
      </c>
      <c r="AU865" t="inlineStr">
        <is>
          <t>365195601:eng</t>
        </is>
      </c>
      <c r="AV865" t="inlineStr">
        <is>
          <t>25264957</t>
        </is>
      </c>
      <c r="AW865" t="inlineStr">
        <is>
          <t>991001988539702656</t>
        </is>
      </c>
      <c r="AX865" t="inlineStr">
        <is>
          <t>991001988539702656</t>
        </is>
      </c>
      <c r="AY865" t="inlineStr">
        <is>
          <t>2269616170002656</t>
        </is>
      </c>
      <c r="AZ865" t="inlineStr">
        <is>
          <t>BOOK</t>
        </is>
      </c>
      <c r="BB865" t="inlineStr">
        <is>
          <t>9780880332088</t>
        </is>
      </c>
      <c r="BC865" t="inlineStr">
        <is>
          <t>32285001362937</t>
        </is>
      </c>
      <c r="BD865" t="inlineStr">
        <is>
          <t>893529405</t>
        </is>
      </c>
    </row>
    <row r="866">
      <c r="A866" t="inlineStr">
        <is>
          <t>No</t>
        </is>
      </c>
      <c r="B866" t="inlineStr">
        <is>
          <t>E184.P7 P87 1995</t>
        </is>
      </c>
      <c r="C866" t="inlineStr">
        <is>
          <t>0                      E  0184000P  7                  P  87          1995</t>
        </is>
      </c>
      <c r="D866" t="inlineStr">
        <is>
          <t>Polish Americans : an ethnic community / James S. Pula.</t>
        </is>
      </c>
      <c r="F866" t="inlineStr">
        <is>
          <t>No</t>
        </is>
      </c>
      <c r="G866" t="inlineStr">
        <is>
          <t>1</t>
        </is>
      </c>
      <c r="H866" t="inlineStr">
        <is>
          <t>No</t>
        </is>
      </c>
      <c r="I866" t="inlineStr">
        <is>
          <t>No</t>
        </is>
      </c>
      <c r="J866" t="inlineStr">
        <is>
          <t>0</t>
        </is>
      </c>
      <c r="K866" t="inlineStr">
        <is>
          <t>Pula, James S., 1946-</t>
        </is>
      </c>
      <c r="L866" t="inlineStr">
        <is>
          <t>New York : Twayne Publishers, 1995.</t>
        </is>
      </c>
      <c r="M866" t="inlineStr">
        <is>
          <t>1995</t>
        </is>
      </c>
      <c r="O866" t="inlineStr">
        <is>
          <t>eng</t>
        </is>
      </c>
      <c r="P866" t="inlineStr">
        <is>
          <t>mau</t>
        </is>
      </c>
      <c r="Q866" t="inlineStr">
        <is>
          <t>Immigrant heritage of America series</t>
        </is>
      </c>
      <c r="R866" t="inlineStr">
        <is>
          <t xml:space="preserve">E  </t>
        </is>
      </c>
      <c r="S866" t="n">
        <v>15</v>
      </c>
      <c r="T866" t="n">
        <v>15</v>
      </c>
      <c r="U866" t="inlineStr">
        <is>
          <t>2005-11-15</t>
        </is>
      </c>
      <c r="V866" t="inlineStr">
        <is>
          <t>2005-11-15</t>
        </is>
      </c>
      <c r="W866" t="inlineStr">
        <is>
          <t>1995-05-31</t>
        </is>
      </c>
      <c r="X866" t="inlineStr">
        <is>
          <t>1995-05-31</t>
        </is>
      </c>
      <c r="Y866" t="n">
        <v>605</v>
      </c>
      <c r="Z866" t="n">
        <v>572</v>
      </c>
      <c r="AA866" t="n">
        <v>575</v>
      </c>
      <c r="AB866" t="n">
        <v>5</v>
      </c>
      <c r="AC866" t="n">
        <v>5</v>
      </c>
      <c r="AD866" t="n">
        <v>25</v>
      </c>
      <c r="AE866" t="n">
        <v>25</v>
      </c>
      <c r="AF866" t="n">
        <v>9</v>
      </c>
      <c r="AG866" t="n">
        <v>9</v>
      </c>
      <c r="AH866" t="n">
        <v>6</v>
      </c>
      <c r="AI866" t="n">
        <v>6</v>
      </c>
      <c r="AJ866" t="n">
        <v>15</v>
      </c>
      <c r="AK866" t="n">
        <v>15</v>
      </c>
      <c r="AL866" t="n">
        <v>4</v>
      </c>
      <c r="AM866" t="n">
        <v>4</v>
      </c>
      <c r="AN866" t="n">
        <v>0</v>
      </c>
      <c r="AO866" t="n">
        <v>0</v>
      </c>
      <c r="AP866" t="inlineStr">
        <is>
          <t>No</t>
        </is>
      </c>
      <c r="AQ866" t="inlineStr">
        <is>
          <t>Yes</t>
        </is>
      </c>
      <c r="AR866">
        <f>HYPERLINK("http://catalog.hathitrust.org/Record/002985309","HathiTrust Record")</f>
        <v/>
      </c>
      <c r="AS866">
        <f>HYPERLINK("https://creighton-primo.hosted.exlibrisgroup.com/primo-explore/search?tab=default_tab&amp;search_scope=EVERYTHING&amp;vid=01CRU&amp;lang=en_US&amp;offset=0&amp;query=any,contains,991002345529702656","Catalog Record")</f>
        <v/>
      </c>
      <c r="AT866">
        <f>HYPERLINK("http://www.worldcat.org/oclc/30544009","WorldCat Record")</f>
        <v/>
      </c>
      <c r="AU866" t="inlineStr">
        <is>
          <t>32779253:eng</t>
        </is>
      </c>
      <c r="AV866" t="inlineStr">
        <is>
          <t>30544009</t>
        </is>
      </c>
      <c r="AW866" t="inlineStr">
        <is>
          <t>991002345529702656</t>
        </is>
      </c>
      <c r="AX866" t="inlineStr">
        <is>
          <t>991002345529702656</t>
        </is>
      </c>
      <c r="AY866" t="inlineStr">
        <is>
          <t>2261265170002656</t>
        </is>
      </c>
      <c r="AZ866" t="inlineStr">
        <is>
          <t>BOOK</t>
        </is>
      </c>
      <c r="BB866" t="inlineStr">
        <is>
          <t>9780805784275</t>
        </is>
      </c>
      <c r="BC866" t="inlineStr">
        <is>
          <t>32285002047610</t>
        </is>
      </c>
      <c r="BD866" t="inlineStr">
        <is>
          <t>893691511</t>
        </is>
      </c>
    </row>
    <row r="867">
      <c r="A867" t="inlineStr">
        <is>
          <t>No</t>
        </is>
      </c>
      <c r="B867" t="inlineStr">
        <is>
          <t>E184.S2 A43</t>
        </is>
      </c>
      <c r="C867" t="inlineStr">
        <is>
          <t>0                      E  0184000S  2                  A  43</t>
        </is>
      </c>
      <c r="D867" t="inlineStr">
        <is>
          <t>The Norwegian-Americans, by Arlow W. Andersen.</t>
        </is>
      </c>
      <c r="F867" t="inlineStr">
        <is>
          <t>No</t>
        </is>
      </c>
      <c r="G867" t="inlineStr">
        <is>
          <t>1</t>
        </is>
      </c>
      <c r="H867" t="inlineStr">
        <is>
          <t>No</t>
        </is>
      </c>
      <c r="I867" t="inlineStr">
        <is>
          <t>No</t>
        </is>
      </c>
      <c r="J867" t="inlineStr">
        <is>
          <t>0</t>
        </is>
      </c>
      <c r="K867" t="inlineStr">
        <is>
          <t>Andersen, Arlow W. (Arlow William), 1906-1996.</t>
        </is>
      </c>
      <c r="L867" t="inlineStr">
        <is>
          <t>Boston, Twayne Publishers [c1975]</t>
        </is>
      </c>
      <c r="M867" t="inlineStr">
        <is>
          <t>1975</t>
        </is>
      </c>
      <c r="O867" t="inlineStr">
        <is>
          <t>eng</t>
        </is>
      </c>
      <c r="P867" t="inlineStr">
        <is>
          <t>mau</t>
        </is>
      </c>
      <c r="Q867" t="inlineStr">
        <is>
          <t>The Immigrant heritage of America</t>
        </is>
      </c>
      <c r="R867" t="inlineStr">
        <is>
          <t xml:space="preserve">E  </t>
        </is>
      </c>
      <c r="S867" t="n">
        <v>2</v>
      </c>
      <c r="T867" t="n">
        <v>2</v>
      </c>
      <c r="U867" t="inlineStr">
        <is>
          <t>1997-11-18</t>
        </is>
      </c>
      <c r="V867" t="inlineStr">
        <is>
          <t>1997-11-18</t>
        </is>
      </c>
      <c r="W867" t="inlineStr">
        <is>
          <t>1996-08-14</t>
        </is>
      </c>
      <c r="X867" t="inlineStr">
        <is>
          <t>1996-08-14</t>
        </is>
      </c>
      <c r="Y867" t="n">
        <v>813</v>
      </c>
      <c r="Z867" t="n">
        <v>779</v>
      </c>
      <c r="AA867" t="n">
        <v>812</v>
      </c>
      <c r="AB867" t="n">
        <v>5</v>
      </c>
      <c r="AC867" t="n">
        <v>5</v>
      </c>
      <c r="AD867" t="n">
        <v>16</v>
      </c>
      <c r="AE867" t="n">
        <v>17</v>
      </c>
      <c r="AF867" t="n">
        <v>5</v>
      </c>
      <c r="AG867" t="n">
        <v>5</v>
      </c>
      <c r="AH867" t="n">
        <v>4</v>
      </c>
      <c r="AI867" t="n">
        <v>5</v>
      </c>
      <c r="AJ867" t="n">
        <v>7</v>
      </c>
      <c r="AK867" t="n">
        <v>8</v>
      </c>
      <c r="AL867" t="n">
        <v>3</v>
      </c>
      <c r="AM867" t="n">
        <v>3</v>
      </c>
      <c r="AN867" t="n">
        <v>0</v>
      </c>
      <c r="AO867" t="n">
        <v>0</v>
      </c>
      <c r="AP867" t="inlineStr">
        <is>
          <t>No</t>
        </is>
      </c>
      <c r="AQ867" t="inlineStr">
        <is>
          <t>Yes</t>
        </is>
      </c>
      <c r="AR867">
        <f>HYPERLINK("http://catalog.hathitrust.org/Record/000016483","HathiTrust Record")</f>
        <v/>
      </c>
      <c r="AS867">
        <f>HYPERLINK("https://creighton-primo.hosted.exlibrisgroup.com/primo-explore/search?tab=default_tab&amp;search_scope=EVERYTHING&amp;vid=01CRU&amp;lang=en_US&amp;offset=0&amp;query=any,contains,991003466419702656","Catalog Record")</f>
        <v/>
      </c>
      <c r="AT867">
        <f>HYPERLINK("http://www.worldcat.org/oclc/1008124","WorldCat Record")</f>
        <v/>
      </c>
      <c r="AU867" t="inlineStr">
        <is>
          <t>461431:eng</t>
        </is>
      </c>
      <c r="AV867" t="inlineStr">
        <is>
          <t>1008124</t>
        </is>
      </c>
      <c r="AW867" t="inlineStr">
        <is>
          <t>991003466419702656</t>
        </is>
      </c>
      <c r="AX867" t="inlineStr">
        <is>
          <t>991003466419702656</t>
        </is>
      </c>
      <c r="AY867" t="inlineStr">
        <is>
          <t>2263116470002656</t>
        </is>
      </c>
      <c r="AZ867" t="inlineStr">
        <is>
          <t>BOOK</t>
        </is>
      </c>
      <c r="BB867" t="inlineStr">
        <is>
          <t>9780805732498</t>
        </is>
      </c>
      <c r="BC867" t="inlineStr">
        <is>
          <t>32285002281060</t>
        </is>
      </c>
      <c r="BD867" t="inlineStr">
        <is>
          <t>893893740</t>
        </is>
      </c>
    </row>
    <row r="868">
      <c r="A868" t="inlineStr">
        <is>
          <t>No</t>
        </is>
      </c>
      <c r="B868" t="inlineStr">
        <is>
          <t>E184.S2 B4 A5 1973</t>
        </is>
      </c>
      <c r="C868" t="inlineStr">
        <is>
          <t>0                      E  0184000S  2                  B  4                  A  5           1973</t>
        </is>
      </c>
      <c r="D868" t="inlineStr">
        <is>
          <t>Americans from Norway / by Leola Nelson Bergmann. Edited by Louis Adamic.</t>
        </is>
      </c>
      <c r="F868" t="inlineStr">
        <is>
          <t>No</t>
        </is>
      </c>
      <c r="G868" t="inlineStr">
        <is>
          <t>1</t>
        </is>
      </c>
      <c r="H868" t="inlineStr">
        <is>
          <t>No</t>
        </is>
      </c>
      <c r="I868" t="inlineStr">
        <is>
          <t>No</t>
        </is>
      </c>
      <c r="J868" t="inlineStr">
        <is>
          <t>0</t>
        </is>
      </c>
      <c r="K868" t="inlineStr">
        <is>
          <t>Bergmann, Leola Nelson, 1912-2011.</t>
        </is>
      </c>
      <c r="L868" t="inlineStr">
        <is>
          <t>Westport, Conn. : Greenwood Press, [1973, c1950]</t>
        </is>
      </c>
      <c r="M868" t="inlineStr">
        <is>
          <t>1973</t>
        </is>
      </c>
      <c r="O868" t="inlineStr">
        <is>
          <t>eng</t>
        </is>
      </c>
      <c r="P868" t="inlineStr">
        <is>
          <t>ctu</t>
        </is>
      </c>
      <c r="R868" t="inlineStr">
        <is>
          <t xml:space="preserve">E  </t>
        </is>
      </c>
      <c r="S868" t="n">
        <v>2</v>
      </c>
      <c r="T868" t="n">
        <v>2</v>
      </c>
      <c r="U868" t="inlineStr">
        <is>
          <t>1997-11-18</t>
        </is>
      </c>
      <c r="V868" t="inlineStr">
        <is>
          <t>1997-11-18</t>
        </is>
      </c>
      <c r="W868" t="inlineStr">
        <is>
          <t>1992-02-25</t>
        </is>
      </c>
      <c r="X868" t="inlineStr">
        <is>
          <t>1992-02-25</t>
        </is>
      </c>
      <c r="Y868" t="n">
        <v>104</v>
      </c>
      <c r="Z868" t="n">
        <v>96</v>
      </c>
      <c r="AA868" t="n">
        <v>466</v>
      </c>
      <c r="AB868" t="n">
        <v>2</v>
      </c>
      <c r="AC868" t="n">
        <v>4</v>
      </c>
      <c r="AD868" t="n">
        <v>5</v>
      </c>
      <c r="AE868" t="n">
        <v>17</v>
      </c>
      <c r="AF868" t="n">
        <v>1</v>
      </c>
      <c r="AG868" t="n">
        <v>3</v>
      </c>
      <c r="AH868" t="n">
        <v>3</v>
      </c>
      <c r="AI868" t="n">
        <v>7</v>
      </c>
      <c r="AJ868" t="n">
        <v>3</v>
      </c>
      <c r="AK868" t="n">
        <v>9</v>
      </c>
      <c r="AL868" t="n">
        <v>1</v>
      </c>
      <c r="AM868" t="n">
        <v>3</v>
      </c>
      <c r="AN868" t="n">
        <v>0</v>
      </c>
      <c r="AO868" t="n">
        <v>0</v>
      </c>
      <c r="AP868" t="inlineStr">
        <is>
          <t>No</t>
        </is>
      </c>
      <c r="AQ868" t="inlineStr">
        <is>
          <t>No</t>
        </is>
      </c>
      <c r="AS868">
        <f>HYPERLINK("https://creighton-primo.hosted.exlibrisgroup.com/primo-explore/search?tab=default_tab&amp;search_scope=EVERYTHING&amp;vid=01CRU&amp;lang=en_US&amp;offset=0&amp;query=any,contains,991003054449702656","Catalog Record")</f>
        <v/>
      </c>
      <c r="AT868">
        <f>HYPERLINK("http://www.worldcat.org/oclc/613560","WorldCat Record")</f>
        <v/>
      </c>
      <c r="AU868" t="inlineStr">
        <is>
          <t>1653991:eng</t>
        </is>
      </c>
      <c r="AV868" t="inlineStr">
        <is>
          <t>613560</t>
        </is>
      </c>
      <c r="AW868" t="inlineStr">
        <is>
          <t>991003054449702656</t>
        </is>
      </c>
      <c r="AX868" t="inlineStr">
        <is>
          <t>991003054449702656</t>
        </is>
      </c>
      <c r="AY868" t="inlineStr">
        <is>
          <t>2268316310002656</t>
        </is>
      </c>
      <c r="AZ868" t="inlineStr">
        <is>
          <t>BOOK</t>
        </is>
      </c>
      <c r="BB868" t="inlineStr">
        <is>
          <t>9780837166773</t>
        </is>
      </c>
      <c r="BC868" t="inlineStr">
        <is>
          <t>32285000976695</t>
        </is>
      </c>
      <c r="BD868" t="inlineStr">
        <is>
          <t>893440889</t>
        </is>
      </c>
    </row>
    <row r="869">
      <c r="A869" t="inlineStr">
        <is>
          <t>No</t>
        </is>
      </c>
      <c r="B869" t="inlineStr">
        <is>
          <t>E184.S2 B62</t>
        </is>
      </c>
      <c r="C869" t="inlineStr">
        <is>
          <t>0                      E  0184000S  2                  B  62</t>
        </is>
      </c>
      <c r="D869" t="inlineStr">
        <is>
          <t>Norwegian migration to America, 1825-1860 / [by] Theodore C. Blegen.</t>
        </is>
      </c>
      <c r="F869" t="inlineStr">
        <is>
          <t>No</t>
        </is>
      </c>
      <c r="G869" t="inlineStr">
        <is>
          <t>1</t>
        </is>
      </c>
      <c r="H869" t="inlineStr">
        <is>
          <t>No</t>
        </is>
      </c>
      <c r="I869" t="inlineStr">
        <is>
          <t>No</t>
        </is>
      </c>
      <c r="J869" t="inlineStr">
        <is>
          <t>0</t>
        </is>
      </c>
      <c r="K869" t="inlineStr">
        <is>
          <t>Blegen, Theodore Christian, 1891-1969.</t>
        </is>
      </c>
      <c r="L869" t="inlineStr">
        <is>
          <t>New York, Arno Press, 1969.</t>
        </is>
      </c>
      <c r="M869" t="inlineStr">
        <is>
          <t>1969</t>
        </is>
      </c>
      <c r="O869" t="inlineStr">
        <is>
          <t>eng</t>
        </is>
      </c>
      <c r="P869" t="inlineStr">
        <is>
          <t>nyu</t>
        </is>
      </c>
      <c r="Q869" t="inlineStr">
        <is>
          <t>The American immigration collection</t>
        </is>
      </c>
      <c r="R869" t="inlineStr">
        <is>
          <t xml:space="preserve">E  </t>
        </is>
      </c>
      <c r="S869" t="n">
        <v>3</v>
      </c>
      <c r="T869" t="n">
        <v>3</v>
      </c>
      <c r="U869" t="inlineStr">
        <is>
          <t>1997-11-18</t>
        </is>
      </c>
      <c r="V869" t="inlineStr">
        <is>
          <t>1997-11-18</t>
        </is>
      </c>
      <c r="W869" t="inlineStr">
        <is>
          <t>1992-02-25</t>
        </is>
      </c>
      <c r="X869" t="inlineStr">
        <is>
          <t>1992-02-25</t>
        </is>
      </c>
      <c r="Y869" t="n">
        <v>401</v>
      </c>
      <c r="Z869" t="n">
        <v>376</v>
      </c>
      <c r="AA869" t="n">
        <v>451</v>
      </c>
      <c r="AB869" t="n">
        <v>3</v>
      </c>
      <c r="AC869" t="n">
        <v>4</v>
      </c>
      <c r="AD869" t="n">
        <v>19</v>
      </c>
      <c r="AE869" t="n">
        <v>22</v>
      </c>
      <c r="AF869" t="n">
        <v>8</v>
      </c>
      <c r="AG869" t="n">
        <v>9</v>
      </c>
      <c r="AH869" t="n">
        <v>6</v>
      </c>
      <c r="AI869" t="n">
        <v>7</v>
      </c>
      <c r="AJ869" t="n">
        <v>9</v>
      </c>
      <c r="AK869" t="n">
        <v>11</v>
      </c>
      <c r="AL869" t="n">
        <v>2</v>
      </c>
      <c r="AM869" t="n">
        <v>2</v>
      </c>
      <c r="AN869" t="n">
        <v>0</v>
      </c>
      <c r="AO869" t="n">
        <v>0</v>
      </c>
      <c r="AP869" t="inlineStr">
        <is>
          <t>No</t>
        </is>
      </c>
      <c r="AQ869" t="inlineStr">
        <is>
          <t>No</t>
        </is>
      </c>
      <c r="AS869">
        <f>HYPERLINK("https://creighton-primo.hosted.exlibrisgroup.com/primo-explore/search?tab=default_tab&amp;search_scope=EVERYTHING&amp;vid=01CRU&amp;lang=en_US&amp;offset=0&amp;query=any,contains,991005438849702656","Catalog Record")</f>
        <v/>
      </c>
      <c r="AT869">
        <f>HYPERLINK("http://www.worldcat.org/oclc/6171","WorldCat Record")</f>
        <v/>
      </c>
      <c r="AU869" t="inlineStr">
        <is>
          <t>476110:eng</t>
        </is>
      </c>
      <c r="AV869" t="inlineStr">
        <is>
          <t>6171</t>
        </is>
      </c>
      <c r="AW869" t="inlineStr">
        <is>
          <t>991005438849702656</t>
        </is>
      </c>
      <c r="AX869" t="inlineStr">
        <is>
          <t>991005438849702656</t>
        </is>
      </c>
      <c r="AY869" t="inlineStr">
        <is>
          <t>2265101210002656</t>
        </is>
      </c>
      <c r="AZ869" t="inlineStr">
        <is>
          <t>BOOK</t>
        </is>
      </c>
      <c r="BC869" t="inlineStr">
        <is>
          <t>32285000976687</t>
        </is>
      </c>
      <c r="BD869" t="inlineStr">
        <is>
          <t>893883895</t>
        </is>
      </c>
    </row>
    <row r="870">
      <c r="A870" t="inlineStr">
        <is>
          <t>No</t>
        </is>
      </c>
      <c r="B870" t="inlineStr">
        <is>
          <t>E184.S2 Q3 1970</t>
        </is>
      </c>
      <c r="C870" t="inlineStr">
        <is>
          <t>0                      E  0184000S  2                  Q  3           1970</t>
        </is>
      </c>
      <c r="D870" t="inlineStr">
        <is>
          <t>Norwegian settlement in the United States / [by] Carlton C. Qualey.</t>
        </is>
      </c>
      <c r="F870" t="inlineStr">
        <is>
          <t>No</t>
        </is>
      </c>
      <c r="G870" t="inlineStr">
        <is>
          <t>1</t>
        </is>
      </c>
      <c r="H870" t="inlineStr">
        <is>
          <t>No</t>
        </is>
      </c>
      <c r="I870" t="inlineStr">
        <is>
          <t>No</t>
        </is>
      </c>
      <c r="J870" t="inlineStr">
        <is>
          <t>0</t>
        </is>
      </c>
      <c r="K870" t="inlineStr">
        <is>
          <t>Qualey, Carlton C. (Carlton Chester), 1904-</t>
        </is>
      </c>
      <c r="L870" t="inlineStr">
        <is>
          <t>New York : Arno Press, 1970 [c1938]</t>
        </is>
      </c>
      <c r="M870" t="inlineStr">
        <is>
          <t>1970</t>
        </is>
      </c>
      <c r="O870" t="inlineStr">
        <is>
          <t>eng</t>
        </is>
      </c>
      <c r="P870" t="inlineStr">
        <is>
          <t>nyu</t>
        </is>
      </c>
      <c r="Q870" t="inlineStr">
        <is>
          <t>The American immigration collection. Series II</t>
        </is>
      </c>
      <c r="R870" t="inlineStr">
        <is>
          <t xml:space="preserve">E  </t>
        </is>
      </c>
      <c r="S870" t="n">
        <v>4</v>
      </c>
      <c r="T870" t="n">
        <v>4</v>
      </c>
      <c r="U870" t="inlineStr">
        <is>
          <t>1999-12-02</t>
        </is>
      </c>
      <c r="V870" t="inlineStr">
        <is>
          <t>1999-12-02</t>
        </is>
      </c>
      <c r="W870" t="inlineStr">
        <is>
          <t>1992-02-25</t>
        </is>
      </c>
      <c r="X870" t="inlineStr">
        <is>
          <t>1992-02-25</t>
        </is>
      </c>
      <c r="Y870" t="n">
        <v>273</v>
      </c>
      <c r="Z870" t="n">
        <v>256</v>
      </c>
      <c r="AA870" t="n">
        <v>610</v>
      </c>
      <c r="AB870" t="n">
        <v>4</v>
      </c>
      <c r="AC870" t="n">
        <v>8</v>
      </c>
      <c r="AD870" t="n">
        <v>16</v>
      </c>
      <c r="AE870" t="n">
        <v>33</v>
      </c>
      <c r="AF870" t="n">
        <v>4</v>
      </c>
      <c r="AG870" t="n">
        <v>11</v>
      </c>
      <c r="AH870" t="n">
        <v>6</v>
      </c>
      <c r="AI870" t="n">
        <v>7</v>
      </c>
      <c r="AJ870" t="n">
        <v>9</v>
      </c>
      <c r="AK870" t="n">
        <v>13</v>
      </c>
      <c r="AL870" t="n">
        <v>2</v>
      </c>
      <c r="AM870" t="n">
        <v>5</v>
      </c>
      <c r="AN870" t="n">
        <v>0</v>
      </c>
      <c r="AO870" t="n">
        <v>3</v>
      </c>
      <c r="AP870" t="inlineStr">
        <is>
          <t>No</t>
        </is>
      </c>
      <c r="AQ870" t="inlineStr">
        <is>
          <t>Yes</t>
        </is>
      </c>
      <c r="AR870">
        <f>HYPERLINK("http://catalog.hathitrust.org/Record/004386206","HathiTrust Record")</f>
        <v/>
      </c>
      <c r="AS870">
        <f>HYPERLINK("https://creighton-primo.hosted.exlibrisgroup.com/primo-explore/search?tab=default_tab&amp;search_scope=EVERYTHING&amp;vid=01CRU&amp;lang=en_US&amp;offset=0&amp;query=any,contains,991000629219702656","Catalog Record")</f>
        <v/>
      </c>
      <c r="AT870">
        <f>HYPERLINK("http://www.worldcat.org/oclc/105373","WorldCat Record")</f>
        <v/>
      </c>
      <c r="AU870" t="inlineStr">
        <is>
          <t>1185822:eng</t>
        </is>
      </c>
      <c r="AV870" t="inlineStr">
        <is>
          <t>105373</t>
        </is>
      </c>
      <c r="AW870" t="inlineStr">
        <is>
          <t>991000629219702656</t>
        </is>
      </c>
      <c r="AX870" t="inlineStr">
        <is>
          <t>991000629219702656</t>
        </is>
      </c>
      <c r="AY870" t="inlineStr">
        <is>
          <t>2263118990002656</t>
        </is>
      </c>
      <c r="AZ870" t="inlineStr">
        <is>
          <t>BOOK</t>
        </is>
      </c>
      <c r="BB870" t="inlineStr">
        <is>
          <t>9780405005633</t>
        </is>
      </c>
      <c r="BC870" t="inlineStr">
        <is>
          <t>32285000976653</t>
        </is>
      </c>
      <c r="BD870" t="inlineStr">
        <is>
          <t>893871839</t>
        </is>
      </c>
    </row>
    <row r="871">
      <c r="A871" t="inlineStr">
        <is>
          <t>No</t>
        </is>
      </c>
      <c r="B871" t="inlineStr">
        <is>
          <t>E184.S2 S4313</t>
        </is>
      </c>
      <c r="C871" t="inlineStr">
        <is>
          <t>0                      E  0184000S  2                  S  4313</t>
        </is>
      </c>
      <c r="D871" t="inlineStr">
        <is>
          <t>Norway to America : a history of the migration / by Ingrid Semmingsen ; translated by Einar Haugen.</t>
        </is>
      </c>
      <c r="F871" t="inlineStr">
        <is>
          <t>No</t>
        </is>
      </c>
      <c r="G871" t="inlineStr">
        <is>
          <t>1</t>
        </is>
      </c>
      <c r="H871" t="inlineStr">
        <is>
          <t>No</t>
        </is>
      </c>
      <c r="I871" t="inlineStr">
        <is>
          <t>No</t>
        </is>
      </c>
      <c r="J871" t="inlineStr">
        <is>
          <t>0</t>
        </is>
      </c>
      <c r="K871" t="inlineStr">
        <is>
          <t>Semmingsen, Ingrid, 1910-1995.</t>
        </is>
      </c>
      <c r="L871" t="inlineStr">
        <is>
          <t>Minneapolis : University of Minnesota Press, c1978, 1979 printing.</t>
        </is>
      </c>
      <c r="M871" t="inlineStr">
        <is>
          <t>1978</t>
        </is>
      </c>
      <c r="O871" t="inlineStr">
        <is>
          <t>eng</t>
        </is>
      </c>
      <c r="P871" t="inlineStr">
        <is>
          <t>mnu</t>
        </is>
      </c>
      <c r="R871" t="inlineStr">
        <is>
          <t xml:space="preserve">E  </t>
        </is>
      </c>
      <c r="S871" t="n">
        <v>4</v>
      </c>
      <c r="T871" t="n">
        <v>4</v>
      </c>
      <c r="U871" t="inlineStr">
        <is>
          <t>1994-09-09</t>
        </is>
      </c>
      <c r="V871" t="inlineStr">
        <is>
          <t>1994-09-09</t>
        </is>
      </c>
      <c r="W871" t="inlineStr">
        <is>
          <t>1991-02-19</t>
        </is>
      </c>
      <c r="X871" t="inlineStr">
        <is>
          <t>1991-02-19</t>
        </is>
      </c>
      <c r="Y871" t="n">
        <v>657</v>
      </c>
      <c r="Z871" t="n">
        <v>596</v>
      </c>
      <c r="AA871" t="n">
        <v>1017</v>
      </c>
      <c r="AB871" t="n">
        <v>4</v>
      </c>
      <c r="AC871" t="n">
        <v>7</v>
      </c>
      <c r="AD871" t="n">
        <v>24</v>
      </c>
      <c r="AE871" t="n">
        <v>42</v>
      </c>
      <c r="AF871" t="n">
        <v>10</v>
      </c>
      <c r="AG871" t="n">
        <v>18</v>
      </c>
      <c r="AH871" t="n">
        <v>7</v>
      </c>
      <c r="AI871" t="n">
        <v>10</v>
      </c>
      <c r="AJ871" t="n">
        <v>12</v>
      </c>
      <c r="AK871" t="n">
        <v>18</v>
      </c>
      <c r="AL871" t="n">
        <v>3</v>
      </c>
      <c r="AM871" t="n">
        <v>6</v>
      </c>
      <c r="AN871" t="n">
        <v>0</v>
      </c>
      <c r="AO871" t="n">
        <v>1</v>
      </c>
      <c r="AP871" t="inlineStr">
        <is>
          <t>No</t>
        </is>
      </c>
      <c r="AQ871" t="inlineStr">
        <is>
          <t>No</t>
        </is>
      </c>
      <c r="AS871">
        <f>HYPERLINK("https://creighton-primo.hosted.exlibrisgroup.com/primo-explore/search?tab=default_tab&amp;search_scope=EVERYTHING&amp;vid=01CRU&amp;lang=en_US&amp;offset=0&amp;query=any,contains,991004567939702656","Catalog Record")</f>
        <v/>
      </c>
      <c r="AT871">
        <f>HYPERLINK("http://www.worldcat.org/oclc/4004979","WorldCat Record")</f>
        <v/>
      </c>
      <c r="AU871" t="inlineStr">
        <is>
          <t>580297:eng</t>
        </is>
      </c>
      <c r="AV871" t="inlineStr">
        <is>
          <t>4004979</t>
        </is>
      </c>
      <c r="AW871" t="inlineStr">
        <is>
          <t>991004567939702656</t>
        </is>
      </c>
      <c r="AX871" t="inlineStr">
        <is>
          <t>991004567939702656</t>
        </is>
      </c>
      <c r="AY871" t="inlineStr">
        <is>
          <t>2264996820002656</t>
        </is>
      </c>
      <c r="AZ871" t="inlineStr">
        <is>
          <t>BOOK</t>
        </is>
      </c>
      <c r="BB871" t="inlineStr">
        <is>
          <t>9780816608423</t>
        </is>
      </c>
      <c r="BC871" t="inlineStr">
        <is>
          <t>32285000484062</t>
        </is>
      </c>
      <c r="BD871" t="inlineStr">
        <is>
          <t>893888881</t>
        </is>
      </c>
    </row>
    <row r="872">
      <c r="A872" t="inlineStr">
        <is>
          <t>No</t>
        </is>
      </c>
      <c r="B872" t="inlineStr">
        <is>
          <t>E184.S2 S685 1991</t>
        </is>
      </c>
      <c r="C872" t="inlineStr">
        <is>
          <t>0                      E  0184000S  2                  S  685         1991</t>
        </is>
      </c>
      <c r="D872" t="inlineStr">
        <is>
          <t>Norwegian Americans and the politics of dissent, 1880-1924 / Lowell J. Soike.</t>
        </is>
      </c>
      <c r="F872" t="inlineStr">
        <is>
          <t>No</t>
        </is>
      </c>
      <c r="G872" t="inlineStr">
        <is>
          <t>1</t>
        </is>
      </c>
      <c r="H872" t="inlineStr">
        <is>
          <t>No</t>
        </is>
      </c>
      <c r="I872" t="inlineStr">
        <is>
          <t>No</t>
        </is>
      </c>
      <c r="J872" t="inlineStr">
        <is>
          <t>0</t>
        </is>
      </c>
      <c r="K872" t="inlineStr">
        <is>
          <t>Soike, Lowell J.</t>
        </is>
      </c>
      <c r="L872" t="inlineStr">
        <is>
          <t>Northfield, Minn. : Norwegian-American Historical Association, 1991.</t>
        </is>
      </c>
      <c r="M872" t="inlineStr">
        <is>
          <t>1991</t>
        </is>
      </c>
      <c r="O872" t="inlineStr">
        <is>
          <t>eng</t>
        </is>
      </c>
      <c r="P872" t="inlineStr">
        <is>
          <t>mnu</t>
        </is>
      </c>
      <c r="R872" t="inlineStr">
        <is>
          <t xml:space="preserve">E  </t>
        </is>
      </c>
      <c r="S872" t="n">
        <v>1</v>
      </c>
      <c r="T872" t="n">
        <v>1</v>
      </c>
      <c r="U872" t="inlineStr">
        <is>
          <t>1992-12-23</t>
        </is>
      </c>
      <c r="V872" t="inlineStr">
        <is>
          <t>1992-12-23</t>
        </is>
      </c>
      <c r="W872" t="inlineStr">
        <is>
          <t>1992-11-30</t>
        </is>
      </c>
      <c r="X872" t="inlineStr">
        <is>
          <t>1992-11-30</t>
        </is>
      </c>
      <c r="Y872" t="n">
        <v>193</v>
      </c>
      <c r="Z872" t="n">
        <v>177</v>
      </c>
      <c r="AA872" t="n">
        <v>184</v>
      </c>
      <c r="AB872" t="n">
        <v>2</v>
      </c>
      <c r="AC872" t="n">
        <v>2</v>
      </c>
      <c r="AD872" t="n">
        <v>6</v>
      </c>
      <c r="AE872" t="n">
        <v>6</v>
      </c>
      <c r="AF872" t="n">
        <v>2</v>
      </c>
      <c r="AG872" t="n">
        <v>2</v>
      </c>
      <c r="AH872" t="n">
        <v>2</v>
      </c>
      <c r="AI872" t="n">
        <v>2</v>
      </c>
      <c r="AJ872" t="n">
        <v>2</v>
      </c>
      <c r="AK872" t="n">
        <v>2</v>
      </c>
      <c r="AL872" t="n">
        <v>1</v>
      </c>
      <c r="AM872" t="n">
        <v>1</v>
      </c>
      <c r="AN872" t="n">
        <v>0</v>
      </c>
      <c r="AO872" t="n">
        <v>0</v>
      </c>
      <c r="AP872" t="inlineStr">
        <is>
          <t>No</t>
        </is>
      </c>
      <c r="AQ872" t="inlineStr">
        <is>
          <t>Yes</t>
        </is>
      </c>
      <c r="AR872">
        <f>HYPERLINK("http://catalog.hathitrust.org/Record/002493400","HathiTrust Record")</f>
        <v/>
      </c>
      <c r="AS872">
        <f>HYPERLINK("https://creighton-primo.hosted.exlibrisgroup.com/primo-explore/search?tab=default_tab&amp;search_scope=EVERYTHING&amp;vid=01CRU&amp;lang=en_US&amp;offset=0&amp;query=any,contains,991001937859702656","Catalog Record")</f>
        <v/>
      </c>
      <c r="AT872">
        <f>HYPERLINK("http://www.worldcat.org/oclc/24478514","WorldCat Record")</f>
        <v/>
      </c>
      <c r="AU872" t="inlineStr">
        <is>
          <t>6829467:eng</t>
        </is>
      </c>
      <c r="AV872" t="inlineStr">
        <is>
          <t>24478514</t>
        </is>
      </c>
      <c r="AW872" t="inlineStr">
        <is>
          <t>991001937859702656</t>
        </is>
      </c>
      <c r="AX872" t="inlineStr">
        <is>
          <t>991001937859702656</t>
        </is>
      </c>
      <c r="AY872" t="inlineStr">
        <is>
          <t>2267810470002656</t>
        </is>
      </c>
      <c r="AZ872" t="inlineStr">
        <is>
          <t>BOOK</t>
        </is>
      </c>
      <c r="BB872" t="inlineStr">
        <is>
          <t>9780877320791</t>
        </is>
      </c>
      <c r="BC872" t="inlineStr">
        <is>
          <t>32285001400141</t>
        </is>
      </c>
      <c r="BD872" t="inlineStr">
        <is>
          <t>893773041</t>
        </is>
      </c>
    </row>
    <row r="873">
      <c r="A873" t="inlineStr">
        <is>
          <t>No</t>
        </is>
      </c>
      <c r="B873" t="inlineStr">
        <is>
          <t>E184.S3 G7</t>
        </is>
      </c>
      <c r="C873" t="inlineStr">
        <is>
          <t>0                      E  0184000S  3                  G  7</t>
        </is>
      </c>
      <c r="D873" t="inlineStr">
        <is>
          <t>Colonists from Scotland : emigration to North America, 1707-1783.</t>
        </is>
      </c>
      <c r="F873" t="inlineStr">
        <is>
          <t>No</t>
        </is>
      </c>
      <c r="G873" t="inlineStr">
        <is>
          <t>1</t>
        </is>
      </c>
      <c r="H873" t="inlineStr">
        <is>
          <t>No</t>
        </is>
      </c>
      <c r="I873" t="inlineStr">
        <is>
          <t>No</t>
        </is>
      </c>
      <c r="J873" t="inlineStr">
        <is>
          <t>0</t>
        </is>
      </c>
      <c r="K873" t="inlineStr">
        <is>
          <t>Graham, Ian Charles Cargill, 1919-</t>
        </is>
      </c>
      <c r="L873" t="inlineStr">
        <is>
          <t>Ithaca, N.Y. : Published for the American Historical Association [by] Cornell University Press, [1956]</t>
        </is>
      </c>
      <c r="M873" t="inlineStr">
        <is>
          <t>1956</t>
        </is>
      </c>
      <c r="O873" t="inlineStr">
        <is>
          <t>eng</t>
        </is>
      </c>
      <c r="P873" t="inlineStr">
        <is>
          <t>nyu</t>
        </is>
      </c>
      <c r="R873" t="inlineStr">
        <is>
          <t xml:space="preserve">E  </t>
        </is>
      </c>
      <c r="S873" t="n">
        <v>3</v>
      </c>
      <c r="T873" t="n">
        <v>3</v>
      </c>
      <c r="U873" t="inlineStr">
        <is>
          <t>1996-10-29</t>
        </is>
      </c>
      <c r="V873" t="inlineStr">
        <is>
          <t>1996-10-29</t>
        </is>
      </c>
      <c r="W873" t="inlineStr">
        <is>
          <t>1995-03-23</t>
        </is>
      </c>
      <c r="X873" t="inlineStr">
        <is>
          <t>1995-03-23</t>
        </is>
      </c>
      <c r="Y873" t="n">
        <v>678</v>
      </c>
      <c r="Z873" t="n">
        <v>582</v>
      </c>
      <c r="AA873" t="n">
        <v>914</v>
      </c>
      <c r="AB873" t="n">
        <v>6</v>
      </c>
      <c r="AC873" t="n">
        <v>10</v>
      </c>
      <c r="AD873" t="n">
        <v>26</v>
      </c>
      <c r="AE873" t="n">
        <v>44</v>
      </c>
      <c r="AF873" t="n">
        <v>10</v>
      </c>
      <c r="AG873" t="n">
        <v>16</v>
      </c>
      <c r="AH873" t="n">
        <v>4</v>
      </c>
      <c r="AI873" t="n">
        <v>10</v>
      </c>
      <c r="AJ873" t="n">
        <v>13</v>
      </c>
      <c r="AK873" t="n">
        <v>17</v>
      </c>
      <c r="AL873" t="n">
        <v>5</v>
      </c>
      <c r="AM873" t="n">
        <v>7</v>
      </c>
      <c r="AN873" t="n">
        <v>0</v>
      </c>
      <c r="AO873" t="n">
        <v>3</v>
      </c>
      <c r="AP873" t="inlineStr">
        <is>
          <t>Yes</t>
        </is>
      </c>
      <c r="AQ873" t="inlineStr">
        <is>
          <t>No</t>
        </is>
      </c>
      <c r="AR873">
        <f>HYPERLINK("http://catalog.hathitrust.org/Record/000336877","HathiTrust Record")</f>
        <v/>
      </c>
      <c r="AS873">
        <f>HYPERLINK("https://creighton-primo.hosted.exlibrisgroup.com/primo-explore/search?tab=default_tab&amp;search_scope=EVERYTHING&amp;vid=01CRU&amp;lang=en_US&amp;offset=0&amp;query=any,contains,991002748279702656","Catalog Record")</f>
        <v/>
      </c>
      <c r="AT873">
        <f>HYPERLINK("http://www.worldcat.org/oclc/423587","WorldCat Record")</f>
        <v/>
      </c>
      <c r="AU873" t="inlineStr">
        <is>
          <t>1512627:eng</t>
        </is>
      </c>
      <c r="AV873" t="inlineStr">
        <is>
          <t>423587</t>
        </is>
      </c>
      <c r="AW873" t="inlineStr">
        <is>
          <t>991002748279702656</t>
        </is>
      </c>
      <c r="AX873" t="inlineStr">
        <is>
          <t>991002748279702656</t>
        </is>
      </c>
      <c r="AY873" t="inlineStr">
        <is>
          <t>2266550950002656</t>
        </is>
      </c>
      <c r="AZ873" t="inlineStr">
        <is>
          <t>BOOK</t>
        </is>
      </c>
      <c r="BC873" t="inlineStr">
        <is>
          <t>32285002013422</t>
        </is>
      </c>
      <c r="BD873" t="inlineStr">
        <is>
          <t>893323323</t>
        </is>
      </c>
    </row>
    <row r="874">
      <c r="A874" t="inlineStr">
        <is>
          <t>No</t>
        </is>
      </c>
      <c r="B874" t="inlineStr">
        <is>
          <t>E184.S4 F9</t>
        </is>
      </c>
      <c r="C874" t="inlineStr">
        <is>
          <t>0                      E  0184000S  4                  F  9</t>
        </is>
      </c>
      <c r="D874" t="inlineStr">
        <is>
          <t>The Scotch-Irish in America / by Henry Jones Ford.</t>
        </is>
      </c>
      <c r="F874" t="inlineStr">
        <is>
          <t>No</t>
        </is>
      </c>
      <c r="G874" t="inlineStr">
        <is>
          <t>1</t>
        </is>
      </c>
      <c r="H874" t="inlineStr">
        <is>
          <t>No</t>
        </is>
      </c>
      <c r="I874" t="inlineStr">
        <is>
          <t>No</t>
        </is>
      </c>
      <c r="J874" t="inlineStr">
        <is>
          <t>0</t>
        </is>
      </c>
      <c r="K874" t="inlineStr">
        <is>
          <t>Ford, Henry Jones, 1851-1925.</t>
        </is>
      </c>
      <c r="L874" t="inlineStr">
        <is>
          <t>Princeton, N.J. : Princeton University Press, 1915.</t>
        </is>
      </c>
      <c r="M874" t="inlineStr">
        <is>
          <t>1915</t>
        </is>
      </c>
      <c r="O874" t="inlineStr">
        <is>
          <t>eng</t>
        </is>
      </c>
      <c r="P874" t="inlineStr">
        <is>
          <t>nju</t>
        </is>
      </c>
      <c r="R874" t="inlineStr">
        <is>
          <t xml:space="preserve">E  </t>
        </is>
      </c>
      <c r="S874" t="n">
        <v>2</v>
      </c>
      <c r="T874" t="n">
        <v>2</v>
      </c>
      <c r="U874" t="inlineStr">
        <is>
          <t>1998-01-13</t>
        </is>
      </c>
      <c r="V874" t="inlineStr">
        <is>
          <t>1998-01-13</t>
        </is>
      </c>
      <c r="W874" t="inlineStr">
        <is>
          <t>1995-03-23</t>
        </is>
      </c>
      <c r="X874" t="inlineStr">
        <is>
          <t>1995-03-23</t>
        </is>
      </c>
      <c r="Y874" t="n">
        <v>314</v>
      </c>
      <c r="Z874" t="n">
        <v>280</v>
      </c>
      <c r="AA874" t="n">
        <v>1087</v>
      </c>
      <c r="AB874" t="n">
        <v>4</v>
      </c>
      <c r="AC874" t="n">
        <v>10</v>
      </c>
      <c r="AD874" t="n">
        <v>15</v>
      </c>
      <c r="AE874" t="n">
        <v>48</v>
      </c>
      <c r="AF874" t="n">
        <v>4</v>
      </c>
      <c r="AG874" t="n">
        <v>19</v>
      </c>
      <c r="AH874" t="n">
        <v>3</v>
      </c>
      <c r="AI874" t="n">
        <v>11</v>
      </c>
      <c r="AJ874" t="n">
        <v>9</v>
      </c>
      <c r="AK874" t="n">
        <v>20</v>
      </c>
      <c r="AL874" t="n">
        <v>3</v>
      </c>
      <c r="AM874" t="n">
        <v>9</v>
      </c>
      <c r="AN874" t="n">
        <v>0</v>
      </c>
      <c r="AO874" t="n">
        <v>0</v>
      </c>
      <c r="AP874" t="inlineStr">
        <is>
          <t>Yes</t>
        </is>
      </c>
      <c r="AQ874" t="inlineStr">
        <is>
          <t>No</t>
        </is>
      </c>
      <c r="AR874">
        <f>HYPERLINK("http://catalog.hathitrust.org/Record/006578102","HathiTrust Record")</f>
        <v/>
      </c>
      <c r="AS874">
        <f>HYPERLINK("https://creighton-primo.hosted.exlibrisgroup.com/primo-explore/search?tab=default_tab&amp;search_scope=EVERYTHING&amp;vid=01CRU&amp;lang=en_US&amp;offset=0&amp;query=any,contains,991003965759702656","Catalog Record")</f>
        <v/>
      </c>
      <c r="AT874">
        <f>HYPERLINK("http://www.worldcat.org/oclc/1982873","WorldCat Record")</f>
        <v/>
      </c>
      <c r="AU874" t="inlineStr">
        <is>
          <t>1129441:eng</t>
        </is>
      </c>
      <c r="AV874" t="inlineStr">
        <is>
          <t>1982873</t>
        </is>
      </c>
      <c r="AW874" t="inlineStr">
        <is>
          <t>991003965759702656</t>
        </is>
      </c>
      <c r="AX874" t="inlineStr">
        <is>
          <t>991003965759702656</t>
        </is>
      </c>
      <c r="AY874" t="inlineStr">
        <is>
          <t>2261551020002656</t>
        </is>
      </c>
      <c r="AZ874" t="inlineStr">
        <is>
          <t>BOOK</t>
        </is>
      </c>
      <c r="BC874" t="inlineStr">
        <is>
          <t>32285002013414</t>
        </is>
      </c>
      <c r="BD874" t="inlineStr">
        <is>
          <t>893423218</t>
        </is>
      </c>
    </row>
    <row r="875">
      <c r="A875" t="inlineStr">
        <is>
          <t>No</t>
        </is>
      </c>
      <c r="B875" t="inlineStr">
        <is>
          <t>E184.S8 K37</t>
        </is>
      </c>
      <c r="C875" t="inlineStr">
        <is>
          <t>0                      E  0184000S  8                  K  37</t>
        </is>
      </c>
      <c r="D875" t="inlineStr">
        <is>
          <t>The Swedish heritage in America : the Swedish element in America and American-Swedish relations in their historical perspective / Allan Kastrup.</t>
        </is>
      </c>
      <c r="F875" t="inlineStr">
        <is>
          <t>No</t>
        </is>
      </c>
      <c r="G875" t="inlineStr">
        <is>
          <t>1</t>
        </is>
      </c>
      <c r="H875" t="inlineStr">
        <is>
          <t>No</t>
        </is>
      </c>
      <c r="I875" t="inlineStr">
        <is>
          <t>No</t>
        </is>
      </c>
      <c r="J875" t="inlineStr">
        <is>
          <t>0</t>
        </is>
      </c>
      <c r="K875" t="inlineStr">
        <is>
          <t>Kastrup, Allan.</t>
        </is>
      </c>
      <c r="L875" t="inlineStr">
        <is>
          <t>[St. Paul?] : Swedish Council of America, 1975.</t>
        </is>
      </c>
      <c r="M875" t="inlineStr">
        <is>
          <t>1975</t>
        </is>
      </c>
      <c r="O875" t="inlineStr">
        <is>
          <t>eng</t>
        </is>
      </c>
      <c r="P875" t="inlineStr">
        <is>
          <t>mnu</t>
        </is>
      </c>
      <c r="R875" t="inlineStr">
        <is>
          <t xml:space="preserve">E  </t>
        </is>
      </c>
      <c r="S875" t="n">
        <v>0</v>
      </c>
      <c r="T875" t="n">
        <v>0</v>
      </c>
      <c r="U875" t="inlineStr">
        <is>
          <t>2002-12-10</t>
        </is>
      </c>
      <c r="V875" t="inlineStr">
        <is>
          <t>2002-12-10</t>
        </is>
      </c>
      <c r="W875" t="inlineStr">
        <is>
          <t>1997-04-10</t>
        </is>
      </c>
      <c r="X875" t="inlineStr">
        <is>
          <t>1997-04-10</t>
        </is>
      </c>
      <c r="Y875" t="n">
        <v>77</v>
      </c>
      <c r="Z875" t="n">
        <v>62</v>
      </c>
      <c r="AA875" t="n">
        <v>390</v>
      </c>
      <c r="AB875" t="n">
        <v>2</v>
      </c>
      <c r="AC875" t="n">
        <v>3</v>
      </c>
      <c r="AD875" t="n">
        <v>1</v>
      </c>
      <c r="AE875" t="n">
        <v>9</v>
      </c>
      <c r="AF875" t="n">
        <v>0</v>
      </c>
      <c r="AG875" t="n">
        <v>2</v>
      </c>
      <c r="AH875" t="n">
        <v>0</v>
      </c>
      <c r="AI875" t="n">
        <v>4</v>
      </c>
      <c r="AJ875" t="n">
        <v>0</v>
      </c>
      <c r="AK875" t="n">
        <v>2</v>
      </c>
      <c r="AL875" t="n">
        <v>1</v>
      </c>
      <c r="AM875" t="n">
        <v>2</v>
      </c>
      <c r="AN875" t="n">
        <v>0</v>
      </c>
      <c r="AO875" t="n">
        <v>0</v>
      </c>
      <c r="AP875" t="inlineStr">
        <is>
          <t>No</t>
        </is>
      </c>
      <c r="AQ875" t="inlineStr">
        <is>
          <t>No</t>
        </is>
      </c>
      <c r="AS875">
        <f>HYPERLINK("https://creighton-primo.hosted.exlibrisgroup.com/primo-explore/search?tab=default_tab&amp;search_scope=EVERYTHING&amp;vid=01CRU&amp;lang=en_US&amp;offset=0&amp;query=any,contains,991002294359702656","Catalog Record")</f>
        <v/>
      </c>
      <c r="AT875">
        <f>HYPERLINK("http://www.worldcat.org/oclc/29755861","WorldCat Record")</f>
        <v/>
      </c>
      <c r="AU875" t="inlineStr">
        <is>
          <t>3073383:eng</t>
        </is>
      </c>
      <c r="AV875" t="inlineStr">
        <is>
          <t>29755861</t>
        </is>
      </c>
      <c r="AW875" t="inlineStr">
        <is>
          <t>991002294359702656</t>
        </is>
      </c>
      <c r="AX875" t="inlineStr">
        <is>
          <t>991002294359702656</t>
        </is>
      </c>
      <c r="AY875" t="inlineStr">
        <is>
          <t>2262954940002656</t>
        </is>
      </c>
      <c r="AZ875" t="inlineStr">
        <is>
          <t>BOOK</t>
        </is>
      </c>
      <c r="BC875" t="inlineStr">
        <is>
          <t>32285002530649</t>
        </is>
      </c>
      <c r="BD875" t="inlineStr">
        <is>
          <t>893809404</t>
        </is>
      </c>
    </row>
    <row r="876">
      <c r="A876" t="inlineStr">
        <is>
          <t>No</t>
        </is>
      </c>
      <c r="B876" t="inlineStr">
        <is>
          <t>E184.S8 L47 1975</t>
        </is>
      </c>
      <c r="C876" t="inlineStr">
        <is>
          <t>0                      E  0184000S  8                  L  47          1975</t>
        </is>
      </c>
      <c r="D876" t="inlineStr">
        <is>
          <t>Letters from the promised land : Swedes in America, 1840-1914 / [edited] by H. Arnold Barton.</t>
        </is>
      </c>
      <c r="F876" t="inlineStr">
        <is>
          <t>No</t>
        </is>
      </c>
      <c r="G876" t="inlineStr">
        <is>
          <t>1</t>
        </is>
      </c>
      <c r="H876" t="inlineStr">
        <is>
          <t>No</t>
        </is>
      </c>
      <c r="I876" t="inlineStr">
        <is>
          <t>No</t>
        </is>
      </c>
      <c r="J876" t="inlineStr">
        <is>
          <t>0</t>
        </is>
      </c>
      <c r="L876" t="inlineStr">
        <is>
          <t>Minneapolis : Published by the University of Minnesota Press for the Swedish Pioneer Historical Society, c1975, 1980 printing.</t>
        </is>
      </c>
      <c r="M876" t="inlineStr">
        <is>
          <t>1975</t>
        </is>
      </c>
      <c r="O876" t="inlineStr">
        <is>
          <t>eng</t>
        </is>
      </c>
      <c r="P876" t="inlineStr">
        <is>
          <t>mnu</t>
        </is>
      </c>
      <c r="R876" t="inlineStr">
        <is>
          <t xml:space="preserve">E  </t>
        </is>
      </c>
      <c r="S876" t="n">
        <v>3</v>
      </c>
      <c r="T876" t="n">
        <v>3</v>
      </c>
      <c r="U876" t="inlineStr">
        <is>
          <t>1995-11-09</t>
        </is>
      </c>
      <c r="V876" t="inlineStr">
        <is>
          <t>1995-11-09</t>
        </is>
      </c>
      <c r="W876" t="inlineStr">
        <is>
          <t>1991-02-19</t>
        </is>
      </c>
      <c r="X876" t="inlineStr">
        <is>
          <t>1991-02-19</t>
        </is>
      </c>
      <c r="Y876" t="n">
        <v>663</v>
      </c>
      <c r="Z876" t="n">
        <v>604</v>
      </c>
      <c r="AA876" t="n">
        <v>1040</v>
      </c>
      <c r="AB876" t="n">
        <v>6</v>
      </c>
      <c r="AC876" t="n">
        <v>8</v>
      </c>
      <c r="AD876" t="n">
        <v>25</v>
      </c>
      <c r="AE876" t="n">
        <v>42</v>
      </c>
      <c r="AF876" t="n">
        <v>10</v>
      </c>
      <c r="AG876" t="n">
        <v>18</v>
      </c>
      <c r="AH876" t="n">
        <v>7</v>
      </c>
      <c r="AI876" t="n">
        <v>10</v>
      </c>
      <c r="AJ876" t="n">
        <v>11</v>
      </c>
      <c r="AK876" t="n">
        <v>15</v>
      </c>
      <c r="AL876" t="n">
        <v>4</v>
      </c>
      <c r="AM876" t="n">
        <v>6</v>
      </c>
      <c r="AN876" t="n">
        <v>0</v>
      </c>
      <c r="AO876" t="n">
        <v>1</v>
      </c>
      <c r="AP876" t="inlineStr">
        <is>
          <t>No</t>
        </is>
      </c>
      <c r="AQ876" t="inlineStr">
        <is>
          <t>No</t>
        </is>
      </c>
      <c r="AS876">
        <f>HYPERLINK("https://creighton-primo.hosted.exlibrisgroup.com/primo-explore/search?tab=default_tab&amp;search_scope=EVERYTHING&amp;vid=01CRU&amp;lang=en_US&amp;offset=0&amp;query=any,contains,991003787619702656","Catalog Record")</f>
        <v/>
      </c>
      <c r="AT876">
        <f>HYPERLINK("http://www.worldcat.org/oclc/1504478","WorldCat Record")</f>
        <v/>
      </c>
      <c r="AU876" t="inlineStr">
        <is>
          <t>864913390:eng</t>
        </is>
      </c>
      <c r="AV876" t="inlineStr">
        <is>
          <t>1504478</t>
        </is>
      </c>
      <c r="AW876" t="inlineStr">
        <is>
          <t>991003787619702656</t>
        </is>
      </c>
      <c r="AX876" t="inlineStr">
        <is>
          <t>991003787619702656</t>
        </is>
      </c>
      <c r="AY876" t="inlineStr">
        <is>
          <t>2262152060002656</t>
        </is>
      </c>
      <c r="AZ876" t="inlineStr">
        <is>
          <t>BOOK</t>
        </is>
      </c>
      <c r="BB876" t="inlineStr">
        <is>
          <t>9780816607402</t>
        </is>
      </c>
      <c r="BC876" t="inlineStr">
        <is>
          <t>32285000484112</t>
        </is>
      </c>
      <c r="BD876" t="inlineStr">
        <is>
          <t>893324486</t>
        </is>
      </c>
    </row>
    <row r="877">
      <c r="A877" t="inlineStr">
        <is>
          <t>No</t>
        </is>
      </c>
      <c r="B877" t="inlineStr">
        <is>
          <t>E184.V53 M3 1982</t>
        </is>
      </c>
      <c r="C877" t="inlineStr">
        <is>
          <t>0                      E  0184000V  53                 M  3           1982</t>
        </is>
      </c>
      <c r="D877" t="inlineStr">
        <is>
          <t>Culture clash / Ellen Matthews.</t>
        </is>
      </c>
      <c r="F877" t="inlineStr">
        <is>
          <t>No</t>
        </is>
      </c>
      <c r="G877" t="inlineStr">
        <is>
          <t>1</t>
        </is>
      </c>
      <c r="H877" t="inlineStr">
        <is>
          <t>No</t>
        </is>
      </c>
      <c r="I877" t="inlineStr">
        <is>
          <t>No</t>
        </is>
      </c>
      <c r="J877" t="inlineStr">
        <is>
          <t>0</t>
        </is>
      </c>
      <c r="K877" t="inlineStr">
        <is>
          <t>Matthews, Ellen, 1950-</t>
        </is>
      </c>
      <c r="L877" t="inlineStr">
        <is>
          <t>Chicago : Intercultural Press, c1982.</t>
        </is>
      </c>
      <c r="M877" t="inlineStr">
        <is>
          <t>1982</t>
        </is>
      </c>
      <c r="O877" t="inlineStr">
        <is>
          <t>eng</t>
        </is>
      </c>
      <c r="P877" t="inlineStr">
        <is>
          <t>ilu</t>
        </is>
      </c>
      <c r="R877" t="inlineStr">
        <is>
          <t xml:space="preserve">E  </t>
        </is>
      </c>
      <c r="S877" t="n">
        <v>9</v>
      </c>
      <c r="T877" t="n">
        <v>9</v>
      </c>
      <c r="U877" t="inlineStr">
        <is>
          <t>2000-04-18</t>
        </is>
      </c>
      <c r="V877" t="inlineStr">
        <is>
          <t>2000-04-18</t>
        </is>
      </c>
      <c r="W877" t="inlineStr">
        <is>
          <t>1991-02-19</t>
        </is>
      </c>
      <c r="X877" t="inlineStr">
        <is>
          <t>1991-02-19</t>
        </is>
      </c>
      <c r="Y877" t="n">
        <v>352</v>
      </c>
      <c r="Z877" t="n">
        <v>320</v>
      </c>
      <c r="AA877" t="n">
        <v>500</v>
      </c>
      <c r="AB877" t="n">
        <v>2</v>
      </c>
      <c r="AC877" t="n">
        <v>4</v>
      </c>
      <c r="AD877" t="n">
        <v>9</v>
      </c>
      <c r="AE877" t="n">
        <v>16</v>
      </c>
      <c r="AF877" t="n">
        <v>3</v>
      </c>
      <c r="AG877" t="n">
        <v>5</v>
      </c>
      <c r="AH877" t="n">
        <v>1</v>
      </c>
      <c r="AI877" t="n">
        <v>2</v>
      </c>
      <c r="AJ877" t="n">
        <v>6</v>
      </c>
      <c r="AK877" t="n">
        <v>10</v>
      </c>
      <c r="AL877" t="n">
        <v>1</v>
      </c>
      <c r="AM877" t="n">
        <v>2</v>
      </c>
      <c r="AN877" t="n">
        <v>0</v>
      </c>
      <c r="AO877" t="n">
        <v>0</v>
      </c>
      <c r="AP877" t="inlineStr">
        <is>
          <t>No</t>
        </is>
      </c>
      <c r="AQ877" t="inlineStr">
        <is>
          <t>Yes</t>
        </is>
      </c>
      <c r="AR877">
        <f>HYPERLINK("http://catalog.hathitrust.org/Record/007471817","HathiTrust Record")</f>
        <v/>
      </c>
      <c r="AS877">
        <f>HYPERLINK("https://creighton-primo.hosted.exlibrisgroup.com/primo-explore/search?tab=default_tab&amp;search_scope=EVERYTHING&amp;vid=01CRU&amp;lang=en_US&amp;offset=0&amp;query=any,contains,991000119879702656","Catalog Record")</f>
        <v/>
      </c>
      <c r="AT877">
        <f>HYPERLINK("http://www.worldcat.org/oclc/9065265","WorldCat Record")</f>
        <v/>
      </c>
      <c r="AU877" t="inlineStr">
        <is>
          <t>22484838:eng</t>
        </is>
      </c>
      <c r="AV877" t="inlineStr">
        <is>
          <t>9065265</t>
        </is>
      </c>
      <c r="AW877" t="inlineStr">
        <is>
          <t>991000119879702656</t>
        </is>
      </c>
      <c r="AX877" t="inlineStr">
        <is>
          <t>991000119879702656</t>
        </is>
      </c>
      <c r="AY877" t="inlineStr">
        <is>
          <t>2272044250002656</t>
        </is>
      </c>
      <c r="AZ877" t="inlineStr">
        <is>
          <t>BOOK</t>
        </is>
      </c>
      <c r="BB877" t="inlineStr">
        <is>
          <t>9780933662483</t>
        </is>
      </c>
      <c r="BC877" t="inlineStr">
        <is>
          <t>32285000484161</t>
        </is>
      </c>
      <c r="BD877" t="inlineStr">
        <is>
          <t>893613919</t>
        </is>
      </c>
    </row>
    <row r="878">
      <c r="A878" t="inlineStr">
        <is>
          <t>No</t>
        </is>
      </c>
      <c r="B878" t="inlineStr">
        <is>
          <t>E185.61 .B2 1963</t>
        </is>
      </c>
      <c r="C878" t="inlineStr">
        <is>
          <t>0                      E  0185610B  2           1963</t>
        </is>
      </c>
      <c r="D878" t="inlineStr">
        <is>
          <t>Notes of a native son.</t>
        </is>
      </c>
      <c r="F878" t="inlineStr">
        <is>
          <t>No</t>
        </is>
      </c>
      <c r="G878" t="inlineStr">
        <is>
          <t>1</t>
        </is>
      </c>
      <c r="H878" t="inlineStr">
        <is>
          <t>No</t>
        </is>
      </c>
      <c r="I878" t="inlineStr">
        <is>
          <t>Yes</t>
        </is>
      </c>
      <c r="J878" t="inlineStr">
        <is>
          <t>0</t>
        </is>
      </c>
      <c r="K878" t="inlineStr">
        <is>
          <t>Baldwin, James, 1924-1987.</t>
        </is>
      </c>
      <c r="L878" t="inlineStr">
        <is>
          <t>New York : Dial Press, 1963 [c1955]</t>
        </is>
      </c>
      <c r="M878" t="inlineStr">
        <is>
          <t>1963</t>
        </is>
      </c>
      <c r="O878" t="inlineStr">
        <is>
          <t>eng</t>
        </is>
      </c>
      <c r="P878" t="inlineStr">
        <is>
          <t>nyu</t>
        </is>
      </c>
      <c r="R878" t="inlineStr">
        <is>
          <t xml:space="preserve">E  </t>
        </is>
      </c>
      <c r="S878" t="n">
        <v>6</v>
      </c>
      <c r="T878" t="n">
        <v>6</v>
      </c>
      <c r="U878" t="inlineStr">
        <is>
          <t>2002-05-09</t>
        </is>
      </c>
      <c r="V878" t="inlineStr">
        <is>
          <t>2002-05-09</t>
        </is>
      </c>
      <c r="W878" t="inlineStr">
        <is>
          <t>1990-04-02</t>
        </is>
      </c>
      <c r="X878" t="inlineStr">
        <is>
          <t>1990-04-02</t>
        </is>
      </c>
      <c r="Y878" t="n">
        <v>768</v>
      </c>
      <c r="Z878" t="n">
        <v>725</v>
      </c>
      <c r="AA878" t="n">
        <v>2770</v>
      </c>
      <c r="AB878" t="n">
        <v>6</v>
      </c>
      <c r="AC878" t="n">
        <v>27</v>
      </c>
      <c r="AD878" t="n">
        <v>24</v>
      </c>
      <c r="AE878" t="n">
        <v>65</v>
      </c>
      <c r="AF878" t="n">
        <v>13</v>
      </c>
      <c r="AG878" t="n">
        <v>26</v>
      </c>
      <c r="AH878" t="n">
        <v>3</v>
      </c>
      <c r="AI878" t="n">
        <v>9</v>
      </c>
      <c r="AJ878" t="n">
        <v>9</v>
      </c>
      <c r="AK878" t="n">
        <v>26</v>
      </c>
      <c r="AL878" t="n">
        <v>4</v>
      </c>
      <c r="AM878" t="n">
        <v>17</v>
      </c>
      <c r="AN878" t="n">
        <v>0</v>
      </c>
      <c r="AO878" t="n">
        <v>0</v>
      </c>
      <c r="AP878" t="inlineStr">
        <is>
          <t>No</t>
        </is>
      </c>
      <c r="AQ878" t="inlineStr">
        <is>
          <t>Yes</t>
        </is>
      </c>
      <c r="AR878">
        <f>HYPERLINK("http://catalog.hathitrust.org/Record/000338096","HathiTrust Record")</f>
        <v/>
      </c>
      <c r="AS878">
        <f>HYPERLINK("https://creighton-primo.hosted.exlibrisgroup.com/primo-explore/search?tab=default_tab&amp;search_scope=EVERYTHING&amp;vid=01CRU&amp;lang=en_US&amp;offset=0&amp;query=any,contains,991002858459702656","Catalog Record")</f>
        <v/>
      </c>
      <c r="AT878">
        <f>HYPERLINK("http://www.worldcat.org/oclc/491597","WorldCat Record")</f>
        <v/>
      </c>
      <c r="AU878" t="inlineStr">
        <is>
          <t>20322659:eng</t>
        </is>
      </c>
      <c r="AV878" t="inlineStr">
        <is>
          <t>491597</t>
        </is>
      </c>
      <c r="AW878" t="inlineStr">
        <is>
          <t>991002858459702656</t>
        </is>
      </c>
      <c r="AX878" t="inlineStr">
        <is>
          <t>991002858459702656</t>
        </is>
      </c>
      <c r="AY878" t="inlineStr">
        <is>
          <t>2259615380002656</t>
        </is>
      </c>
      <c r="AZ878" t="inlineStr">
        <is>
          <t>BOOK</t>
        </is>
      </c>
      <c r="BC878" t="inlineStr">
        <is>
          <t>32285000100585</t>
        </is>
      </c>
      <c r="BD878" t="inlineStr">
        <is>
          <t>893710765</t>
        </is>
      </c>
    </row>
    <row r="879">
      <c r="A879" t="inlineStr">
        <is>
          <t>No</t>
        </is>
      </c>
      <c r="B879" t="inlineStr">
        <is>
          <t>E188 .A572</t>
        </is>
      </c>
      <c r="C879" t="inlineStr">
        <is>
          <t>0                      E  0188000A  572</t>
        </is>
      </c>
      <c r="D879" t="inlineStr">
        <is>
          <t>The colonial period of American history, by Charles M. Andrews.</t>
        </is>
      </c>
      <c r="E879" t="inlineStr">
        <is>
          <t>V.2</t>
        </is>
      </c>
      <c r="F879" t="inlineStr">
        <is>
          <t>Yes</t>
        </is>
      </c>
      <c r="G879" t="inlineStr">
        <is>
          <t>1</t>
        </is>
      </c>
      <c r="H879" t="inlineStr">
        <is>
          <t>No</t>
        </is>
      </c>
      <c r="I879" t="inlineStr">
        <is>
          <t>No</t>
        </is>
      </c>
      <c r="J879" t="inlineStr">
        <is>
          <t>0</t>
        </is>
      </c>
      <c r="K879" t="inlineStr">
        <is>
          <t>Andrews, Charles McLean, 1863-1943.</t>
        </is>
      </c>
      <c r="L879" t="inlineStr">
        <is>
          <t>New Haven, Yale University Press ; London, H. Milford, Oxford University Press, 1934-1938.</t>
        </is>
      </c>
      <c r="M879" t="inlineStr">
        <is>
          <t>1934</t>
        </is>
      </c>
      <c r="O879" t="inlineStr">
        <is>
          <t>eng</t>
        </is>
      </c>
      <c r="P879" t="inlineStr">
        <is>
          <t>ctu</t>
        </is>
      </c>
      <c r="R879" t="inlineStr">
        <is>
          <t xml:space="preserve">E  </t>
        </is>
      </c>
      <c r="S879" t="n">
        <v>0</v>
      </c>
      <c r="T879" t="n">
        <v>2</v>
      </c>
      <c r="V879" t="inlineStr">
        <is>
          <t>1998-09-30</t>
        </is>
      </c>
      <c r="W879" t="inlineStr">
        <is>
          <t>1997-05-05</t>
        </is>
      </c>
      <c r="X879" t="inlineStr">
        <is>
          <t>1997-05-05</t>
        </is>
      </c>
      <c r="Y879" t="n">
        <v>1416</v>
      </c>
      <c r="Z879" t="n">
        <v>1317</v>
      </c>
      <c r="AA879" t="n">
        <v>2017</v>
      </c>
      <c r="AB879" t="n">
        <v>13</v>
      </c>
      <c r="AC879" t="n">
        <v>17</v>
      </c>
      <c r="AD879" t="n">
        <v>52</v>
      </c>
      <c r="AE879" t="n">
        <v>65</v>
      </c>
      <c r="AF879" t="n">
        <v>22</v>
      </c>
      <c r="AG879" t="n">
        <v>26</v>
      </c>
      <c r="AH879" t="n">
        <v>8</v>
      </c>
      <c r="AI879" t="n">
        <v>11</v>
      </c>
      <c r="AJ879" t="n">
        <v>20</v>
      </c>
      <c r="AK879" t="n">
        <v>24</v>
      </c>
      <c r="AL879" t="n">
        <v>11</v>
      </c>
      <c r="AM879" t="n">
        <v>14</v>
      </c>
      <c r="AN879" t="n">
        <v>3</v>
      </c>
      <c r="AO879" t="n">
        <v>4</v>
      </c>
      <c r="AP879" t="inlineStr">
        <is>
          <t>Yes</t>
        </is>
      </c>
      <c r="AQ879" t="inlineStr">
        <is>
          <t>Yes</t>
        </is>
      </c>
      <c r="AR879">
        <f>HYPERLINK("http://catalog.hathitrust.org/Record/000361615","HathiTrust Record")</f>
        <v/>
      </c>
      <c r="AS879">
        <f>HYPERLINK("https://creighton-primo.hosted.exlibrisgroup.com/primo-explore/search?tab=default_tab&amp;search_scope=EVERYTHING&amp;vid=01CRU&amp;lang=en_US&amp;offset=0&amp;query=any,contains,991001940889702656","Catalog Record")</f>
        <v/>
      </c>
      <c r="AT879">
        <f>HYPERLINK("http://www.worldcat.org/oclc/1284717","WorldCat Record")</f>
        <v/>
      </c>
      <c r="AU879" t="inlineStr">
        <is>
          <t>4417326822:eng</t>
        </is>
      </c>
      <c r="AV879" t="inlineStr">
        <is>
          <t>1284717</t>
        </is>
      </c>
      <c r="AW879" t="inlineStr">
        <is>
          <t>991001940889702656</t>
        </is>
      </c>
      <c r="AX879" t="inlineStr">
        <is>
          <t>991001940889702656</t>
        </is>
      </c>
      <c r="AY879" t="inlineStr">
        <is>
          <t>2262059710002656</t>
        </is>
      </c>
      <c r="AZ879" t="inlineStr">
        <is>
          <t>BOOK</t>
        </is>
      </c>
      <c r="BC879" t="inlineStr">
        <is>
          <t>32285002572690</t>
        </is>
      </c>
      <c r="BD879" t="inlineStr">
        <is>
          <t>893322380</t>
        </is>
      </c>
    </row>
    <row r="880">
      <c r="A880" t="inlineStr">
        <is>
          <t>No</t>
        </is>
      </c>
      <c r="B880" t="inlineStr">
        <is>
          <t>E188 .A572</t>
        </is>
      </c>
      <c r="C880" t="inlineStr">
        <is>
          <t>0                      E  0188000A  572</t>
        </is>
      </c>
      <c r="D880" t="inlineStr">
        <is>
          <t>The colonial period of American history, by Charles M. Andrews.</t>
        </is>
      </c>
      <c r="E880" t="inlineStr">
        <is>
          <t>V.1</t>
        </is>
      </c>
      <c r="F880" t="inlineStr">
        <is>
          <t>Yes</t>
        </is>
      </c>
      <c r="G880" t="inlineStr">
        <is>
          <t>1</t>
        </is>
      </c>
      <c r="H880" t="inlineStr">
        <is>
          <t>No</t>
        </is>
      </c>
      <c r="I880" t="inlineStr">
        <is>
          <t>No</t>
        </is>
      </c>
      <c r="J880" t="inlineStr">
        <is>
          <t>0</t>
        </is>
      </c>
      <c r="K880" t="inlineStr">
        <is>
          <t>Andrews, Charles McLean, 1863-1943.</t>
        </is>
      </c>
      <c r="L880" t="inlineStr">
        <is>
          <t>New Haven, Yale University Press ; London, H. Milford, Oxford University Press, 1934-1938.</t>
        </is>
      </c>
      <c r="M880" t="inlineStr">
        <is>
          <t>1934</t>
        </is>
      </c>
      <c r="O880" t="inlineStr">
        <is>
          <t>eng</t>
        </is>
      </c>
      <c r="P880" t="inlineStr">
        <is>
          <t>ctu</t>
        </is>
      </c>
      <c r="R880" t="inlineStr">
        <is>
          <t xml:space="preserve">E  </t>
        </is>
      </c>
      <c r="S880" t="n">
        <v>2</v>
      </c>
      <c r="T880" t="n">
        <v>2</v>
      </c>
      <c r="U880" t="inlineStr">
        <is>
          <t>1998-09-30</t>
        </is>
      </c>
      <c r="V880" t="inlineStr">
        <is>
          <t>1998-09-30</t>
        </is>
      </c>
      <c r="W880" t="inlineStr">
        <is>
          <t>1997-05-05</t>
        </is>
      </c>
      <c r="X880" t="inlineStr">
        <is>
          <t>1997-05-05</t>
        </is>
      </c>
      <c r="Y880" t="n">
        <v>1416</v>
      </c>
      <c r="Z880" t="n">
        <v>1317</v>
      </c>
      <c r="AA880" t="n">
        <v>2017</v>
      </c>
      <c r="AB880" t="n">
        <v>13</v>
      </c>
      <c r="AC880" t="n">
        <v>17</v>
      </c>
      <c r="AD880" t="n">
        <v>52</v>
      </c>
      <c r="AE880" t="n">
        <v>65</v>
      </c>
      <c r="AF880" t="n">
        <v>22</v>
      </c>
      <c r="AG880" t="n">
        <v>26</v>
      </c>
      <c r="AH880" t="n">
        <v>8</v>
      </c>
      <c r="AI880" t="n">
        <v>11</v>
      </c>
      <c r="AJ880" t="n">
        <v>20</v>
      </c>
      <c r="AK880" t="n">
        <v>24</v>
      </c>
      <c r="AL880" t="n">
        <v>11</v>
      </c>
      <c r="AM880" t="n">
        <v>14</v>
      </c>
      <c r="AN880" t="n">
        <v>3</v>
      </c>
      <c r="AO880" t="n">
        <v>4</v>
      </c>
      <c r="AP880" t="inlineStr">
        <is>
          <t>Yes</t>
        </is>
      </c>
      <c r="AQ880" t="inlineStr">
        <is>
          <t>Yes</t>
        </is>
      </c>
      <c r="AR880">
        <f>HYPERLINK("http://catalog.hathitrust.org/Record/000361615","HathiTrust Record")</f>
        <v/>
      </c>
      <c r="AS880">
        <f>HYPERLINK("https://creighton-primo.hosted.exlibrisgroup.com/primo-explore/search?tab=default_tab&amp;search_scope=EVERYTHING&amp;vid=01CRU&amp;lang=en_US&amp;offset=0&amp;query=any,contains,991001940889702656","Catalog Record")</f>
        <v/>
      </c>
      <c r="AT880">
        <f>HYPERLINK("http://www.worldcat.org/oclc/1284717","WorldCat Record")</f>
        <v/>
      </c>
      <c r="AU880" t="inlineStr">
        <is>
          <t>4417326822:eng</t>
        </is>
      </c>
      <c r="AV880" t="inlineStr">
        <is>
          <t>1284717</t>
        </is>
      </c>
      <c r="AW880" t="inlineStr">
        <is>
          <t>991001940889702656</t>
        </is>
      </c>
      <c r="AX880" t="inlineStr">
        <is>
          <t>991001940889702656</t>
        </is>
      </c>
      <c r="AY880" t="inlineStr">
        <is>
          <t>2262059710002656</t>
        </is>
      </c>
      <c r="AZ880" t="inlineStr">
        <is>
          <t>BOOK</t>
        </is>
      </c>
      <c r="BC880" t="inlineStr">
        <is>
          <t>32285002572682</t>
        </is>
      </c>
      <c r="BD880" t="inlineStr">
        <is>
          <t>893352073</t>
        </is>
      </c>
    </row>
    <row r="881">
      <c r="A881" t="inlineStr">
        <is>
          <t>No</t>
        </is>
      </c>
      <c r="B881" t="inlineStr">
        <is>
          <t>E188 .A572</t>
        </is>
      </c>
      <c r="C881" t="inlineStr">
        <is>
          <t>0                      E  0188000A  572</t>
        </is>
      </c>
      <c r="D881" t="inlineStr">
        <is>
          <t>The colonial period of American history, by Charles M. Andrews.</t>
        </is>
      </c>
      <c r="E881" t="inlineStr">
        <is>
          <t>V.4</t>
        </is>
      </c>
      <c r="F881" t="inlineStr">
        <is>
          <t>Yes</t>
        </is>
      </c>
      <c r="G881" t="inlineStr">
        <is>
          <t>1</t>
        </is>
      </c>
      <c r="H881" t="inlineStr">
        <is>
          <t>No</t>
        </is>
      </c>
      <c r="I881" t="inlineStr">
        <is>
          <t>No</t>
        </is>
      </c>
      <c r="J881" t="inlineStr">
        <is>
          <t>0</t>
        </is>
      </c>
      <c r="K881" t="inlineStr">
        <is>
          <t>Andrews, Charles McLean, 1863-1943.</t>
        </is>
      </c>
      <c r="L881" t="inlineStr">
        <is>
          <t>New Haven, Yale University Press ; London, H. Milford, Oxford University Press, 1934-1938.</t>
        </is>
      </c>
      <c r="M881" t="inlineStr">
        <is>
          <t>1934</t>
        </is>
      </c>
      <c r="O881" t="inlineStr">
        <is>
          <t>eng</t>
        </is>
      </c>
      <c r="P881" t="inlineStr">
        <is>
          <t>ctu</t>
        </is>
      </c>
      <c r="R881" t="inlineStr">
        <is>
          <t xml:space="preserve">E  </t>
        </is>
      </c>
      <c r="S881" t="n">
        <v>0</v>
      </c>
      <c r="T881" t="n">
        <v>2</v>
      </c>
      <c r="V881" t="inlineStr">
        <is>
          <t>1998-09-30</t>
        </is>
      </c>
      <c r="W881" t="inlineStr">
        <is>
          <t>1997-05-05</t>
        </is>
      </c>
      <c r="X881" t="inlineStr">
        <is>
          <t>1997-05-05</t>
        </is>
      </c>
      <c r="Y881" t="n">
        <v>1416</v>
      </c>
      <c r="Z881" t="n">
        <v>1317</v>
      </c>
      <c r="AA881" t="n">
        <v>2017</v>
      </c>
      <c r="AB881" t="n">
        <v>13</v>
      </c>
      <c r="AC881" t="n">
        <v>17</v>
      </c>
      <c r="AD881" t="n">
        <v>52</v>
      </c>
      <c r="AE881" t="n">
        <v>65</v>
      </c>
      <c r="AF881" t="n">
        <v>22</v>
      </c>
      <c r="AG881" t="n">
        <v>26</v>
      </c>
      <c r="AH881" t="n">
        <v>8</v>
      </c>
      <c r="AI881" t="n">
        <v>11</v>
      </c>
      <c r="AJ881" t="n">
        <v>20</v>
      </c>
      <c r="AK881" t="n">
        <v>24</v>
      </c>
      <c r="AL881" t="n">
        <v>11</v>
      </c>
      <c r="AM881" t="n">
        <v>14</v>
      </c>
      <c r="AN881" t="n">
        <v>3</v>
      </c>
      <c r="AO881" t="n">
        <v>4</v>
      </c>
      <c r="AP881" t="inlineStr">
        <is>
          <t>Yes</t>
        </is>
      </c>
      <c r="AQ881" t="inlineStr">
        <is>
          <t>Yes</t>
        </is>
      </c>
      <c r="AR881">
        <f>HYPERLINK("http://catalog.hathitrust.org/Record/000361615","HathiTrust Record")</f>
        <v/>
      </c>
      <c r="AS881">
        <f>HYPERLINK("https://creighton-primo.hosted.exlibrisgroup.com/primo-explore/search?tab=default_tab&amp;search_scope=EVERYTHING&amp;vid=01CRU&amp;lang=en_US&amp;offset=0&amp;query=any,contains,991001940889702656","Catalog Record")</f>
        <v/>
      </c>
      <c r="AT881">
        <f>HYPERLINK("http://www.worldcat.org/oclc/1284717","WorldCat Record")</f>
        <v/>
      </c>
      <c r="AU881" t="inlineStr">
        <is>
          <t>4417326822:eng</t>
        </is>
      </c>
      <c r="AV881" t="inlineStr">
        <is>
          <t>1284717</t>
        </is>
      </c>
      <c r="AW881" t="inlineStr">
        <is>
          <t>991001940889702656</t>
        </is>
      </c>
      <c r="AX881" t="inlineStr">
        <is>
          <t>991001940889702656</t>
        </is>
      </c>
      <c r="AY881" t="inlineStr">
        <is>
          <t>2262059710002656</t>
        </is>
      </c>
      <c r="AZ881" t="inlineStr">
        <is>
          <t>BOOK</t>
        </is>
      </c>
      <c r="BC881" t="inlineStr">
        <is>
          <t>32285002572716</t>
        </is>
      </c>
      <c r="BD881" t="inlineStr">
        <is>
          <t>893334743</t>
        </is>
      </c>
    </row>
    <row r="882">
      <c r="A882" t="inlineStr">
        <is>
          <t>No</t>
        </is>
      </c>
      <c r="B882" t="inlineStr">
        <is>
          <t>E188 .A572</t>
        </is>
      </c>
      <c r="C882" t="inlineStr">
        <is>
          <t>0                      E  0188000A  572</t>
        </is>
      </c>
      <c r="D882" t="inlineStr">
        <is>
          <t>The colonial period of American history, by Charles M. Andrews.</t>
        </is>
      </c>
      <c r="E882" t="inlineStr">
        <is>
          <t>V.3</t>
        </is>
      </c>
      <c r="F882" t="inlineStr">
        <is>
          <t>Yes</t>
        </is>
      </c>
      <c r="G882" t="inlineStr">
        <is>
          <t>1</t>
        </is>
      </c>
      <c r="H882" t="inlineStr">
        <is>
          <t>No</t>
        </is>
      </c>
      <c r="I882" t="inlineStr">
        <is>
          <t>No</t>
        </is>
      </c>
      <c r="J882" t="inlineStr">
        <is>
          <t>0</t>
        </is>
      </c>
      <c r="K882" t="inlineStr">
        <is>
          <t>Andrews, Charles McLean, 1863-1943.</t>
        </is>
      </c>
      <c r="L882" t="inlineStr">
        <is>
          <t>New Haven, Yale University Press ; London, H. Milford, Oxford University Press, 1934-1938.</t>
        </is>
      </c>
      <c r="M882" t="inlineStr">
        <is>
          <t>1934</t>
        </is>
      </c>
      <c r="O882" t="inlineStr">
        <is>
          <t>eng</t>
        </is>
      </c>
      <c r="P882" t="inlineStr">
        <is>
          <t>ctu</t>
        </is>
      </c>
      <c r="R882" t="inlineStr">
        <is>
          <t xml:space="preserve">E  </t>
        </is>
      </c>
      <c r="S882" t="n">
        <v>0</v>
      </c>
      <c r="T882" t="n">
        <v>2</v>
      </c>
      <c r="V882" t="inlineStr">
        <is>
          <t>1998-09-30</t>
        </is>
      </c>
      <c r="W882" t="inlineStr">
        <is>
          <t>1997-05-05</t>
        </is>
      </c>
      <c r="X882" t="inlineStr">
        <is>
          <t>1997-05-05</t>
        </is>
      </c>
      <c r="Y882" t="n">
        <v>1416</v>
      </c>
      <c r="Z882" t="n">
        <v>1317</v>
      </c>
      <c r="AA882" t="n">
        <v>2017</v>
      </c>
      <c r="AB882" t="n">
        <v>13</v>
      </c>
      <c r="AC882" t="n">
        <v>17</v>
      </c>
      <c r="AD882" t="n">
        <v>52</v>
      </c>
      <c r="AE882" t="n">
        <v>65</v>
      </c>
      <c r="AF882" t="n">
        <v>22</v>
      </c>
      <c r="AG882" t="n">
        <v>26</v>
      </c>
      <c r="AH882" t="n">
        <v>8</v>
      </c>
      <c r="AI882" t="n">
        <v>11</v>
      </c>
      <c r="AJ882" t="n">
        <v>20</v>
      </c>
      <c r="AK882" t="n">
        <v>24</v>
      </c>
      <c r="AL882" t="n">
        <v>11</v>
      </c>
      <c r="AM882" t="n">
        <v>14</v>
      </c>
      <c r="AN882" t="n">
        <v>3</v>
      </c>
      <c r="AO882" t="n">
        <v>4</v>
      </c>
      <c r="AP882" t="inlineStr">
        <is>
          <t>Yes</t>
        </is>
      </c>
      <c r="AQ882" t="inlineStr">
        <is>
          <t>Yes</t>
        </is>
      </c>
      <c r="AR882">
        <f>HYPERLINK("http://catalog.hathitrust.org/Record/000361615","HathiTrust Record")</f>
        <v/>
      </c>
      <c r="AS882">
        <f>HYPERLINK("https://creighton-primo.hosted.exlibrisgroup.com/primo-explore/search?tab=default_tab&amp;search_scope=EVERYTHING&amp;vid=01CRU&amp;lang=en_US&amp;offset=0&amp;query=any,contains,991001940889702656","Catalog Record")</f>
        <v/>
      </c>
      <c r="AT882">
        <f>HYPERLINK("http://www.worldcat.org/oclc/1284717","WorldCat Record")</f>
        <v/>
      </c>
      <c r="AU882" t="inlineStr">
        <is>
          <t>4417326822:eng</t>
        </is>
      </c>
      <c r="AV882" t="inlineStr">
        <is>
          <t>1284717</t>
        </is>
      </c>
      <c r="AW882" t="inlineStr">
        <is>
          <t>991001940889702656</t>
        </is>
      </c>
      <c r="AX882" t="inlineStr">
        <is>
          <t>991001940889702656</t>
        </is>
      </c>
      <c r="AY882" t="inlineStr">
        <is>
          <t>2262059710002656</t>
        </is>
      </c>
      <c r="AZ882" t="inlineStr">
        <is>
          <t>BOOK</t>
        </is>
      </c>
      <c r="BC882" t="inlineStr">
        <is>
          <t>32285002572708</t>
        </is>
      </c>
      <c r="BD882" t="inlineStr">
        <is>
          <t>893346923</t>
        </is>
      </c>
    </row>
    <row r="883">
      <c r="A883" t="inlineStr">
        <is>
          <t>No</t>
        </is>
      </c>
      <c r="B883" t="inlineStr">
        <is>
          <t>E188 .C19</t>
        </is>
      </c>
      <c r="C883" t="inlineStr">
        <is>
          <t>0                      E  0188000C  19</t>
        </is>
      </c>
      <c r="D883" t="inlineStr">
        <is>
          <t>The Puritan in Holland, England, and America : an introduction to American history / by Douglas Campbell.</t>
        </is>
      </c>
      <c r="E883" t="inlineStr">
        <is>
          <t>V.1</t>
        </is>
      </c>
      <c r="F883" t="inlineStr">
        <is>
          <t>Yes</t>
        </is>
      </c>
      <c r="G883" t="inlineStr">
        <is>
          <t>1</t>
        </is>
      </c>
      <c r="H883" t="inlineStr">
        <is>
          <t>No</t>
        </is>
      </c>
      <c r="I883" t="inlineStr">
        <is>
          <t>No</t>
        </is>
      </c>
      <c r="J883" t="inlineStr">
        <is>
          <t>0</t>
        </is>
      </c>
      <c r="K883" t="inlineStr">
        <is>
          <t>Campbell, Douglas, 1839-1893.</t>
        </is>
      </c>
      <c r="L883" t="inlineStr">
        <is>
          <t>New York, Harper, 1892.</t>
        </is>
      </c>
      <c r="M883" t="inlineStr">
        <is>
          <t>1892</t>
        </is>
      </c>
      <c r="O883" t="inlineStr">
        <is>
          <t>eng</t>
        </is>
      </c>
      <c r="P883" t="inlineStr">
        <is>
          <t xml:space="preserve">xx </t>
        </is>
      </c>
      <c r="R883" t="inlineStr">
        <is>
          <t xml:space="preserve">E  </t>
        </is>
      </c>
      <c r="S883" t="n">
        <v>5</v>
      </c>
      <c r="T883" t="n">
        <v>12</v>
      </c>
      <c r="U883" t="inlineStr">
        <is>
          <t>2003-10-06</t>
        </is>
      </c>
      <c r="V883" t="inlineStr">
        <is>
          <t>2003-10-06</t>
        </is>
      </c>
      <c r="W883" t="inlineStr">
        <is>
          <t>1996-08-19</t>
        </is>
      </c>
      <c r="X883" t="inlineStr">
        <is>
          <t>1996-08-19</t>
        </is>
      </c>
      <c r="Y883" t="n">
        <v>357</v>
      </c>
      <c r="Z883" t="n">
        <v>327</v>
      </c>
      <c r="AA883" t="n">
        <v>799</v>
      </c>
      <c r="AB883" t="n">
        <v>2</v>
      </c>
      <c r="AC883" t="n">
        <v>7</v>
      </c>
      <c r="AD883" t="n">
        <v>13</v>
      </c>
      <c r="AE883" t="n">
        <v>39</v>
      </c>
      <c r="AF883" t="n">
        <v>5</v>
      </c>
      <c r="AG883" t="n">
        <v>18</v>
      </c>
      <c r="AH883" t="n">
        <v>4</v>
      </c>
      <c r="AI883" t="n">
        <v>8</v>
      </c>
      <c r="AJ883" t="n">
        <v>7</v>
      </c>
      <c r="AK883" t="n">
        <v>19</v>
      </c>
      <c r="AL883" t="n">
        <v>1</v>
      </c>
      <c r="AM883" t="n">
        <v>6</v>
      </c>
      <c r="AN883" t="n">
        <v>0</v>
      </c>
      <c r="AO883" t="n">
        <v>0</v>
      </c>
      <c r="AP883" t="inlineStr">
        <is>
          <t>Yes</t>
        </is>
      </c>
      <c r="AQ883" t="inlineStr">
        <is>
          <t>No</t>
        </is>
      </c>
      <c r="AR883">
        <f>HYPERLINK("http://catalog.hathitrust.org/Record/000361416","HathiTrust Record")</f>
        <v/>
      </c>
      <c r="AS883">
        <f>HYPERLINK("https://creighton-primo.hosted.exlibrisgroup.com/primo-explore/search?tab=default_tab&amp;search_scope=EVERYTHING&amp;vid=01CRU&amp;lang=en_US&amp;offset=0&amp;query=any,contains,991003603399702656","Catalog Record")</f>
        <v/>
      </c>
      <c r="AT883">
        <f>HYPERLINK("http://www.worldcat.org/oclc/1182597","WorldCat Record")</f>
        <v/>
      </c>
      <c r="AU883" t="inlineStr">
        <is>
          <t>1490739:eng</t>
        </is>
      </c>
      <c r="AV883" t="inlineStr">
        <is>
          <t>1182597</t>
        </is>
      </c>
      <c r="AW883" t="inlineStr">
        <is>
          <t>991003603399702656</t>
        </is>
      </c>
      <c r="AX883" t="inlineStr">
        <is>
          <t>991003603399702656</t>
        </is>
      </c>
      <c r="AY883" t="inlineStr">
        <is>
          <t>2265280590002656</t>
        </is>
      </c>
      <c r="AZ883" t="inlineStr">
        <is>
          <t>BOOK</t>
        </is>
      </c>
      <c r="BC883" t="inlineStr">
        <is>
          <t>32285002281292</t>
        </is>
      </c>
      <c r="BD883" t="inlineStr">
        <is>
          <t>893793798</t>
        </is>
      </c>
    </row>
    <row r="884">
      <c r="A884" t="inlineStr">
        <is>
          <t>No</t>
        </is>
      </c>
      <c r="B884" t="inlineStr">
        <is>
          <t>E188 .C19</t>
        </is>
      </c>
      <c r="C884" t="inlineStr">
        <is>
          <t>0                      E  0188000C  19</t>
        </is>
      </c>
      <c r="D884" t="inlineStr">
        <is>
          <t>The Puritan in Holland, England, and America : an introduction to American history / by Douglas Campbell.</t>
        </is>
      </c>
      <c r="E884" t="inlineStr">
        <is>
          <t>V.2</t>
        </is>
      </c>
      <c r="F884" t="inlineStr">
        <is>
          <t>Yes</t>
        </is>
      </c>
      <c r="G884" t="inlineStr">
        <is>
          <t>1</t>
        </is>
      </c>
      <c r="H884" t="inlineStr">
        <is>
          <t>No</t>
        </is>
      </c>
      <c r="I884" t="inlineStr">
        <is>
          <t>No</t>
        </is>
      </c>
      <c r="J884" t="inlineStr">
        <is>
          <t>0</t>
        </is>
      </c>
      <c r="K884" t="inlineStr">
        <is>
          <t>Campbell, Douglas, 1839-1893.</t>
        </is>
      </c>
      <c r="L884" t="inlineStr">
        <is>
          <t>New York, Harper, 1892.</t>
        </is>
      </c>
      <c r="M884" t="inlineStr">
        <is>
          <t>1892</t>
        </is>
      </c>
      <c r="O884" t="inlineStr">
        <is>
          <t>eng</t>
        </is>
      </c>
      <c r="P884" t="inlineStr">
        <is>
          <t xml:space="preserve">xx </t>
        </is>
      </c>
      <c r="R884" t="inlineStr">
        <is>
          <t xml:space="preserve">E  </t>
        </is>
      </c>
      <c r="S884" t="n">
        <v>7</v>
      </c>
      <c r="T884" t="n">
        <v>12</v>
      </c>
      <c r="U884" t="inlineStr">
        <is>
          <t>1998-01-28</t>
        </is>
      </c>
      <c r="V884" t="inlineStr">
        <is>
          <t>2003-10-06</t>
        </is>
      </c>
      <c r="W884" t="inlineStr">
        <is>
          <t>1996-08-19</t>
        </is>
      </c>
      <c r="X884" t="inlineStr">
        <is>
          <t>1996-08-19</t>
        </is>
      </c>
      <c r="Y884" t="n">
        <v>357</v>
      </c>
      <c r="Z884" t="n">
        <v>327</v>
      </c>
      <c r="AA884" t="n">
        <v>799</v>
      </c>
      <c r="AB884" t="n">
        <v>2</v>
      </c>
      <c r="AC884" t="n">
        <v>7</v>
      </c>
      <c r="AD884" t="n">
        <v>13</v>
      </c>
      <c r="AE884" t="n">
        <v>39</v>
      </c>
      <c r="AF884" t="n">
        <v>5</v>
      </c>
      <c r="AG884" t="n">
        <v>18</v>
      </c>
      <c r="AH884" t="n">
        <v>4</v>
      </c>
      <c r="AI884" t="n">
        <v>8</v>
      </c>
      <c r="AJ884" t="n">
        <v>7</v>
      </c>
      <c r="AK884" t="n">
        <v>19</v>
      </c>
      <c r="AL884" t="n">
        <v>1</v>
      </c>
      <c r="AM884" t="n">
        <v>6</v>
      </c>
      <c r="AN884" t="n">
        <v>0</v>
      </c>
      <c r="AO884" t="n">
        <v>0</v>
      </c>
      <c r="AP884" t="inlineStr">
        <is>
          <t>Yes</t>
        </is>
      </c>
      <c r="AQ884" t="inlineStr">
        <is>
          <t>No</t>
        </is>
      </c>
      <c r="AR884">
        <f>HYPERLINK("http://catalog.hathitrust.org/Record/000361416","HathiTrust Record")</f>
        <v/>
      </c>
      <c r="AS884">
        <f>HYPERLINK("https://creighton-primo.hosted.exlibrisgroup.com/primo-explore/search?tab=default_tab&amp;search_scope=EVERYTHING&amp;vid=01CRU&amp;lang=en_US&amp;offset=0&amp;query=any,contains,991003603399702656","Catalog Record")</f>
        <v/>
      </c>
      <c r="AT884">
        <f>HYPERLINK("http://www.worldcat.org/oclc/1182597","WorldCat Record")</f>
        <v/>
      </c>
      <c r="AU884" t="inlineStr">
        <is>
          <t>1490739:eng</t>
        </is>
      </c>
      <c r="AV884" t="inlineStr">
        <is>
          <t>1182597</t>
        </is>
      </c>
      <c r="AW884" t="inlineStr">
        <is>
          <t>991003603399702656</t>
        </is>
      </c>
      <c r="AX884" t="inlineStr">
        <is>
          <t>991003603399702656</t>
        </is>
      </c>
      <c r="AY884" t="inlineStr">
        <is>
          <t>2265280590002656</t>
        </is>
      </c>
      <c r="AZ884" t="inlineStr">
        <is>
          <t>BOOK</t>
        </is>
      </c>
      <c r="BC884" t="inlineStr">
        <is>
          <t>32285002281300</t>
        </is>
      </c>
      <c r="BD884" t="inlineStr">
        <is>
          <t>893781174</t>
        </is>
      </c>
    </row>
    <row r="885">
      <c r="A885" t="inlineStr">
        <is>
          <t>No</t>
        </is>
      </c>
      <c r="B885" t="inlineStr">
        <is>
          <t>E188 .C33</t>
        </is>
      </c>
      <c r="C885" t="inlineStr">
        <is>
          <t>0                      E  0188000C  33</t>
        </is>
      </c>
      <c r="D885" t="inlineStr">
        <is>
          <t>The bold and magnificent dream : America's founding years, 1492-1815 / by Bruce Catton and William B. Catton.</t>
        </is>
      </c>
      <c r="F885" t="inlineStr">
        <is>
          <t>No</t>
        </is>
      </c>
      <c r="G885" t="inlineStr">
        <is>
          <t>1</t>
        </is>
      </c>
      <c r="H885" t="inlineStr">
        <is>
          <t>No</t>
        </is>
      </c>
      <c r="I885" t="inlineStr">
        <is>
          <t>No</t>
        </is>
      </c>
      <c r="J885" t="inlineStr">
        <is>
          <t>0</t>
        </is>
      </c>
      <c r="K885" t="inlineStr">
        <is>
          <t>Catton, Bruce, 1899-1978.</t>
        </is>
      </c>
      <c r="L885" t="inlineStr">
        <is>
          <t>Garden City, N.Y. : Doubleday, 1978.</t>
        </is>
      </c>
      <c r="M885" t="inlineStr">
        <is>
          <t>1978</t>
        </is>
      </c>
      <c r="N885" t="inlineStr">
        <is>
          <t>1st ed.</t>
        </is>
      </c>
      <c r="O885" t="inlineStr">
        <is>
          <t>eng</t>
        </is>
      </c>
      <c r="P885" t="inlineStr">
        <is>
          <t>nyu</t>
        </is>
      </c>
      <c r="Q885" t="inlineStr">
        <is>
          <t>The Doubleday basic history of the United States</t>
        </is>
      </c>
      <c r="R885" t="inlineStr">
        <is>
          <t xml:space="preserve">E  </t>
        </is>
      </c>
      <c r="S885" t="n">
        <v>3</v>
      </c>
      <c r="T885" t="n">
        <v>3</v>
      </c>
      <c r="U885" t="inlineStr">
        <is>
          <t>1997-03-26</t>
        </is>
      </c>
      <c r="V885" t="inlineStr">
        <is>
          <t>1997-03-26</t>
        </is>
      </c>
      <c r="W885" t="inlineStr">
        <is>
          <t>1990-07-27</t>
        </is>
      </c>
      <c r="X885" t="inlineStr">
        <is>
          <t>1990-07-27</t>
        </is>
      </c>
      <c r="Y885" t="n">
        <v>1903</v>
      </c>
      <c r="Z885" t="n">
        <v>1833</v>
      </c>
      <c r="AA885" t="n">
        <v>1985</v>
      </c>
      <c r="AB885" t="n">
        <v>15</v>
      </c>
      <c r="AC885" t="n">
        <v>15</v>
      </c>
      <c r="AD885" t="n">
        <v>37</v>
      </c>
      <c r="AE885" t="n">
        <v>39</v>
      </c>
      <c r="AF885" t="n">
        <v>10</v>
      </c>
      <c r="AG885" t="n">
        <v>10</v>
      </c>
      <c r="AH885" t="n">
        <v>9</v>
      </c>
      <c r="AI885" t="n">
        <v>10</v>
      </c>
      <c r="AJ885" t="n">
        <v>13</v>
      </c>
      <c r="AK885" t="n">
        <v>15</v>
      </c>
      <c r="AL885" t="n">
        <v>10</v>
      </c>
      <c r="AM885" t="n">
        <v>10</v>
      </c>
      <c r="AN885" t="n">
        <v>1</v>
      </c>
      <c r="AO885" t="n">
        <v>1</v>
      </c>
      <c r="AP885" t="inlineStr">
        <is>
          <t>No</t>
        </is>
      </c>
      <c r="AQ885" t="inlineStr">
        <is>
          <t>No</t>
        </is>
      </c>
      <c r="AS885">
        <f>HYPERLINK("https://creighton-primo.hosted.exlibrisgroup.com/primo-explore/search?tab=default_tab&amp;search_scope=EVERYTHING&amp;vid=01CRU&amp;lang=en_US&amp;offset=0&amp;query=any,contains,991004568559702656","Catalog Record")</f>
        <v/>
      </c>
      <c r="AT885">
        <f>HYPERLINK("http://www.worldcat.org/oclc/4005976","WorldCat Record")</f>
        <v/>
      </c>
      <c r="AU885" t="inlineStr">
        <is>
          <t>890518401:eng</t>
        </is>
      </c>
      <c r="AV885" t="inlineStr">
        <is>
          <t>4005976</t>
        </is>
      </c>
      <c r="AW885" t="inlineStr">
        <is>
          <t>991004568559702656</t>
        </is>
      </c>
      <c r="AX885" t="inlineStr">
        <is>
          <t>991004568559702656</t>
        </is>
      </c>
      <c r="AY885" t="inlineStr">
        <is>
          <t>2264394920002656</t>
        </is>
      </c>
      <c r="AZ885" t="inlineStr">
        <is>
          <t>BOOK</t>
        </is>
      </c>
      <c r="BB885" t="inlineStr">
        <is>
          <t>9780385003414</t>
        </is>
      </c>
      <c r="BC885" t="inlineStr">
        <is>
          <t>32285000228436</t>
        </is>
      </c>
      <c r="BD885" t="inlineStr">
        <is>
          <t>893513404</t>
        </is>
      </c>
    </row>
    <row r="886">
      <c r="A886" t="inlineStr">
        <is>
          <t>No</t>
        </is>
      </c>
      <c r="B886" t="inlineStr">
        <is>
          <t>E188 .C55 1994</t>
        </is>
      </c>
      <c r="C886" t="inlineStr">
        <is>
          <t>0                      E  0188000C  55          1994</t>
        </is>
      </c>
      <c r="D886" t="inlineStr">
        <is>
          <t>The language of liberty, 1660-1832 : political discourse and social dynamics in the Anglo-American world / J.C.D. Clark.</t>
        </is>
      </c>
      <c r="F886" t="inlineStr">
        <is>
          <t>No</t>
        </is>
      </c>
      <c r="G886" t="inlineStr">
        <is>
          <t>1</t>
        </is>
      </c>
      <c r="H886" t="inlineStr">
        <is>
          <t>No</t>
        </is>
      </c>
      <c r="I886" t="inlineStr">
        <is>
          <t>No</t>
        </is>
      </c>
      <c r="J886" t="inlineStr">
        <is>
          <t>0</t>
        </is>
      </c>
      <c r="K886" t="inlineStr">
        <is>
          <t>Clark, J. C. D.</t>
        </is>
      </c>
      <c r="L886" t="inlineStr">
        <is>
          <t>Cambridge ; New York : Cambridge University Press, 1994.</t>
        </is>
      </c>
      <c r="M886" t="inlineStr">
        <is>
          <t>1994</t>
        </is>
      </c>
      <c r="O886" t="inlineStr">
        <is>
          <t>eng</t>
        </is>
      </c>
      <c r="P886" t="inlineStr">
        <is>
          <t>enk</t>
        </is>
      </c>
      <c r="R886" t="inlineStr">
        <is>
          <t xml:space="preserve">E  </t>
        </is>
      </c>
      <c r="S886" t="n">
        <v>1</v>
      </c>
      <c r="T886" t="n">
        <v>1</v>
      </c>
      <c r="U886" t="inlineStr">
        <is>
          <t>1998-11-16</t>
        </is>
      </c>
      <c r="V886" t="inlineStr">
        <is>
          <t>1998-11-16</t>
        </is>
      </c>
      <c r="W886" t="inlineStr">
        <is>
          <t>1994-07-12</t>
        </is>
      </c>
      <c r="X886" t="inlineStr">
        <is>
          <t>1994-07-12</t>
        </is>
      </c>
      <c r="Y886" t="n">
        <v>572</v>
      </c>
      <c r="Z886" t="n">
        <v>414</v>
      </c>
      <c r="AA886" t="n">
        <v>430</v>
      </c>
      <c r="AB886" t="n">
        <v>5</v>
      </c>
      <c r="AC886" t="n">
        <v>5</v>
      </c>
      <c r="AD886" t="n">
        <v>27</v>
      </c>
      <c r="AE886" t="n">
        <v>27</v>
      </c>
      <c r="AF886" t="n">
        <v>8</v>
      </c>
      <c r="AG886" t="n">
        <v>8</v>
      </c>
      <c r="AH886" t="n">
        <v>4</v>
      </c>
      <c r="AI886" t="n">
        <v>4</v>
      </c>
      <c r="AJ886" t="n">
        <v>12</v>
      </c>
      <c r="AK886" t="n">
        <v>12</v>
      </c>
      <c r="AL886" t="n">
        <v>4</v>
      </c>
      <c r="AM886" t="n">
        <v>4</v>
      </c>
      <c r="AN886" t="n">
        <v>3</v>
      </c>
      <c r="AO886" t="n">
        <v>3</v>
      </c>
      <c r="AP886" t="inlineStr">
        <is>
          <t>No</t>
        </is>
      </c>
      <c r="AQ886" t="inlineStr">
        <is>
          <t>No</t>
        </is>
      </c>
      <c r="AS886">
        <f>HYPERLINK("https://creighton-primo.hosted.exlibrisgroup.com/primo-explore/search?tab=default_tab&amp;search_scope=EVERYTHING&amp;vid=01CRU&amp;lang=en_US&amp;offset=0&amp;query=any,contains,991002183429702656","Catalog Record")</f>
        <v/>
      </c>
      <c r="AT886">
        <f>HYPERLINK("http://www.worldcat.org/oclc/28113453","WorldCat Record")</f>
        <v/>
      </c>
      <c r="AU886" t="inlineStr">
        <is>
          <t>21015357:eng</t>
        </is>
      </c>
      <c r="AV886" t="inlineStr">
        <is>
          <t>28113453</t>
        </is>
      </c>
      <c r="AW886" t="inlineStr">
        <is>
          <t>991002183429702656</t>
        </is>
      </c>
      <c r="AX886" t="inlineStr">
        <is>
          <t>991002183429702656</t>
        </is>
      </c>
      <c r="AY886" t="inlineStr">
        <is>
          <t>2256348740002656</t>
        </is>
      </c>
      <c r="AZ886" t="inlineStr">
        <is>
          <t>BOOK</t>
        </is>
      </c>
      <c r="BB886" t="inlineStr">
        <is>
          <t>9780521445108</t>
        </is>
      </c>
      <c r="BC886" t="inlineStr">
        <is>
          <t>32285001931566</t>
        </is>
      </c>
      <c r="BD886" t="inlineStr">
        <is>
          <t>893798278</t>
        </is>
      </c>
    </row>
    <row r="887">
      <c r="A887" t="inlineStr">
        <is>
          <t>No</t>
        </is>
      </c>
      <c r="B887" t="inlineStr">
        <is>
          <t>E188 .H56 2003</t>
        </is>
      </c>
      <c r="C887" t="inlineStr">
        <is>
          <t>0                      E  0188000H  56          2003</t>
        </is>
      </c>
      <c r="D887" t="inlineStr">
        <is>
          <t>At the edge of empire : the backcountry in British North America / Eric Hinderaker and Peter C. Mancall.</t>
        </is>
      </c>
      <c r="F887" t="inlineStr">
        <is>
          <t>No</t>
        </is>
      </c>
      <c r="G887" t="inlineStr">
        <is>
          <t>1</t>
        </is>
      </c>
      <c r="H887" t="inlineStr">
        <is>
          <t>No</t>
        </is>
      </c>
      <c r="I887" t="inlineStr">
        <is>
          <t>No</t>
        </is>
      </c>
      <c r="J887" t="inlineStr">
        <is>
          <t>0</t>
        </is>
      </c>
      <c r="K887" t="inlineStr">
        <is>
          <t>Hinderaker, Eric.</t>
        </is>
      </c>
      <c r="L887" t="inlineStr">
        <is>
          <t>Baltimore : Johns Hopkins University Press, c2003.</t>
        </is>
      </c>
      <c r="M887" t="inlineStr">
        <is>
          <t>2003</t>
        </is>
      </c>
      <c r="O887" t="inlineStr">
        <is>
          <t>eng</t>
        </is>
      </c>
      <c r="P887" t="inlineStr">
        <is>
          <t>mdu</t>
        </is>
      </c>
      <c r="Q887" t="inlineStr">
        <is>
          <t>Regional perspectives on early America</t>
        </is>
      </c>
      <c r="R887" t="inlineStr">
        <is>
          <t xml:space="preserve">E  </t>
        </is>
      </c>
      <c r="S887" t="n">
        <v>2</v>
      </c>
      <c r="T887" t="n">
        <v>2</v>
      </c>
      <c r="U887" t="inlineStr">
        <is>
          <t>2004-11-08</t>
        </is>
      </c>
      <c r="V887" t="inlineStr">
        <is>
          <t>2004-11-08</t>
        </is>
      </c>
      <c r="W887" t="inlineStr">
        <is>
          <t>2004-10-12</t>
        </is>
      </c>
      <c r="X887" t="inlineStr">
        <is>
          <t>2004-10-12</t>
        </is>
      </c>
      <c r="Y887" t="n">
        <v>623</v>
      </c>
      <c r="Z887" t="n">
        <v>536</v>
      </c>
      <c r="AA887" t="n">
        <v>543</v>
      </c>
      <c r="AB887" t="n">
        <v>3</v>
      </c>
      <c r="AC887" t="n">
        <v>3</v>
      </c>
      <c r="AD887" t="n">
        <v>28</v>
      </c>
      <c r="AE887" t="n">
        <v>28</v>
      </c>
      <c r="AF887" t="n">
        <v>14</v>
      </c>
      <c r="AG887" t="n">
        <v>14</v>
      </c>
      <c r="AH887" t="n">
        <v>8</v>
      </c>
      <c r="AI887" t="n">
        <v>8</v>
      </c>
      <c r="AJ887" t="n">
        <v>14</v>
      </c>
      <c r="AK887" t="n">
        <v>14</v>
      </c>
      <c r="AL887" t="n">
        <v>1</v>
      </c>
      <c r="AM887" t="n">
        <v>1</v>
      </c>
      <c r="AN887" t="n">
        <v>0</v>
      </c>
      <c r="AO887" t="n">
        <v>0</v>
      </c>
      <c r="AP887" t="inlineStr">
        <is>
          <t>No</t>
        </is>
      </c>
      <c r="AQ887" t="inlineStr">
        <is>
          <t>Yes</t>
        </is>
      </c>
      <c r="AR887">
        <f>HYPERLINK("http://catalog.hathitrust.org/Record/004319602","HathiTrust Record")</f>
        <v/>
      </c>
      <c r="AS887">
        <f>HYPERLINK("https://creighton-primo.hosted.exlibrisgroup.com/primo-explore/search?tab=default_tab&amp;search_scope=EVERYTHING&amp;vid=01CRU&amp;lang=en_US&amp;offset=0&amp;query=any,contains,991004358239702656","Catalog Record")</f>
        <v/>
      </c>
      <c r="AT887">
        <f>HYPERLINK("http://www.worldcat.org/oclc/49680056","WorldCat Record")</f>
        <v/>
      </c>
      <c r="AU887" t="inlineStr">
        <is>
          <t>367203322:eng</t>
        </is>
      </c>
      <c r="AV887" t="inlineStr">
        <is>
          <t>49680056</t>
        </is>
      </c>
      <c r="AW887" t="inlineStr">
        <is>
          <t>991004358239702656</t>
        </is>
      </c>
      <c r="AX887" t="inlineStr">
        <is>
          <t>991004358239702656</t>
        </is>
      </c>
      <c r="AY887" t="inlineStr">
        <is>
          <t>2265158060002656</t>
        </is>
      </c>
      <c r="AZ887" t="inlineStr">
        <is>
          <t>BOOK</t>
        </is>
      </c>
      <c r="BB887" t="inlineStr">
        <is>
          <t>9780801871368</t>
        </is>
      </c>
      <c r="BC887" t="inlineStr">
        <is>
          <t>32285005003206</t>
        </is>
      </c>
      <c r="BD887" t="inlineStr">
        <is>
          <t>893247495</t>
        </is>
      </c>
    </row>
    <row r="888">
      <c r="A888" t="inlineStr">
        <is>
          <t>No</t>
        </is>
      </c>
      <c r="B888" t="inlineStr">
        <is>
          <t>E188 .J56</t>
        </is>
      </c>
      <c r="C888" t="inlineStr">
        <is>
          <t>0                      E  0188000J  56</t>
        </is>
      </c>
      <c r="D888" t="inlineStr">
        <is>
          <t>The American Colonies, 1492-1750; a study of their political, economic and social development, by Marcus Wilson Jernegan ... with five maps.</t>
        </is>
      </c>
      <c r="F888" t="inlineStr">
        <is>
          <t>No</t>
        </is>
      </c>
      <c r="G888" t="inlineStr">
        <is>
          <t>1</t>
        </is>
      </c>
      <c r="H888" t="inlineStr">
        <is>
          <t>No</t>
        </is>
      </c>
      <c r="I888" t="inlineStr">
        <is>
          <t>No</t>
        </is>
      </c>
      <c r="J888" t="inlineStr">
        <is>
          <t>0</t>
        </is>
      </c>
      <c r="K888" t="inlineStr">
        <is>
          <t>Jernegan, Marcus Wilson, 1872-1949.</t>
        </is>
      </c>
      <c r="L888" t="inlineStr">
        <is>
          <t>New York, London [etc.] Longmans, Green and Co., 1929.</t>
        </is>
      </c>
      <c r="M888" t="inlineStr">
        <is>
          <t>1929</t>
        </is>
      </c>
      <c r="O888" t="inlineStr">
        <is>
          <t>eng</t>
        </is>
      </c>
      <c r="P888" t="inlineStr">
        <is>
          <t>nyu</t>
        </is>
      </c>
      <c r="Q888" t="inlineStr">
        <is>
          <t>Epochs of American history ; v. 1</t>
        </is>
      </c>
      <c r="R888" t="inlineStr">
        <is>
          <t xml:space="preserve">E  </t>
        </is>
      </c>
      <c r="S888" t="n">
        <v>3</v>
      </c>
      <c r="T888" t="n">
        <v>3</v>
      </c>
      <c r="U888" t="inlineStr">
        <is>
          <t>1998-09-03</t>
        </is>
      </c>
      <c r="V888" t="inlineStr">
        <is>
          <t>1998-09-03</t>
        </is>
      </c>
      <c r="W888" t="inlineStr">
        <is>
          <t>1997-05-05</t>
        </is>
      </c>
      <c r="X888" t="inlineStr">
        <is>
          <t>1997-05-05</t>
        </is>
      </c>
      <c r="Y888" t="n">
        <v>351</v>
      </c>
      <c r="Z888" t="n">
        <v>325</v>
      </c>
      <c r="AA888" t="n">
        <v>902</v>
      </c>
      <c r="AB888" t="n">
        <v>2</v>
      </c>
      <c r="AC888" t="n">
        <v>5</v>
      </c>
      <c r="AD888" t="n">
        <v>11</v>
      </c>
      <c r="AE888" t="n">
        <v>40</v>
      </c>
      <c r="AF888" t="n">
        <v>4</v>
      </c>
      <c r="AG888" t="n">
        <v>20</v>
      </c>
      <c r="AH888" t="n">
        <v>3</v>
      </c>
      <c r="AI888" t="n">
        <v>7</v>
      </c>
      <c r="AJ888" t="n">
        <v>6</v>
      </c>
      <c r="AK888" t="n">
        <v>18</v>
      </c>
      <c r="AL888" t="n">
        <v>1</v>
      </c>
      <c r="AM888" t="n">
        <v>4</v>
      </c>
      <c r="AN888" t="n">
        <v>0</v>
      </c>
      <c r="AO888" t="n">
        <v>0</v>
      </c>
      <c r="AP888" t="inlineStr">
        <is>
          <t>Yes</t>
        </is>
      </c>
      <c r="AQ888" t="inlineStr">
        <is>
          <t>No</t>
        </is>
      </c>
      <c r="AR888">
        <f>HYPERLINK("http://catalog.hathitrust.org/Record/000361541","HathiTrust Record")</f>
        <v/>
      </c>
      <c r="AS888">
        <f>HYPERLINK("https://creighton-primo.hosted.exlibrisgroup.com/primo-explore/search?tab=default_tab&amp;search_scope=EVERYTHING&amp;vid=01CRU&amp;lang=en_US&amp;offset=0&amp;query=any,contains,991003265629702656","Catalog Record")</f>
        <v/>
      </c>
      <c r="AT888">
        <f>HYPERLINK("http://www.worldcat.org/oclc/791865","WorldCat Record")</f>
        <v/>
      </c>
      <c r="AU888" t="inlineStr">
        <is>
          <t>865164035:eng</t>
        </is>
      </c>
      <c r="AV888" t="inlineStr">
        <is>
          <t>791865</t>
        </is>
      </c>
      <c r="AW888" t="inlineStr">
        <is>
          <t>991003265629702656</t>
        </is>
      </c>
      <c r="AX888" t="inlineStr">
        <is>
          <t>991003265629702656</t>
        </is>
      </c>
      <c r="AY888" t="inlineStr">
        <is>
          <t>2262032260002656</t>
        </is>
      </c>
      <c r="AZ888" t="inlineStr">
        <is>
          <t>BOOK</t>
        </is>
      </c>
      <c r="BC888" t="inlineStr">
        <is>
          <t>32285002572799</t>
        </is>
      </c>
      <c r="BD888" t="inlineStr">
        <is>
          <t>893592353</t>
        </is>
      </c>
    </row>
    <row r="889">
      <c r="A889" t="inlineStr">
        <is>
          <t>No</t>
        </is>
      </c>
      <c r="B889" t="inlineStr">
        <is>
          <t>E188 .N38</t>
        </is>
      </c>
      <c r="C889" t="inlineStr">
        <is>
          <t>0                      E  0188000N  38</t>
        </is>
      </c>
      <c r="D889" t="inlineStr">
        <is>
          <t>The urban crucible : social change, political consciousness, and the origins of the American Revolution / Gary B. Nash.</t>
        </is>
      </c>
      <c r="F889" t="inlineStr">
        <is>
          <t>No</t>
        </is>
      </c>
      <c r="G889" t="inlineStr">
        <is>
          <t>1</t>
        </is>
      </c>
      <c r="H889" t="inlineStr">
        <is>
          <t>No</t>
        </is>
      </c>
      <c r="I889" t="inlineStr">
        <is>
          <t>No</t>
        </is>
      </c>
      <c r="J889" t="inlineStr">
        <is>
          <t>0</t>
        </is>
      </c>
      <c r="K889" t="inlineStr">
        <is>
          <t>Nash, Gary B.</t>
        </is>
      </c>
      <c r="L889" t="inlineStr">
        <is>
          <t>Cambridge, Mass. : Harvard University Press, 1979.</t>
        </is>
      </c>
      <c r="M889" t="inlineStr">
        <is>
          <t>1979</t>
        </is>
      </c>
      <c r="O889" t="inlineStr">
        <is>
          <t>eng</t>
        </is>
      </c>
      <c r="P889" t="inlineStr">
        <is>
          <t>mau</t>
        </is>
      </c>
      <c r="R889" t="inlineStr">
        <is>
          <t xml:space="preserve">E  </t>
        </is>
      </c>
      <c r="S889" t="n">
        <v>5</v>
      </c>
      <c r="T889" t="n">
        <v>5</v>
      </c>
      <c r="U889" t="inlineStr">
        <is>
          <t>1998-11-17</t>
        </is>
      </c>
      <c r="V889" t="inlineStr">
        <is>
          <t>1998-11-17</t>
        </is>
      </c>
      <c r="W889" t="inlineStr">
        <is>
          <t>1991-03-06</t>
        </is>
      </c>
      <c r="X889" t="inlineStr">
        <is>
          <t>1991-03-06</t>
        </is>
      </c>
      <c r="Y889" t="n">
        <v>1084</v>
      </c>
      <c r="Z889" t="n">
        <v>933</v>
      </c>
      <c r="AA889" t="n">
        <v>936</v>
      </c>
      <c r="AB889" t="n">
        <v>8</v>
      </c>
      <c r="AC889" t="n">
        <v>8</v>
      </c>
      <c r="AD889" t="n">
        <v>41</v>
      </c>
      <c r="AE889" t="n">
        <v>41</v>
      </c>
      <c r="AF889" t="n">
        <v>18</v>
      </c>
      <c r="AG889" t="n">
        <v>18</v>
      </c>
      <c r="AH889" t="n">
        <v>10</v>
      </c>
      <c r="AI889" t="n">
        <v>10</v>
      </c>
      <c r="AJ889" t="n">
        <v>18</v>
      </c>
      <c r="AK889" t="n">
        <v>18</v>
      </c>
      <c r="AL889" t="n">
        <v>7</v>
      </c>
      <c r="AM889" t="n">
        <v>7</v>
      </c>
      <c r="AN889" t="n">
        <v>0</v>
      </c>
      <c r="AO889" t="n">
        <v>0</v>
      </c>
      <c r="AP889" t="inlineStr">
        <is>
          <t>No</t>
        </is>
      </c>
      <c r="AQ889" t="inlineStr">
        <is>
          <t>Yes</t>
        </is>
      </c>
      <c r="AR889">
        <f>HYPERLINK("http://catalog.hathitrust.org/Record/000300913","HathiTrust Record")</f>
        <v/>
      </c>
      <c r="AS889">
        <f>HYPERLINK("https://creighton-primo.hosted.exlibrisgroup.com/primo-explore/search?tab=default_tab&amp;search_scope=EVERYTHING&amp;vid=01CRU&amp;lang=en_US&amp;offset=0&amp;query=any,contains,991004751319702656","Catalog Record")</f>
        <v/>
      </c>
      <c r="AT889">
        <f>HYPERLINK("http://www.worldcat.org/oclc/4933823","WorldCat Record")</f>
        <v/>
      </c>
      <c r="AU889" t="inlineStr">
        <is>
          <t>3857469725:eng</t>
        </is>
      </c>
      <c r="AV889" t="inlineStr">
        <is>
          <t>4933823</t>
        </is>
      </c>
      <c r="AW889" t="inlineStr">
        <is>
          <t>991004751319702656</t>
        </is>
      </c>
      <c r="AX889" t="inlineStr">
        <is>
          <t>991004751319702656</t>
        </is>
      </c>
      <c r="AY889" t="inlineStr">
        <is>
          <t>2269031370002656</t>
        </is>
      </c>
      <c r="AZ889" t="inlineStr">
        <is>
          <t>BOOK</t>
        </is>
      </c>
      <c r="BB889" t="inlineStr">
        <is>
          <t>9780674930568</t>
        </is>
      </c>
      <c r="BC889" t="inlineStr">
        <is>
          <t>32285000540202</t>
        </is>
      </c>
      <c r="BD889" t="inlineStr">
        <is>
          <t>893263416</t>
        </is>
      </c>
    </row>
    <row r="890">
      <c r="A890" t="inlineStr">
        <is>
          <t>No</t>
        </is>
      </c>
      <c r="B890" t="inlineStr">
        <is>
          <t>E188 .S59 1981</t>
        </is>
      </c>
      <c r="C890" t="inlineStr">
        <is>
          <t>0                      E  0188000S  59          1981</t>
        </is>
      </c>
      <c r="D890" t="inlineStr">
        <is>
          <t>The American colonies : from settlement to independence / R.C. Simmons.</t>
        </is>
      </c>
      <c r="F890" t="inlineStr">
        <is>
          <t>No</t>
        </is>
      </c>
      <c r="G890" t="inlineStr">
        <is>
          <t>1</t>
        </is>
      </c>
      <c r="H890" t="inlineStr">
        <is>
          <t>No</t>
        </is>
      </c>
      <c r="I890" t="inlineStr">
        <is>
          <t>No</t>
        </is>
      </c>
      <c r="J890" t="inlineStr">
        <is>
          <t>0</t>
        </is>
      </c>
      <c r="K890" t="inlineStr">
        <is>
          <t>Simmons, R. C. (Richard C.), 1937-</t>
        </is>
      </c>
      <c r="L890" t="inlineStr">
        <is>
          <t>New York : Norton, 1981, c1976.</t>
        </is>
      </c>
      <c r="M890" t="inlineStr">
        <is>
          <t>1981</t>
        </is>
      </c>
      <c r="O890" t="inlineStr">
        <is>
          <t>eng</t>
        </is>
      </c>
      <c r="P890" t="inlineStr">
        <is>
          <t>nyu</t>
        </is>
      </c>
      <c r="Q890" t="inlineStr">
        <is>
          <t>A Norton paperback</t>
        </is>
      </c>
      <c r="R890" t="inlineStr">
        <is>
          <t xml:space="preserve">E  </t>
        </is>
      </c>
      <c r="S890" t="n">
        <v>7</v>
      </c>
      <c r="T890" t="n">
        <v>7</v>
      </c>
      <c r="U890" t="inlineStr">
        <is>
          <t>1998-09-30</t>
        </is>
      </c>
      <c r="V890" t="inlineStr">
        <is>
          <t>1998-09-30</t>
        </is>
      </c>
      <c r="W890" t="inlineStr">
        <is>
          <t>1991-01-31</t>
        </is>
      </c>
      <c r="X890" t="inlineStr">
        <is>
          <t>1991-01-31</t>
        </is>
      </c>
      <c r="Y890" t="n">
        <v>224</v>
      </c>
      <c r="Z890" t="n">
        <v>207</v>
      </c>
      <c r="AA890" t="n">
        <v>749</v>
      </c>
      <c r="AB890" t="n">
        <v>3</v>
      </c>
      <c r="AC890" t="n">
        <v>8</v>
      </c>
      <c r="AD890" t="n">
        <v>7</v>
      </c>
      <c r="AE890" t="n">
        <v>34</v>
      </c>
      <c r="AF890" t="n">
        <v>3</v>
      </c>
      <c r="AG890" t="n">
        <v>11</v>
      </c>
      <c r="AH890" t="n">
        <v>2</v>
      </c>
      <c r="AI890" t="n">
        <v>10</v>
      </c>
      <c r="AJ890" t="n">
        <v>5</v>
      </c>
      <c r="AK890" t="n">
        <v>19</v>
      </c>
      <c r="AL890" t="n">
        <v>0</v>
      </c>
      <c r="AM890" t="n">
        <v>4</v>
      </c>
      <c r="AN890" t="n">
        <v>0</v>
      </c>
      <c r="AO890" t="n">
        <v>1</v>
      </c>
      <c r="AP890" t="inlineStr">
        <is>
          <t>No</t>
        </is>
      </c>
      <c r="AQ890" t="inlineStr">
        <is>
          <t>No</t>
        </is>
      </c>
      <c r="AS890">
        <f>HYPERLINK("https://creighton-primo.hosted.exlibrisgroup.com/primo-explore/search?tab=default_tab&amp;search_scope=EVERYTHING&amp;vid=01CRU&amp;lang=en_US&amp;offset=0&amp;query=any,contains,991004981419702656","Catalog Record")</f>
        <v/>
      </c>
      <c r="AT890">
        <f>HYPERLINK("http://www.worldcat.org/oclc/6422601","WorldCat Record")</f>
        <v/>
      </c>
      <c r="AU890" t="inlineStr">
        <is>
          <t>573010:eng</t>
        </is>
      </c>
      <c r="AV890" t="inlineStr">
        <is>
          <t>6422601</t>
        </is>
      </c>
      <c r="AW890" t="inlineStr">
        <is>
          <t>991004981419702656</t>
        </is>
      </c>
      <c r="AX890" t="inlineStr">
        <is>
          <t>991004981419702656</t>
        </is>
      </c>
      <c r="AY890" t="inlineStr">
        <is>
          <t>2268997840002656</t>
        </is>
      </c>
      <c r="AZ890" t="inlineStr">
        <is>
          <t>BOOK</t>
        </is>
      </c>
      <c r="BB890" t="inlineStr">
        <is>
          <t>9780393009996</t>
        </is>
      </c>
      <c r="BC890" t="inlineStr">
        <is>
          <t>32285000462613</t>
        </is>
      </c>
      <c r="BD890" t="inlineStr">
        <is>
          <t>893594312</t>
        </is>
      </c>
    </row>
    <row r="891">
      <c r="A891" t="inlineStr">
        <is>
          <t>No</t>
        </is>
      </c>
      <c r="B891" t="inlineStr">
        <is>
          <t>E188 .W79</t>
        </is>
      </c>
      <c r="C891" t="inlineStr">
        <is>
          <t>0                      E  0188000W  79</t>
        </is>
      </c>
      <c r="D891" t="inlineStr">
        <is>
          <t>The American heritage history of the Thirteen Colonies / by the editors of American heritage. Editor in charge: Michael Blow; narrative [by] Louis B. Wright; pictorial commentary [by] Ralph K. Andrist.</t>
        </is>
      </c>
      <c r="F891" t="inlineStr">
        <is>
          <t>No</t>
        </is>
      </c>
      <c r="G891" t="inlineStr">
        <is>
          <t>1</t>
        </is>
      </c>
      <c r="H891" t="inlineStr">
        <is>
          <t>No</t>
        </is>
      </c>
      <c r="I891" t="inlineStr">
        <is>
          <t>No</t>
        </is>
      </c>
      <c r="J891" t="inlineStr">
        <is>
          <t>0</t>
        </is>
      </c>
      <c r="K891" t="inlineStr">
        <is>
          <t>Wright, Louis B. (Louis Booker), 1899-1984.</t>
        </is>
      </c>
      <c r="L891" t="inlineStr">
        <is>
          <t>[New York] : American Heritage Pub. Co. ; book trade distribution by Simon and Schuster, [1967]</t>
        </is>
      </c>
      <c r="M891" t="inlineStr">
        <is>
          <t>1967</t>
        </is>
      </c>
      <c r="O891" t="inlineStr">
        <is>
          <t>eng</t>
        </is>
      </c>
      <c r="P891" t="inlineStr">
        <is>
          <t>nyu</t>
        </is>
      </c>
      <c r="R891" t="inlineStr">
        <is>
          <t xml:space="preserve">E  </t>
        </is>
      </c>
      <c r="S891" t="n">
        <v>1</v>
      </c>
      <c r="T891" t="n">
        <v>1</v>
      </c>
      <c r="U891" t="inlineStr">
        <is>
          <t>1993-10-20</t>
        </is>
      </c>
      <c r="V891" t="inlineStr">
        <is>
          <t>1993-10-20</t>
        </is>
      </c>
      <c r="W891" t="inlineStr">
        <is>
          <t>1992-03-03</t>
        </is>
      </c>
      <c r="X891" t="inlineStr">
        <is>
          <t>1992-03-03</t>
        </is>
      </c>
      <c r="Y891" t="n">
        <v>2087</v>
      </c>
      <c r="Z891" t="n">
        <v>2021</v>
      </c>
      <c r="AA891" t="n">
        <v>2068</v>
      </c>
      <c r="AB891" t="n">
        <v>13</v>
      </c>
      <c r="AC891" t="n">
        <v>14</v>
      </c>
      <c r="AD891" t="n">
        <v>33</v>
      </c>
      <c r="AE891" t="n">
        <v>33</v>
      </c>
      <c r="AF891" t="n">
        <v>14</v>
      </c>
      <c r="AG891" t="n">
        <v>14</v>
      </c>
      <c r="AH891" t="n">
        <v>6</v>
      </c>
      <c r="AI891" t="n">
        <v>6</v>
      </c>
      <c r="AJ891" t="n">
        <v>15</v>
      </c>
      <c r="AK891" t="n">
        <v>15</v>
      </c>
      <c r="AL891" t="n">
        <v>4</v>
      </c>
      <c r="AM891" t="n">
        <v>4</v>
      </c>
      <c r="AN891" t="n">
        <v>0</v>
      </c>
      <c r="AO891" t="n">
        <v>0</v>
      </c>
      <c r="AP891" t="inlineStr">
        <is>
          <t>No</t>
        </is>
      </c>
      <c r="AQ891" t="inlineStr">
        <is>
          <t>Yes</t>
        </is>
      </c>
      <c r="AR891">
        <f>HYPERLINK("http://catalog.hathitrust.org/Record/000361547","HathiTrust Record")</f>
        <v/>
      </c>
      <c r="AS891">
        <f>HYPERLINK("https://creighton-primo.hosted.exlibrisgroup.com/primo-explore/search?tab=default_tab&amp;search_scope=EVERYTHING&amp;vid=01CRU&amp;lang=en_US&amp;offset=0&amp;query=any,contains,991002748579702656","Catalog Record")</f>
        <v/>
      </c>
      <c r="AT891">
        <f>HYPERLINK("http://www.worldcat.org/oclc/423695","WorldCat Record")</f>
        <v/>
      </c>
      <c r="AU891" t="inlineStr">
        <is>
          <t>69775770:eng</t>
        </is>
      </c>
      <c r="AV891" t="inlineStr">
        <is>
          <t>423695</t>
        </is>
      </c>
      <c r="AW891" t="inlineStr">
        <is>
          <t>991002748579702656</t>
        </is>
      </c>
      <c r="AX891" t="inlineStr">
        <is>
          <t>991002748579702656</t>
        </is>
      </c>
      <c r="AY891" t="inlineStr">
        <is>
          <t>2266469620002656</t>
        </is>
      </c>
      <c r="AZ891" t="inlineStr">
        <is>
          <t>BOOK</t>
        </is>
      </c>
      <c r="BC891" t="inlineStr">
        <is>
          <t>32285000990647</t>
        </is>
      </c>
      <c r="BD891" t="inlineStr">
        <is>
          <t>893511145</t>
        </is>
      </c>
    </row>
    <row r="892">
      <c r="A892" t="inlineStr">
        <is>
          <t>No</t>
        </is>
      </c>
      <c r="B892" t="inlineStr">
        <is>
          <t>E188 .Y39 1985</t>
        </is>
      </c>
      <c r="C892" t="inlineStr">
        <is>
          <t>0                      E  0188000Y  39          1985</t>
        </is>
      </c>
      <c r="D892" t="inlineStr">
        <is>
          <t>From colonies to commonwealth : familial ideology and the beginnings of the American republic / Melvin Yazawa.</t>
        </is>
      </c>
      <c r="F892" t="inlineStr">
        <is>
          <t>No</t>
        </is>
      </c>
      <c r="G892" t="inlineStr">
        <is>
          <t>1</t>
        </is>
      </c>
      <c r="H892" t="inlineStr">
        <is>
          <t>No</t>
        </is>
      </c>
      <c r="I892" t="inlineStr">
        <is>
          <t>No</t>
        </is>
      </c>
      <c r="J892" t="inlineStr">
        <is>
          <t>0</t>
        </is>
      </c>
      <c r="K892" t="inlineStr">
        <is>
          <t>Yazawa, Melvin.</t>
        </is>
      </c>
      <c r="L892" t="inlineStr">
        <is>
          <t>Baltimore : Johns Hopkins University Press, c1985.</t>
        </is>
      </c>
      <c r="M892" t="inlineStr">
        <is>
          <t>1985</t>
        </is>
      </c>
      <c r="O892" t="inlineStr">
        <is>
          <t>eng</t>
        </is>
      </c>
      <c r="P892" t="inlineStr">
        <is>
          <t>mdu</t>
        </is>
      </c>
      <c r="Q892" t="inlineStr">
        <is>
          <t>New studies in American intellectual and cultural history</t>
        </is>
      </c>
      <c r="R892" t="inlineStr">
        <is>
          <t xml:space="preserve">E  </t>
        </is>
      </c>
      <c r="S892" t="n">
        <v>4</v>
      </c>
      <c r="T892" t="n">
        <v>4</v>
      </c>
      <c r="U892" t="inlineStr">
        <is>
          <t>2000-04-04</t>
        </is>
      </c>
      <c r="V892" t="inlineStr">
        <is>
          <t>2000-04-04</t>
        </is>
      </c>
      <c r="W892" t="inlineStr">
        <is>
          <t>1991-03-06</t>
        </is>
      </c>
      <c r="X892" t="inlineStr">
        <is>
          <t>1991-03-06</t>
        </is>
      </c>
      <c r="Y892" t="n">
        <v>562</v>
      </c>
      <c r="Z892" t="n">
        <v>474</v>
      </c>
      <c r="AA892" t="n">
        <v>481</v>
      </c>
      <c r="AB892" t="n">
        <v>3</v>
      </c>
      <c r="AC892" t="n">
        <v>3</v>
      </c>
      <c r="AD892" t="n">
        <v>22</v>
      </c>
      <c r="AE892" t="n">
        <v>22</v>
      </c>
      <c r="AF892" t="n">
        <v>8</v>
      </c>
      <c r="AG892" t="n">
        <v>8</v>
      </c>
      <c r="AH892" t="n">
        <v>6</v>
      </c>
      <c r="AI892" t="n">
        <v>6</v>
      </c>
      <c r="AJ892" t="n">
        <v>13</v>
      </c>
      <c r="AK892" t="n">
        <v>13</v>
      </c>
      <c r="AL892" t="n">
        <v>2</v>
      </c>
      <c r="AM892" t="n">
        <v>2</v>
      </c>
      <c r="AN892" t="n">
        <v>0</v>
      </c>
      <c r="AO892" t="n">
        <v>0</v>
      </c>
      <c r="AP892" t="inlineStr">
        <is>
          <t>No</t>
        </is>
      </c>
      <c r="AQ892" t="inlineStr">
        <is>
          <t>Yes</t>
        </is>
      </c>
      <c r="AR892">
        <f>HYPERLINK("http://catalog.hathitrust.org/Record/000459358","HathiTrust Record")</f>
        <v/>
      </c>
      <c r="AS892">
        <f>HYPERLINK("https://creighton-primo.hosted.exlibrisgroup.com/primo-explore/search?tab=default_tab&amp;search_scope=EVERYTHING&amp;vid=01CRU&amp;lang=en_US&amp;offset=0&amp;query=any,contains,991005404549702656","Catalog Record")</f>
        <v/>
      </c>
      <c r="AT892">
        <f>HYPERLINK("http://www.worldcat.org/oclc/11235865","WorldCat Record")</f>
        <v/>
      </c>
      <c r="AU892" t="inlineStr">
        <is>
          <t>309065564:eng</t>
        </is>
      </c>
      <c r="AV892" t="inlineStr">
        <is>
          <t>11235865</t>
        </is>
      </c>
      <c r="AW892" t="inlineStr">
        <is>
          <t>991005404549702656</t>
        </is>
      </c>
      <c r="AX892" t="inlineStr">
        <is>
          <t>991005404549702656</t>
        </is>
      </c>
      <c r="AY892" t="inlineStr">
        <is>
          <t>2257147290002656</t>
        </is>
      </c>
      <c r="AZ892" t="inlineStr">
        <is>
          <t>BOOK</t>
        </is>
      </c>
      <c r="BB892" t="inlineStr">
        <is>
          <t>9780801826269</t>
        </is>
      </c>
      <c r="BC892" t="inlineStr">
        <is>
          <t>32285000540228</t>
        </is>
      </c>
      <c r="BD892" t="inlineStr">
        <is>
          <t>893601154</t>
        </is>
      </c>
    </row>
    <row r="893">
      <c r="A893" t="inlineStr">
        <is>
          <t>No</t>
        </is>
      </c>
      <c r="B893" t="inlineStr">
        <is>
          <t>E188.5 .B34 1986</t>
        </is>
      </c>
      <c r="C893" t="inlineStr">
        <is>
          <t>0                      E  0188500B  34          1986</t>
        </is>
      </c>
      <c r="D893" t="inlineStr">
        <is>
          <t>The peopling of British North America : an introduction / Bernard Bailyn.</t>
        </is>
      </c>
      <c r="F893" t="inlineStr">
        <is>
          <t>No</t>
        </is>
      </c>
      <c r="G893" t="inlineStr">
        <is>
          <t>1</t>
        </is>
      </c>
      <c r="H893" t="inlineStr">
        <is>
          <t>No</t>
        </is>
      </c>
      <c r="I893" t="inlineStr">
        <is>
          <t>No</t>
        </is>
      </c>
      <c r="J893" t="inlineStr">
        <is>
          <t>0</t>
        </is>
      </c>
      <c r="K893" t="inlineStr">
        <is>
          <t>Bailyn, Bernard.</t>
        </is>
      </c>
      <c r="L893" t="inlineStr">
        <is>
          <t>New York : Knopf, 1986.</t>
        </is>
      </c>
      <c r="M893" t="inlineStr">
        <is>
          <t>1986</t>
        </is>
      </c>
      <c r="O893" t="inlineStr">
        <is>
          <t>eng</t>
        </is>
      </c>
      <c r="P893" t="inlineStr">
        <is>
          <t>nyu</t>
        </is>
      </c>
      <c r="Q893" t="inlineStr">
        <is>
          <t>The Curti lectures ; 1985</t>
        </is>
      </c>
      <c r="R893" t="inlineStr">
        <is>
          <t xml:space="preserve">E  </t>
        </is>
      </c>
      <c r="S893" t="n">
        <v>2</v>
      </c>
      <c r="T893" t="n">
        <v>2</v>
      </c>
      <c r="U893" t="inlineStr">
        <is>
          <t>2000-04-04</t>
        </is>
      </c>
      <c r="V893" t="inlineStr">
        <is>
          <t>2000-04-04</t>
        </is>
      </c>
      <c r="W893" t="inlineStr">
        <is>
          <t>1991-03-06</t>
        </is>
      </c>
      <c r="X893" t="inlineStr">
        <is>
          <t>1991-03-06</t>
        </is>
      </c>
      <c r="Y893" t="n">
        <v>1480</v>
      </c>
      <c r="Z893" t="n">
        <v>1365</v>
      </c>
      <c r="AA893" t="n">
        <v>1636</v>
      </c>
      <c r="AB893" t="n">
        <v>10</v>
      </c>
      <c r="AC893" t="n">
        <v>11</v>
      </c>
      <c r="AD893" t="n">
        <v>50</v>
      </c>
      <c r="AE893" t="n">
        <v>55</v>
      </c>
      <c r="AF893" t="n">
        <v>18</v>
      </c>
      <c r="AG893" t="n">
        <v>21</v>
      </c>
      <c r="AH893" t="n">
        <v>10</v>
      </c>
      <c r="AI893" t="n">
        <v>11</v>
      </c>
      <c r="AJ893" t="n">
        <v>23</v>
      </c>
      <c r="AK893" t="n">
        <v>24</v>
      </c>
      <c r="AL893" t="n">
        <v>9</v>
      </c>
      <c r="AM893" t="n">
        <v>9</v>
      </c>
      <c r="AN893" t="n">
        <v>2</v>
      </c>
      <c r="AO893" t="n">
        <v>3</v>
      </c>
      <c r="AP893" t="inlineStr">
        <is>
          <t>No</t>
        </is>
      </c>
      <c r="AQ893" t="inlineStr">
        <is>
          <t>Yes</t>
        </is>
      </c>
      <c r="AR893">
        <f>HYPERLINK("http://catalog.hathitrust.org/Record/000841874","HathiTrust Record")</f>
        <v/>
      </c>
      <c r="AS893">
        <f>HYPERLINK("https://creighton-primo.hosted.exlibrisgroup.com/primo-explore/search?tab=default_tab&amp;search_scope=EVERYTHING&amp;vid=01CRU&amp;lang=en_US&amp;offset=0&amp;query=any,contains,991005406259702656","Catalog Record")</f>
        <v/>
      </c>
      <c r="AT893">
        <f>HYPERLINK("http://www.worldcat.org/oclc/13126387","WorldCat Record")</f>
        <v/>
      </c>
      <c r="AU893" t="inlineStr">
        <is>
          <t>5710061:eng</t>
        </is>
      </c>
      <c r="AV893" t="inlineStr">
        <is>
          <t>13126387</t>
        </is>
      </c>
      <c r="AW893" t="inlineStr">
        <is>
          <t>991005406259702656</t>
        </is>
      </c>
      <c r="AX893" t="inlineStr">
        <is>
          <t>991005406259702656</t>
        </is>
      </c>
      <c r="AY893" t="inlineStr">
        <is>
          <t>2257797290002656</t>
        </is>
      </c>
      <c r="AZ893" t="inlineStr">
        <is>
          <t>BOOK</t>
        </is>
      </c>
      <c r="BB893" t="inlineStr">
        <is>
          <t>9780394553924</t>
        </is>
      </c>
      <c r="BC893" t="inlineStr">
        <is>
          <t>32285000540236</t>
        </is>
      </c>
      <c r="BD893" t="inlineStr">
        <is>
          <t>893811080</t>
        </is>
      </c>
    </row>
    <row r="894">
      <c r="A894" t="inlineStr">
        <is>
          <t>No</t>
        </is>
      </c>
      <c r="B894" t="inlineStr">
        <is>
          <t>E188.5 .B74 1981</t>
        </is>
      </c>
      <c r="C894" t="inlineStr">
        <is>
          <t>0                      E  0188500B  74          1981</t>
        </is>
      </c>
      <c r="D894" t="inlineStr">
        <is>
          <t>Early Americans / Carl Bridenbaugh.</t>
        </is>
      </c>
      <c r="F894" t="inlineStr">
        <is>
          <t>No</t>
        </is>
      </c>
      <c r="G894" t="inlineStr">
        <is>
          <t>1</t>
        </is>
      </c>
      <c r="H894" t="inlineStr">
        <is>
          <t>No</t>
        </is>
      </c>
      <c r="I894" t="inlineStr">
        <is>
          <t>No</t>
        </is>
      </c>
      <c r="J894" t="inlineStr">
        <is>
          <t>0</t>
        </is>
      </c>
      <c r="K894" t="inlineStr">
        <is>
          <t>Bridenbaugh, Carl.</t>
        </is>
      </c>
      <c r="L894" t="inlineStr">
        <is>
          <t>New York : Oxford University Press, 1981.</t>
        </is>
      </c>
      <c r="M894" t="inlineStr">
        <is>
          <t>1981</t>
        </is>
      </c>
      <c r="O894" t="inlineStr">
        <is>
          <t>eng</t>
        </is>
      </c>
      <c r="P894" t="inlineStr">
        <is>
          <t>nyu</t>
        </is>
      </c>
      <c r="R894" t="inlineStr">
        <is>
          <t xml:space="preserve">E  </t>
        </is>
      </c>
      <c r="S894" t="n">
        <v>7</v>
      </c>
      <c r="T894" t="n">
        <v>7</v>
      </c>
      <c r="U894" t="inlineStr">
        <is>
          <t>1998-09-03</t>
        </is>
      </c>
      <c r="V894" t="inlineStr">
        <is>
          <t>1998-09-03</t>
        </is>
      </c>
      <c r="W894" t="inlineStr">
        <is>
          <t>1991-03-06</t>
        </is>
      </c>
      <c r="X894" t="inlineStr">
        <is>
          <t>1991-03-06</t>
        </is>
      </c>
      <c r="Y894" t="n">
        <v>1075</v>
      </c>
      <c r="Z894" t="n">
        <v>965</v>
      </c>
      <c r="AA894" t="n">
        <v>972</v>
      </c>
      <c r="AB894" t="n">
        <v>7</v>
      </c>
      <c r="AC894" t="n">
        <v>7</v>
      </c>
      <c r="AD894" t="n">
        <v>33</v>
      </c>
      <c r="AE894" t="n">
        <v>33</v>
      </c>
      <c r="AF894" t="n">
        <v>12</v>
      </c>
      <c r="AG894" t="n">
        <v>12</v>
      </c>
      <c r="AH894" t="n">
        <v>6</v>
      </c>
      <c r="AI894" t="n">
        <v>6</v>
      </c>
      <c r="AJ894" t="n">
        <v>18</v>
      </c>
      <c r="AK894" t="n">
        <v>18</v>
      </c>
      <c r="AL894" t="n">
        <v>6</v>
      </c>
      <c r="AM894" t="n">
        <v>6</v>
      </c>
      <c r="AN894" t="n">
        <v>0</v>
      </c>
      <c r="AO894" t="n">
        <v>0</v>
      </c>
      <c r="AP894" t="inlineStr">
        <is>
          <t>No</t>
        </is>
      </c>
      <c r="AQ894" t="inlineStr">
        <is>
          <t>Yes</t>
        </is>
      </c>
      <c r="AR894">
        <f>HYPERLINK("http://catalog.hathitrust.org/Record/000126666","HathiTrust Record")</f>
        <v/>
      </c>
      <c r="AS894">
        <f>HYPERLINK("https://creighton-primo.hosted.exlibrisgroup.com/primo-explore/search?tab=default_tab&amp;search_scope=EVERYTHING&amp;vid=01CRU&amp;lang=en_US&amp;offset=0&amp;query=any,contains,991005060559702656","Catalog Record")</f>
        <v/>
      </c>
      <c r="AT894">
        <f>HYPERLINK("http://www.worldcat.org/oclc/6917497","WorldCat Record")</f>
        <v/>
      </c>
      <c r="AU894" t="inlineStr">
        <is>
          <t>415126:eng</t>
        </is>
      </c>
      <c r="AV894" t="inlineStr">
        <is>
          <t>6917497</t>
        </is>
      </c>
      <c r="AW894" t="inlineStr">
        <is>
          <t>991005060559702656</t>
        </is>
      </c>
      <c r="AX894" t="inlineStr">
        <is>
          <t>991005060559702656</t>
        </is>
      </c>
      <c r="AY894" t="inlineStr">
        <is>
          <t>2264644990002656</t>
        </is>
      </c>
      <c r="AZ894" t="inlineStr">
        <is>
          <t>BOOK</t>
        </is>
      </c>
      <c r="BB894" t="inlineStr">
        <is>
          <t>9780195027884</t>
        </is>
      </c>
      <c r="BC894" t="inlineStr">
        <is>
          <t>32285000540244</t>
        </is>
      </c>
      <c r="BD894" t="inlineStr">
        <is>
          <t>893889610</t>
        </is>
      </c>
    </row>
    <row r="895">
      <c r="A895" t="inlineStr">
        <is>
          <t>No</t>
        </is>
      </c>
      <c r="B895" t="inlineStr">
        <is>
          <t>E188.5 .B77 1980</t>
        </is>
      </c>
      <c r="C895" t="inlineStr">
        <is>
          <t>0                      E  0188500B  77          1980</t>
        </is>
      </c>
      <c r="D895" t="inlineStr">
        <is>
          <t>The British Atlantic empire before the American Revolution / edited by Peter Marshall and Glyn Williams.</t>
        </is>
      </c>
      <c r="F895" t="inlineStr">
        <is>
          <t>No</t>
        </is>
      </c>
      <c r="G895" t="inlineStr">
        <is>
          <t>1</t>
        </is>
      </c>
      <c r="H895" t="inlineStr">
        <is>
          <t>No</t>
        </is>
      </c>
      <c r="I895" t="inlineStr">
        <is>
          <t>No</t>
        </is>
      </c>
      <c r="J895" t="inlineStr">
        <is>
          <t>0</t>
        </is>
      </c>
      <c r="L895" t="inlineStr">
        <is>
          <t>London ; Totowa, N.J. : Cass, 1980.</t>
        </is>
      </c>
      <c r="M895" t="inlineStr">
        <is>
          <t>1980</t>
        </is>
      </c>
      <c r="O895" t="inlineStr">
        <is>
          <t>eng</t>
        </is>
      </c>
      <c r="P895" t="inlineStr">
        <is>
          <t>enk</t>
        </is>
      </c>
      <c r="R895" t="inlineStr">
        <is>
          <t xml:space="preserve">E  </t>
        </is>
      </c>
      <c r="S895" t="n">
        <v>5</v>
      </c>
      <c r="T895" t="n">
        <v>5</v>
      </c>
      <c r="U895" t="inlineStr">
        <is>
          <t>2000-04-04</t>
        </is>
      </c>
      <c r="V895" t="inlineStr">
        <is>
          <t>2000-04-04</t>
        </is>
      </c>
      <c r="W895" t="inlineStr">
        <is>
          <t>1990-03-28</t>
        </is>
      </c>
      <c r="X895" t="inlineStr">
        <is>
          <t>1990-03-28</t>
        </is>
      </c>
      <c r="Y895" t="n">
        <v>277</v>
      </c>
      <c r="Z895" t="n">
        <v>190</v>
      </c>
      <c r="AA895" t="n">
        <v>902</v>
      </c>
      <c r="AB895" t="n">
        <v>4</v>
      </c>
      <c r="AC895" t="n">
        <v>8</v>
      </c>
      <c r="AD895" t="n">
        <v>10</v>
      </c>
      <c r="AE895" t="n">
        <v>29</v>
      </c>
      <c r="AF895" t="n">
        <v>4</v>
      </c>
      <c r="AG895" t="n">
        <v>11</v>
      </c>
      <c r="AH895" t="n">
        <v>2</v>
      </c>
      <c r="AI895" t="n">
        <v>6</v>
      </c>
      <c r="AJ895" t="n">
        <v>6</v>
      </c>
      <c r="AK895" t="n">
        <v>10</v>
      </c>
      <c r="AL895" t="n">
        <v>3</v>
      </c>
      <c r="AM895" t="n">
        <v>7</v>
      </c>
      <c r="AN895" t="n">
        <v>0</v>
      </c>
      <c r="AO895" t="n">
        <v>1</v>
      </c>
      <c r="AP895" t="inlineStr">
        <is>
          <t>No</t>
        </is>
      </c>
      <c r="AQ895" t="inlineStr">
        <is>
          <t>No</t>
        </is>
      </c>
      <c r="AS895">
        <f>HYPERLINK("https://creighton-primo.hosted.exlibrisgroup.com/primo-explore/search?tab=default_tab&amp;search_scope=EVERYTHING&amp;vid=01CRU&amp;lang=en_US&amp;offset=0&amp;query=any,contains,991005387029702656","Catalog Record")</f>
        <v/>
      </c>
      <c r="AT895">
        <f>HYPERLINK("http://www.worldcat.org/oclc/7022664","WorldCat Record")</f>
        <v/>
      </c>
      <c r="AU895" t="inlineStr">
        <is>
          <t>1044412488:eng</t>
        </is>
      </c>
      <c r="AV895" t="inlineStr">
        <is>
          <t>7022664</t>
        </is>
      </c>
      <c r="AW895" t="inlineStr">
        <is>
          <t>991005387029702656</t>
        </is>
      </c>
      <c r="AX895" t="inlineStr">
        <is>
          <t>991005387029702656</t>
        </is>
      </c>
      <c r="AY895" t="inlineStr">
        <is>
          <t>2263783810002656</t>
        </is>
      </c>
      <c r="AZ895" t="inlineStr">
        <is>
          <t>BOOK</t>
        </is>
      </c>
      <c r="BB895" t="inlineStr">
        <is>
          <t>9780714631585</t>
        </is>
      </c>
      <c r="BC895" t="inlineStr">
        <is>
          <t>32285000099472</t>
        </is>
      </c>
      <c r="BD895" t="inlineStr">
        <is>
          <t>893777400</t>
        </is>
      </c>
    </row>
    <row r="896">
      <c r="A896" t="inlineStr">
        <is>
          <t>No</t>
        </is>
      </c>
      <c r="B896" t="inlineStr">
        <is>
          <t>E188.5 .S64 1980</t>
        </is>
      </c>
      <c r="C896" t="inlineStr">
        <is>
          <t>0                      E  0188500S  64          1980</t>
        </is>
      </c>
      <c r="D896" t="inlineStr">
        <is>
          <t>Seventeenth-century America : essays in colonial history / edited by James Morton Smith.</t>
        </is>
      </c>
      <c r="F896" t="inlineStr">
        <is>
          <t>No</t>
        </is>
      </c>
      <c r="G896" t="inlineStr">
        <is>
          <t>1</t>
        </is>
      </c>
      <c r="H896" t="inlineStr">
        <is>
          <t>No</t>
        </is>
      </c>
      <c r="I896" t="inlineStr">
        <is>
          <t>No</t>
        </is>
      </c>
      <c r="J896" t="inlineStr">
        <is>
          <t>0</t>
        </is>
      </c>
      <c r="K896" t="inlineStr">
        <is>
          <t>Smith, James Morton editor.</t>
        </is>
      </c>
      <c r="L896" t="inlineStr">
        <is>
          <t>Westport, Conn. : Greenwood Press, 1980, c1959.</t>
        </is>
      </c>
      <c r="M896" t="inlineStr">
        <is>
          <t>1980</t>
        </is>
      </c>
      <c r="O896" t="inlineStr">
        <is>
          <t>eng</t>
        </is>
      </c>
      <c r="P896" t="inlineStr">
        <is>
          <t>ctu</t>
        </is>
      </c>
      <c r="R896" t="inlineStr">
        <is>
          <t xml:space="preserve">E  </t>
        </is>
      </c>
      <c r="S896" t="n">
        <v>5</v>
      </c>
      <c r="T896" t="n">
        <v>5</v>
      </c>
      <c r="U896" t="inlineStr">
        <is>
          <t>1995-09-27</t>
        </is>
      </c>
      <c r="V896" t="inlineStr">
        <is>
          <t>1995-09-27</t>
        </is>
      </c>
      <c r="W896" t="inlineStr">
        <is>
          <t>1990-02-26</t>
        </is>
      </c>
      <c r="X896" t="inlineStr">
        <is>
          <t>1990-02-26</t>
        </is>
      </c>
      <c r="Y896" t="n">
        <v>68</v>
      </c>
      <c r="Z896" t="n">
        <v>62</v>
      </c>
      <c r="AA896" t="n">
        <v>1247</v>
      </c>
      <c r="AB896" t="n">
        <v>1</v>
      </c>
      <c r="AC896" t="n">
        <v>11</v>
      </c>
      <c r="AD896" t="n">
        <v>3</v>
      </c>
      <c r="AE896" t="n">
        <v>54</v>
      </c>
      <c r="AF896" t="n">
        <v>1</v>
      </c>
      <c r="AG896" t="n">
        <v>23</v>
      </c>
      <c r="AH896" t="n">
        <v>0</v>
      </c>
      <c r="AI896" t="n">
        <v>10</v>
      </c>
      <c r="AJ896" t="n">
        <v>3</v>
      </c>
      <c r="AK896" t="n">
        <v>24</v>
      </c>
      <c r="AL896" t="n">
        <v>0</v>
      </c>
      <c r="AM896" t="n">
        <v>9</v>
      </c>
      <c r="AN896" t="n">
        <v>0</v>
      </c>
      <c r="AO896" t="n">
        <v>1</v>
      </c>
      <c r="AP896" t="inlineStr">
        <is>
          <t>No</t>
        </is>
      </c>
      <c r="AQ896" t="inlineStr">
        <is>
          <t>Yes</t>
        </is>
      </c>
      <c r="AR896">
        <f>HYPERLINK("http://catalog.hathitrust.org/Record/009440649","HathiTrust Record")</f>
        <v/>
      </c>
      <c r="AS896">
        <f>HYPERLINK("https://creighton-primo.hosted.exlibrisgroup.com/primo-explore/search?tab=default_tab&amp;search_scope=EVERYTHING&amp;vid=01CRU&amp;lang=en_US&amp;offset=0&amp;query=any,contains,991004832539702656","Catalog Record")</f>
        <v/>
      </c>
      <c r="AT896">
        <f>HYPERLINK("http://www.worldcat.org/oclc/5412680","WorldCat Record")</f>
        <v/>
      </c>
      <c r="AU896" t="inlineStr">
        <is>
          <t>892413214:eng</t>
        </is>
      </c>
      <c r="AV896" t="inlineStr">
        <is>
          <t>5412680</t>
        </is>
      </c>
      <c r="AW896" t="inlineStr">
        <is>
          <t>991004832539702656</t>
        </is>
      </c>
      <c r="AX896" t="inlineStr">
        <is>
          <t>991004832539702656</t>
        </is>
      </c>
      <c r="AY896" t="inlineStr">
        <is>
          <t>2258973690002656</t>
        </is>
      </c>
      <c r="AZ896" t="inlineStr">
        <is>
          <t>BOOK</t>
        </is>
      </c>
      <c r="BB896" t="inlineStr">
        <is>
          <t>9780313220753</t>
        </is>
      </c>
      <c r="BC896" t="inlineStr">
        <is>
          <t>32285000059443</t>
        </is>
      </c>
      <c r="BD896" t="inlineStr">
        <is>
          <t>893325853</t>
        </is>
      </c>
    </row>
    <row r="897">
      <c r="A897" t="inlineStr">
        <is>
          <t>No</t>
        </is>
      </c>
      <c r="B897" t="inlineStr">
        <is>
          <t>E191 .B75 1955</t>
        </is>
      </c>
      <c r="C897" t="inlineStr">
        <is>
          <t>0                      E  0191000B  75          1955</t>
        </is>
      </c>
      <c r="D897" t="inlineStr">
        <is>
          <t>Cities in the wilderness : the first century of urban life in America, 1625-1742.</t>
        </is>
      </c>
      <c r="F897" t="inlineStr">
        <is>
          <t>No</t>
        </is>
      </c>
      <c r="G897" t="inlineStr">
        <is>
          <t>1</t>
        </is>
      </c>
      <c r="H897" t="inlineStr">
        <is>
          <t>No</t>
        </is>
      </c>
      <c r="I897" t="inlineStr">
        <is>
          <t>No</t>
        </is>
      </c>
      <c r="J897" t="inlineStr">
        <is>
          <t>0</t>
        </is>
      </c>
      <c r="K897" t="inlineStr">
        <is>
          <t>Bridenbaugh, Carl.</t>
        </is>
      </c>
      <c r="L897" t="inlineStr">
        <is>
          <t>New York : Knopf, 1955.</t>
        </is>
      </c>
      <c r="M897" t="inlineStr">
        <is>
          <t>1955</t>
        </is>
      </c>
      <c r="N897" t="inlineStr">
        <is>
          <t>[2d ed.]</t>
        </is>
      </c>
      <c r="O897" t="inlineStr">
        <is>
          <t>eng</t>
        </is>
      </c>
      <c r="P897" t="inlineStr">
        <is>
          <t>nyu</t>
        </is>
      </c>
      <c r="R897" t="inlineStr">
        <is>
          <t xml:space="preserve">E  </t>
        </is>
      </c>
      <c r="S897" t="n">
        <v>4</v>
      </c>
      <c r="T897" t="n">
        <v>4</v>
      </c>
      <c r="U897" t="inlineStr">
        <is>
          <t>1999-09-30</t>
        </is>
      </c>
      <c r="V897" t="inlineStr">
        <is>
          <t>1999-09-30</t>
        </is>
      </c>
      <c r="W897" t="inlineStr">
        <is>
          <t>1990-02-26</t>
        </is>
      </c>
      <c r="X897" t="inlineStr">
        <is>
          <t>1990-02-26</t>
        </is>
      </c>
      <c r="Y897" t="n">
        <v>833</v>
      </c>
      <c r="Z897" t="n">
        <v>776</v>
      </c>
      <c r="AA897" t="n">
        <v>1665</v>
      </c>
      <c r="AB897" t="n">
        <v>4</v>
      </c>
      <c r="AC897" t="n">
        <v>11</v>
      </c>
      <c r="AD897" t="n">
        <v>34</v>
      </c>
      <c r="AE897" t="n">
        <v>66</v>
      </c>
      <c r="AF897" t="n">
        <v>13</v>
      </c>
      <c r="AG897" t="n">
        <v>25</v>
      </c>
      <c r="AH897" t="n">
        <v>6</v>
      </c>
      <c r="AI897" t="n">
        <v>10</v>
      </c>
      <c r="AJ897" t="n">
        <v>16</v>
      </c>
      <c r="AK897" t="n">
        <v>27</v>
      </c>
      <c r="AL897" t="n">
        <v>3</v>
      </c>
      <c r="AM897" t="n">
        <v>7</v>
      </c>
      <c r="AN897" t="n">
        <v>3</v>
      </c>
      <c r="AO897" t="n">
        <v>10</v>
      </c>
      <c r="AP897" t="inlineStr">
        <is>
          <t>No</t>
        </is>
      </c>
      <c r="AQ897" t="inlineStr">
        <is>
          <t>Yes</t>
        </is>
      </c>
      <c r="AR897">
        <f>HYPERLINK("http://catalog.hathitrust.org/Record/001117065","HathiTrust Record")</f>
        <v/>
      </c>
      <c r="AS897">
        <f>HYPERLINK("https://creighton-primo.hosted.exlibrisgroup.com/primo-explore/search?tab=default_tab&amp;search_scope=EVERYTHING&amp;vid=01CRU&amp;lang=en_US&amp;offset=0&amp;query=any,contains,991002749259702656","Catalog Record")</f>
        <v/>
      </c>
      <c r="AT897">
        <f>HYPERLINK("http://www.worldcat.org/oclc/423945","WorldCat Record")</f>
        <v/>
      </c>
      <c r="AU897" t="inlineStr">
        <is>
          <t>1513795:eng</t>
        </is>
      </c>
      <c r="AV897" t="inlineStr">
        <is>
          <t>423945</t>
        </is>
      </c>
      <c r="AW897" t="inlineStr">
        <is>
          <t>991002749259702656</t>
        </is>
      </c>
      <c r="AX897" t="inlineStr">
        <is>
          <t>991002749259702656</t>
        </is>
      </c>
      <c r="AY897" t="inlineStr">
        <is>
          <t>2266880450002656</t>
        </is>
      </c>
      <c r="AZ897" t="inlineStr">
        <is>
          <t>BOOK</t>
        </is>
      </c>
      <c r="BC897" t="inlineStr">
        <is>
          <t>32285000062082</t>
        </is>
      </c>
      <c r="BD897" t="inlineStr">
        <is>
          <t>893880352</t>
        </is>
      </c>
    </row>
    <row r="898">
      <c r="A898" t="inlineStr">
        <is>
          <t>No</t>
        </is>
      </c>
      <c r="B898" t="inlineStr">
        <is>
          <t>E191 .O83</t>
        </is>
      </c>
      <c r="C898" t="inlineStr">
        <is>
          <t>0                      E  0191000O  83</t>
        </is>
      </c>
      <c r="D898" t="inlineStr">
        <is>
          <t>The American colonies in the seventeenth century / by Herbert L. Osgood.</t>
        </is>
      </c>
      <c r="E898" t="inlineStr">
        <is>
          <t>V.1</t>
        </is>
      </c>
      <c r="F898" t="inlineStr">
        <is>
          <t>Yes</t>
        </is>
      </c>
      <c r="G898" t="inlineStr">
        <is>
          <t>1</t>
        </is>
      </c>
      <c r="H898" t="inlineStr">
        <is>
          <t>No</t>
        </is>
      </c>
      <c r="I898" t="inlineStr">
        <is>
          <t>No</t>
        </is>
      </c>
      <c r="J898" t="inlineStr">
        <is>
          <t>0</t>
        </is>
      </c>
      <c r="K898" t="inlineStr">
        <is>
          <t>Osgood, Herbert L. (Herbert Levi), 1855-1918.</t>
        </is>
      </c>
      <c r="L898" t="inlineStr">
        <is>
          <t>New York : Columbia university press, [c1930]</t>
        </is>
      </c>
      <c r="M898" t="inlineStr">
        <is>
          <t>1930</t>
        </is>
      </c>
      <c r="O898" t="inlineStr">
        <is>
          <t>eng</t>
        </is>
      </c>
      <c r="P898" t="inlineStr">
        <is>
          <t>___</t>
        </is>
      </c>
      <c r="R898" t="inlineStr">
        <is>
          <t xml:space="preserve">E  </t>
        </is>
      </c>
      <c r="S898" t="n">
        <v>3</v>
      </c>
      <c r="T898" t="n">
        <v>3</v>
      </c>
      <c r="U898" t="inlineStr">
        <is>
          <t>2000-08-28</t>
        </is>
      </c>
      <c r="V898" t="inlineStr">
        <is>
          <t>2000-08-28</t>
        </is>
      </c>
      <c r="W898" t="inlineStr">
        <is>
          <t>1991-03-06</t>
        </is>
      </c>
      <c r="X898" t="inlineStr">
        <is>
          <t>1991-03-06</t>
        </is>
      </c>
      <c r="Y898" t="n">
        <v>255</v>
      </c>
      <c r="Z898" t="n">
        <v>238</v>
      </c>
      <c r="AA898" t="n">
        <v>1060</v>
      </c>
      <c r="AB898" t="n">
        <v>6</v>
      </c>
      <c r="AC898" t="n">
        <v>10</v>
      </c>
      <c r="AD898" t="n">
        <v>22</v>
      </c>
      <c r="AE898" t="n">
        <v>49</v>
      </c>
      <c r="AF898" t="n">
        <v>8</v>
      </c>
      <c r="AG898" t="n">
        <v>21</v>
      </c>
      <c r="AH898" t="n">
        <v>4</v>
      </c>
      <c r="AI898" t="n">
        <v>9</v>
      </c>
      <c r="AJ898" t="n">
        <v>9</v>
      </c>
      <c r="AK898" t="n">
        <v>22</v>
      </c>
      <c r="AL898" t="n">
        <v>5</v>
      </c>
      <c r="AM898" t="n">
        <v>9</v>
      </c>
      <c r="AN898" t="n">
        <v>0</v>
      </c>
      <c r="AO898" t="n">
        <v>1</v>
      </c>
      <c r="AP898" t="inlineStr">
        <is>
          <t>No</t>
        </is>
      </c>
      <c r="AQ898" t="inlineStr">
        <is>
          <t>Yes</t>
        </is>
      </c>
      <c r="AR898">
        <f>HYPERLINK("http://catalog.hathitrust.org/Record/012281969","HathiTrust Record")</f>
        <v/>
      </c>
      <c r="AS898">
        <f>HYPERLINK("https://creighton-primo.hosted.exlibrisgroup.com/primo-explore/search?tab=default_tab&amp;search_scope=EVERYTHING&amp;vid=01CRU&amp;lang=en_US&amp;offset=0&amp;query=any,contains,991005359279702656","Catalog Record")</f>
        <v/>
      </c>
      <c r="AT898">
        <f>HYPERLINK("http://www.worldcat.org/oclc/1372978","WorldCat Record")</f>
        <v/>
      </c>
      <c r="AU898" t="inlineStr">
        <is>
          <t>3372349182:eng</t>
        </is>
      </c>
      <c r="AV898" t="inlineStr">
        <is>
          <t>1372978</t>
        </is>
      </c>
      <c r="AW898" t="inlineStr">
        <is>
          <t>991005359279702656</t>
        </is>
      </c>
      <c r="AX898" t="inlineStr">
        <is>
          <t>991005359279702656</t>
        </is>
      </c>
      <c r="AY898" t="inlineStr">
        <is>
          <t>2260694840002656</t>
        </is>
      </c>
      <c r="AZ898" t="inlineStr">
        <is>
          <t>BOOK</t>
        </is>
      </c>
      <c r="BC898" t="inlineStr">
        <is>
          <t>32285000540251</t>
        </is>
      </c>
      <c r="BD898" t="inlineStr">
        <is>
          <t>893613575</t>
        </is>
      </c>
    </row>
    <row r="899">
      <c r="A899" t="inlineStr">
        <is>
          <t>No</t>
        </is>
      </c>
      <c r="B899" t="inlineStr">
        <is>
          <t>E191 .O83</t>
        </is>
      </c>
      <c r="C899" t="inlineStr">
        <is>
          <t>0                      E  0191000O  83</t>
        </is>
      </c>
      <c r="D899" t="inlineStr">
        <is>
          <t>The American colonies in the seventeenth century / by Herbert L. Osgood.</t>
        </is>
      </c>
      <c r="E899" t="inlineStr">
        <is>
          <t>V.2</t>
        </is>
      </c>
      <c r="F899" t="inlineStr">
        <is>
          <t>Yes</t>
        </is>
      </c>
      <c r="G899" t="inlineStr">
        <is>
          <t>1</t>
        </is>
      </c>
      <c r="H899" t="inlineStr">
        <is>
          <t>No</t>
        </is>
      </c>
      <c r="I899" t="inlineStr">
        <is>
          <t>No</t>
        </is>
      </c>
      <c r="J899" t="inlineStr">
        <is>
          <t>0</t>
        </is>
      </c>
      <c r="K899" t="inlineStr">
        <is>
          <t>Osgood, Herbert L. (Herbert Levi), 1855-1918.</t>
        </is>
      </c>
      <c r="L899" t="inlineStr">
        <is>
          <t>New York : Columbia university press, [c1930]</t>
        </is>
      </c>
      <c r="M899" t="inlineStr">
        <is>
          <t>1930</t>
        </is>
      </c>
      <c r="O899" t="inlineStr">
        <is>
          <t>eng</t>
        </is>
      </c>
      <c r="P899" t="inlineStr">
        <is>
          <t>___</t>
        </is>
      </c>
      <c r="R899" t="inlineStr">
        <is>
          <t xml:space="preserve">E  </t>
        </is>
      </c>
      <c r="S899" t="n">
        <v>0</v>
      </c>
      <c r="T899" t="n">
        <v>3</v>
      </c>
      <c r="V899" t="inlineStr">
        <is>
          <t>2000-08-28</t>
        </is>
      </c>
      <c r="W899" t="inlineStr">
        <is>
          <t>1991-03-06</t>
        </is>
      </c>
      <c r="X899" t="inlineStr">
        <is>
          <t>1991-03-06</t>
        </is>
      </c>
      <c r="Y899" t="n">
        <v>255</v>
      </c>
      <c r="Z899" t="n">
        <v>238</v>
      </c>
      <c r="AA899" t="n">
        <v>1060</v>
      </c>
      <c r="AB899" t="n">
        <v>6</v>
      </c>
      <c r="AC899" t="n">
        <v>10</v>
      </c>
      <c r="AD899" t="n">
        <v>22</v>
      </c>
      <c r="AE899" t="n">
        <v>49</v>
      </c>
      <c r="AF899" t="n">
        <v>8</v>
      </c>
      <c r="AG899" t="n">
        <v>21</v>
      </c>
      <c r="AH899" t="n">
        <v>4</v>
      </c>
      <c r="AI899" t="n">
        <v>9</v>
      </c>
      <c r="AJ899" t="n">
        <v>9</v>
      </c>
      <c r="AK899" t="n">
        <v>22</v>
      </c>
      <c r="AL899" t="n">
        <v>5</v>
      </c>
      <c r="AM899" t="n">
        <v>9</v>
      </c>
      <c r="AN899" t="n">
        <v>0</v>
      </c>
      <c r="AO899" t="n">
        <v>1</v>
      </c>
      <c r="AP899" t="inlineStr">
        <is>
          <t>No</t>
        </is>
      </c>
      <c r="AQ899" t="inlineStr">
        <is>
          <t>Yes</t>
        </is>
      </c>
      <c r="AR899">
        <f>HYPERLINK("http://catalog.hathitrust.org/Record/012281969","HathiTrust Record")</f>
        <v/>
      </c>
      <c r="AS899">
        <f>HYPERLINK("https://creighton-primo.hosted.exlibrisgroup.com/primo-explore/search?tab=default_tab&amp;search_scope=EVERYTHING&amp;vid=01CRU&amp;lang=en_US&amp;offset=0&amp;query=any,contains,991005359279702656","Catalog Record")</f>
        <v/>
      </c>
      <c r="AT899">
        <f>HYPERLINK("http://www.worldcat.org/oclc/1372978","WorldCat Record")</f>
        <v/>
      </c>
      <c r="AU899" t="inlineStr">
        <is>
          <t>3372349182:eng</t>
        </is>
      </c>
      <c r="AV899" t="inlineStr">
        <is>
          <t>1372978</t>
        </is>
      </c>
      <c r="AW899" t="inlineStr">
        <is>
          <t>991005359279702656</t>
        </is>
      </c>
      <c r="AX899" t="inlineStr">
        <is>
          <t>991005359279702656</t>
        </is>
      </c>
      <c r="AY899" t="inlineStr">
        <is>
          <t>2260694840002656</t>
        </is>
      </c>
      <c r="AZ899" t="inlineStr">
        <is>
          <t>BOOK</t>
        </is>
      </c>
      <c r="BC899" t="inlineStr">
        <is>
          <t>32285000540269</t>
        </is>
      </c>
      <c r="BD899" t="inlineStr">
        <is>
          <t>893594907</t>
        </is>
      </c>
    </row>
    <row r="900">
      <c r="A900" t="inlineStr">
        <is>
          <t>No</t>
        </is>
      </c>
      <c r="B900" t="inlineStr">
        <is>
          <t>E191 .O83</t>
        </is>
      </c>
      <c r="C900" t="inlineStr">
        <is>
          <t>0                      E  0191000O  83</t>
        </is>
      </c>
      <c r="D900" t="inlineStr">
        <is>
          <t>The American colonies in the seventeenth century / by Herbert L. Osgood.</t>
        </is>
      </c>
      <c r="E900" t="inlineStr">
        <is>
          <t>V.3</t>
        </is>
      </c>
      <c r="F900" t="inlineStr">
        <is>
          <t>Yes</t>
        </is>
      </c>
      <c r="G900" t="inlineStr">
        <is>
          <t>1</t>
        </is>
      </c>
      <c r="H900" t="inlineStr">
        <is>
          <t>No</t>
        </is>
      </c>
      <c r="I900" t="inlineStr">
        <is>
          <t>No</t>
        </is>
      </c>
      <c r="J900" t="inlineStr">
        <is>
          <t>0</t>
        </is>
      </c>
      <c r="K900" t="inlineStr">
        <is>
          <t>Osgood, Herbert L. (Herbert Levi), 1855-1918.</t>
        </is>
      </c>
      <c r="L900" t="inlineStr">
        <is>
          <t>New York : Columbia university press, [c1930]</t>
        </is>
      </c>
      <c r="M900" t="inlineStr">
        <is>
          <t>1930</t>
        </is>
      </c>
      <c r="O900" t="inlineStr">
        <is>
          <t>eng</t>
        </is>
      </c>
      <c r="P900" t="inlineStr">
        <is>
          <t>___</t>
        </is>
      </c>
      <c r="R900" t="inlineStr">
        <is>
          <t xml:space="preserve">E  </t>
        </is>
      </c>
      <c r="S900" t="n">
        <v>0</v>
      </c>
      <c r="T900" t="n">
        <v>3</v>
      </c>
      <c r="V900" t="inlineStr">
        <is>
          <t>2000-08-28</t>
        </is>
      </c>
      <c r="W900" t="inlineStr">
        <is>
          <t>1991-03-06</t>
        </is>
      </c>
      <c r="X900" t="inlineStr">
        <is>
          <t>1991-03-06</t>
        </is>
      </c>
      <c r="Y900" t="n">
        <v>255</v>
      </c>
      <c r="Z900" t="n">
        <v>238</v>
      </c>
      <c r="AA900" t="n">
        <v>1060</v>
      </c>
      <c r="AB900" t="n">
        <v>6</v>
      </c>
      <c r="AC900" t="n">
        <v>10</v>
      </c>
      <c r="AD900" t="n">
        <v>22</v>
      </c>
      <c r="AE900" t="n">
        <v>49</v>
      </c>
      <c r="AF900" t="n">
        <v>8</v>
      </c>
      <c r="AG900" t="n">
        <v>21</v>
      </c>
      <c r="AH900" t="n">
        <v>4</v>
      </c>
      <c r="AI900" t="n">
        <v>9</v>
      </c>
      <c r="AJ900" t="n">
        <v>9</v>
      </c>
      <c r="AK900" t="n">
        <v>22</v>
      </c>
      <c r="AL900" t="n">
        <v>5</v>
      </c>
      <c r="AM900" t="n">
        <v>9</v>
      </c>
      <c r="AN900" t="n">
        <v>0</v>
      </c>
      <c r="AO900" t="n">
        <v>1</v>
      </c>
      <c r="AP900" t="inlineStr">
        <is>
          <t>No</t>
        </is>
      </c>
      <c r="AQ900" t="inlineStr">
        <is>
          <t>Yes</t>
        </is>
      </c>
      <c r="AR900">
        <f>HYPERLINK("http://catalog.hathitrust.org/Record/012281969","HathiTrust Record")</f>
        <v/>
      </c>
      <c r="AS900">
        <f>HYPERLINK("https://creighton-primo.hosted.exlibrisgroup.com/primo-explore/search?tab=default_tab&amp;search_scope=EVERYTHING&amp;vid=01CRU&amp;lang=en_US&amp;offset=0&amp;query=any,contains,991005359279702656","Catalog Record")</f>
        <v/>
      </c>
      <c r="AT900">
        <f>HYPERLINK("http://www.worldcat.org/oclc/1372978","WorldCat Record")</f>
        <v/>
      </c>
      <c r="AU900" t="inlineStr">
        <is>
          <t>3372349182:eng</t>
        </is>
      </c>
      <c r="AV900" t="inlineStr">
        <is>
          <t>1372978</t>
        </is>
      </c>
      <c r="AW900" t="inlineStr">
        <is>
          <t>991005359279702656</t>
        </is>
      </c>
      <c r="AX900" t="inlineStr">
        <is>
          <t>991005359279702656</t>
        </is>
      </c>
      <c r="AY900" t="inlineStr">
        <is>
          <t>2260694840002656</t>
        </is>
      </c>
      <c r="AZ900" t="inlineStr">
        <is>
          <t>BOOK</t>
        </is>
      </c>
      <c r="BC900" t="inlineStr">
        <is>
          <t>32285000540277</t>
        </is>
      </c>
      <c r="BD900" t="inlineStr">
        <is>
          <t>893628703</t>
        </is>
      </c>
    </row>
    <row r="901">
      <c r="A901" t="inlineStr">
        <is>
          <t>No</t>
        </is>
      </c>
      <c r="B901" t="inlineStr">
        <is>
          <t>E191 .S67</t>
        </is>
      </c>
      <c r="C901" t="inlineStr">
        <is>
          <t>0                      E  0191000S  67</t>
        </is>
      </c>
      <c r="D901" t="inlineStr">
        <is>
          <t>English America and the Restoration monarchy of Charles II : transatlantic politics, commerce, and kinship / J.M. Sosin.</t>
        </is>
      </c>
      <c r="F901" t="inlineStr">
        <is>
          <t>No</t>
        </is>
      </c>
      <c r="G901" t="inlineStr">
        <is>
          <t>1</t>
        </is>
      </c>
      <c r="H901" t="inlineStr">
        <is>
          <t>No</t>
        </is>
      </c>
      <c r="I901" t="inlineStr">
        <is>
          <t>No</t>
        </is>
      </c>
      <c r="J901" t="inlineStr">
        <is>
          <t>0</t>
        </is>
      </c>
      <c r="K901" t="inlineStr">
        <is>
          <t>Sosin, Jack M.</t>
        </is>
      </c>
      <c r="L901" t="inlineStr">
        <is>
          <t>Lincoln : University of Nebraska Press, c1980.</t>
        </is>
      </c>
      <c r="M901" t="inlineStr">
        <is>
          <t>1980</t>
        </is>
      </c>
      <c r="O901" t="inlineStr">
        <is>
          <t>eng</t>
        </is>
      </c>
      <c r="P901" t="inlineStr">
        <is>
          <t>nbu</t>
        </is>
      </c>
      <c r="R901" t="inlineStr">
        <is>
          <t xml:space="preserve">E  </t>
        </is>
      </c>
      <c r="S901" t="n">
        <v>2</v>
      </c>
      <c r="T901" t="n">
        <v>2</v>
      </c>
      <c r="U901" t="inlineStr">
        <is>
          <t>1997-09-27</t>
        </is>
      </c>
      <c r="V901" t="inlineStr">
        <is>
          <t>1997-09-27</t>
        </is>
      </c>
      <c r="W901" t="inlineStr">
        <is>
          <t>1991-03-06</t>
        </is>
      </c>
      <c r="X901" t="inlineStr">
        <is>
          <t>1991-03-06</t>
        </is>
      </c>
      <c r="Y901" t="n">
        <v>487</v>
      </c>
      <c r="Z901" t="n">
        <v>409</v>
      </c>
      <c r="AA901" t="n">
        <v>414</v>
      </c>
      <c r="AB901" t="n">
        <v>7</v>
      </c>
      <c r="AC901" t="n">
        <v>7</v>
      </c>
      <c r="AD901" t="n">
        <v>19</v>
      </c>
      <c r="AE901" t="n">
        <v>19</v>
      </c>
      <c r="AF901" t="n">
        <v>7</v>
      </c>
      <c r="AG901" t="n">
        <v>7</v>
      </c>
      <c r="AH901" t="n">
        <v>6</v>
      </c>
      <c r="AI901" t="n">
        <v>6</v>
      </c>
      <c r="AJ901" t="n">
        <v>13</v>
      </c>
      <c r="AK901" t="n">
        <v>13</v>
      </c>
      <c r="AL901" t="n">
        <v>2</v>
      </c>
      <c r="AM901" t="n">
        <v>2</v>
      </c>
      <c r="AN901" t="n">
        <v>1</v>
      </c>
      <c r="AO901" t="n">
        <v>1</v>
      </c>
      <c r="AP901" t="inlineStr">
        <is>
          <t>No</t>
        </is>
      </c>
      <c r="AQ901" t="inlineStr">
        <is>
          <t>Yes</t>
        </is>
      </c>
      <c r="AR901">
        <f>HYPERLINK("http://catalog.hathitrust.org/Record/000741102","HathiTrust Record")</f>
        <v/>
      </c>
      <c r="AS901">
        <f>HYPERLINK("https://creighton-primo.hosted.exlibrisgroup.com/primo-explore/search?tab=default_tab&amp;search_scope=EVERYTHING&amp;vid=01CRU&amp;lang=en_US&amp;offset=0&amp;query=any,contains,991004965909702656","Catalog Record")</f>
        <v/>
      </c>
      <c r="AT901">
        <f>HYPERLINK("http://www.worldcat.org/oclc/6331628","WorldCat Record")</f>
        <v/>
      </c>
      <c r="AU901" t="inlineStr">
        <is>
          <t>455246:eng</t>
        </is>
      </c>
      <c r="AV901" t="inlineStr">
        <is>
          <t>6331628</t>
        </is>
      </c>
      <c r="AW901" t="inlineStr">
        <is>
          <t>991004965909702656</t>
        </is>
      </c>
      <c r="AX901" t="inlineStr">
        <is>
          <t>991004965909702656</t>
        </is>
      </c>
      <c r="AY901" t="inlineStr">
        <is>
          <t>2272461920002656</t>
        </is>
      </c>
      <c r="AZ901" t="inlineStr">
        <is>
          <t>BOOK</t>
        </is>
      </c>
      <c r="BB901" t="inlineStr">
        <is>
          <t>9780803241183</t>
        </is>
      </c>
      <c r="BC901" t="inlineStr">
        <is>
          <t>32285000540285</t>
        </is>
      </c>
      <c r="BD901" t="inlineStr">
        <is>
          <t>893230050</t>
        </is>
      </c>
    </row>
    <row r="902">
      <c r="A902" t="inlineStr">
        <is>
          <t>No</t>
        </is>
      </c>
      <c r="B902" t="inlineStr">
        <is>
          <t>E195 .J4</t>
        </is>
      </c>
      <c r="C902" t="inlineStr">
        <is>
          <t>0                      E  0195000J  4</t>
        </is>
      </c>
      <c r="D902" t="inlineStr">
        <is>
          <t>The founding of a nation; a history of the American Revolution, 1763-1776.</t>
        </is>
      </c>
      <c r="F902" t="inlineStr">
        <is>
          <t>No</t>
        </is>
      </c>
      <c r="G902" t="inlineStr">
        <is>
          <t>1</t>
        </is>
      </c>
      <c r="H902" t="inlineStr">
        <is>
          <t>No</t>
        </is>
      </c>
      <c r="I902" t="inlineStr">
        <is>
          <t>No</t>
        </is>
      </c>
      <c r="J902" t="inlineStr">
        <is>
          <t>0</t>
        </is>
      </c>
      <c r="K902" t="inlineStr">
        <is>
          <t>Jensen, Merrill.</t>
        </is>
      </c>
      <c r="L902" t="inlineStr">
        <is>
          <t>New York, Oxford University Press, 1968.</t>
        </is>
      </c>
      <c r="M902" t="inlineStr">
        <is>
          <t>1968</t>
        </is>
      </c>
      <c r="O902" t="inlineStr">
        <is>
          <t>eng</t>
        </is>
      </c>
      <c r="P902" t="inlineStr">
        <is>
          <t>nyu</t>
        </is>
      </c>
      <c r="R902" t="inlineStr">
        <is>
          <t xml:space="preserve">E  </t>
        </is>
      </c>
      <c r="S902" t="n">
        <v>1</v>
      </c>
      <c r="T902" t="n">
        <v>1</v>
      </c>
      <c r="U902" t="inlineStr">
        <is>
          <t>2002-11-08</t>
        </is>
      </c>
      <c r="V902" t="inlineStr">
        <is>
          <t>2002-11-08</t>
        </is>
      </c>
      <c r="W902" t="inlineStr">
        <is>
          <t>1997-05-05</t>
        </is>
      </c>
      <c r="X902" t="inlineStr">
        <is>
          <t>1997-05-05</t>
        </is>
      </c>
      <c r="Y902" t="n">
        <v>1581</v>
      </c>
      <c r="Z902" t="n">
        <v>1408</v>
      </c>
      <c r="AA902" t="n">
        <v>1541</v>
      </c>
      <c r="AB902" t="n">
        <v>12</v>
      </c>
      <c r="AC902" t="n">
        <v>12</v>
      </c>
      <c r="AD902" t="n">
        <v>52</v>
      </c>
      <c r="AE902" t="n">
        <v>54</v>
      </c>
      <c r="AF902" t="n">
        <v>21</v>
      </c>
      <c r="AG902" t="n">
        <v>22</v>
      </c>
      <c r="AH902" t="n">
        <v>9</v>
      </c>
      <c r="AI902" t="n">
        <v>11</v>
      </c>
      <c r="AJ902" t="n">
        <v>21</v>
      </c>
      <c r="AK902" t="n">
        <v>21</v>
      </c>
      <c r="AL902" t="n">
        <v>9</v>
      </c>
      <c r="AM902" t="n">
        <v>9</v>
      </c>
      <c r="AN902" t="n">
        <v>3</v>
      </c>
      <c r="AO902" t="n">
        <v>3</v>
      </c>
      <c r="AP902" t="inlineStr">
        <is>
          <t>No</t>
        </is>
      </c>
      <c r="AQ902" t="inlineStr">
        <is>
          <t>Yes</t>
        </is>
      </c>
      <c r="AR902">
        <f>HYPERLINK("http://catalog.hathitrust.org/Record/000364137","HathiTrust Record")</f>
        <v/>
      </c>
      <c r="AS902">
        <f>HYPERLINK("https://creighton-primo.hosted.exlibrisgroup.com/primo-explore/search?tab=default_tab&amp;search_scope=EVERYTHING&amp;vid=01CRU&amp;lang=en_US&amp;offset=0&amp;query=any,contains,991001946469702656","Catalog Record")</f>
        <v/>
      </c>
      <c r="AT902">
        <f>HYPERLINK("http://www.worldcat.org/oclc/250956","WorldCat Record")</f>
        <v/>
      </c>
      <c r="AU902" t="inlineStr">
        <is>
          <t>979258:eng</t>
        </is>
      </c>
      <c r="AV902" t="inlineStr">
        <is>
          <t>250956</t>
        </is>
      </c>
      <c r="AW902" t="inlineStr">
        <is>
          <t>991001946469702656</t>
        </is>
      </c>
      <c r="AX902" t="inlineStr">
        <is>
          <t>991001946469702656</t>
        </is>
      </c>
      <c r="AY902" t="inlineStr">
        <is>
          <t>2268306730002656</t>
        </is>
      </c>
      <c r="AZ902" t="inlineStr">
        <is>
          <t>BOOK</t>
        </is>
      </c>
      <c r="BC902" t="inlineStr">
        <is>
          <t>32285002572989</t>
        </is>
      </c>
      <c r="BD902" t="inlineStr">
        <is>
          <t>893872918</t>
        </is>
      </c>
    </row>
    <row r="903">
      <c r="A903" t="inlineStr">
        <is>
          <t>No</t>
        </is>
      </c>
      <c r="B903" t="inlineStr">
        <is>
          <t>E195 .O82</t>
        </is>
      </c>
      <c r="C903" t="inlineStr">
        <is>
          <t>0                      E  0195000O  82</t>
        </is>
      </c>
      <c r="D903" t="inlineStr">
        <is>
          <t>The American colonies in the eighteenth century / by Herbert L. Osgood.</t>
        </is>
      </c>
      <c r="E903" t="inlineStr">
        <is>
          <t>V.1</t>
        </is>
      </c>
      <c r="F903" t="inlineStr">
        <is>
          <t>Yes</t>
        </is>
      </c>
      <c r="G903" t="inlineStr">
        <is>
          <t>1</t>
        </is>
      </c>
      <c r="H903" t="inlineStr">
        <is>
          <t>No</t>
        </is>
      </c>
      <c r="I903" t="inlineStr">
        <is>
          <t>No</t>
        </is>
      </c>
      <c r="J903" t="inlineStr">
        <is>
          <t>0</t>
        </is>
      </c>
      <c r="K903" t="inlineStr">
        <is>
          <t>Osgood, Herbert L. (Herbert Levi), 1855-1918.</t>
        </is>
      </c>
      <c r="L903" t="inlineStr">
        <is>
          <t>New York : Columbia University Press, 1924.</t>
        </is>
      </c>
      <c r="M903" t="inlineStr">
        <is>
          <t>1924</t>
        </is>
      </c>
      <c r="O903" t="inlineStr">
        <is>
          <t>eng</t>
        </is>
      </c>
      <c r="P903" t="inlineStr">
        <is>
          <t>nyu</t>
        </is>
      </c>
      <c r="R903" t="inlineStr">
        <is>
          <t xml:space="preserve">E  </t>
        </is>
      </c>
      <c r="S903" t="n">
        <v>1</v>
      </c>
      <c r="T903" t="n">
        <v>1</v>
      </c>
      <c r="U903" t="inlineStr">
        <is>
          <t>2001-10-04</t>
        </is>
      </c>
      <c r="V903" t="inlineStr">
        <is>
          <t>2001-10-04</t>
        </is>
      </c>
      <c r="W903" t="inlineStr">
        <is>
          <t>1996-08-19</t>
        </is>
      </c>
      <c r="X903" t="inlineStr">
        <is>
          <t>1996-08-19</t>
        </is>
      </c>
      <c r="Y903" t="n">
        <v>169</v>
      </c>
      <c r="Z903" t="n">
        <v>124</v>
      </c>
      <c r="AA903" t="n">
        <v>1097</v>
      </c>
      <c r="AB903" t="n">
        <v>2</v>
      </c>
      <c r="AC903" t="n">
        <v>11</v>
      </c>
      <c r="AD903" t="n">
        <v>6</v>
      </c>
      <c r="AE903" t="n">
        <v>54</v>
      </c>
      <c r="AF903" t="n">
        <v>3</v>
      </c>
      <c r="AG903" t="n">
        <v>22</v>
      </c>
      <c r="AH903" t="n">
        <v>1</v>
      </c>
      <c r="AI903" t="n">
        <v>10</v>
      </c>
      <c r="AJ903" t="n">
        <v>2</v>
      </c>
      <c r="AK903" t="n">
        <v>22</v>
      </c>
      <c r="AL903" t="n">
        <v>1</v>
      </c>
      <c r="AM903" t="n">
        <v>10</v>
      </c>
      <c r="AN903" t="n">
        <v>1</v>
      </c>
      <c r="AO903" t="n">
        <v>3</v>
      </c>
      <c r="AP903" t="inlineStr">
        <is>
          <t>Yes</t>
        </is>
      </c>
      <c r="AQ903" t="inlineStr">
        <is>
          <t>No</t>
        </is>
      </c>
      <c r="AR903">
        <f>HYPERLINK("http://catalog.hathitrust.org/Record/000361713","HathiTrust Record")</f>
        <v/>
      </c>
      <c r="AS903">
        <f>HYPERLINK("https://creighton-primo.hosted.exlibrisgroup.com/primo-explore/search?tab=default_tab&amp;search_scope=EVERYTHING&amp;vid=01CRU&amp;lang=en_US&amp;offset=0&amp;query=any,contains,991002365909702656","Catalog Record")</f>
        <v/>
      </c>
      <c r="AT903">
        <f>HYPERLINK("http://www.worldcat.org/oclc/30753133","WorldCat Record")</f>
        <v/>
      </c>
      <c r="AU903" t="inlineStr">
        <is>
          <t>1512846:eng</t>
        </is>
      </c>
      <c r="AV903" t="inlineStr">
        <is>
          <t>30753133</t>
        </is>
      </c>
      <c r="AW903" t="inlineStr">
        <is>
          <t>991002365909702656</t>
        </is>
      </c>
      <c r="AX903" t="inlineStr">
        <is>
          <t>991002365909702656</t>
        </is>
      </c>
      <c r="AY903" t="inlineStr">
        <is>
          <t>2258960630002656</t>
        </is>
      </c>
      <c r="AZ903" t="inlineStr">
        <is>
          <t>BOOK</t>
        </is>
      </c>
      <c r="BC903" t="inlineStr">
        <is>
          <t>32285002281342</t>
        </is>
      </c>
      <c r="BD903" t="inlineStr">
        <is>
          <t>893873422</t>
        </is>
      </c>
    </row>
    <row r="904">
      <c r="A904" t="inlineStr">
        <is>
          <t>No</t>
        </is>
      </c>
      <c r="B904" t="inlineStr">
        <is>
          <t>E195 .O82</t>
        </is>
      </c>
      <c r="C904" t="inlineStr">
        <is>
          <t>0                      E  0195000O  82</t>
        </is>
      </c>
      <c r="D904" t="inlineStr">
        <is>
          <t>The American colonies in the eighteenth century / by Herbert L. Osgood.</t>
        </is>
      </c>
      <c r="E904" t="inlineStr">
        <is>
          <t>V.4</t>
        </is>
      </c>
      <c r="F904" t="inlineStr">
        <is>
          <t>Yes</t>
        </is>
      </c>
      <c r="G904" t="inlineStr">
        <is>
          <t>1</t>
        </is>
      </c>
      <c r="H904" t="inlineStr">
        <is>
          <t>No</t>
        </is>
      </c>
      <c r="I904" t="inlineStr">
        <is>
          <t>No</t>
        </is>
      </c>
      <c r="J904" t="inlineStr">
        <is>
          <t>0</t>
        </is>
      </c>
      <c r="K904" t="inlineStr">
        <is>
          <t>Osgood, Herbert L. (Herbert Levi), 1855-1918.</t>
        </is>
      </c>
      <c r="L904" t="inlineStr">
        <is>
          <t>New York : Columbia University Press, 1924.</t>
        </is>
      </c>
      <c r="M904" t="inlineStr">
        <is>
          <t>1924</t>
        </is>
      </c>
      <c r="O904" t="inlineStr">
        <is>
          <t>eng</t>
        </is>
      </c>
      <c r="P904" t="inlineStr">
        <is>
          <t>nyu</t>
        </is>
      </c>
      <c r="R904" t="inlineStr">
        <is>
          <t xml:space="preserve">E  </t>
        </is>
      </c>
      <c r="S904" t="n">
        <v>0</v>
      </c>
      <c r="T904" t="n">
        <v>1</v>
      </c>
      <c r="V904" t="inlineStr">
        <is>
          <t>2001-10-04</t>
        </is>
      </c>
      <c r="W904" t="inlineStr">
        <is>
          <t>1996-08-19</t>
        </is>
      </c>
      <c r="X904" t="inlineStr">
        <is>
          <t>1996-08-19</t>
        </is>
      </c>
      <c r="Y904" t="n">
        <v>169</v>
      </c>
      <c r="Z904" t="n">
        <v>124</v>
      </c>
      <c r="AA904" t="n">
        <v>1097</v>
      </c>
      <c r="AB904" t="n">
        <v>2</v>
      </c>
      <c r="AC904" t="n">
        <v>11</v>
      </c>
      <c r="AD904" t="n">
        <v>6</v>
      </c>
      <c r="AE904" t="n">
        <v>54</v>
      </c>
      <c r="AF904" t="n">
        <v>3</v>
      </c>
      <c r="AG904" t="n">
        <v>22</v>
      </c>
      <c r="AH904" t="n">
        <v>1</v>
      </c>
      <c r="AI904" t="n">
        <v>10</v>
      </c>
      <c r="AJ904" t="n">
        <v>2</v>
      </c>
      <c r="AK904" t="n">
        <v>22</v>
      </c>
      <c r="AL904" t="n">
        <v>1</v>
      </c>
      <c r="AM904" t="n">
        <v>10</v>
      </c>
      <c r="AN904" t="n">
        <v>1</v>
      </c>
      <c r="AO904" t="n">
        <v>3</v>
      </c>
      <c r="AP904" t="inlineStr">
        <is>
          <t>Yes</t>
        </is>
      </c>
      <c r="AQ904" t="inlineStr">
        <is>
          <t>No</t>
        </is>
      </c>
      <c r="AR904">
        <f>HYPERLINK("http://catalog.hathitrust.org/Record/000361713","HathiTrust Record")</f>
        <v/>
      </c>
      <c r="AS904">
        <f>HYPERLINK("https://creighton-primo.hosted.exlibrisgroup.com/primo-explore/search?tab=default_tab&amp;search_scope=EVERYTHING&amp;vid=01CRU&amp;lang=en_US&amp;offset=0&amp;query=any,contains,991002365909702656","Catalog Record")</f>
        <v/>
      </c>
      <c r="AT904">
        <f>HYPERLINK("http://www.worldcat.org/oclc/30753133","WorldCat Record")</f>
        <v/>
      </c>
      <c r="AU904" t="inlineStr">
        <is>
          <t>1512846:eng</t>
        </is>
      </c>
      <c r="AV904" t="inlineStr">
        <is>
          <t>30753133</t>
        </is>
      </c>
      <c r="AW904" t="inlineStr">
        <is>
          <t>991002365909702656</t>
        </is>
      </c>
      <c r="AX904" t="inlineStr">
        <is>
          <t>991002365909702656</t>
        </is>
      </c>
      <c r="AY904" t="inlineStr">
        <is>
          <t>2258960630002656</t>
        </is>
      </c>
      <c r="AZ904" t="inlineStr">
        <is>
          <t>BOOK</t>
        </is>
      </c>
      <c r="BC904" t="inlineStr">
        <is>
          <t>32285002281375</t>
        </is>
      </c>
      <c r="BD904" t="inlineStr">
        <is>
          <t>893879828</t>
        </is>
      </c>
    </row>
    <row r="905">
      <c r="A905" t="inlineStr">
        <is>
          <t>No</t>
        </is>
      </c>
      <c r="B905" t="inlineStr">
        <is>
          <t>E195 .O82</t>
        </is>
      </c>
      <c r="C905" t="inlineStr">
        <is>
          <t>0                      E  0195000O  82</t>
        </is>
      </c>
      <c r="D905" t="inlineStr">
        <is>
          <t>The American colonies in the eighteenth century / by Herbert L. Osgood.</t>
        </is>
      </c>
      <c r="E905" t="inlineStr">
        <is>
          <t>V.3</t>
        </is>
      </c>
      <c r="F905" t="inlineStr">
        <is>
          <t>Yes</t>
        </is>
      </c>
      <c r="G905" t="inlineStr">
        <is>
          <t>1</t>
        </is>
      </c>
      <c r="H905" t="inlineStr">
        <is>
          <t>No</t>
        </is>
      </c>
      <c r="I905" t="inlineStr">
        <is>
          <t>No</t>
        </is>
      </c>
      <c r="J905" t="inlineStr">
        <is>
          <t>0</t>
        </is>
      </c>
      <c r="K905" t="inlineStr">
        <is>
          <t>Osgood, Herbert L. (Herbert Levi), 1855-1918.</t>
        </is>
      </c>
      <c r="L905" t="inlineStr">
        <is>
          <t>New York : Columbia University Press, 1924.</t>
        </is>
      </c>
      <c r="M905" t="inlineStr">
        <is>
          <t>1924</t>
        </is>
      </c>
      <c r="O905" t="inlineStr">
        <is>
          <t>eng</t>
        </is>
      </c>
      <c r="P905" t="inlineStr">
        <is>
          <t>nyu</t>
        </is>
      </c>
      <c r="R905" t="inlineStr">
        <is>
          <t xml:space="preserve">E  </t>
        </is>
      </c>
      <c r="S905" t="n">
        <v>0</v>
      </c>
      <c r="T905" t="n">
        <v>1</v>
      </c>
      <c r="V905" t="inlineStr">
        <is>
          <t>2001-10-04</t>
        </is>
      </c>
      <c r="W905" t="inlineStr">
        <is>
          <t>1996-08-19</t>
        </is>
      </c>
      <c r="X905" t="inlineStr">
        <is>
          <t>1996-08-19</t>
        </is>
      </c>
      <c r="Y905" t="n">
        <v>169</v>
      </c>
      <c r="Z905" t="n">
        <v>124</v>
      </c>
      <c r="AA905" t="n">
        <v>1097</v>
      </c>
      <c r="AB905" t="n">
        <v>2</v>
      </c>
      <c r="AC905" t="n">
        <v>11</v>
      </c>
      <c r="AD905" t="n">
        <v>6</v>
      </c>
      <c r="AE905" t="n">
        <v>54</v>
      </c>
      <c r="AF905" t="n">
        <v>3</v>
      </c>
      <c r="AG905" t="n">
        <v>22</v>
      </c>
      <c r="AH905" t="n">
        <v>1</v>
      </c>
      <c r="AI905" t="n">
        <v>10</v>
      </c>
      <c r="AJ905" t="n">
        <v>2</v>
      </c>
      <c r="AK905" t="n">
        <v>22</v>
      </c>
      <c r="AL905" t="n">
        <v>1</v>
      </c>
      <c r="AM905" t="n">
        <v>10</v>
      </c>
      <c r="AN905" t="n">
        <v>1</v>
      </c>
      <c r="AO905" t="n">
        <v>3</v>
      </c>
      <c r="AP905" t="inlineStr">
        <is>
          <t>Yes</t>
        </is>
      </c>
      <c r="AQ905" t="inlineStr">
        <is>
          <t>No</t>
        </is>
      </c>
      <c r="AR905">
        <f>HYPERLINK("http://catalog.hathitrust.org/Record/000361713","HathiTrust Record")</f>
        <v/>
      </c>
      <c r="AS905">
        <f>HYPERLINK("https://creighton-primo.hosted.exlibrisgroup.com/primo-explore/search?tab=default_tab&amp;search_scope=EVERYTHING&amp;vid=01CRU&amp;lang=en_US&amp;offset=0&amp;query=any,contains,991002365909702656","Catalog Record")</f>
        <v/>
      </c>
      <c r="AT905">
        <f>HYPERLINK("http://www.worldcat.org/oclc/30753133","WorldCat Record")</f>
        <v/>
      </c>
      <c r="AU905" t="inlineStr">
        <is>
          <t>1512846:eng</t>
        </is>
      </c>
      <c r="AV905" t="inlineStr">
        <is>
          <t>30753133</t>
        </is>
      </c>
      <c r="AW905" t="inlineStr">
        <is>
          <t>991002365909702656</t>
        </is>
      </c>
      <c r="AX905" t="inlineStr">
        <is>
          <t>991002365909702656</t>
        </is>
      </c>
      <c r="AY905" t="inlineStr">
        <is>
          <t>2258960630002656</t>
        </is>
      </c>
      <c r="AZ905" t="inlineStr">
        <is>
          <t>BOOK</t>
        </is>
      </c>
      <c r="BC905" t="inlineStr">
        <is>
          <t>32285002281367</t>
        </is>
      </c>
      <c r="BD905" t="inlineStr">
        <is>
          <t>893873421</t>
        </is>
      </c>
    </row>
    <row r="906">
      <c r="A906" t="inlineStr">
        <is>
          <t>No</t>
        </is>
      </c>
      <c r="B906" t="inlineStr">
        <is>
          <t>E195 .O82</t>
        </is>
      </c>
      <c r="C906" t="inlineStr">
        <is>
          <t>0                      E  0195000O  82</t>
        </is>
      </c>
      <c r="D906" t="inlineStr">
        <is>
          <t>The American colonies in the eighteenth century / by Herbert L. Osgood.</t>
        </is>
      </c>
      <c r="E906" t="inlineStr">
        <is>
          <t>V.2</t>
        </is>
      </c>
      <c r="F906" t="inlineStr">
        <is>
          <t>Yes</t>
        </is>
      </c>
      <c r="G906" t="inlineStr">
        <is>
          <t>1</t>
        </is>
      </c>
      <c r="H906" t="inlineStr">
        <is>
          <t>No</t>
        </is>
      </c>
      <c r="I906" t="inlineStr">
        <is>
          <t>No</t>
        </is>
      </c>
      <c r="J906" t="inlineStr">
        <is>
          <t>0</t>
        </is>
      </c>
      <c r="K906" t="inlineStr">
        <is>
          <t>Osgood, Herbert L. (Herbert Levi), 1855-1918.</t>
        </is>
      </c>
      <c r="L906" t="inlineStr">
        <is>
          <t>New York : Columbia University Press, 1924.</t>
        </is>
      </c>
      <c r="M906" t="inlineStr">
        <is>
          <t>1924</t>
        </is>
      </c>
      <c r="O906" t="inlineStr">
        <is>
          <t>eng</t>
        </is>
      </c>
      <c r="P906" t="inlineStr">
        <is>
          <t>nyu</t>
        </is>
      </c>
      <c r="R906" t="inlineStr">
        <is>
          <t xml:space="preserve">E  </t>
        </is>
      </c>
      <c r="S906" t="n">
        <v>0</v>
      </c>
      <c r="T906" t="n">
        <v>1</v>
      </c>
      <c r="V906" t="inlineStr">
        <is>
          <t>2001-10-04</t>
        </is>
      </c>
      <c r="W906" t="inlineStr">
        <is>
          <t>1996-08-19</t>
        </is>
      </c>
      <c r="X906" t="inlineStr">
        <is>
          <t>1996-08-19</t>
        </is>
      </c>
      <c r="Y906" t="n">
        <v>169</v>
      </c>
      <c r="Z906" t="n">
        <v>124</v>
      </c>
      <c r="AA906" t="n">
        <v>1097</v>
      </c>
      <c r="AB906" t="n">
        <v>2</v>
      </c>
      <c r="AC906" t="n">
        <v>11</v>
      </c>
      <c r="AD906" t="n">
        <v>6</v>
      </c>
      <c r="AE906" t="n">
        <v>54</v>
      </c>
      <c r="AF906" t="n">
        <v>3</v>
      </c>
      <c r="AG906" t="n">
        <v>22</v>
      </c>
      <c r="AH906" t="n">
        <v>1</v>
      </c>
      <c r="AI906" t="n">
        <v>10</v>
      </c>
      <c r="AJ906" t="n">
        <v>2</v>
      </c>
      <c r="AK906" t="n">
        <v>22</v>
      </c>
      <c r="AL906" t="n">
        <v>1</v>
      </c>
      <c r="AM906" t="n">
        <v>10</v>
      </c>
      <c r="AN906" t="n">
        <v>1</v>
      </c>
      <c r="AO906" t="n">
        <v>3</v>
      </c>
      <c r="AP906" t="inlineStr">
        <is>
          <t>Yes</t>
        </is>
      </c>
      <c r="AQ906" t="inlineStr">
        <is>
          <t>No</t>
        </is>
      </c>
      <c r="AR906">
        <f>HYPERLINK("http://catalog.hathitrust.org/Record/000361713","HathiTrust Record")</f>
        <v/>
      </c>
      <c r="AS906">
        <f>HYPERLINK("https://creighton-primo.hosted.exlibrisgroup.com/primo-explore/search?tab=default_tab&amp;search_scope=EVERYTHING&amp;vid=01CRU&amp;lang=en_US&amp;offset=0&amp;query=any,contains,991002365909702656","Catalog Record")</f>
        <v/>
      </c>
      <c r="AT906">
        <f>HYPERLINK("http://www.worldcat.org/oclc/30753133","WorldCat Record")</f>
        <v/>
      </c>
      <c r="AU906" t="inlineStr">
        <is>
          <t>1512846:eng</t>
        </is>
      </c>
      <c r="AV906" t="inlineStr">
        <is>
          <t>30753133</t>
        </is>
      </c>
      <c r="AW906" t="inlineStr">
        <is>
          <t>991002365909702656</t>
        </is>
      </c>
      <c r="AX906" t="inlineStr">
        <is>
          <t>991002365909702656</t>
        </is>
      </c>
      <c r="AY906" t="inlineStr">
        <is>
          <t>2258960630002656</t>
        </is>
      </c>
      <c r="AZ906" t="inlineStr">
        <is>
          <t>BOOK</t>
        </is>
      </c>
      <c r="BC906" t="inlineStr">
        <is>
          <t>32285002281359</t>
        </is>
      </c>
      <c r="BD906" t="inlineStr">
        <is>
          <t>893867122</t>
        </is>
      </c>
    </row>
    <row r="907">
      <c r="A907" t="inlineStr">
        <is>
          <t>No</t>
        </is>
      </c>
      <c r="B907" t="inlineStr">
        <is>
          <t>E195.J63 O87 2005</t>
        </is>
      </c>
      <c r="C907" t="inlineStr">
        <is>
          <t>0                      E  0195000J  63                 O  87          2005</t>
        </is>
      </c>
      <c r="D907" t="inlineStr">
        <is>
          <t>White savage : William Johnson and the invention of America / Fintan O'Toole.</t>
        </is>
      </c>
      <c r="F907" t="inlineStr">
        <is>
          <t>No</t>
        </is>
      </c>
      <c r="G907" t="inlineStr">
        <is>
          <t>1</t>
        </is>
      </c>
      <c r="H907" t="inlineStr">
        <is>
          <t>No</t>
        </is>
      </c>
      <c r="I907" t="inlineStr">
        <is>
          <t>No</t>
        </is>
      </c>
      <c r="J907" t="inlineStr">
        <is>
          <t>0</t>
        </is>
      </c>
      <c r="K907" t="inlineStr">
        <is>
          <t>O'Toole, Fintan, 1958-</t>
        </is>
      </c>
      <c r="L907" t="inlineStr">
        <is>
          <t>New York : Farrar, Straus and Giroux, 2005.</t>
        </is>
      </c>
      <c r="M907" t="inlineStr">
        <is>
          <t>2005</t>
        </is>
      </c>
      <c r="N907" t="inlineStr">
        <is>
          <t>1st American ed.</t>
        </is>
      </c>
      <c r="O907" t="inlineStr">
        <is>
          <t>eng</t>
        </is>
      </c>
      <c r="P907" t="inlineStr">
        <is>
          <t>nyu</t>
        </is>
      </c>
      <c r="R907" t="inlineStr">
        <is>
          <t xml:space="preserve">E  </t>
        </is>
      </c>
      <c r="S907" t="n">
        <v>2</v>
      </c>
      <c r="T907" t="n">
        <v>2</v>
      </c>
      <c r="U907" t="inlineStr">
        <is>
          <t>2005-12-14</t>
        </is>
      </c>
      <c r="V907" t="inlineStr">
        <is>
          <t>2005-12-14</t>
        </is>
      </c>
      <c r="W907" t="inlineStr">
        <is>
          <t>2005-11-17</t>
        </is>
      </c>
      <c r="X907" t="inlineStr">
        <is>
          <t>2005-11-17</t>
        </is>
      </c>
      <c r="Y907" t="n">
        <v>662</v>
      </c>
      <c r="Z907" t="n">
        <v>612</v>
      </c>
      <c r="AA907" t="n">
        <v>665</v>
      </c>
      <c r="AB907" t="n">
        <v>6</v>
      </c>
      <c r="AC907" t="n">
        <v>6</v>
      </c>
      <c r="AD907" t="n">
        <v>23</v>
      </c>
      <c r="AE907" t="n">
        <v>25</v>
      </c>
      <c r="AF907" t="n">
        <v>9</v>
      </c>
      <c r="AG907" t="n">
        <v>10</v>
      </c>
      <c r="AH907" t="n">
        <v>4</v>
      </c>
      <c r="AI907" t="n">
        <v>5</v>
      </c>
      <c r="AJ907" t="n">
        <v>8</v>
      </c>
      <c r="AK907" t="n">
        <v>9</v>
      </c>
      <c r="AL907" t="n">
        <v>5</v>
      </c>
      <c r="AM907" t="n">
        <v>5</v>
      </c>
      <c r="AN907" t="n">
        <v>1</v>
      </c>
      <c r="AO907" t="n">
        <v>1</v>
      </c>
      <c r="AP907" t="inlineStr">
        <is>
          <t>No</t>
        </is>
      </c>
      <c r="AQ907" t="inlineStr">
        <is>
          <t>No</t>
        </is>
      </c>
      <c r="AS907">
        <f>HYPERLINK("https://creighton-primo.hosted.exlibrisgroup.com/primo-explore/search?tab=default_tab&amp;search_scope=EVERYTHING&amp;vid=01CRU&amp;lang=en_US&amp;offset=0&amp;query=any,contains,991004681709702656","Catalog Record")</f>
        <v/>
      </c>
      <c r="AT907">
        <f>HYPERLINK("http://www.worldcat.org/oclc/59360234","WorldCat Record")</f>
        <v/>
      </c>
      <c r="AU907" t="inlineStr">
        <is>
          <t>878675:eng</t>
        </is>
      </c>
      <c r="AV907" t="inlineStr">
        <is>
          <t>59360234</t>
        </is>
      </c>
      <c r="AW907" t="inlineStr">
        <is>
          <t>991004681709702656</t>
        </is>
      </c>
      <c r="AX907" t="inlineStr">
        <is>
          <t>991004681709702656</t>
        </is>
      </c>
      <c r="AY907" t="inlineStr">
        <is>
          <t>2264554850002656</t>
        </is>
      </c>
      <c r="AZ907" t="inlineStr">
        <is>
          <t>BOOK</t>
        </is>
      </c>
      <c r="BB907" t="inlineStr">
        <is>
          <t>9780374281281</t>
        </is>
      </c>
      <c r="BC907" t="inlineStr">
        <is>
          <t>32285005148068</t>
        </is>
      </c>
      <c r="BD907" t="inlineStr">
        <is>
          <t>893782529</t>
        </is>
      </c>
    </row>
    <row r="908">
      <c r="A908" t="inlineStr">
        <is>
          <t>No</t>
        </is>
      </c>
      <c r="B908" t="inlineStr">
        <is>
          <t>E199 .J54 1988</t>
        </is>
      </c>
      <c r="C908" t="inlineStr">
        <is>
          <t>0                      E  0199000J  54          1988</t>
        </is>
      </c>
      <c r="D908" t="inlineStr">
        <is>
          <t>Empire of fortune : crowns, colonies, and tribes in the Seven Years War in America / by Francis Jennings.</t>
        </is>
      </c>
      <c r="F908" t="inlineStr">
        <is>
          <t>No</t>
        </is>
      </c>
      <c r="G908" t="inlineStr">
        <is>
          <t>1</t>
        </is>
      </c>
      <c r="H908" t="inlineStr">
        <is>
          <t>No</t>
        </is>
      </c>
      <c r="I908" t="inlineStr">
        <is>
          <t>No</t>
        </is>
      </c>
      <c r="J908" t="inlineStr">
        <is>
          <t>0</t>
        </is>
      </c>
      <c r="K908" t="inlineStr">
        <is>
          <t>Jennings, Francis, 1918-2000.</t>
        </is>
      </c>
      <c r="L908" t="inlineStr">
        <is>
          <t>New York : Norton, 1988.</t>
        </is>
      </c>
      <c r="M908" t="inlineStr">
        <is>
          <t>1988</t>
        </is>
      </c>
      <c r="N908" t="inlineStr">
        <is>
          <t>1st ed.</t>
        </is>
      </c>
      <c r="O908" t="inlineStr">
        <is>
          <t>eng</t>
        </is>
      </c>
      <c r="P908" t="inlineStr">
        <is>
          <t>nyu</t>
        </is>
      </c>
      <c r="R908" t="inlineStr">
        <is>
          <t xml:space="preserve">E  </t>
        </is>
      </c>
      <c r="S908" t="n">
        <v>3</v>
      </c>
      <c r="T908" t="n">
        <v>3</v>
      </c>
      <c r="U908" t="inlineStr">
        <is>
          <t>1998-08-10</t>
        </is>
      </c>
      <c r="V908" t="inlineStr">
        <is>
          <t>1998-08-10</t>
        </is>
      </c>
      <c r="W908" t="inlineStr">
        <is>
          <t>1990-04-06</t>
        </is>
      </c>
      <c r="X908" t="inlineStr">
        <is>
          <t>1990-04-06</t>
        </is>
      </c>
      <c r="Y908" t="n">
        <v>1271</v>
      </c>
      <c r="Z908" t="n">
        <v>1137</v>
      </c>
      <c r="AA908" t="n">
        <v>1209</v>
      </c>
      <c r="AB908" t="n">
        <v>7</v>
      </c>
      <c r="AC908" t="n">
        <v>8</v>
      </c>
      <c r="AD908" t="n">
        <v>36</v>
      </c>
      <c r="AE908" t="n">
        <v>38</v>
      </c>
      <c r="AF908" t="n">
        <v>17</v>
      </c>
      <c r="AG908" t="n">
        <v>18</v>
      </c>
      <c r="AH908" t="n">
        <v>7</v>
      </c>
      <c r="AI908" t="n">
        <v>7</v>
      </c>
      <c r="AJ908" t="n">
        <v>17</v>
      </c>
      <c r="AK908" t="n">
        <v>17</v>
      </c>
      <c r="AL908" t="n">
        <v>5</v>
      </c>
      <c r="AM908" t="n">
        <v>6</v>
      </c>
      <c r="AN908" t="n">
        <v>0</v>
      </c>
      <c r="AO908" t="n">
        <v>0</v>
      </c>
      <c r="AP908" t="inlineStr">
        <is>
          <t>No</t>
        </is>
      </c>
      <c r="AQ908" t="inlineStr">
        <is>
          <t>No</t>
        </is>
      </c>
      <c r="AS908">
        <f>HYPERLINK("https://creighton-primo.hosted.exlibrisgroup.com/primo-explore/search?tab=default_tab&amp;search_scope=EVERYTHING&amp;vid=01CRU&amp;lang=en_US&amp;offset=0&amp;query=any,contains,991001107669702656","Catalog Record")</f>
        <v/>
      </c>
      <c r="AT908">
        <f>HYPERLINK("http://www.worldcat.org/oclc/16406414","WorldCat Record")</f>
        <v/>
      </c>
      <c r="AU908" t="inlineStr">
        <is>
          <t>892127351:eng</t>
        </is>
      </c>
      <c r="AV908" t="inlineStr">
        <is>
          <t>16406414</t>
        </is>
      </c>
      <c r="AW908" t="inlineStr">
        <is>
          <t>991001107669702656</t>
        </is>
      </c>
      <c r="AX908" t="inlineStr">
        <is>
          <t>991001107669702656</t>
        </is>
      </c>
      <c r="AY908" t="inlineStr">
        <is>
          <t>2263687790002656</t>
        </is>
      </c>
      <c r="AZ908" t="inlineStr">
        <is>
          <t>BOOK</t>
        </is>
      </c>
      <c r="BB908" t="inlineStr">
        <is>
          <t>9780393025378</t>
        </is>
      </c>
      <c r="BC908" t="inlineStr">
        <is>
          <t>32285000111665</t>
        </is>
      </c>
      <c r="BD908" t="inlineStr">
        <is>
          <t>893891313</t>
        </is>
      </c>
    </row>
    <row r="909">
      <c r="A909" t="inlineStr">
        <is>
          <t>No</t>
        </is>
      </c>
      <c r="B909" t="inlineStr">
        <is>
          <t>E199 .S24 1971</t>
        </is>
      </c>
      <c r="C909" t="inlineStr">
        <is>
          <t>0                      E  0199000S  24          1971</t>
        </is>
      </c>
      <c r="D909" t="inlineStr">
        <is>
          <t>A history of an expedition against Fort Duquesne in 1755, under Major-General Edward Braddock.</t>
        </is>
      </c>
      <c r="F909" t="inlineStr">
        <is>
          <t>No</t>
        </is>
      </c>
      <c r="G909" t="inlineStr">
        <is>
          <t>1</t>
        </is>
      </c>
      <c r="H909" t="inlineStr">
        <is>
          <t>No</t>
        </is>
      </c>
      <c r="I909" t="inlineStr">
        <is>
          <t>No</t>
        </is>
      </c>
      <c r="J909" t="inlineStr">
        <is>
          <t>0</t>
        </is>
      </c>
      <c r="K909" t="inlineStr">
        <is>
          <t>Sargent, Winthrop, 1825-1870.</t>
        </is>
      </c>
      <c r="L909" t="inlineStr">
        <is>
          <t>[New York] : Arno Press, [1971, c1854]</t>
        </is>
      </c>
      <c r="M909" t="inlineStr">
        <is>
          <t>1971</t>
        </is>
      </c>
      <c r="O909" t="inlineStr">
        <is>
          <t>eng</t>
        </is>
      </c>
      <c r="P909" t="inlineStr">
        <is>
          <t>nyu</t>
        </is>
      </c>
      <c r="Q909" t="inlineStr">
        <is>
          <t>Publications of the Historical Society of Pennsylvania</t>
        </is>
      </c>
      <c r="R909" t="inlineStr">
        <is>
          <t xml:space="preserve">E  </t>
        </is>
      </c>
      <c r="S909" t="n">
        <v>8</v>
      </c>
      <c r="T909" t="n">
        <v>8</v>
      </c>
      <c r="U909" t="inlineStr">
        <is>
          <t>2002-10-22</t>
        </is>
      </c>
      <c r="V909" t="inlineStr">
        <is>
          <t>2002-10-22</t>
        </is>
      </c>
      <c r="W909" t="inlineStr">
        <is>
          <t>1994-01-19</t>
        </is>
      </c>
      <c r="X909" t="inlineStr">
        <is>
          <t>1994-01-19</t>
        </is>
      </c>
      <c r="Y909" t="n">
        <v>126</v>
      </c>
      <c r="Z909" t="n">
        <v>119</v>
      </c>
      <c r="AA909" t="n">
        <v>120</v>
      </c>
      <c r="AB909" t="n">
        <v>2</v>
      </c>
      <c r="AC909" t="n">
        <v>2</v>
      </c>
      <c r="AD909" t="n">
        <v>4</v>
      </c>
      <c r="AE909" t="n">
        <v>4</v>
      </c>
      <c r="AF909" t="n">
        <v>0</v>
      </c>
      <c r="AG909" t="n">
        <v>0</v>
      </c>
      <c r="AH909" t="n">
        <v>2</v>
      </c>
      <c r="AI909" t="n">
        <v>2</v>
      </c>
      <c r="AJ909" t="n">
        <v>2</v>
      </c>
      <c r="AK909" t="n">
        <v>2</v>
      </c>
      <c r="AL909" t="n">
        <v>1</v>
      </c>
      <c r="AM909" t="n">
        <v>1</v>
      </c>
      <c r="AN909" t="n">
        <v>0</v>
      </c>
      <c r="AO909" t="n">
        <v>0</v>
      </c>
      <c r="AP909" t="inlineStr">
        <is>
          <t>No</t>
        </is>
      </c>
      <c r="AQ909" t="inlineStr">
        <is>
          <t>Yes</t>
        </is>
      </c>
      <c r="AR909">
        <f>HYPERLINK("http://catalog.hathitrust.org/Record/007045128","HathiTrust Record")</f>
        <v/>
      </c>
      <c r="AS909">
        <f>HYPERLINK("https://creighton-primo.hosted.exlibrisgroup.com/primo-explore/search?tab=default_tab&amp;search_scope=EVERYTHING&amp;vid=01CRU&amp;lang=en_US&amp;offset=0&amp;query=any,contains,991003567829702656","Catalog Record")</f>
        <v/>
      </c>
      <c r="AT909">
        <f>HYPERLINK("http://www.worldcat.org/oclc/1141623","WorldCat Record")</f>
        <v/>
      </c>
      <c r="AU909" t="inlineStr">
        <is>
          <t>10677791051:eng</t>
        </is>
      </c>
      <c r="AV909" t="inlineStr">
        <is>
          <t>1141623</t>
        </is>
      </c>
      <c r="AW909" t="inlineStr">
        <is>
          <t>991003567829702656</t>
        </is>
      </c>
      <c r="AX909" t="inlineStr">
        <is>
          <t>991003567829702656</t>
        </is>
      </c>
      <c r="AY909" t="inlineStr">
        <is>
          <t>2265038580002656</t>
        </is>
      </c>
      <c r="AZ909" t="inlineStr">
        <is>
          <t>BOOK</t>
        </is>
      </c>
      <c r="BB909" t="inlineStr">
        <is>
          <t>9780405028847</t>
        </is>
      </c>
      <c r="BC909" t="inlineStr">
        <is>
          <t>32285001835296</t>
        </is>
      </c>
      <c r="BD909" t="inlineStr">
        <is>
          <t>893592633</t>
        </is>
      </c>
    </row>
    <row r="910">
      <c r="A910" t="inlineStr">
        <is>
          <t>No</t>
        </is>
      </c>
      <c r="B910" t="inlineStr">
        <is>
          <t>E20 .R513</t>
        </is>
      </c>
      <c r="C910" t="inlineStr">
        <is>
          <t>0                      E  0020000R  513</t>
        </is>
      </c>
      <c r="D910" t="inlineStr">
        <is>
          <t>The Americas and civilization. Translated from the Portuguese by Linton Lomas Barrett and Marie McDavid Barrett.</t>
        </is>
      </c>
      <c r="F910" t="inlineStr">
        <is>
          <t>No</t>
        </is>
      </c>
      <c r="G910" t="inlineStr">
        <is>
          <t>1</t>
        </is>
      </c>
      <c r="H910" t="inlineStr">
        <is>
          <t>No</t>
        </is>
      </c>
      <c r="I910" t="inlineStr">
        <is>
          <t>No</t>
        </is>
      </c>
      <c r="J910" t="inlineStr">
        <is>
          <t>0</t>
        </is>
      </c>
      <c r="K910" t="inlineStr">
        <is>
          <t>Ribeiro, Darcy.</t>
        </is>
      </c>
      <c r="L910" t="inlineStr">
        <is>
          <t>New York, Dutton, 1971.</t>
        </is>
      </c>
      <c r="M910" t="inlineStr">
        <is>
          <t>1971</t>
        </is>
      </c>
      <c r="N910" t="inlineStr">
        <is>
          <t>[1st ed.]</t>
        </is>
      </c>
      <c r="O910" t="inlineStr">
        <is>
          <t>eng</t>
        </is>
      </c>
      <c r="P910" t="inlineStr">
        <is>
          <t>nyu</t>
        </is>
      </c>
      <c r="R910" t="inlineStr">
        <is>
          <t xml:space="preserve">E  </t>
        </is>
      </c>
      <c r="S910" t="n">
        <v>3</v>
      </c>
      <c r="T910" t="n">
        <v>3</v>
      </c>
      <c r="U910" t="inlineStr">
        <is>
          <t>2001-04-24</t>
        </is>
      </c>
      <c r="V910" t="inlineStr">
        <is>
          <t>2001-04-24</t>
        </is>
      </c>
      <c r="W910" t="inlineStr">
        <is>
          <t>1990-11-19</t>
        </is>
      </c>
      <c r="X910" t="inlineStr">
        <is>
          <t>1990-11-19</t>
        </is>
      </c>
      <c r="Y910" t="n">
        <v>535</v>
      </c>
      <c r="Z910" t="n">
        <v>488</v>
      </c>
      <c r="AA910" t="n">
        <v>536</v>
      </c>
      <c r="AB910" t="n">
        <v>4</v>
      </c>
      <c r="AC910" t="n">
        <v>5</v>
      </c>
      <c r="AD910" t="n">
        <v>24</v>
      </c>
      <c r="AE910" t="n">
        <v>26</v>
      </c>
      <c r="AF910" t="n">
        <v>8</v>
      </c>
      <c r="AG910" t="n">
        <v>9</v>
      </c>
      <c r="AH910" t="n">
        <v>4</v>
      </c>
      <c r="AI910" t="n">
        <v>4</v>
      </c>
      <c r="AJ910" t="n">
        <v>13</v>
      </c>
      <c r="AK910" t="n">
        <v>14</v>
      </c>
      <c r="AL910" t="n">
        <v>3</v>
      </c>
      <c r="AM910" t="n">
        <v>4</v>
      </c>
      <c r="AN910" t="n">
        <v>1</v>
      </c>
      <c r="AO910" t="n">
        <v>1</v>
      </c>
      <c r="AP910" t="inlineStr">
        <is>
          <t>No</t>
        </is>
      </c>
      <c r="AQ910" t="inlineStr">
        <is>
          <t>Yes</t>
        </is>
      </c>
      <c r="AR910">
        <f>HYPERLINK("http://catalog.hathitrust.org/Record/000291443","HathiTrust Record")</f>
        <v/>
      </c>
      <c r="AS910">
        <f>HYPERLINK("https://creighton-primo.hosted.exlibrisgroup.com/primo-explore/search?tab=default_tab&amp;search_scope=EVERYTHING&amp;vid=01CRU&amp;lang=en_US&amp;offset=0&amp;query=any,contains,991000660999702656","Catalog Record")</f>
        <v/>
      </c>
      <c r="AT910">
        <f>HYPERLINK("http://www.worldcat.org/oclc/117419","WorldCat Record")</f>
        <v/>
      </c>
      <c r="AU910" t="inlineStr">
        <is>
          <t>3881935272:eng</t>
        </is>
      </c>
      <c r="AV910" t="inlineStr">
        <is>
          <t>117419</t>
        </is>
      </c>
      <c r="AW910" t="inlineStr">
        <is>
          <t>991000660999702656</t>
        </is>
      </c>
      <c r="AX910" t="inlineStr">
        <is>
          <t>991000660999702656</t>
        </is>
      </c>
      <c r="AY910" t="inlineStr">
        <is>
          <t>2260979690002656</t>
        </is>
      </c>
      <c r="AZ910" t="inlineStr">
        <is>
          <t>BOOK</t>
        </is>
      </c>
      <c r="BB910" t="inlineStr">
        <is>
          <t>9780525054603</t>
        </is>
      </c>
      <c r="BC910" t="inlineStr">
        <is>
          <t>32285000374073</t>
        </is>
      </c>
      <c r="BD910" t="inlineStr">
        <is>
          <t>893595762</t>
        </is>
      </c>
    </row>
    <row r="911">
      <c r="A911" t="inlineStr">
        <is>
          <t>No</t>
        </is>
      </c>
      <c r="B911" t="inlineStr">
        <is>
          <t>E204 .C66 1976</t>
        </is>
      </c>
      <c r="C911" t="inlineStr">
        <is>
          <t>0                      E  0204000C  66          1976</t>
        </is>
      </c>
      <c r="D911" t="inlineStr">
        <is>
          <t>The American and European revolutions, 1776-1848 : sociopolitical and ideological ramifications / edited by Jaroslaw Pelenski.</t>
        </is>
      </c>
      <c r="F911" t="inlineStr">
        <is>
          <t>No</t>
        </is>
      </c>
      <c r="G911" t="inlineStr">
        <is>
          <t>1</t>
        </is>
      </c>
      <c r="H911" t="inlineStr">
        <is>
          <t>No</t>
        </is>
      </c>
      <c r="I911" t="inlineStr">
        <is>
          <t>No</t>
        </is>
      </c>
      <c r="J911" t="inlineStr">
        <is>
          <t>0</t>
        </is>
      </c>
      <c r="K911" t="inlineStr">
        <is>
          <t>Conference of Polish and American Historians (2nd : 1976 : Iowa City, Iowa)</t>
        </is>
      </c>
      <c r="L911" t="inlineStr">
        <is>
          <t>Iowa City : University of Iowa Press, 1980.</t>
        </is>
      </c>
      <c r="M911" t="inlineStr">
        <is>
          <t>1980</t>
        </is>
      </c>
      <c r="O911" t="inlineStr">
        <is>
          <t>eng</t>
        </is>
      </c>
      <c r="P911" t="inlineStr">
        <is>
          <t>iau</t>
        </is>
      </c>
      <c r="R911" t="inlineStr">
        <is>
          <t xml:space="preserve">E  </t>
        </is>
      </c>
      <c r="S911" t="n">
        <v>2</v>
      </c>
      <c r="T911" t="n">
        <v>2</v>
      </c>
      <c r="U911" t="inlineStr">
        <is>
          <t>1994-11-16</t>
        </is>
      </c>
      <c r="V911" t="inlineStr">
        <is>
          <t>1994-11-16</t>
        </is>
      </c>
      <c r="W911" t="inlineStr">
        <is>
          <t>1991-03-07</t>
        </is>
      </c>
      <c r="X911" t="inlineStr">
        <is>
          <t>1991-03-07</t>
        </is>
      </c>
      <c r="Y911" t="n">
        <v>412</v>
      </c>
      <c r="Z911" t="n">
        <v>335</v>
      </c>
      <c r="AA911" t="n">
        <v>337</v>
      </c>
      <c r="AB911" t="n">
        <v>3</v>
      </c>
      <c r="AC911" t="n">
        <v>3</v>
      </c>
      <c r="AD911" t="n">
        <v>18</v>
      </c>
      <c r="AE911" t="n">
        <v>18</v>
      </c>
      <c r="AF911" t="n">
        <v>6</v>
      </c>
      <c r="AG911" t="n">
        <v>6</v>
      </c>
      <c r="AH911" t="n">
        <v>3</v>
      </c>
      <c r="AI911" t="n">
        <v>3</v>
      </c>
      <c r="AJ911" t="n">
        <v>9</v>
      </c>
      <c r="AK911" t="n">
        <v>9</v>
      </c>
      <c r="AL911" t="n">
        <v>2</v>
      </c>
      <c r="AM911" t="n">
        <v>2</v>
      </c>
      <c r="AN911" t="n">
        <v>0</v>
      </c>
      <c r="AO911" t="n">
        <v>0</v>
      </c>
      <c r="AP911" t="inlineStr">
        <is>
          <t>No</t>
        </is>
      </c>
      <c r="AQ911" t="inlineStr">
        <is>
          <t>Yes</t>
        </is>
      </c>
      <c r="AR911">
        <f>HYPERLINK("http://catalog.hathitrust.org/Record/000126488","HathiTrust Record")</f>
        <v/>
      </c>
      <c r="AS911">
        <f>HYPERLINK("https://creighton-primo.hosted.exlibrisgroup.com/primo-explore/search?tab=default_tab&amp;search_scope=EVERYTHING&amp;vid=01CRU&amp;lang=en_US&amp;offset=0&amp;query=any,contains,991004845879702656","Catalog Record")</f>
        <v/>
      </c>
      <c r="AT911">
        <f>HYPERLINK("http://www.worldcat.org/oclc/5564336","WorldCat Record")</f>
        <v/>
      </c>
      <c r="AU911" t="inlineStr">
        <is>
          <t>475059662:eng</t>
        </is>
      </c>
      <c r="AV911" t="inlineStr">
        <is>
          <t>5564336</t>
        </is>
      </c>
      <c r="AW911" t="inlineStr">
        <is>
          <t>991004845879702656</t>
        </is>
      </c>
      <c r="AX911" t="inlineStr">
        <is>
          <t>991004845879702656</t>
        </is>
      </c>
      <c r="AY911" t="inlineStr">
        <is>
          <t>2266432440002656</t>
        </is>
      </c>
      <c r="AZ911" t="inlineStr">
        <is>
          <t>BOOK</t>
        </is>
      </c>
      <c r="BB911" t="inlineStr">
        <is>
          <t>9780877450979</t>
        </is>
      </c>
      <c r="BC911" t="inlineStr">
        <is>
          <t>32285000540509</t>
        </is>
      </c>
      <c r="BD911" t="inlineStr">
        <is>
          <t>893507294</t>
        </is>
      </c>
    </row>
    <row r="912">
      <c r="A912" t="inlineStr">
        <is>
          <t>No</t>
        </is>
      </c>
      <c r="B912" t="inlineStr">
        <is>
          <t>E206 .B5</t>
        </is>
      </c>
      <c r="C912" t="inlineStr">
        <is>
          <t>0                      E  0206000B  5</t>
        </is>
      </c>
      <c r="D912" t="inlineStr">
        <is>
          <t>George Washington's generals.</t>
        </is>
      </c>
      <c r="F912" t="inlineStr">
        <is>
          <t>No</t>
        </is>
      </c>
      <c r="G912" t="inlineStr">
        <is>
          <t>1</t>
        </is>
      </c>
      <c r="H912" t="inlineStr">
        <is>
          <t>No</t>
        </is>
      </c>
      <c r="I912" t="inlineStr">
        <is>
          <t>No</t>
        </is>
      </c>
      <c r="J912" t="inlineStr">
        <is>
          <t>0</t>
        </is>
      </c>
      <c r="K912" t="inlineStr">
        <is>
          <t>Billias, George Athan, 1919-2018 editor.</t>
        </is>
      </c>
      <c r="L912" t="inlineStr">
        <is>
          <t>New York, W. Morrow, 1964.</t>
        </is>
      </c>
      <c r="M912" t="inlineStr">
        <is>
          <t>1964</t>
        </is>
      </c>
      <c r="O912" t="inlineStr">
        <is>
          <t>eng</t>
        </is>
      </c>
      <c r="P912" t="inlineStr">
        <is>
          <t>nyu</t>
        </is>
      </c>
      <c r="R912" t="inlineStr">
        <is>
          <t xml:space="preserve">E  </t>
        </is>
      </c>
      <c r="S912" t="n">
        <v>2</v>
      </c>
      <c r="T912" t="n">
        <v>2</v>
      </c>
      <c r="U912" t="inlineStr">
        <is>
          <t>2002-11-17</t>
        </is>
      </c>
      <c r="V912" t="inlineStr">
        <is>
          <t>2002-11-17</t>
        </is>
      </c>
      <c r="W912" t="inlineStr">
        <is>
          <t>1997-05-05</t>
        </is>
      </c>
      <c r="X912" t="inlineStr">
        <is>
          <t>1997-05-05</t>
        </is>
      </c>
      <c r="Y912" t="n">
        <v>999</v>
      </c>
      <c r="Z912" t="n">
        <v>972</v>
      </c>
      <c r="AA912" t="n">
        <v>1066</v>
      </c>
      <c r="AB912" t="n">
        <v>8</v>
      </c>
      <c r="AC912" t="n">
        <v>8</v>
      </c>
      <c r="AD912" t="n">
        <v>29</v>
      </c>
      <c r="AE912" t="n">
        <v>31</v>
      </c>
      <c r="AF912" t="n">
        <v>12</v>
      </c>
      <c r="AG912" t="n">
        <v>13</v>
      </c>
      <c r="AH912" t="n">
        <v>5</v>
      </c>
      <c r="AI912" t="n">
        <v>7</v>
      </c>
      <c r="AJ912" t="n">
        <v>16</v>
      </c>
      <c r="AK912" t="n">
        <v>17</v>
      </c>
      <c r="AL912" t="n">
        <v>5</v>
      </c>
      <c r="AM912" t="n">
        <v>5</v>
      </c>
      <c r="AN912" t="n">
        <v>0</v>
      </c>
      <c r="AO912" t="n">
        <v>0</v>
      </c>
      <c r="AP912" t="inlineStr">
        <is>
          <t>No</t>
        </is>
      </c>
      <c r="AQ912" t="inlineStr">
        <is>
          <t>Yes</t>
        </is>
      </c>
      <c r="AR912">
        <f>HYPERLINK("http://catalog.hathitrust.org/Record/000362725","HathiTrust Record")</f>
        <v/>
      </c>
      <c r="AS912">
        <f>HYPERLINK("https://creighton-primo.hosted.exlibrisgroup.com/primo-explore/search?tab=default_tab&amp;search_scope=EVERYTHING&amp;vid=01CRU&amp;lang=en_US&amp;offset=0&amp;query=any,contains,991002101899702656","Catalog Record")</f>
        <v/>
      </c>
      <c r="AT912">
        <f>HYPERLINK("http://www.worldcat.org/oclc/266458","WorldCat Record")</f>
        <v/>
      </c>
      <c r="AU912" t="inlineStr">
        <is>
          <t>446253:eng</t>
        </is>
      </c>
      <c r="AV912" t="inlineStr">
        <is>
          <t>266458</t>
        </is>
      </c>
      <c r="AW912" t="inlineStr">
        <is>
          <t>991002101899702656</t>
        </is>
      </c>
      <c r="AX912" t="inlineStr">
        <is>
          <t>991002101899702656</t>
        </is>
      </c>
      <c r="AY912" t="inlineStr">
        <is>
          <t>2269185070002656</t>
        </is>
      </c>
      <c r="AZ912" t="inlineStr">
        <is>
          <t>BOOK</t>
        </is>
      </c>
      <c r="BC912" t="inlineStr">
        <is>
          <t>32285002573318</t>
        </is>
      </c>
      <c r="BD912" t="inlineStr">
        <is>
          <t>893529545</t>
        </is>
      </c>
    </row>
    <row r="913">
      <c r="A913" t="inlineStr">
        <is>
          <t>No</t>
        </is>
      </c>
      <c r="B913" t="inlineStr">
        <is>
          <t>E206 .J92 1970</t>
        </is>
      </c>
      <c r="C913" t="inlineStr">
        <is>
          <t>0                      E  0206000J  92          1970</t>
        </is>
      </c>
      <c r="D913" t="inlineStr">
        <is>
          <t>The sages and heroes of the American Revolution. Including the signers of the Declaration of Independence. Two hundred and forty three of the sages and heroes are presented in due form and many others are named incidentally, by L. Carroll Judson.</t>
        </is>
      </c>
      <c r="F913" t="inlineStr">
        <is>
          <t>No</t>
        </is>
      </c>
      <c r="G913" t="inlineStr">
        <is>
          <t>1</t>
        </is>
      </c>
      <c r="H913" t="inlineStr">
        <is>
          <t>No</t>
        </is>
      </c>
      <c r="I913" t="inlineStr">
        <is>
          <t>No</t>
        </is>
      </c>
      <c r="J913" t="inlineStr">
        <is>
          <t>0</t>
        </is>
      </c>
      <c r="K913" t="inlineStr">
        <is>
          <t>Judson, L. Carroll (Levi Carroll)</t>
        </is>
      </c>
      <c r="L913" t="inlineStr">
        <is>
          <t>Port Washington, N.Y., Kennikat Press [1970]</t>
        </is>
      </c>
      <c r="M913" t="inlineStr">
        <is>
          <t>1970</t>
        </is>
      </c>
      <c r="O913" t="inlineStr">
        <is>
          <t>eng</t>
        </is>
      </c>
      <c r="P913" t="inlineStr">
        <is>
          <t>nyu</t>
        </is>
      </c>
      <c r="Q913" t="inlineStr">
        <is>
          <t>Kennikat American bicentennial series</t>
        </is>
      </c>
      <c r="R913" t="inlineStr">
        <is>
          <t xml:space="preserve">E  </t>
        </is>
      </c>
      <c r="S913" t="n">
        <v>1</v>
      </c>
      <c r="T913" t="n">
        <v>1</v>
      </c>
      <c r="U913" t="inlineStr">
        <is>
          <t>2002-11-17</t>
        </is>
      </c>
      <c r="V913" t="inlineStr">
        <is>
          <t>2002-11-17</t>
        </is>
      </c>
      <c r="W913" t="inlineStr">
        <is>
          <t>1997-05-05</t>
        </is>
      </c>
      <c r="X913" t="inlineStr">
        <is>
          <t>1997-05-05</t>
        </is>
      </c>
      <c r="Y913" t="n">
        <v>165</v>
      </c>
      <c r="Z913" t="n">
        <v>157</v>
      </c>
      <c r="AA913" t="n">
        <v>315</v>
      </c>
      <c r="AB913" t="n">
        <v>3</v>
      </c>
      <c r="AC913" t="n">
        <v>4</v>
      </c>
      <c r="AD913" t="n">
        <v>2</v>
      </c>
      <c r="AE913" t="n">
        <v>11</v>
      </c>
      <c r="AF913" t="n">
        <v>0</v>
      </c>
      <c r="AG913" t="n">
        <v>3</v>
      </c>
      <c r="AH913" t="n">
        <v>0</v>
      </c>
      <c r="AI913" t="n">
        <v>3</v>
      </c>
      <c r="AJ913" t="n">
        <v>0</v>
      </c>
      <c r="AK913" t="n">
        <v>3</v>
      </c>
      <c r="AL913" t="n">
        <v>2</v>
      </c>
      <c r="AM913" t="n">
        <v>3</v>
      </c>
      <c r="AN913" t="n">
        <v>0</v>
      </c>
      <c r="AO913" t="n">
        <v>0</v>
      </c>
      <c r="AP913" t="inlineStr">
        <is>
          <t>No</t>
        </is>
      </c>
      <c r="AQ913" t="inlineStr">
        <is>
          <t>Yes</t>
        </is>
      </c>
      <c r="AR913">
        <f>HYPERLINK("http://catalog.hathitrust.org/Record/000361474","HathiTrust Record")</f>
        <v/>
      </c>
      <c r="AS913">
        <f>HYPERLINK("https://creighton-primo.hosted.exlibrisgroup.com/primo-explore/search?tab=default_tab&amp;search_scope=EVERYTHING&amp;vid=01CRU&amp;lang=en_US&amp;offset=0&amp;query=any,contains,991000568779702656","Catalog Record")</f>
        <v/>
      </c>
      <c r="AT913">
        <f>HYPERLINK("http://www.worldcat.org/oclc/94540","WorldCat Record")</f>
        <v/>
      </c>
      <c r="AU913" t="inlineStr">
        <is>
          <t>1745739557:eng</t>
        </is>
      </c>
      <c r="AV913" t="inlineStr">
        <is>
          <t>94540</t>
        </is>
      </c>
      <c r="AW913" t="inlineStr">
        <is>
          <t>991000568779702656</t>
        </is>
      </c>
      <c r="AX913" t="inlineStr">
        <is>
          <t>991000568779702656</t>
        </is>
      </c>
      <c r="AY913" t="inlineStr">
        <is>
          <t>2266058150002656</t>
        </is>
      </c>
      <c r="AZ913" t="inlineStr">
        <is>
          <t>BOOK</t>
        </is>
      </c>
      <c r="BB913" t="inlineStr">
        <is>
          <t>9780804612746</t>
        </is>
      </c>
      <c r="BC913" t="inlineStr">
        <is>
          <t>32285002573334</t>
        </is>
      </c>
      <c r="BD913" t="inlineStr">
        <is>
          <t>893528169</t>
        </is>
      </c>
    </row>
    <row r="914">
      <c r="A914" t="inlineStr">
        <is>
          <t>No</t>
        </is>
      </c>
      <c r="B914" t="inlineStr">
        <is>
          <t>E207.G9 T46 1972</t>
        </is>
      </c>
      <c r="C914" t="inlineStr">
        <is>
          <t>0                      E  0207000G  9                  T  46          1972</t>
        </is>
      </c>
      <c r="D914" t="inlineStr">
        <is>
          <t>The fighting Quaker, Nathanael Greene.</t>
        </is>
      </c>
      <c r="F914" t="inlineStr">
        <is>
          <t>No</t>
        </is>
      </c>
      <c r="G914" t="inlineStr">
        <is>
          <t>1</t>
        </is>
      </c>
      <c r="H914" t="inlineStr">
        <is>
          <t>No</t>
        </is>
      </c>
      <c r="I914" t="inlineStr">
        <is>
          <t>No</t>
        </is>
      </c>
      <c r="J914" t="inlineStr">
        <is>
          <t>0</t>
        </is>
      </c>
      <c r="K914" t="inlineStr">
        <is>
          <t>Thane, Elswyth, 1900-1984.</t>
        </is>
      </c>
      <c r="L914" t="inlineStr">
        <is>
          <t>New York : Hawthorn Books, [1972]</t>
        </is>
      </c>
      <c r="M914" t="inlineStr">
        <is>
          <t>1972</t>
        </is>
      </c>
      <c r="O914" t="inlineStr">
        <is>
          <t>eng</t>
        </is>
      </c>
      <c r="P914" t="inlineStr">
        <is>
          <t>nyu</t>
        </is>
      </c>
      <c r="R914" t="inlineStr">
        <is>
          <t xml:space="preserve">E  </t>
        </is>
      </c>
      <c r="S914" t="n">
        <v>3</v>
      </c>
      <c r="T914" t="n">
        <v>3</v>
      </c>
      <c r="U914" t="inlineStr">
        <is>
          <t>2001-03-06</t>
        </is>
      </c>
      <c r="V914" t="inlineStr">
        <is>
          <t>2001-03-06</t>
        </is>
      </c>
      <c r="W914" t="inlineStr">
        <is>
          <t>1994-02-08</t>
        </is>
      </c>
      <c r="X914" t="inlineStr">
        <is>
          <t>1994-02-08</t>
        </is>
      </c>
      <c r="Y914" t="n">
        <v>684</v>
      </c>
      <c r="Z914" t="n">
        <v>662</v>
      </c>
      <c r="AA914" t="n">
        <v>682</v>
      </c>
      <c r="AB914" t="n">
        <v>5</v>
      </c>
      <c r="AC914" t="n">
        <v>5</v>
      </c>
      <c r="AD914" t="n">
        <v>18</v>
      </c>
      <c r="AE914" t="n">
        <v>18</v>
      </c>
      <c r="AF914" t="n">
        <v>10</v>
      </c>
      <c r="AG914" t="n">
        <v>10</v>
      </c>
      <c r="AH914" t="n">
        <v>4</v>
      </c>
      <c r="AI914" t="n">
        <v>4</v>
      </c>
      <c r="AJ914" t="n">
        <v>6</v>
      </c>
      <c r="AK914" t="n">
        <v>6</v>
      </c>
      <c r="AL914" t="n">
        <v>3</v>
      </c>
      <c r="AM914" t="n">
        <v>3</v>
      </c>
      <c r="AN914" t="n">
        <v>0</v>
      </c>
      <c r="AO914" t="n">
        <v>0</v>
      </c>
      <c r="AP914" t="inlineStr">
        <is>
          <t>No</t>
        </is>
      </c>
      <c r="AQ914" t="inlineStr">
        <is>
          <t>Yes</t>
        </is>
      </c>
      <c r="AR914">
        <f>HYPERLINK("http://catalog.hathitrust.org/Record/000361993","HathiTrust Record")</f>
        <v/>
      </c>
      <c r="AS914">
        <f>HYPERLINK("https://creighton-primo.hosted.exlibrisgroup.com/primo-explore/search?tab=default_tab&amp;search_scope=EVERYTHING&amp;vid=01CRU&amp;lang=en_US&amp;offset=0&amp;query=any,contains,991002843619702656","Catalog Record")</f>
        <v/>
      </c>
      <c r="AT914">
        <f>HYPERLINK("http://www.worldcat.org/oclc/483603","WorldCat Record")</f>
        <v/>
      </c>
      <c r="AU914" t="inlineStr">
        <is>
          <t>1565914:eng</t>
        </is>
      </c>
      <c r="AV914" t="inlineStr">
        <is>
          <t>483603</t>
        </is>
      </c>
      <c r="AW914" t="inlineStr">
        <is>
          <t>991002843619702656</t>
        </is>
      </c>
      <c r="AX914" t="inlineStr">
        <is>
          <t>991002843619702656</t>
        </is>
      </c>
      <c r="AY914" t="inlineStr">
        <is>
          <t>2256318830002656</t>
        </is>
      </c>
      <c r="AZ914" t="inlineStr">
        <is>
          <t>BOOK</t>
        </is>
      </c>
      <c r="BC914" t="inlineStr">
        <is>
          <t>32285001837573</t>
        </is>
      </c>
      <c r="BD914" t="inlineStr">
        <is>
          <t>893799091</t>
        </is>
      </c>
    </row>
    <row r="915">
      <c r="A915" t="inlineStr">
        <is>
          <t>No</t>
        </is>
      </c>
      <c r="B915" t="inlineStr">
        <is>
          <t>E207.J7 T48 2003</t>
        </is>
      </c>
      <c r="C915" t="inlineStr">
        <is>
          <t>0                      E  0207000J  7                  T  48          2003</t>
        </is>
      </c>
      <c r="D915" t="inlineStr">
        <is>
          <t>John Paul Jones : sailor, hero, father of the American Navy / Evan Thomas.</t>
        </is>
      </c>
      <c r="F915" t="inlineStr">
        <is>
          <t>No</t>
        </is>
      </c>
      <c r="G915" t="inlineStr">
        <is>
          <t>1</t>
        </is>
      </c>
      <c r="H915" t="inlineStr">
        <is>
          <t>No</t>
        </is>
      </c>
      <c r="I915" t="inlineStr">
        <is>
          <t>No</t>
        </is>
      </c>
      <c r="J915" t="inlineStr">
        <is>
          <t>0</t>
        </is>
      </c>
      <c r="K915" t="inlineStr">
        <is>
          <t>Thomas, Evan, 1951-</t>
        </is>
      </c>
      <c r="L915" t="inlineStr">
        <is>
          <t>New York : Simon &amp; Schuster, c2003.</t>
        </is>
      </c>
      <c r="M915" t="inlineStr">
        <is>
          <t>2003</t>
        </is>
      </c>
      <c r="O915" t="inlineStr">
        <is>
          <t>eng</t>
        </is>
      </c>
      <c r="P915" t="inlineStr">
        <is>
          <t>nyu</t>
        </is>
      </c>
      <c r="R915" t="inlineStr">
        <is>
          <t xml:space="preserve">E  </t>
        </is>
      </c>
      <c r="S915" t="n">
        <v>3</v>
      </c>
      <c r="T915" t="n">
        <v>3</v>
      </c>
      <c r="U915" t="inlineStr">
        <is>
          <t>2003-08-18</t>
        </is>
      </c>
      <c r="V915" t="inlineStr">
        <is>
          <t>2003-08-18</t>
        </is>
      </c>
      <c r="W915" t="inlineStr">
        <is>
          <t>2003-07-16</t>
        </is>
      </c>
      <c r="X915" t="inlineStr">
        <is>
          <t>2003-07-16</t>
        </is>
      </c>
      <c r="Y915" t="n">
        <v>1617</v>
      </c>
      <c r="Z915" t="n">
        <v>1593</v>
      </c>
      <c r="AA915" t="n">
        <v>1753</v>
      </c>
      <c r="AB915" t="n">
        <v>13</v>
      </c>
      <c r="AC915" t="n">
        <v>15</v>
      </c>
      <c r="AD915" t="n">
        <v>36</v>
      </c>
      <c r="AE915" t="n">
        <v>38</v>
      </c>
      <c r="AF915" t="n">
        <v>17</v>
      </c>
      <c r="AG915" t="n">
        <v>17</v>
      </c>
      <c r="AH915" t="n">
        <v>7</v>
      </c>
      <c r="AI915" t="n">
        <v>7</v>
      </c>
      <c r="AJ915" t="n">
        <v>15</v>
      </c>
      <c r="AK915" t="n">
        <v>15</v>
      </c>
      <c r="AL915" t="n">
        <v>6</v>
      </c>
      <c r="AM915" t="n">
        <v>8</v>
      </c>
      <c r="AN915" t="n">
        <v>0</v>
      </c>
      <c r="AO915" t="n">
        <v>0</v>
      </c>
      <c r="AP915" t="inlineStr">
        <is>
          <t>No</t>
        </is>
      </c>
      <c r="AQ915" t="inlineStr">
        <is>
          <t>Yes</t>
        </is>
      </c>
      <c r="AR915">
        <f>HYPERLINK("http://catalog.hathitrust.org/Record/004322640","HathiTrust Record")</f>
        <v/>
      </c>
      <c r="AS915">
        <f>HYPERLINK("https://creighton-primo.hosted.exlibrisgroup.com/primo-explore/search?tab=default_tab&amp;search_scope=EVERYTHING&amp;vid=01CRU&amp;lang=en_US&amp;offset=0&amp;query=any,contains,991004079799702656","Catalog Record")</f>
        <v/>
      </c>
      <c r="AT915">
        <f>HYPERLINK("http://www.worldcat.org/oclc/51553307","WorldCat Record")</f>
        <v/>
      </c>
      <c r="AU915" t="inlineStr">
        <is>
          <t>740889:eng</t>
        </is>
      </c>
      <c r="AV915" t="inlineStr">
        <is>
          <t>51553307</t>
        </is>
      </c>
      <c r="AW915" t="inlineStr">
        <is>
          <t>991004079799702656</t>
        </is>
      </c>
      <c r="AX915" t="inlineStr">
        <is>
          <t>991004079799702656</t>
        </is>
      </c>
      <c r="AY915" t="inlineStr">
        <is>
          <t>2263728180002656</t>
        </is>
      </c>
      <c r="AZ915" t="inlineStr">
        <is>
          <t>BOOK</t>
        </is>
      </c>
      <c r="BB915" t="inlineStr">
        <is>
          <t>9780743205832</t>
        </is>
      </c>
      <c r="BC915" t="inlineStr">
        <is>
          <t>32285004755913</t>
        </is>
      </c>
      <c r="BD915" t="inlineStr">
        <is>
          <t>893781826</t>
        </is>
      </c>
    </row>
    <row r="916">
      <c r="A916" t="inlineStr">
        <is>
          <t>No</t>
        </is>
      </c>
      <c r="B916" t="inlineStr">
        <is>
          <t>E207.J7 T53 1942</t>
        </is>
      </c>
      <c r="C916" t="inlineStr">
        <is>
          <t>0                      E  0207000J  7                  T  53          1942</t>
        </is>
      </c>
      <c r="D916" t="inlineStr">
        <is>
          <t>John Paul Jones : father of the American navy / by Valentine Thomson.</t>
        </is>
      </c>
      <c r="F916" t="inlineStr">
        <is>
          <t>No</t>
        </is>
      </c>
      <c r="G916" t="inlineStr">
        <is>
          <t>1</t>
        </is>
      </c>
      <c r="H916" t="inlineStr">
        <is>
          <t>No</t>
        </is>
      </c>
      <c r="I916" t="inlineStr">
        <is>
          <t>No</t>
        </is>
      </c>
      <c r="J916" t="inlineStr">
        <is>
          <t>0</t>
        </is>
      </c>
      <c r="K916" t="inlineStr">
        <is>
          <t>Thomson, Valentine.</t>
        </is>
      </c>
      <c r="L916" t="inlineStr">
        <is>
          <t>Cleveland : World, 1942, c1939.</t>
        </is>
      </c>
      <c r="M916" t="inlineStr">
        <is>
          <t>1939</t>
        </is>
      </c>
      <c r="O916" t="inlineStr">
        <is>
          <t>eng</t>
        </is>
      </c>
      <c r="P916" t="inlineStr">
        <is>
          <t>ohu</t>
        </is>
      </c>
      <c r="R916" t="inlineStr">
        <is>
          <t xml:space="preserve">E  </t>
        </is>
      </c>
      <c r="S916" t="n">
        <v>3</v>
      </c>
      <c r="T916" t="n">
        <v>3</v>
      </c>
      <c r="U916" t="inlineStr">
        <is>
          <t>1994-03-10</t>
        </is>
      </c>
      <c r="V916" t="inlineStr">
        <is>
          <t>1994-03-10</t>
        </is>
      </c>
      <c r="W916" t="inlineStr">
        <is>
          <t>1991-03-07</t>
        </is>
      </c>
      <c r="X916" t="inlineStr">
        <is>
          <t>1991-03-07</t>
        </is>
      </c>
      <c r="Y916" t="n">
        <v>82</v>
      </c>
      <c r="Z916" t="n">
        <v>81</v>
      </c>
      <c r="AA916" t="n">
        <v>84</v>
      </c>
      <c r="AB916" t="n">
        <v>2</v>
      </c>
      <c r="AC916" t="n">
        <v>2</v>
      </c>
      <c r="AD916" t="n">
        <v>3</v>
      </c>
      <c r="AE916" t="n">
        <v>3</v>
      </c>
      <c r="AF916" t="n">
        <v>2</v>
      </c>
      <c r="AG916" t="n">
        <v>2</v>
      </c>
      <c r="AH916" t="n">
        <v>1</v>
      </c>
      <c r="AI916" t="n">
        <v>1</v>
      </c>
      <c r="AJ916" t="n">
        <v>0</v>
      </c>
      <c r="AK916" t="n">
        <v>0</v>
      </c>
      <c r="AL916" t="n">
        <v>1</v>
      </c>
      <c r="AM916" t="n">
        <v>1</v>
      </c>
      <c r="AN916" t="n">
        <v>0</v>
      </c>
      <c r="AO916" t="n">
        <v>0</v>
      </c>
      <c r="AP916" t="inlineStr">
        <is>
          <t>No</t>
        </is>
      </c>
      <c r="AQ916" t="inlineStr">
        <is>
          <t>No</t>
        </is>
      </c>
      <c r="AS916">
        <f>HYPERLINK("https://creighton-primo.hosted.exlibrisgroup.com/primo-explore/search?tab=default_tab&amp;search_scope=EVERYTHING&amp;vid=01CRU&amp;lang=en_US&amp;offset=0&amp;query=any,contains,991004426929702656","Catalog Record")</f>
        <v/>
      </c>
      <c r="AT916">
        <f>HYPERLINK("http://www.worldcat.org/oclc/3404213","WorldCat Record")</f>
        <v/>
      </c>
      <c r="AU916" t="inlineStr">
        <is>
          <t>41767962:eng</t>
        </is>
      </c>
      <c r="AV916" t="inlineStr">
        <is>
          <t>3404213</t>
        </is>
      </c>
      <c r="AW916" t="inlineStr">
        <is>
          <t>991004426929702656</t>
        </is>
      </c>
      <c r="AX916" t="inlineStr">
        <is>
          <t>991004426929702656</t>
        </is>
      </c>
      <c r="AY916" t="inlineStr">
        <is>
          <t>2256553100002656</t>
        </is>
      </c>
      <c r="AZ916" t="inlineStr">
        <is>
          <t>BOOK</t>
        </is>
      </c>
      <c r="BC916" t="inlineStr">
        <is>
          <t>32285000540533</t>
        </is>
      </c>
      <c r="BD916" t="inlineStr">
        <is>
          <t>893513231</t>
        </is>
      </c>
    </row>
    <row r="917">
      <c r="A917" t="inlineStr">
        <is>
          <t>No</t>
        </is>
      </c>
      <c r="B917" t="inlineStr">
        <is>
          <t>E207.L5 R69</t>
        </is>
      </c>
      <c r="C917" t="inlineStr">
        <is>
          <t>0                      E  0207000L  5                  R  69</t>
        </is>
      </c>
      <c r="D917" t="inlineStr">
        <is>
          <t>Light-Horse Harry Lee and the legacy of the American Revolution / Charles Royster.</t>
        </is>
      </c>
      <c r="F917" t="inlineStr">
        <is>
          <t>No</t>
        </is>
      </c>
      <c r="G917" t="inlineStr">
        <is>
          <t>1</t>
        </is>
      </c>
      <c r="H917" t="inlineStr">
        <is>
          <t>No</t>
        </is>
      </c>
      <c r="I917" t="inlineStr">
        <is>
          <t>No</t>
        </is>
      </c>
      <c r="J917" t="inlineStr">
        <is>
          <t>0</t>
        </is>
      </c>
      <c r="K917" t="inlineStr">
        <is>
          <t>Royster, Charles.</t>
        </is>
      </c>
      <c r="L917" t="inlineStr">
        <is>
          <t>New York : Knopf : distributed by Random House, 1981.</t>
        </is>
      </c>
      <c r="M917" t="inlineStr">
        <is>
          <t>1981</t>
        </is>
      </c>
      <c r="N917" t="inlineStr">
        <is>
          <t>1st ed.</t>
        </is>
      </c>
      <c r="O917" t="inlineStr">
        <is>
          <t>eng</t>
        </is>
      </c>
      <c r="P917" t="inlineStr">
        <is>
          <t>nyu</t>
        </is>
      </c>
      <c r="R917" t="inlineStr">
        <is>
          <t xml:space="preserve">E  </t>
        </is>
      </c>
      <c r="S917" t="n">
        <v>2</v>
      </c>
      <c r="T917" t="n">
        <v>2</v>
      </c>
      <c r="U917" t="inlineStr">
        <is>
          <t>1994-10-26</t>
        </is>
      </c>
      <c r="V917" t="inlineStr">
        <is>
          <t>1994-10-26</t>
        </is>
      </c>
      <c r="W917" t="inlineStr">
        <is>
          <t>1990-06-21</t>
        </is>
      </c>
      <c r="X917" t="inlineStr">
        <is>
          <t>1990-06-21</t>
        </is>
      </c>
      <c r="Y917" t="n">
        <v>843</v>
      </c>
      <c r="Z917" t="n">
        <v>804</v>
      </c>
      <c r="AA917" t="n">
        <v>983</v>
      </c>
      <c r="AB917" t="n">
        <v>6</v>
      </c>
      <c r="AC917" t="n">
        <v>7</v>
      </c>
      <c r="AD917" t="n">
        <v>27</v>
      </c>
      <c r="AE917" t="n">
        <v>40</v>
      </c>
      <c r="AF917" t="n">
        <v>12</v>
      </c>
      <c r="AG917" t="n">
        <v>18</v>
      </c>
      <c r="AH917" t="n">
        <v>9</v>
      </c>
      <c r="AI917" t="n">
        <v>11</v>
      </c>
      <c r="AJ917" t="n">
        <v>10</v>
      </c>
      <c r="AK917" t="n">
        <v>17</v>
      </c>
      <c r="AL917" t="n">
        <v>4</v>
      </c>
      <c r="AM917" t="n">
        <v>5</v>
      </c>
      <c r="AN917" t="n">
        <v>0</v>
      </c>
      <c r="AO917" t="n">
        <v>0</v>
      </c>
      <c r="AP917" t="inlineStr">
        <is>
          <t>No</t>
        </is>
      </c>
      <c r="AQ917" t="inlineStr">
        <is>
          <t>Yes</t>
        </is>
      </c>
      <c r="AR917">
        <f>HYPERLINK("http://catalog.hathitrust.org/Record/000099291","HathiTrust Record")</f>
        <v/>
      </c>
      <c r="AS917">
        <f>HYPERLINK("https://creighton-primo.hosted.exlibrisgroup.com/primo-explore/search?tab=default_tab&amp;search_scope=EVERYTHING&amp;vid=01CRU&amp;lang=en_US&amp;offset=0&amp;query=any,contains,991005055269702656","Catalog Record")</f>
        <v/>
      </c>
      <c r="AT917">
        <f>HYPERLINK("http://www.worldcat.org/oclc/6891146","WorldCat Record")</f>
        <v/>
      </c>
      <c r="AU917" t="inlineStr">
        <is>
          <t>463187:eng</t>
        </is>
      </c>
      <c r="AV917" t="inlineStr">
        <is>
          <t>6891146</t>
        </is>
      </c>
      <c r="AW917" t="inlineStr">
        <is>
          <t>991005055269702656</t>
        </is>
      </c>
      <c r="AX917" t="inlineStr">
        <is>
          <t>991005055269702656</t>
        </is>
      </c>
      <c r="AY917" t="inlineStr">
        <is>
          <t>2262088820002656</t>
        </is>
      </c>
      <c r="AZ917" t="inlineStr">
        <is>
          <t>BOOK</t>
        </is>
      </c>
      <c r="BB917" t="inlineStr">
        <is>
          <t>9780394513379</t>
        </is>
      </c>
      <c r="BC917" t="inlineStr">
        <is>
          <t>32285000210749</t>
        </is>
      </c>
      <c r="BD917" t="inlineStr">
        <is>
          <t>893338427</t>
        </is>
      </c>
    </row>
    <row r="918">
      <c r="A918" t="inlineStr">
        <is>
          <t>No</t>
        </is>
      </c>
      <c r="B918" t="inlineStr">
        <is>
          <t>E207.M6 R6</t>
        </is>
      </c>
      <c r="C918" t="inlineStr">
        <is>
          <t>0                      E  0207000M  6                  R  6</t>
        </is>
      </c>
      <c r="D918" t="inlineStr">
        <is>
          <t>Thomas Mifflin and the politics of the American Revolution.</t>
        </is>
      </c>
      <c r="F918" t="inlineStr">
        <is>
          <t>No</t>
        </is>
      </c>
      <c r="G918" t="inlineStr">
        <is>
          <t>1</t>
        </is>
      </c>
      <c r="H918" t="inlineStr">
        <is>
          <t>No</t>
        </is>
      </c>
      <c r="I918" t="inlineStr">
        <is>
          <t>No</t>
        </is>
      </c>
      <c r="J918" t="inlineStr">
        <is>
          <t>0</t>
        </is>
      </c>
      <c r="K918" t="inlineStr">
        <is>
          <t>Rossman, Kenneth R.</t>
        </is>
      </c>
      <c r="L918" t="inlineStr">
        <is>
          <t>[Chapel Hill] : University of North Carolina Press, [1952]</t>
        </is>
      </c>
      <c r="M918" t="inlineStr">
        <is>
          <t>1952</t>
        </is>
      </c>
      <c r="O918" t="inlineStr">
        <is>
          <t>eng</t>
        </is>
      </c>
      <c r="P918" t="inlineStr">
        <is>
          <t xml:space="preserve">xx </t>
        </is>
      </c>
      <c r="R918" t="inlineStr">
        <is>
          <t xml:space="preserve">E  </t>
        </is>
      </c>
      <c r="S918" t="n">
        <v>1</v>
      </c>
      <c r="T918" t="n">
        <v>1</v>
      </c>
      <c r="U918" t="inlineStr">
        <is>
          <t>2002-09-15</t>
        </is>
      </c>
      <c r="V918" t="inlineStr">
        <is>
          <t>2002-09-15</t>
        </is>
      </c>
      <c r="W918" t="inlineStr">
        <is>
          <t>1990-11-30</t>
        </is>
      </c>
      <c r="X918" t="inlineStr">
        <is>
          <t>1990-11-30</t>
        </is>
      </c>
      <c r="Y918" t="n">
        <v>382</v>
      </c>
      <c r="Z918" t="n">
        <v>359</v>
      </c>
      <c r="AA918" t="n">
        <v>365</v>
      </c>
      <c r="AB918" t="n">
        <v>5</v>
      </c>
      <c r="AC918" t="n">
        <v>5</v>
      </c>
      <c r="AD918" t="n">
        <v>23</v>
      </c>
      <c r="AE918" t="n">
        <v>23</v>
      </c>
      <c r="AF918" t="n">
        <v>6</v>
      </c>
      <c r="AG918" t="n">
        <v>6</v>
      </c>
      <c r="AH918" t="n">
        <v>6</v>
      </c>
      <c r="AI918" t="n">
        <v>6</v>
      </c>
      <c r="AJ918" t="n">
        <v>11</v>
      </c>
      <c r="AK918" t="n">
        <v>11</v>
      </c>
      <c r="AL918" t="n">
        <v>4</v>
      </c>
      <c r="AM918" t="n">
        <v>4</v>
      </c>
      <c r="AN918" t="n">
        <v>1</v>
      </c>
      <c r="AO918" t="n">
        <v>1</v>
      </c>
      <c r="AP918" t="inlineStr">
        <is>
          <t>No</t>
        </is>
      </c>
      <c r="AQ918" t="inlineStr">
        <is>
          <t>Yes</t>
        </is>
      </c>
      <c r="AR918">
        <f>HYPERLINK("http://catalog.hathitrust.org/Record/000362272","HathiTrust Record")</f>
        <v/>
      </c>
      <c r="AS918">
        <f>HYPERLINK("https://creighton-primo.hosted.exlibrisgroup.com/primo-explore/search?tab=default_tab&amp;search_scope=EVERYTHING&amp;vid=01CRU&amp;lang=en_US&amp;offset=0&amp;query=any,contains,991003231269702656","Catalog Record")</f>
        <v/>
      </c>
      <c r="AT918">
        <f>HYPERLINK("http://www.worldcat.org/oclc/756009","WorldCat Record")</f>
        <v/>
      </c>
      <c r="AU918" t="inlineStr">
        <is>
          <t>1617377:eng</t>
        </is>
      </c>
      <c r="AV918" t="inlineStr">
        <is>
          <t>756009</t>
        </is>
      </c>
      <c r="AW918" t="inlineStr">
        <is>
          <t>991003231269702656</t>
        </is>
      </c>
      <c r="AX918" t="inlineStr">
        <is>
          <t>991003231269702656</t>
        </is>
      </c>
      <c r="AY918" t="inlineStr">
        <is>
          <t>2271158040002656</t>
        </is>
      </c>
      <c r="AZ918" t="inlineStr">
        <is>
          <t>BOOK</t>
        </is>
      </c>
      <c r="BC918" t="inlineStr">
        <is>
          <t>32285000410703</t>
        </is>
      </c>
      <c r="BD918" t="inlineStr">
        <is>
          <t>893717445</t>
        </is>
      </c>
    </row>
    <row r="919">
      <c r="A919" t="inlineStr">
        <is>
          <t>No</t>
        </is>
      </c>
      <c r="B919" t="inlineStr">
        <is>
          <t>E207.P9 C9 1970</t>
        </is>
      </c>
      <c r="C919" t="inlineStr">
        <is>
          <t>0                      E  0207000P  9                  C  9           1970</t>
        </is>
      </c>
      <c r="D919" t="inlineStr">
        <is>
          <t>The life of Israel Putnam, Major-General in the Army of the American Revolution, compiled from the best authorities.</t>
        </is>
      </c>
      <c r="F919" t="inlineStr">
        <is>
          <t>No</t>
        </is>
      </c>
      <c r="G919" t="inlineStr">
        <is>
          <t>1</t>
        </is>
      </c>
      <c r="H919" t="inlineStr">
        <is>
          <t>No</t>
        </is>
      </c>
      <c r="I919" t="inlineStr">
        <is>
          <t>No</t>
        </is>
      </c>
      <c r="J919" t="inlineStr">
        <is>
          <t>0</t>
        </is>
      </c>
      <c r="K919" t="inlineStr">
        <is>
          <t>Cutter, William, 1801-1867.</t>
        </is>
      </c>
      <c r="L919" t="inlineStr">
        <is>
          <t>Port Washington, N.Y., Kennikat Press [1970]</t>
        </is>
      </c>
      <c r="M919" t="inlineStr">
        <is>
          <t>1970</t>
        </is>
      </c>
      <c r="N919" t="inlineStr">
        <is>
          <t>4th ed.</t>
        </is>
      </c>
      <c r="O919" t="inlineStr">
        <is>
          <t>eng</t>
        </is>
      </c>
      <c r="P919" t="inlineStr">
        <is>
          <t>nyu</t>
        </is>
      </c>
      <c r="Q919" t="inlineStr">
        <is>
          <t>Kennikat American bicentennial series</t>
        </is>
      </c>
      <c r="R919" t="inlineStr">
        <is>
          <t xml:space="preserve">E  </t>
        </is>
      </c>
      <c r="S919" t="n">
        <v>2</v>
      </c>
      <c r="T919" t="n">
        <v>2</v>
      </c>
      <c r="U919" t="inlineStr">
        <is>
          <t>1999-11-02</t>
        </is>
      </c>
      <c r="V919" t="inlineStr">
        <is>
          <t>1999-11-02</t>
        </is>
      </c>
      <c r="W919" t="inlineStr">
        <is>
          <t>1997-05-05</t>
        </is>
      </c>
      <c r="X919" t="inlineStr">
        <is>
          <t>1997-05-05</t>
        </is>
      </c>
      <c r="Y919" t="n">
        <v>152</v>
      </c>
      <c r="Z919" t="n">
        <v>140</v>
      </c>
      <c r="AA919" t="n">
        <v>375</v>
      </c>
      <c r="AB919" t="n">
        <v>1</v>
      </c>
      <c r="AC919" t="n">
        <v>2</v>
      </c>
      <c r="AD919" t="n">
        <v>2</v>
      </c>
      <c r="AE919" t="n">
        <v>9</v>
      </c>
      <c r="AF919" t="n">
        <v>0</v>
      </c>
      <c r="AG919" t="n">
        <v>1</v>
      </c>
      <c r="AH919" t="n">
        <v>1</v>
      </c>
      <c r="AI919" t="n">
        <v>3</v>
      </c>
      <c r="AJ919" t="n">
        <v>1</v>
      </c>
      <c r="AK919" t="n">
        <v>6</v>
      </c>
      <c r="AL919" t="n">
        <v>0</v>
      </c>
      <c r="AM919" t="n">
        <v>1</v>
      </c>
      <c r="AN919" t="n">
        <v>0</v>
      </c>
      <c r="AO919" t="n">
        <v>0</v>
      </c>
      <c r="AP919" t="inlineStr">
        <is>
          <t>No</t>
        </is>
      </c>
      <c r="AQ919" t="inlineStr">
        <is>
          <t>Yes</t>
        </is>
      </c>
      <c r="AR919">
        <f>HYPERLINK("http://catalog.hathitrust.org/Record/011594950","HathiTrust Record")</f>
        <v/>
      </c>
      <c r="AS919">
        <f>HYPERLINK("https://creighton-primo.hosted.exlibrisgroup.com/primo-explore/search?tab=default_tab&amp;search_scope=EVERYTHING&amp;vid=01CRU&amp;lang=en_US&amp;offset=0&amp;query=any,contains,991000543829702656","Catalog Record")</f>
        <v/>
      </c>
      <c r="AT919">
        <f>HYPERLINK("http://www.worldcat.org/oclc/91133","WorldCat Record")</f>
        <v/>
      </c>
      <c r="AU919" t="inlineStr">
        <is>
          <t>458479:eng</t>
        </is>
      </c>
      <c r="AV919" t="inlineStr">
        <is>
          <t>91133</t>
        </is>
      </c>
      <c r="AW919" t="inlineStr">
        <is>
          <t>991000543829702656</t>
        </is>
      </c>
      <c r="AX919" t="inlineStr">
        <is>
          <t>991000543829702656</t>
        </is>
      </c>
      <c r="AY919" t="inlineStr">
        <is>
          <t>2264688590002656</t>
        </is>
      </c>
      <c r="AZ919" t="inlineStr">
        <is>
          <t>BOOK</t>
        </is>
      </c>
      <c r="BB919" t="inlineStr">
        <is>
          <t>9780804612678</t>
        </is>
      </c>
      <c r="BC919" t="inlineStr">
        <is>
          <t>32285002573631</t>
        </is>
      </c>
      <c r="BD919" t="inlineStr">
        <is>
          <t>893702216</t>
        </is>
      </c>
    </row>
    <row r="920">
      <c r="A920" t="inlineStr">
        <is>
          <t>No</t>
        </is>
      </c>
      <c r="B920" t="inlineStr">
        <is>
          <t>E207.S8 D75</t>
        </is>
      </c>
      <c r="C920" t="inlineStr">
        <is>
          <t>0                      E  0207000S  8                  D  75</t>
        </is>
      </c>
      <c r="D920" t="inlineStr">
        <is>
          <t>Frederick William von Steuben and the American Revolution, aide to Washington and inspector general of the Army. With account of posthumous honors at various places. By Joseph B. Doyle ... Under the auspices of the Stanton Monument Association.</t>
        </is>
      </c>
      <c r="F920" t="inlineStr">
        <is>
          <t>No</t>
        </is>
      </c>
      <c r="G920" t="inlineStr">
        <is>
          <t>1</t>
        </is>
      </c>
      <c r="H920" t="inlineStr">
        <is>
          <t>No</t>
        </is>
      </c>
      <c r="I920" t="inlineStr">
        <is>
          <t>No</t>
        </is>
      </c>
      <c r="J920" t="inlineStr">
        <is>
          <t>0</t>
        </is>
      </c>
      <c r="K920" t="inlineStr">
        <is>
          <t>Doyle, Joseph Beatty, 1849-1927.</t>
        </is>
      </c>
      <c r="L920" t="inlineStr">
        <is>
          <t>Steubenville, O., The H.C. Cook Co., 1913.</t>
        </is>
      </c>
      <c r="M920" t="inlineStr">
        <is>
          <t>1913</t>
        </is>
      </c>
      <c r="O920" t="inlineStr">
        <is>
          <t>eng</t>
        </is>
      </c>
      <c r="P920" t="inlineStr">
        <is>
          <t>ohu</t>
        </is>
      </c>
      <c r="R920" t="inlineStr">
        <is>
          <t xml:space="preserve">E  </t>
        </is>
      </c>
      <c r="S920" t="n">
        <v>1</v>
      </c>
      <c r="T920" t="n">
        <v>1</v>
      </c>
      <c r="U920" t="inlineStr">
        <is>
          <t>2004-10-14</t>
        </is>
      </c>
      <c r="V920" t="inlineStr">
        <is>
          <t>2004-10-14</t>
        </is>
      </c>
      <c r="W920" t="inlineStr">
        <is>
          <t>1997-05-05</t>
        </is>
      </c>
      <c r="X920" t="inlineStr">
        <is>
          <t>1997-05-05</t>
        </is>
      </c>
      <c r="Y920" t="n">
        <v>128</v>
      </c>
      <c r="Z920" t="n">
        <v>126</v>
      </c>
      <c r="AA920" t="n">
        <v>147</v>
      </c>
      <c r="AB920" t="n">
        <v>1</v>
      </c>
      <c r="AC920" t="n">
        <v>2</v>
      </c>
      <c r="AD920" t="n">
        <v>4</v>
      </c>
      <c r="AE920" t="n">
        <v>7</v>
      </c>
      <c r="AF920" t="n">
        <v>0</v>
      </c>
      <c r="AG920" t="n">
        <v>1</v>
      </c>
      <c r="AH920" t="n">
        <v>1</v>
      </c>
      <c r="AI920" t="n">
        <v>2</v>
      </c>
      <c r="AJ920" t="n">
        <v>3</v>
      </c>
      <c r="AK920" t="n">
        <v>3</v>
      </c>
      <c r="AL920" t="n">
        <v>0</v>
      </c>
      <c r="AM920" t="n">
        <v>1</v>
      </c>
      <c r="AN920" t="n">
        <v>0</v>
      </c>
      <c r="AO920" t="n">
        <v>0</v>
      </c>
      <c r="AP920" t="inlineStr">
        <is>
          <t>Yes</t>
        </is>
      </c>
      <c r="AQ920" t="inlineStr">
        <is>
          <t>No</t>
        </is>
      </c>
      <c r="AR920">
        <f>HYPERLINK("http://catalog.hathitrust.org/Record/000361887","HathiTrust Record")</f>
        <v/>
      </c>
      <c r="AS920">
        <f>HYPERLINK("https://creighton-primo.hosted.exlibrisgroup.com/primo-explore/search?tab=default_tab&amp;search_scope=EVERYTHING&amp;vid=01CRU&amp;lang=en_US&amp;offset=0&amp;query=any,contains,991003157619702656","Catalog Record")</f>
        <v/>
      </c>
      <c r="AT920">
        <f>HYPERLINK("http://www.worldcat.org/oclc/697189","WorldCat Record")</f>
        <v/>
      </c>
      <c r="AU920" t="inlineStr">
        <is>
          <t>8911314622:eng</t>
        </is>
      </c>
      <c r="AV920" t="inlineStr">
        <is>
          <t>697189</t>
        </is>
      </c>
      <c r="AW920" t="inlineStr">
        <is>
          <t>991003157619702656</t>
        </is>
      </c>
      <c r="AX920" t="inlineStr">
        <is>
          <t>991003157619702656</t>
        </is>
      </c>
      <c r="AY920" t="inlineStr">
        <is>
          <t>2264569120002656</t>
        </is>
      </c>
      <c r="AZ920" t="inlineStr">
        <is>
          <t>BOOK</t>
        </is>
      </c>
      <c r="BC920" t="inlineStr">
        <is>
          <t>32285002573680</t>
        </is>
      </c>
      <c r="BD920" t="inlineStr">
        <is>
          <t>893352706</t>
        </is>
      </c>
    </row>
    <row r="921">
      <c r="A921" t="inlineStr">
        <is>
          <t>No</t>
        </is>
      </c>
      <c r="B921" t="inlineStr">
        <is>
          <t>E208 .A35</t>
        </is>
      </c>
      <c r="C921" t="inlineStr">
        <is>
          <t>0                      E  0208000A  35</t>
        </is>
      </c>
      <c r="D921" t="inlineStr">
        <is>
          <t>The American Revolution, 1775-1783.</t>
        </is>
      </c>
      <c r="F921" t="inlineStr">
        <is>
          <t>No</t>
        </is>
      </c>
      <c r="G921" t="inlineStr">
        <is>
          <t>1</t>
        </is>
      </c>
      <c r="H921" t="inlineStr">
        <is>
          <t>No</t>
        </is>
      </c>
      <c r="I921" t="inlineStr">
        <is>
          <t>No</t>
        </is>
      </c>
      <c r="J921" t="inlineStr">
        <is>
          <t>0</t>
        </is>
      </c>
      <c r="K921" t="inlineStr">
        <is>
          <t>Alden, John Richard, 1908-1991.</t>
        </is>
      </c>
      <c r="L921" t="inlineStr">
        <is>
          <t>New York : Harper, [1954]</t>
        </is>
      </c>
      <c r="M921" t="inlineStr">
        <is>
          <t>1954</t>
        </is>
      </c>
      <c r="N921" t="inlineStr">
        <is>
          <t>[1st ed.]</t>
        </is>
      </c>
      <c r="O921" t="inlineStr">
        <is>
          <t>eng</t>
        </is>
      </c>
      <c r="P921" t="inlineStr">
        <is>
          <t>nyu</t>
        </is>
      </c>
      <c r="Q921" t="inlineStr">
        <is>
          <t>The New American nation series</t>
        </is>
      </c>
      <c r="R921" t="inlineStr">
        <is>
          <t xml:space="preserve">E  </t>
        </is>
      </c>
      <c r="S921" t="n">
        <v>6</v>
      </c>
      <c r="T921" t="n">
        <v>6</v>
      </c>
      <c r="U921" t="inlineStr">
        <is>
          <t>1995-11-29</t>
        </is>
      </c>
      <c r="V921" t="inlineStr">
        <is>
          <t>1995-11-29</t>
        </is>
      </c>
      <c r="W921" t="inlineStr">
        <is>
          <t>1990-09-21</t>
        </is>
      </c>
      <c r="X921" t="inlineStr">
        <is>
          <t>1990-09-21</t>
        </is>
      </c>
      <c r="Y921" t="n">
        <v>2048</v>
      </c>
      <c r="Z921" t="n">
        <v>1904</v>
      </c>
      <c r="AA921" t="n">
        <v>1924</v>
      </c>
      <c r="AB921" t="n">
        <v>16</v>
      </c>
      <c r="AC921" t="n">
        <v>16</v>
      </c>
      <c r="AD921" t="n">
        <v>55</v>
      </c>
      <c r="AE921" t="n">
        <v>55</v>
      </c>
      <c r="AF921" t="n">
        <v>25</v>
      </c>
      <c r="AG921" t="n">
        <v>25</v>
      </c>
      <c r="AH921" t="n">
        <v>7</v>
      </c>
      <c r="AI921" t="n">
        <v>7</v>
      </c>
      <c r="AJ921" t="n">
        <v>19</v>
      </c>
      <c r="AK921" t="n">
        <v>19</v>
      </c>
      <c r="AL921" t="n">
        <v>12</v>
      </c>
      <c r="AM921" t="n">
        <v>12</v>
      </c>
      <c r="AN921" t="n">
        <v>3</v>
      </c>
      <c r="AO921" t="n">
        <v>3</v>
      </c>
      <c r="AP921" t="inlineStr">
        <is>
          <t>No</t>
        </is>
      </c>
      <c r="AQ921" t="inlineStr">
        <is>
          <t>Yes</t>
        </is>
      </c>
      <c r="AR921">
        <f>HYPERLINK("http://catalog.hathitrust.org/Record/000363364","HathiTrust Record")</f>
        <v/>
      </c>
      <c r="AS921">
        <f>HYPERLINK("https://creighton-primo.hosted.exlibrisgroup.com/primo-explore/search?tab=default_tab&amp;search_scope=EVERYTHING&amp;vid=01CRU&amp;lang=en_US&amp;offset=0&amp;query=any,contains,991001057179702656","Catalog Record")</f>
        <v/>
      </c>
      <c r="AT921">
        <f>HYPERLINK("http://www.worldcat.org/oclc/177509","WorldCat Record")</f>
        <v/>
      </c>
      <c r="AU921" t="inlineStr">
        <is>
          <t>1314263:eng</t>
        </is>
      </c>
      <c r="AV921" t="inlineStr">
        <is>
          <t>177509</t>
        </is>
      </c>
      <c r="AW921" t="inlineStr">
        <is>
          <t>991001057179702656</t>
        </is>
      </c>
      <c r="AX921" t="inlineStr">
        <is>
          <t>991001057179702656</t>
        </is>
      </c>
      <c r="AY921" t="inlineStr">
        <is>
          <t>2268222680002656</t>
        </is>
      </c>
      <c r="AZ921" t="inlineStr">
        <is>
          <t>BOOK</t>
        </is>
      </c>
      <c r="BC921" t="inlineStr">
        <is>
          <t>32285000305861</t>
        </is>
      </c>
      <c r="BD921" t="inlineStr">
        <is>
          <t>893803298</t>
        </is>
      </c>
    </row>
    <row r="922">
      <c r="A922" t="inlineStr">
        <is>
          <t>No</t>
        </is>
      </c>
      <c r="B922" t="inlineStr">
        <is>
          <t>E208 .A52</t>
        </is>
      </c>
      <c r="C922" t="inlineStr">
        <is>
          <t>0                      E  0208000A  52</t>
        </is>
      </c>
      <c r="D922" t="inlineStr">
        <is>
          <t>The American heritage book of the Revolution / by the editors of American heritage, the magazine of history. Editor in charge: Richard M. Ketchum. Narrative by Bruce Lancaster, with a chapter by J. H. Plumb. Introd. by Bruce Catton.</t>
        </is>
      </c>
      <c r="F922" t="inlineStr">
        <is>
          <t>No</t>
        </is>
      </c>
      <c r="G922" t="inlineStr">
        <is>
          <t>1</t>
        </is>
      </c>
      <c r="H922" t="inlineStr">
        <is>
          <t>No</t>
        </is>
      </c>
      <c r="I922" t="inlineStr">
        <is>
          <t>No</t>
        </is>
      </c>
      <c r="J922" t="inlineStr">
        <is>
          <t>0</t>
        </is>
      </c>
      <c r="K922" t="inlineStr">
        <is>
          <t>Lancaster, Bruce, 1896-1963.</t>
        </is>
      </c>
      <c r="L922" t="inlineStr">
        <is>
          <t>New York : American Heritage Pub. Co. ; book trade distribution by Simon &amp; Schuster, [1958]</t>
        </is>
      </c>
      <c r="M922" t="inlineStr">
        <is>
          <t>1958</t>
        </is>
      </c>
      <c r="O922" t="inlineStr">
        <is>
          <t>eng</t>
        </is>
      </c>
      <c r="P922" t="inlineStr">
        <is>
          <t>nyu</t>
        </is>
      </c>
      <c r="R922" t="inlineStr">
        <is>
          <t xml:space="preserve">E  </t>
        </is>
      </c>
      <c r="S922" t="n">
        <v>1</v>
      </c>
      <c r="T922" t="n">
        <v>1</v>
      </c>
      <c r="U922" t="inlineStr">
        <is>
          <t>1992-12-15</t>
        </is>
      </c>
      <c r="V922" t="inlineStr">
        <is>
          <t>1992-12-15</t>
        </is>
      </c>
      <c r="W922" t="inlineStr">
        <is>
          <t>1992-12-15</t>
        </is>
      </c>
      <c r="X922" t="inlineStr">
        <is>
          <t>1992-12-15</t>
        </is>
      </c>
      <c r="Y922" t="n">
        <v>2211</v>
      </c>
      <c r="Z922" t="n">
        <v>2145</v>
      </c>
      <c r="AA922" t="n">
        <v>2649</v>
      </c>
      <c r="AB922" t="n">
        <v>20</v>
      </c>
      <c r="AC922" t="n">
        <v>23</v>
      </c>
      <c r="AD922" t="n">
        <v>45</v>
      </c>
      <c r="AE922" t="n">
        <v>55</v>
      </c>
      <c r="AF922" t="n">
        <v>20</v>
      </c>
      <c r="AG922" t="n">
        <v>24</v>
      </c>
      <c r="AH922" t="n">
        <v>8</v>
      </c>
      <c r="AI922" t="n">
        <v>9</v>
      </c>
      <c r="AJ922" t="n">
        <v>20</v>
      </c>
      <c r="AK922" t="n">
        <v>24</v>
      </c>
      <c r="AL922" t="n">
        <v>8</v>
      </c>
      <c r="AM922" t="n">
        <v>10</v>
      </c>
      <c r="AN922" t="n">
        <v>0</v>
      </c>
      <c r="AO922" t="n">
        <v>1</v>
      </c>
      <c r="AP922" t="inlineStr">
        <is>
          <t>No</t>
        </is>
      </c>
      <c r="AQ922" t="inlineStr">
        <is>
          <t>Yes</t>
        </is>
      </c>
      <c r="AR922">
        <f>HYPERLINK("http://catalog.hathitrust.org/Record/000361938","HathiTrust Record")</f>
        <v/>
      </c>
      <c r="AS922">
        <f>HYPERLINK("https://creighton-primo.hosted.exlibrisgroup.com/primo-explore/search?tab=default_tab&amp;search_scope=EVERYTHING&amp;vid=01CRU&amp;lang=en_US&amp;offset=0&amp;query=any,contains,991003895959702656","Catalog Record")</f>
        <v/>
      </c>
      <c r="AT922">
        <f>HYPERLINK("http://www.worldcat.org/oclc/1809644","WorldCat Record")</f>
        <v/>
      </c>
      <c r="AU922" t="inlineStr">
        <is>
          <t>365749897:eng</t>
        </is>
      </c>
      <c r="AV922" t="inlineStr">
        <is>
          <t>1809644</t>
        </is>
      </c>
      <c r="AW922" t="inlineStr">
        <is>
          <t>991003895959702656</t>
        </is>
      </c>
      <c r="AX922" t="inlineStr">
        <is>
          <t>991003895959702656</t>
        </is>
      </c>
      <c r="AY922" t="inlineStr">
        <is>
          <t>2265610770002656</t>
        </is>
      </c>
      <c r="AZ922" t="inlineStr">
        <is>
          <t>BOOK</t>
        </is>
      </c>
      <c r="BC922" t="inlineStr">
        <is>
          <t>32285001403699</t>
        </is>
      </c>
      <c r="BD922" t="inlineStr">
        <is>
          <t>893605370</t>
        </is>
      </c>
    </row>
    <row r="923">
      <c r="A923" t="inlineStr">
        <is>
          <t>No</t>
        </is>
      </c>
      <c r="B923" t="inlineStr">
        <is>
          <t>E208 .B2 1990</t>
        </is>
      </c>
      <c r="C923" t="inlineStr">
        <is>
          <t>0                      E  0208000B  2           1990</t>
        </is>
      </c>
      <c r="D923" t="inlineStr">
        <is>
          <t>Faces of revolution : personalities and themes in the struggle for American independence / Bernard Bailyn.</t>
        </is>
      </c>
      <c r="F923" t="inlineStr">
        <is>
          <t>No</t>
        </is>
      </c>
      <c r="G923" t="inlineStr">
        <is>
          <t>1</t>
        </is>
      </c>
      <c r="H923" t="inlineStr">
        <is>
          <t>No</t>
        </is>
      </c>
      <c r="I923" t="inlineStr">
        <is>
          <t>No</t>
        </is>
      </c>
      <c r="J923" t="inlineStr">
        <is>
          <t>0</t>
        </is>
      </c>
      <c r="K923" t="inlineStr">
        <is>
          <t>Bailyn, Bernard.</t>
        </is>
      </c>
      <c r="L923" t="inlineStr">
        <is>
          <t>New York : Knopf : Distributed by Random House, 1990.</t>
        </is>
      </c>
      <c r="M923" t="inlineStr">
        <is>
          <t>1990</t>
        </is>
      </c>
      <c r="N923" t="inlineStr">
        <is>
          <t>1st ed.</t>
        </is>
      </c>
      <c r="O923" t="inlineStr">
        <is>
          <t>eng</t>
        </is>
      </c>
      <c r="P923" t="inlineStr">
        <is>
          <t>nyu</t>
        </is>
      </c>
      <c r="R923" t="inlineStr">
        <is>
          <t xml:space="preserve">E  </t>
        </is>
      </c>
      <c r="S923" t="n">
        <v>3</v>
      </c>
      <c r="T923" t="n">
        <v>3</v>
      </c>
      <c r="U923" t="inlineStr">
        <is>
          <t>2004-03-27</t>
        </is>
      </c>
      <c r="V923" t="inlineStr">
        <is>
          <t>2004-03-27</t>
        </is>
      </c>
      <c r="W923" t="inlineStr">
        <is>
          <t>1991-05-16</t>
        </is>
      </c>
      <c r="X923" t="inlineStr">
        <is>
          <t>1991-05-16</t>
        </is>
      </c>
      <c r="Y923" t="n">
        <v>1033</v>
      </c>
      <c r="Z923" t="n">
        <v>951</v>
      </c>
      <c r="AA923" t="n">
        <v>1142</v>
      </c>
      <c r="AB923" t="n">
        <v>5</v>
      </c>
      <c r="AC923" t="n">
        <v>6</v>
      </c>
      <c r="AD923" t="n">
        <v>33</v>
      </c>
      <c r="AE923" t="n">
        <v>36</v>
      </c>
      <c r="AF923" t="n">
        <v>13</v>
      </c>
      <c r="AG923" t="n">
        <v>14</v>
      </c>
      <c r="AH923" t="n">
        <v>7</v>
      </c>
      <c r="AI923" t="n">
        <v>7</v>
      </c>
      <c r="AJ923" t="n">
        <v>19</v>
      </c>
      <c r="AK923" t="n">
        <v>19</v>
      </c>
      <c r="AL923" t="n">
        <v>4</v>
      </c>
      <c r="AM923" t="n">
        <v>5</v>
      </c>
      <c r="AN923" t="n">
        <v>1</v>
      </c>
      <c r="AO923" t="n">
        <v>2</v>
      </c>
      <c r="AP923" t="inlineStr">
        <is>
          <t>No</t>
        </is>
      </c>
      <c r="AQ923" t="inlineStr">
        <is>
          <t>Yes</t>
        </is>
      </c>
      <c r="AR923">
        <f>HYPERLINK("http://catalog.hathitrust.org/Record/002205050","HathiTrust Record")</f>
        <v/>
      </c>
      <c r="AS923">
        <f>HYPERLINK("https://creighton-primo.hosted.exlibrisgroup.com/primo-explore/search?tab=default_tab&amp;search_scope=EVERYTHING&amp;vid=01CRU&amp;lang=en_US&amp;offset=0&amp;query=any,contains,991001598109702656","Catalog Record")</f>
        <v/>
      </c>
      <c r="AT923">
        <f>HYPERLINK("http://www.worldcat.org/oclc/20631578","WorldCat Record")</f>
        <v/>
      </c>
      <c r="AU923" t="inlineStr">
        <is>
          <t>836745391:eng</t>
        </is>
      </c>
      <c r="AV923" t="inlineStr">
        <is>
          <t>20631578</t>
        </is>
      </c>
      <c r="AW923" t="inlineStr">
        <is>
          <t>991001598109702656</t>
        </is>
      </c>
      <c r="AX923" t="inlineStr">
        <is>
          <t>991001598109702656</t>
        </is>
      </c>
      <c r="AY923" t="inlineStr">
        <is>
          <t>2260844880002656</t>
        </is>
      </c>
      <c r="AZ923" t="inlineStr">
        <is>
          <t>BOOK</t>
        </is>
      </c>
      <c r="BB923" t="inlineStr">
        <is>
          <t>9780394498959</t>
        </is>
      </c>
      <c r="BC923" t="inlineStr">
        <is>
          <t>32285000573740</t>
        </is>
      </c>
      <c r="BD923" t="inlineStr">
        <is>
          <t>893529032</t>
        </is>
      </c>
    </row>
    <row r="924">
      <c r="A924" t="inlineStr">
        <is>
          <t>No</t>
        </is>
      </c>
      <c r="B924" t="inlineStr">
        <is>
          <t>E208 .B635 1991</t>
        </is>
      </c>
      <c r="C924" t="inlineStr">
        <is>
          <t>0                      E  0208000B  635         1991</t>
        </is>
      </c>
      <c r="D924" t="inlineStr">
        <is>
          <t>The Blackwell encyclopedia of the American Revolution / edited by Jack P. Greene and J.R. Pole.</t>
        </is>
      </c>
      <c r="F924" t="inlineStr">
        <is>
          <t>No</t>
        </is>
      </c>
      <c r="G924" t="inlineStr">
        <is>
          <t>1</t>
        </is>
      </c>
      <c r="H924" t="inlineStr">
        <is>
          <t>No</t>
        </is>
      </c>
      <c r="I924" t="inlineStr">
        <is>
          <t>No</t>
        </is>
      </c>
      <c r="J924" t="inlineStr">
        <is>
          <t>0</t>
        </is>
      </c>
      <c r="L924" t="inlineStr">
        <is>
          <t>Cambridge, Mass. : Blackwell Reference, 1991.</t>
        </is>
      </c>
      <c r="M924" t="inlineStr">
        <is>
          <t>1991</t>
        </is>
      </c>
      <c r="O924" t="inlineStr">
        <is>
          <t>eng</t>
        </is>
      </c>
      <c r="P924" t="inlineStr">
        <is>
          <t>mau</t>
        </is>
      </c>
      <c r="R924" t="inlineStr">
        <is>
          <t xml:space="preserve">E  </t>
        </is>
      </c>
      <c r="S924" t="n">
        <v>6</v>
      </c>
      <c r="T924" t="n">
        <v>6</v>
      </c>
      <c r="U924" t="inlineStr">
        <is>
          <t>1994-09-10</t>
        </is>
      </c>
      <c r="V924" t="inlineStr">
        <is>
          <t>1994-09-10</t>
        </is>
      </c>
      <c r="W924" t="inlineStr">
        <is>
          <t>1992-06-11</t>
        </is>
      </c>
      <c r="X924" t="inlineStr">
        <is>
          <t>1992-06-11</t>
        </is>
      </c>
      <c r="Y924" t="n">
        <v>1177</v>
      </c>
      <c r="Z924" t="n">
        <v>1044</v>
      </c>
      <c r="AA924" t="n">
        <v>1112</v>
      </c>
      <c r="AB924" t="n">
        <v>7</v>
      </c>
      <c r="AC924" t="n">
        <v>7</v>
      </c>
      <c r="AD924" t="n">
        <v>47</v>
      </c>
      <c r="AE924" t="n">
        <v>50</v>
      </c>
      <c r="AF924" t="n">
        <v>19</v>
      </c>
      <c r="AG924" t="n">
        <v>22</v>
      </c>
      <c r="AH924" t="n">
        <v>10</v>
      </c>
      <c r="AI924" t="n">
        <v>10</v>
      </c>
      <c r="AJ924" t="n">
        <v>21</v>
      </c>
      <c r="AK924" t="n">
        <v>21</v>
      </c>
      <c r="AL924" t="n">
        <v>6</v>
      </c>
      <c r="AM924" t="n">
        <v>6</v>
      </c>
      <c r="AN924" t="n">
        <v>2</v>
      </c>
      <c r="AO924" t="n">
        <v>2</v>
      </c>
      <c r="AP924" t="inlineStr">
        <is>
          <t>No</t>
        </is>
      </c>
      <c r="AQ924" t="inlineStr">
        <is>
          <t>No</t>
        </is>
      </c>
      <c r="AS924">
        <f>HYPERLINK("https://creighton-primo.hosted.exlibrisgroup.com/primo-explore/search?tab=default_tab&amp;search_scope=EVERYTHING&amp;vid=01CRU&amp;lang=en_US&amp;offset=0&amp;query=any,contains,991001867299702656","Catalog Record")</f>
        <v/>
      </c>
      <c r="AT924">
        <f>HYPERLINK("http://www.worldcat.org/oclc/23464255","WorldCat Record")</f>
        <v/>
      </c>
      <c r="AU924" t="inlineStr">
        <is>
          <t>351397701:eng</t>
        </is>
      </c>
      <c r="AV924" t="inlineStr">
        <is>
          <t>23464255</t>
        </is>
      </c>
      <c r="AW924" t="inlineStr">
        <is>
          <t>991001867299702656</t>
        </is>
      </c>
      <c r="AX924" t="inlineStr">
        <is>
          <t>991001867299702656</t>
        </is>
      </c>
      <c r="AY924" t="inlineStr">
        <is>
          <t>2258785670002656</t>
        </is>
      </c>
      <c r="AZ924" t="inlineStr">
        <is>
          <t>BOOK</t>
        </is>
      </c>
      <c r="BB924" t="inlineStr">
        <is>
          <t>9781557862440</t>
        </is>
      </c>
      <c r="BC924" t="inlineStr">
        <is>
          <t>32285001128155</t>
        </is>
      </c>
      <c r="BD924" t="inlineStr">
        <is>
          <t>893609204</t>
        </is>
      </c>
    </row>
    <row r="925">
      <c r="A925" t="inlineStr">
        <is>
          <t>No</t>
        </is>
      </c>
      <c r="B925" t="inlineStr">
        <is>
          <t>E208 .C3</t>
        </is>
      </c>
      <c r="C925" t="inlineStr">
        <is>
          <t>0                      E  0208000C  3</t>
        </is>
      </c>
      <c r="D925" t="inlineStr">
        <is>
          <t>The rebirth of liberty; the founding of the American Republic, 1760-1800 / by Clarence B. Carson.</t>
        </is>
      </c>
      <c r="F925" t="inlineStr">
        <is>
          <t>No</t>
        </is>
      </c>
      <c r="G925" t="inlineStr">
        <is>
          <t>1</t>
        </is>
      </c>
      <c r="H925" t="inlineStr">
        <is>
          <t>No</t>
        </is>
      </c>
      <c r="I925" t="inlineStr">
        <is>
          <t>No</t>
        </is>
      </c>
      <c r="J925" t="inlineStr">
        <is>
          <t>0</t>
        </is>
      </c>
      <c r="K925" t="inlineStr">
        <is>
          <t>Carson, Clarence B.</t>
        </is>
      </c>
      <c r="L925" t="inlineStr">
        <is>
          <t>New Rochelle, N.Y. : Arlington House, [1973]</t>
        </is>
      </c>
      <c r="M925" t="inlineStr">
        <is>
          <t>1973</t>
        </is>
      </c>
      <c r="O925" t="inlineStr">
        <is>
          <t>eng</t>
        </is>
      </c>
      <c r="P925" t="inlineStr">
        <is>
          <t>nyu</t>
        </is>
      </c>
      <c r="R925" t="inlineStr">
        <is>
          <t xml:space="preserve">E  </t>
        </is>
      </c>
      <c r="S925" t="n">
        <v>2</v>
      </c>
      <c r="T925" t="n">
        <v>2</v>
      </c>
      <c r="U925" t="inlineStr">
        <is>
          <t>1997-01-10</t>
        </is>
      </c>
      <c r="V925" t="inlineStr">
        <is>
          <t>1997-01-10</t>
        </is>
      </c>
      <c r="W925" t="inlineStr">
        <is>
          <t>1990-07-26</t>
        </is>
      </c>
      <c r="X925" t="inlineStr">
        <is>
          <t>1990-07-26</t>
        </is>
      </c>
      <c r="Y925" t="n">
        <v>318</v>
      </c>
      <c r="Z925" t="n">
        <v>303</v>
      </c>
      <c r="AA925" t="n">
        <v>343</v>
      </c>
      <c r="AB925" t="n">
        <v>5</v>
      </c>
      <c r="AC925" t="n">
        <v>5</v>
      </c>
      <c r="AD925" t="n">
        <v>15</v>
      </c>
      <c r="AE925" t="n">
        <v>15</v>
      </c>
      <c r="AF925" t="n">
        <v>6</v>
      </c>
      <c r="AG925" t="n">
        <v>6</v>
      </c>
      <c r="AH925" t="n">
        <v>4</v>
      </c>
      <c r="AI925" t="n">
        <v>4</v>
      </c>
      <c r="AJ925" t="n">
        <v>6</v>
      </c>
      <c r="AK925" t="n">
        <v>6</v>
      </c>
      <c r="AL925" t="n">
        <v>3</v>
      </c>
      <c r="AM925" t="n">
        <v>3</v>
      </c>
      <c r="AN925" t="n">
        <v>0</v>
      </c>
      <c r="AO925" t="n">
        <v>0</v>
      </c>
      <c r="AP925" t="inlineStr">
        <is>
          <t>No</t>
        </is>
      </c>
      <c r="AQ925" t="inlineStr">
        <is>
          <t>Yes</t>
        </is>
      </c>
      <c r="AR925">
        <f>HYPERLINK("http://catalog.hathitrust.org/Record/000361946","HathiTrust Record")</f>
        <v/>
      </c>
      <c r="AS925">
        <f>HYPERLINK("https://creighton-primo.hosted.exlibrisgroup.com/primo-explore/search?tab=default_tab&amp;search_scope=EVERYTHING&amp;vid=01CRU&amp;lang=en_US&amp;offset=0&amp;query=any,contains,991003225679702656","Catalog Record")</f>
        <v/>
      </c>
      <c r="AT925">
        <f>HYPERLINK("http://www.worldcat.org/oclc/750023","WorldCat Record")</f>
        <v/>
      </c>
      <c r="AU925" t="inlineStr">
        <is>
          <t>1593573:eng</t>
        </is>
      </c>
      <c r="AV925" t="inlineStr">
        <is>
          <t>750023</t>
        </is>
      </c>
      <c r="AW925" t="inlineStr">
        <is>
          <t>991003225679702656</t>
        </is>
      </c>
      <c r="AX925" t="inlineStr">
        <is>
          <t>991003225679702656</t>
        </is>
      </c>
      <c r="AY925" t="inlineStr">
        <is>
          <t>2265191950002656</t>
        </is>
      </c>
      <c r="AZ925" t="inlineStr">
        <is>
          <t>BOOK</t>
        </is>
      </c>
      <c r="BB925" t="inlineStr">
        <is>
          <t>9780870002090</t>
        </is>
      </c>
      <c r="BC925" t="inlineStr">
        <is>
          <t>32285000248814</t>
        </is>
      </c>
      <c r="BD925" t="inlineStr">
        <is>
          <t>893410050</t>
        </is>
      </c>
    </row>
    <row r="926">
      <c r="A926" t="inlineStr">
        <is>
          <t>No</t>
        </is>
      </c>
      <c r="B926" t="inlineStr">
        <is>
          <t>E208 .D26</t>
        </is>
      </c>
      <c r="C926" t="inlineStr">
        <is>
          <t>0                      E  0208000D  26</t>
        </is>
      </c>
      <c r="D926" t="inlineStr">
        <is>
          <t>A re-study of the movement toward American independence, 1760-1778 / by Rev. Lawrence J. Davitt.</t>
        </is>
      </c>
      <c r="F926" t="inlineStr">
        <is>
          <t>No</t>
        </is>
      </c>
      <c r="G926" t="inlineStr">
        <is>
          <t>1</t>
        </is>
      </c>
      <c r="H926" t="inlineStr">
        <is>
          <t>No</t>
        </is>
      </c>
      <c r="I926" t="inlineStr">
        <is>
          <t>No</t>
        </is>
      </c>
      <c r="J926" t="inlineStr">
        <is>
          <t>0</t>
        </is>
      </c>
      <c r="K926" t="inlineStr">
        <is>
          <t>Davitt, Lawrence J. (Lawrence Joseph), 1892-</t>
        </is>
      </c>
      <c r="L926" t="inlineStr">
        <is>
          <t>Washington, D.C. : The Catholic university of America, 1929.</t>
        </is>
      </c>
      <c r="M926" t="inlineStr">
        <is>
          <t>1929</t>
        </is>
      </c>
      <c r="O926" t="inlineStr">
        <is>
          <t>eng</t>
        </is>
      </c>
      <c r="P926" t="inlineStr">
        <is>
          <t xml:space="preserve">xx </t>
        </is>
      </c>
      <c r="R926" t="inlineStr">
        <is>
          <t xml:space="preserve">E  </t>
        </is>
      </c>
      <c r="S926" t="n">
        <v>2</v>
      </c>
      <c r="T926" t="n">
        <v>2</v>
      </c>
      <c r="U926" t="inlineStr">
        <is>
          <t>1994-11-11</t>
        </is>
      </c>
      <c r="V926" t="inlineStr">
        <is>
          <t>1994-11-11</t>
        </is>
      </c>
      <c r="W926" t="inlineStr">
        <is>
          <t>1992-12-10</t>
        </is>
      </c>
      <c r="X926" t="inlineStr">
        <is>
          <t>1992-12-10</t>
        </is>
      </c>
      <c r="Y926" t="n">
        <v>84</v>
      </c>
      <c r="Z926" t="n">
        <v>80</v>
      </c>
      <c r="AA926" t="n">
        <v>82</v>
      </c>
      <c r="AB926" t="n">
        <v>1</v>
      </c>
      <c r="AC926" t="n">
        <v>1</v>
      </c>
      <c r="AD926" t="n">
        <v>6</v>
      </c>
      <c r="AE926" t="n">
        <v>6</v>
      </c>
      <c r="AF926" t="n">
        <v>0</v>
      </c>
      <c r="AG926" t="n">
        <v>0</v>
      </c>
      <c r="AH926" t="n">
        <v>1</v>
      </c>
      <c r="AI926" t="n">
        <v>1</v>
      </c>
      <c r="AJ926" t="n">
        <v>5</v>
      </c>
      <c r="AK926" t="n">
        <v>5</v>
      </c>
      <c r="AL926" t="n">
        <v>0</v>
      </c>
      <c r="AM926" t="n">
        <v>0</v>
      </c>
      <c r="AN926" t="n">
        <v>0</v>
      </c>
      <c r="AO926" t="n">
        <v>0</v>
      </c>
      <c r="AP926" t="inlineStr">
        <is>
          <t>No</t>
        </is>
      </c>
      <c r="AQ926" t="inlineStr">
        <is>
          <t>Yes</t>
        </is>
      </c>
      <c r="AR926">
        <f>HYPERLINK("http://catalog.hathitrust.org/Record/006568281","HathiTrust Record")</f>
        <v/>
      </c>
      <c r="AS926">
        <f>HYPERLINK("https://creighton-primo.hosted.exlibrisgroup.com/primo-explore/search?tab=default_tab&amp;search_scope=EVERYTHING&amp;vid=01CRU&amp;lang=en_US&amp;offset=0&amp;query=any,contains,991004718959702656","Catalog Record")</f>
        <v/>
      </c>
      <c r="AT926">
        <f>HYPERLINK("http://www.worldcat.org/oclc/4789467","WorldCat Record")</f>
        <v/>
      </c>
      <c r="AU926" t="inlineStr">
        <is>
          <t>15082626:eng</t>
        </is>
      </c>
      <c r="AV926" t="inlineStr">
        <is>
          <t>4789467</t>
        </is>
      </c>
      <c r="AW926" t="inlineStr">
        <is>
          <t>991004718959702656</t>
        </is>
      </c>
      <c r="AX926" t="inlineStr">
        <is>
          <t>991004718959702656</t>
        </is>
      </c>
      <c r="AY926" t="inlineStr">
        <is>
          <t>2255025460002656</t>
        </is>
      </c>
      <c r="AZ926" t="inlineStr">
        <is>
          <t>BOOK</t>
        </is>
      </c>
      <c r="BC926" t="inlineStr">
        <is>
          <t>32285001414548</t>
        </is>
      </c>
      <c r="BD926" t="inlineStr">
        <is>
          <t>893254022</t>
        </is>
      </c>
    </row>
    <row r="927">
      <c r="A927" t="inlineStr">
        <is>
          <t>No</t>
        </is>
      </c>
      <c r="B927" t="inlineStr">
        <is>
          <t>E208 .E83</t>
        </is>
      </c>
      <c r="C927" t="inlineStr">
        <is>
          <t>0                      E  0208000E  83</t>
        </is>
      </c>
      <c r="D927" t="inlineStr">
        <is>
          <t>Essays on the American Revolution. Edited by Stephen G. Kurtz and James H. Hutson.</t>
        </is>
      </c>
      <c r="F927" t="inlineStr">
        <is>
          <t>No</t>
        </is>
      </c>
      <c r="G927" t="inlineStr">
        <is>
          <t>1</t>
        </is>
      </c>
      <c r="H927" t="inlineStr">
        <is>
          <t>No</t>
        </is>
      </c>
      <c r="I927" t="inlineStr">
        <is>
          <t>No</t>
        </is>
      </c>
      <c r="J927" t="inlineStr">
        <is>
          <t>0</t>
        </is>
      </c>
      <c r="L927" t="inlineStr">
        <is>
          <t>Chapel Hill, Published for the Institute of Early American History and Culture, Williamsburg, Va., by the University of North Carolina Press [1973]</t>
        </is>
      </c>
      <c r="M927" t="inlineStr">
        <is>
          <t>1973</t>
        </is>
      </c>
      <c r="O927" t="inlineStr">
        <is>
          <t>eng</t>
        </is>
      </c>
      <c r="P927" t="inlineStr">
        <is>
          <t>ncu</t>
        </is>
      </c>
      <c r="R927" t="inlineStr">
        <is>
          <t xml:space="preserve">E  </t>
        </is>
      </c>
      <c r="S927" t="n">
        <v>2</v>
      </c>
      <c r="T927" t="n">
        <v>2</v>
      </c>
      <c r="U927" t="inlineStr">
        <is>
          <t>2002-09-15</t>
        </is>
      </c>
      <c r="V927" t="inlineStr">
        <is>
          <t>2002-09-15</t>
        </is>
      </c>
      <c r="W927" t="inlineStr">
        <is>
          <t>1997-05-05</t>
        </is>
      </c>
      <c r="X927" t="inlineStr">
        <is>
          <t>1997-05-05</t>
        </is>
      </c>
      <c r="Y927" t="n">
        <v>1361</v>
      </c>
      <c r="Z927" t="n">
        <v>1204</v>
      </c>
      <c r="AA927" t="n">
        <v>1372</v>
      </c>
      <c r="AB927" t="n">
        <v>9</v>
      </c>
      <c r="AC927" t="n">
        <v>11</v>
      </c>
      <c r="AD927" t="n">
        <v>50</v>
      </c>
      <c r="AE927" t="n">
        <v>54</v>
      </c>
      <c r="AF927" t="n">
        <v>21</v>
      </c>
      <c r="AG927" t="n">
        <v>24</v>
      </c>
      <c r="AH927" t="n">
        <v>10</v>
      </c>
      <c r="AI927" t="n">
        <v>10</v>
      </c>
      <c r="AJ927" t="n">
        <v>23</v>
      </c>
      <c r="AK927" t="n">
        <v>23</v>
      </c>
      <c r="AL927" t="n">
        <v>8</v>
      </c>
      <c r="AM927" t="n">
        <v>9</v>
      </c>
      <c r="AN927" t="n">
        <v>1</v>
      </c>
      <c r="AO927" t="n">
        <v>1</v>
      </c>
      <c r="AP927" t="inlineStr">
        <is>
          <t>No</t>
        </is>
      </c>
      <c r="AQ927" t="inlineStr">
        <is>
          <t>Yes</t>
        </is>
      </c>
      <c r="AR927">
        <f>HYPERLINK("http://catalog.hathitrust.org/Record/000006432","HathiTrust Record")</f>
        <v/>
      </c>
      <c r="AS927">
        <f>HYPERLINK("https://creighton-primo.hosted.exlibrisgroup.com/primo-explore/search?tab=default_tab&amp;search_scope=EVERYTHING&amp;vid=01CRU&amp;lang=en_US&amp;offset=0&amp;query=any,contains,991002842139702656","Catalog Record")</f>
        <v/>
      </c>
      <c r="AT927">
        <f>HYPERLINK("http://www.worldcat.org/oclc/482672","WorldCat Record")</f>
        <v/>
      </c>
      <c r="AU927" t="inlineStr">
        <is>
          <t>350475457:eng</t>
        </is>
      </c>
      <c r="AV927" t="inlineStr">
        <is>
          <t>482672</t>
        </is>
      </c>
      <c r="AW927" t="inlineStr">
        <is>
          <t>991002842139702656</t>
        </is>
      </c>
      <c r="AX927" t="inlineStr">
        <is>
          <t>991002842139702656</t>
        </is>
      </c>
      <c r="AY927" t="inlineStr">
        <is>
          <t>2258895490002656</t>
        </is>
      </c>
      <c r="AZ927" t="inlineStr">
        <is>
          <t>BOOK</t>
        </is>
      </c>
      <c r="BB927" t="inlineStr">
        <is>
          <t>9780807812044</t>
        </is>
      </c>
      <c r="BC927" t="inlineStr">
        <is>
          <t>32285002573763</t>
        </is>
      </c>
      <c r="BD927" t="inlineStr">
        <is>
          <t>893257782</t>
        </is>
      </c>
    </row>
    <row r="928">
      <c r="A928" t="inlineStr">
        <is>
          <t>No</t>
        </is>
      </c>
      <c r="B928" t="inlineStr">
        <is>
          <t>E208 .F52 1972</t>
        </is>
      </c>
      <c r="C928" t="inlineStr">
        <is>
          <t>0                      E  0208000F  52          1972</t>
        </is>
      </c>
      <c r="D928" t="inlineStr">
        <is>
          <t>The true history of the American revolution. With a new introd. and pref. by George Athan Billias.</t>
        </is>
      </c>
      <c r="F928" t="inlineStr">
        <is>
          <t>No</t>
        </is>
      </c>
      <c r="G928" t="inlineStr">
        <is>
          <t>1</t>
        </is>
      </c>
      <c r="H928" t="inlineStr">
        <is>
          <t>No</t>
        </is>
      </c>
      <c r="I928" t="inlineStr">
        <is>
          <t>No</t>
        </is>
      </c>
      <c r="J928" t="inlineStr">
        <is>
          <t>0</t>
        </is>
      </c>
      <c r="K928" t="inlineStr">
        <is>
          <t>Fisher, Sydney George, 1856-1927.</t>
        </is>
      </c>
      <c r="L928" t="inlineStr">
        <is>
          <t>Boston, Gregg Press, 1972 [c1902]</t>
        </is>
      </c>
      <c r="M928" t="inlineStr">
        <is>
          <t>1972</t>
        </is>
      </c>
      <c r="O928" t="inlineStr">
        <is>
          <t>eng</t>
        </is>
      </c>
      <c r="P928" t="inlineStr">
        <is>
          <t>mau</t>
        </is>
      </c>
      <c r="Q928" t="inlineStr">
        <is>
          <t>The American Revolutionary series. American and French accounts of the American Revolution.</t>
        </is>
      </c>
      <c r="R928" t="inlineStr">
        <is>
          <t xml:space="preserve">E  </t>
        </is>
      </c>
      <c r="S928" t="n">
        <v>3</v>
      </c>
      <c r="T928" t="n">
        <v>3</v>
      </c>
      <c r="U928" t="inlineStr">
        <is>
          <t>2004-03-27</t>
        </is>
      </c>
      <c r="V928" t="inlineStr">
        <is>
          <t>2004-03-27</t>
        </is>
      </c>
      <c r="W928" t="inlineStr">
        <is>
          <t>1997-05-05</t>
        </is>
      </c>
      <c r="X928" t="inlineStr">
        <is>
          <t>1997-05-05</t>
        </is>
      </c>
      <c r="Y928" t="n">
        <v>116</v>
      </c>
      <c r="Z928" t="n">
        <v>103</v>
      </c>
      <c r="AA928" t="n">
        <v>380</v>
      </c>
      <c r="AB928" t="n">
        <v>1</v>
      </c>
      <c r="AC928" t="n">
        <v>4</v>
      </c>
      <c r="AD928" t="n">
        <v>0</v>
      </c>
      <c r="AE928" t="n">
        <v>15</v>
      </c>
      <c r="AF928" t="n">
        <v>0</v>
      </c>
      <c r="AG928" t="n">
        <v>4</v>
      </c>
      <c r="AH928" t="n">
        <v>0</v>
      </c>
      <c r="AI928" t="n">
        <v>3</v>
      </c>
      <c r="AJ928" t="n">
        <v>0</v>
      </c>
      <c r="AK928" t="n">
        <v>9</v>
      </c>
      <c r="AL928" t="n">
        <v>0</v>
      </c>
      <c r="AM928" t="n">
        <v>3</v>
      </c>
      <c r="AN928" t="n">
        <v>0</v>
      </c>
      <c r="AO928" t="n">
        <v>0</v>
      </c>
      <c r="AP928" t="inlineStr">
        <is>
          <t>Yes</t>
        </is>
      </c>
      <c r="AQ928" t="inlineStr">
        <is>
          <t>No</t>
        </is>
      </c>
      <c r="AR928">
        <f>HYPERLINK("http://catalog.hathitrust.org/Record/012285170","HathiTrust Record")</f>
        <v/>
      </c>
      <c r="AS928">
        <f>HYPERLINK("https://creighton-primo.hosted.exlibrisgroup.com/primo-explore/search?tab=default_tab&amp;search_scope=EVERYTHING&amp;vid=01CRU&amp;lang=en_US&amp;offset=0&amp;query=any,contains,991002759799702656","Catalog Record")</f>
        <v/>
      </c>
      <c r="AT928">
        <f>HYPERLINK("http://www.worldcat.org/oclc/427533","WorldCat Record")</f>
        <v/>
      </c>
      <c r="AU928" t="inlineStr">
        <is>
          <t>1494532:eng</t>
        </is>
      </c>
      <c r="AV928" t="inlineStr">
        <is>
          <t>427533</t>
        </is>
      </c>
      <c r="AW928" t="inlineStr">
        <is>
          <t>991002759799702656</t>
        </is>
      </c>
      <c r="AX928" t="inlineStr">
        <is>
          <t>991002759799702656</t>
        </is>
      </c>
      <c r="AY928" t="inlineStr">
        <is>
          <t>2264521920002656</t>
        </is>
      </c>
      <c r="AZ928" t="inlineStr">
        <is>
          <t>BOOK</t>
        </is>
      </c>
      <c r="BB928" t="inlineStr">
        <is>
          <t>9780839805724</t>
        </is>
      </c>
      <c r="BC928" t="inlineStr">
        <is>
          <t>32285002573771</t>
        </is>
      </c>
      <c r="BD928" t="inlineStr">
        <is>
          <t>893233378</t>
        </is>
      </c>
    </row>
    <row r="929">
      <c r="A929" t="inlineStr">
        <is>
          <t>No</t>
        </is>
      </c>
      <c r="B929" t="inlineStr">
        <is>
          <t>E208 .F54</t>
        </is>
      </c>
      <c r="C929" t="inlineStr">
        <is>
          <t>0                      E  0208000F  54</t>
        </is>
      </c>
      <c r="D929" t="inlineStr">
        <is>
          <t>The American Revolution, by John Fiske ...</t>
        </is>
      </c>
      <c r="E929" t="inlineStr">
        <is>
          <t>V.2</t>
        </is>
      </c>
      <c r="F929" t="inlineStr">
        <is>
          <t>Yes</t>
        </is>
      </c>
      <c r="G929" t="inlineStr">
        <is>
          <t>1</t>
        </is>
      </c>
      <c r="H929" t="inlineStr">
        <is>
          <t>No</t>
        </is>
      </c>
      <c r="I929" t="inlineStr">
        <is>
          <t>No</t>
        </is>
      </c>
      <c r="J929" t="inlineStr">
        <is>
          <t>0</t>
        </is>
      </c>
      <c r="K929" t="inlineStr">
        <is>
          <t>Fiske, John, 1842-1901.</t>
        </is>
      </c>
      <c r="L929" t="inlineStr">
        <is>
          <t>Boston, New York, Houghton Mifflin and Company, 1891.</t>
        </is>
      </c>
      <c r="M929" t="inlineStr">
        <is>
          <t>1891</t>
        </is>
      </c>
      <c r="O929" t="inlineStr">
        <is>
          <t>eng</t>
        </is>
      </c>
      <c r="P929" t="inlineStr">
        <is>
          <t>mau</t>
        </is>
      </c>
      <c r="R929" t="inlineStr">
        <is>
          <t xml:space="preserve">E  </t>
        </is>
      </c>
      <c r="S929" t="n">
        <v>0</v>
      </c>
      <c r="T929" t="n">
        <v>1</v>
      </c>
      <c r="V929" t="inlineStr">
        <is>
          <t>2002-04-30</t>
        </is>
      </c>
      <c r="W929" t="inlineStr">
        <is>
          <t>1997-05-05</t>
        </is>
      </c>
      <c r="X929" t="inlineStr">
        <is>
          <t>1997-05-05</t>
        </is>
      </c>
      <c r="Y929" t="n">
        <v>674</v>
      </c>
      <c r="Z929" t="n">
        <v>638</v>
      </c>
      <c r="AA929" t="n">
        <v>1257</v>
      </c>
      <c r="AB929" t="n">
        <v>8</v>
      </c>
      <c r="AC929" t="n">
        <v>9</v>
      </c>
      <c r="AD929" t="n">
        <v>26</v>
      </c>
      <c r="AE929" t="n">
        <v>55</v>
      </c>
      <c r="AF929" t="n">
        <v>8</v>
      </c>
      <c r="AG929" t="n">
        <v>20</v>
      </c>
      <c r="AH929" t="n">
        <v>3</v>
      </c>
      <c r="AI929" t="n">
        <v>6</v>
      </c>
      <c r="AJ929" t="n">
        <v>12</v>
      </c>
      <c r="AK929" t="n">
        <v>19</v>
      </c>
      <c r="AL929" t="n">
        <v>7</v>
      </c>
      <c r="AM929" t="n">
        <v>7</v>
      </c>
      <c r="AN929" t="n">
        <v>1</v>
      </c>
      <c r="AO929" t="n">
        <v>11</v>
      </c>
      <c r="AP929" t="inlineStr">
        <is>
          <t>Yes</t>
        </is>
      </c>
      <c r="AQ929" t="inlineStr">
        <is>
          <t>No</t>
        </is>
      </c>
      <c r="AR929">
        <f>HYPERLINK("http://catalog.hathitrust.org/Record/000323658","HathiTrust Record")</f>
        <v/>
      </c>
      <c r="AS929">
        <f>HYPERLINK("https://creighton-primo.hosted.exlibrisgroup.com/primo-explore/search?tab=default_tab&amp;search_scope=EVERYTHING&amp;vid=01CRU&amp;lang=en_US&amp;offset=0&amp;query=any,contains,991002753659702656","Catalog Record")</f>
        <v/>
      </c>
      <c r="AT929">
        <f>HYPERLINK("http://www.worldcat.org/oclc/425612","WorldCat Record")</f>
        <v/>
      </c>
      <c r="AU929" t="inlineStr">
        <is>
          <t>1351770:eng</t>
        </is>
      </c>
      <c r="AV929" t="inlineStr">
        <is>
          <t>425612</t>
        </is>
      </c>
      <c r="AW929" t="inlineStr">
        <is>
          <t>991002753659702656</t>
        </is>
      </c>
      <c r="AX929" t="inlineStr">
        <is>
          <t>991002753659702656</t>
        </is>
      </c>
      <c r="AY929" t="inlineStr">
        <is>
          <t>2267945200002656</t>
        </is>
      </c>
      <c r="AZ929" t="inlineStr">
        <is>
          <t>BOOK</t>
        </is>
      </c>
      <c r="BC929" t="inlineStr">
        <is>
          <t>32285002573797</t>
        </is>
      </c>
      <c r="BD929" t="inlineStr">
        <is>
          <t>893347888</t>
        </is>
      </c>
    </row>
    <row r="930">
      <c r="A930" t="inlineStr">
        <is>
          <t>No</t>
        </is>
      </c>
      <c r="B930" t="inlineStr">
        <is>
          <t>E208 .F54</t>
        </is>
      </c>
      <c r="C930" t="inlineStr">
        <is>
          <t>0                      E  0208000F  54</t>
        </is>
      </c>
      <c r="D930" t="inlineStr">
        <is>
          <t>The American Revolution, by John Fiske ...</t>
        </is>
      </c>
      <c r="E930" t="inlineStr">
        <is>
          <t>V.1</t>
        </is>
      </c>
      <c r="F930" t="inlineStr">
        <is>
          <t>Yes</t>
        </is>
      </c>
      <c r="G930" t="inlineStr">
        <is>
          <t>1</t>
        </is>
      </c>
      <c r="H930" t="inlineStr">
        <is>
          <t>No</t>
        </is>
      </c>
      <c r="I930" t="inlineStr">
        <is>
          <t>No</t>
        </is>
      </c>
      <c r="J930" t="inlineStr">
        <is>
          <t>0</t>
        </is>
      </c>
      <c r="K930" t="inlineStr">
        <is>
          <t>Fiske, John, 1842-1901.</t>
        </is>
      </c>
      <c r="L930" t="inlineStr">
        <is>
          <t>Boston, New York, Houghton Mifflin and Company, 1891.</t>
        </is>
      </c>
      <c r="M930" t="inlineStr">
        <is>
          <t>1891</t>
        </is>
      </c>
      <c r="O930" t="inlineStr">
        <is>
          <t>eng</t>
        </is>
      </c>
      <c r="P930" t="inlineStr">
        <is>
          <t>mau</t>
        </is>
      </c>
      <c r="R930" t="inlineStr">
        <is>
          <t xml:space="preserve">E  </t>
        </is>
      </c>
      <c r="S930" t="n">
        <v>1</v>
      </c>
      <c r="T930" t="n">
        <v>1</v>
      </c>
      <c r="U930" t="inlineStr">
        <is>
          <t>2002-04-30</t>
        </is>
      </c>
      <c r="V930" t="inlineStr">
        <is>
          <t>2002-04-30</t>
        </is>
      </c>
      <c r="W930" t="inlineStr">
        <is>
          <t>1997-05-05</t>
        </is>
      </c>
      <c r="X930" t="inlineStr">
        <is>
          <t>1997-05-05</t>
        </is>
      </c>
      <c r="Y930" t="n">
        <v>674</v>
      </c>
      <c r="Z930" t="n">
        <v>638</v>
      </c>
      <c r="AA930" t="n">
        <v>1257</v>
      </c>
      <c r="AB930" t="n">
        <v>8</v>
      </c>
      <c r="AC930" t="n">
        <v>9</v>
      </c>
      <c r="AD930" t="n">
        <v>26</v>
      </c>
      <c r="AE930" t="n">
        <v>55</v>
      </c>
      <c r="AF930" t="n">
        <v>8</v>
      </c>
      <c r="AG930" t="n">
        <v>20</v>
      </c>
      <c r="AH930" t="n">
        <v>3</v>
      </c>
      <c r="AI930" t="n">
        <v>6</v>
      </c>
      <c r="AJ930" t="n">
        <v>12</v>
      </c>
      <c r="AK930" t="n">
        <v>19</v>
      </c>
      <c r="AL930" t="n">
        <v>7</v>
      </c>
      <c r="AM930" t="n">
        <v>7</v>
      </c>
      <c r="AN930" t="n">
        <v>1</v>
      </c>
      <c r="AO930" t="n">
        <v>11</v>
      </c>
      <c r="AP930" t="inlineStr">
        <is>
          <t>Yes</t>
        </is>
      </c>
      <c r="AQ930" t="inlineStr">
        <is>
          <t>No</t>
        </is>
      </c>
      <c r="AR930">
        <f>HYPERLINK("http://catalog.hathitrust.org/Record/000323658","HathiTrust Record")</f>
        <v/>
      </c>
      <c r="AS930">
        <f>HYPERLINK("https://creighton-primo.hosted.exlibrisgroup.com/primo-explore/search?tab=default_tab&amp;search_scope=EVERYTHING&amp;vid=01CRU&amp;lang=en_US&amp;offset=0&amp;query=any,contains,991002753659702656","Catalog Record")</f>
        <v/>
      </c>
      <c r="AT930">
        <f>HYPERLINK("http://www.worldcat.org/oclc/425612","WorldCat Record")</f>
        <v/>
      </c>
      <c r="AU930" t="inlineStr">
        <is>
          <t>1351770:eng</t>
        </is>
      </c>
      <c r="AV930" t="inlineStr">
        <is>
          <t>425612</t>
        </is>
      </c>
      <c r="AW930" t="inlineStr">
        <is>
          <t>991002753659702656</t>
        </is>
      </c>
      <c r="AX930" t="inlineStr">
        <is>
          <t>991002753659702656</t>
        </is>
      </c>
      <c r="AY930" t="inlineStr">
        <is>
          <t>2267945200002656</t>
        </is>
      </c>
      <c r="AZ930" t="inlineStr">
        <is>
          <t>BOOK</t>
        </is>
      </c>
      <c r="BC930" t="inlineStr">
        <is>
          <t>32285002573789</t>
        </is>
      </c>
      <c r="BD930" t="inlineStr">
        <is>
          <t>893347889</t>
        </is>
      </c>
    </row>
    <row r="931">
      <c r="A931" t="inlineStr">
        <is>
          <t>No</t>
        </is>
      </c>
      <c r="B931" t="inlineStr">
        <is>
          <t>E208 .M55</t>
        </is>
      </c>
      <c r="C931" t="inlineStr">
        <is>
          <t>0                      E  0208000M  55</t>
        </is>
      </c>
      <c r="D931" t="inlineStr">
        <is>
          <t>The price of independence; a realistic view of the American Revolution.</t>
        </is>
      </c>
      <c r="F931" t="inlineStr">
        <is>
          <t>No</t>
        </is>
      </c>
      <c r="G931" t="inlineStr">
        <is>
          <t>1</t>
        </is>
      </c>
      <c r="H931" t="inlineStr">
        <is>
          <t>No</t>
        </is>
      </c>
      <c r="I931" t="inlineStr">
        <is>
          <t>No</t>
        </is>
      </c>
      <c r="J931" t="inlineStr">
        <is>
          <t>0</t>
        </is>
      </c>
      <c r="K931" t="inlineStr">
        <is>
          <t>Mitchell, Broadus, 1892-1988.</t>
        </is>
      </c>
      <c r="L931" t="inlineStr">
        <is>
          <t>New York, Oxford University Press, 1974.</t>
        </is>
      </c>
      <c r="M931" t="inlineStr">
        <is>
          <t>1974</t>
        </is>
      </c>
      <c r="O931" t="inlineStr">
        <is>
          <t>eng</t>
        </is>
      </c>
      <c r="P931" t="inlineStr">
        <is>
          <t>nyu</t>
        </is>
      </c>
      <c r="R931" t="inlineStr">
        <is>
          <t xml:space="preserve">E  </t>
        </is>
      </c>
      <c r="S931" t="n">
        <v>2</v>
      </c>
      <c r="T931" t="n">
        <v>2</v>
      </c>
      <c r="U931" t="inlineStr">
        <is>
          <t>2001-10-04</t>
        </is>
      </c>
      <c r="V931" t="inlineStr">
        <is>
          <t>2001-10-04</t>
        </is>
      </c>
      <c r="W931" t="inlineStr">
        <is>
          <t>1997-05-05</t>
        </is>
      </c>
      <c r="X931" t="inlineStr">
        <is>
          <t>1997-05-05</t>
        </is>
      </c>
      <c r="Y931" t="n">
        <v>1195</v>
      </c>
      <c r="Z931" t="n">
        <v>1070</v>
      </c>
      <c r="AA931" t="n">
        <v>1073</v>
      </c>
      <c r="AB931" t="n">
        <v>8</v>
      </c>
      <c r="AC931" t="n">
        <v>8</v>
      </c>
      <c r="AD931" t="n">
        <v>37</v>
      </c>
      <c r="AE931" t="n">
        <v>37</v>
      </c>
      <c r="AF931" t="n">
        <v>17</v>
      </c>
      <c r="AG931" t="n">
        <v>17</v>
      </c>
      <c r="AH931" t="n">
        <v>9</v>
      </c>
      <c r="AI931" t="n">
        <v>9</v>
      </c>
      <c r="AJ931" t="n">
        <v>16</v>
      </c>
      <c r="AK931" t="n">
        <v>16</v>
      </c>
      <c r="AL931" t="n">
        <v>5</v>
      </c>
      <c r="AM931" t="n">
        <v>5</v>
      </c>
      <c r="AN931" t="n">
        <v>0</v>
      </c>
      <c r="AO931" t="n">
        <v>0</v>
      </c>
      <c r="AP931" t="inlineStr">
        <is>
          <t>No</t>
        </is>
      </c>
      <c r="AQ931" t="inlineStr">
        <is>
          <t>Yes</t>
        </is>
      </c>
      <c r="AR931">
        <f>HYPERLINK("http://catalog.hathitrust.org/Record/000362031","HathiTrust Record")</f>
        <v/>
      </c>
      <c r="AS931">
        <f>HYPERLINK("https://creighton-primo.hosted.exlibrisgroup.com/primo-explore/search?tab=default_tab&amp;search_scope=EVERYTHING&amp;vid=01CRU&amp;lang=en_US&amp;offset=0&amp;query=any,contains,991003331909702656","Catalog Record")</f>
        <v/>
      </c>
      <c r="AT931">
        <f>HYPERLINK("http://www.worldcat.org/oclc/863332","WorldCat Record")</f>
        <v/>
      </c>
      <c r="AU931" t="inlineStr">
        <is>
          <t>414816:eng</t>
        </is>
      </c>
      <c r="AV931" t="inlineStr">
        <is>
          <t>863332</t>
        </is>
      </c>
      <c r="AW931" t="inlineStr">
        <is>
          <t>991003331909702656</t>
        </is>
      </c>
      <c r="AX931" t="inlineStr">
        <is>
          <t>991003331909702656</t>
        </is>
      </c>
      <c r="AY931" t="inlineStr">
        <is>
          <t>2264160920002656</t>
        </is>
      </c>
      <c r="AZ931" t="inlineStr">
        <is>
          <t>BOOK</t>
        </is>
      </c>
      <c r="BC931" t="inlineStr">
        <is>
          <t>32285002573870</t>
        </is>
      </c>
      <c r="BD931" t="inlineStr">
        <is>
          <t>893352793</t>
        </is>
      </c>
    </row>
    <row r="932">
      <c r="A932" t="inlineStr">
        <is>
          <t>No</t>
        </is>
      </c>
      <c r="B932" t="inlineStr">
        <is>
          <t>E208 .M85 1992</t>
        </is>
      </c>
      <c r="C932" t="inlineStr">
        <is>
          <t>0                      E  0208000M  85          1992</t>
        </is>
      </c>
      <c r="D932" t="inlineStr">
        <is>
          <t>The birth of the Republic, 1763-89 / Edmund S. Morgan.</t>
        </is>
      </c>
      <c r="F932" t="inlineStr">
        <is>
          <t>No</t>
        </is>
      </c>
      <c r="G932" t="inlineStr">
        <is>
          <t>1</t>
        </is>
      </c>
      <c r="H932" t="inlineStr">
        <is>
          <t>No</t>
        </is>
      </c>
      <c r="I932" t="inlineStr">
        <is>
          <t>Yes</t>
        </is>
      </c>
      <c r="J932" t="inlineStr">
        <is>
          <t>0</t>
        </is>
      </c>
      <c r="K932" t="inlineStr">
        <is>
          <t>Morgan, Edmund S. (Edmund Sears), 1916-2013.</t>
        </is>
      </c>
      <c r="L932" t="inlineStr">
        <is>
          <t>Chicago : University of Chicago Press, 1992.</t>
        </is>
      </c>
      <c r="M932" t="inlineStr">
        <is>
          <t>1992</t>
        </is>
      </c>
      <c r="N932" t="inlineStr">
        <is>
          <t>3rd ed.</t>
        </is>
      </c>
      <c r="O932" t="inlineStr">
        <is>
          <t>eng</t>
        </is>
      </c>
      <c r="P932" t="inlineStr">
        <is>
          <t>ilu</t>
        </is>
      </c>
      <c r="Q932" t="inlineStr">
        <is>
          <t>The Chicago history of American civilization</t>
        </is>
      </c>
      <c r="R932" t="inlineStr">
        <is>
          <t xml:space="preserve">E  </t>
        </is>
      </c>
      <c r="S932" t="n">
        <v>2</v>
      </c>
      <c r="T932" t="n">
        <v>2</v>
      </c>
      <c r="U932" t="inlineStr">
        <is>
          <t>1996-09-09</t>
        </is>
      </c>
      <c r="V932" t="inlineStr">
        <is>
          <t>1996-09-09</t>
        </is>
      </c>
      <c r="W932" t="inlineStr">
        <is>
          <t>1993-06-01</t>
        </is>
      </c>
      <c r="X932" t="inlineStr">
        <is>
          <t>1993-06-01</t>
        </is>
      </c>
      <c r="Y932" t="n">
        <v>630</v>
      </c>
      <c r="Z932" t="n">
        <v>564</v>
      </c>
      <c r="AA932" t="n">
        <v>2199</v>
      </c>
      <c r="AB932" t="n">
        <v>4</v>
      </c>
      <c r="AC932" t="n">
        <v>20</v>
      </c>
      <c r="AD932" t="n">
        <v>23</v>
      </c>
      <c r="AE932" t="n">
        <v>72</v>
      </c>
      <c r="AF932" t="n">
        <v>7</v>
      </c>
      <c r="AG932" t="n">
        <v>27</v>
      </c>
      <c r="AH932" t="n">
        <v>4</v>
      </c>
      <c r="AI932" t="n">
        <v>11</v>
      </c>
      <c r="AJ932" t="n">
        <v>12</v>
      </c>
      <c r="AK932" t="n">
        <v>23</v>
      </c>
      <c r="AL932" t="n">
        <v>2</v>
      </c>
      <c r="AM932" t="n">
        <v>15</v>
      </c>
      <c r="AN932" t="n">
        <v>3</v>
      </c>
      <c r="AO932" t="n">
        <v>9</v>
      </c>
      <c r="AP932" t="inlineStr">
        <is>
          <t>No</t>
        </is>
      </c>
      <c r="AQ932" t="inlineStr">
        <is>
          <t>No</t>
        </is>
      </c>
      <c r="AS932">
        <f>HYPERLINK("https://creighton-primo.hosted.exlibrisgroup.com/primo-explore/search?tab=default_tab&amp;search_scope=EVERYTHING&amp;vid=01CRU&amp;lang=en_US&amp;offset=0&amp;query=any,contains,991002009809702656","Catalog Record")</f>
        <v/>
      </c>
      <c r="AT932">
        <f>HYPERLINK("http://www.worldcat.org/oclc/25549016","WorldCat Record")</f>
        <v/>
      </c>
      <c r="AU932" t="inlineStr">
        <is>
          <t>155068862:eng</t>
        </is>
      </c>
      <c r="AV932" t="inlineStr">
        <is>
          <t>25549016</t>
        </is>
      </c>
      <c r="AW932" t="inlineStr">
        <is>
          <t>991002009809702656</t>
        </is>
      </c>
      <c r="AX932" t="inlineStr">
        <is>
          <t>991002009809702656</t>
        </is>
      </c>
      <c r="AY932" t="inlineStr">
        <is>
          <t>2259887050002656</t>
        </is>
      </c>
      <c r="AZ932" t="inlineStr">
        <is>
          <t>BOOK</t>
        </is>
      </c>
      <c r="BB932" t="inlineStr">
        <is>
          <t>9780226537566</t>
        </is>
      </c>
      <c r="BC932" t="inlineStr">
        <is>
          <t>32285001583680</t>
        </is>
      </c>
      <c r="BD932" t="inlineStr">
        <is>
          <t>893804124</t>
        </is>
      </c>
    </row>
    <row r="933">
      <c r="A933" t="inlineStr">
        <is>
          <t>No</t>
        </is>
      </c>
      <c r="B933" t="inlineStr">
        <is>
          <t>E208 .N33 2005</t>
        </is>
      </c>
      <c r="C933" t="inlineStr">
        <is>
          <t>0                      E  0208000N  33          2005</t>
        </is>
      </c>
      <c r="D933" t="inlineStr">
        <is>
          <t>The unknown American Revolution : the unruly birth of democracy and the struggle to create America / Gary B. Nash.</t>
        </is>
      </c>
      <c r="F933" t="inlineStr">
        <is>
          <t>No</t>
        </is>
      </c>
      <c r="G933" t="inlineStr">
        <is>
          <t>1</t>
        </is>
      </c>
      <c r="H933" t="inlineStr">
        <is>
          <t>No</t>
        </is>
      </c>
      <c r="I933" t="inlineStr">
        <is>
          <t>No</t>
        </is>
      </c>
      <c r="J933" t="inlineStr">
        <is>
          <t>0</t>
        </is>
      </c>
      <c r="K933" t="inlineStr">
        <is>
          <t>Nash, Gary B.</t>
        </is>
      </c>
      <c r="L933" t="inlineStr">
        <is>
          <t>New York : Viking, 2005.</t>
        </is>
      </c>
      <c r="M933" t="inlineStr">
        <is>
          <t>2005</t>
        </is>
      </c>
      <c r="O933" t="inlineStr">
        <is>
          <t>eng</t>
        </is>
      </c>
      <c r="P933" t="inlineStr">
        <is>
          <t>nyu</t>
        </is>
      </c>
      <c r="R933" t="inlineStr">
        <is>
          <t xml:space="preserve">E  </t>
        </is>
      </c>
      <c r="S933" t="n">
        <v>1</v>
      </c>
      <c r="T933" t="n">
        <v>1</v>
      </c>
      <c r="U933" t="inlineStr">
        <is>
          <t>2006-04-13</t>
        </is>
      </c>
      <c r="V933" t="inlineStr">
        <is>
          <t>2006-04-13</t>
        </is>
      </c>
      <c r="W933" t="inlineStr">
        <is>
          <t>2006-04-13</t>
        </is>
      </c>
      <c r="X933" t="inlineStr">
        <is>
          <t>2006-04-13</t>
        </is>
      </c>
      <c r="Y933" t="n">
        <v>1669</v>
      </c>
      <c r="Z933" t="n">
        <v>1565</v>
      </c>
      <c r="AA933" t="n">
        <v>1732</v>
      </c>
      <c r="AB933" t="n">
        <v>11</v>
      </c>
      <c r="AC933" t="n">
        <v>12</v>
      </c>
      <c r="AD933" t="n">
        <v>47</v>
      </c>
      <c r="AE933" t="n">
        <v>53</v>
      </c>
      <c r="AF933" t="n">
        <v>21</v>
      </c>
      <c r="AG933" t="n">
        <v>25</v>
      </c>
      <c r="AH933" t="n">
        <v>11</v>
      </c>
      <c r="AI933" t="n">
        <v>11</v>
      </c>
      <c r="AJ933" t="n">
        <v>20</v>
      </c>
      <c r="AK933" t="n">
        <v>22</v>
      </c>
      <c r="AL933" t="n">
        <v>7</v>
      </c>
      <c r="AM933" t="n">
        <v>8</v>
      </c>
      <c r="AN933" t="n">
        <v>0</v>
      </c>
      <c r="AO933" t="n">
        <v>1</v>
      </c>
      <c r="AP933" t="inlineStr">
        <is>
          <t>No</t>
        </is>
      </c>
      <c r="AQ933" t="inlineStr">
        <is>
          <t>Yes</t>
        </is>
      </c>
      <c r="AR933">
        <f>HYPERLINK("http://catalog.hathitrust.org/Record/005043416","HathiTrust Record")</f>
        <v/>
      </c>
      <c r="AS933">
        <f>HYPERLINK("https://creighton-primo.hosted.exlibrisgroup.com/primo-explore/search?tab=default_tab&amp;search_scope=EVERYTHING&amp;vid=01CRU&amp;lang=en_US&amp;offset=0&amp;query=any,contains,991004783219702656","Catalog Record")</f>
        <v/>
      </c>
      <c r="AT933">
        <f>HYPERLINK("http://www.worldcat.org/oclc/58807699","WorldCat Record")</f>
        <v/>
      </c>
      <c r="AU933" t="inlineStr">
        <is>
          <t>33284:eng</t>
        </is>
      </c>
      <c r="AV933" t="inlineStr">
        <is>
          <t>58807699</t>
        </is>
      </c>
      <c r="AW933" t="inlineStr">
        <is>
          <t>991004783219702656</t>
        </is>
      </c>
      <c r="AX933" t="inlineStr">
        <is>
          <t>991004783219702656</t>
        </is>
      </c>
      <c r="AY933" t="inlineStr">
        <is>
          <t>2272395780002656</t>
        </is>
      </c>
      <c r="AZ933" t="inlineStr">
        <is>
          <t>BOOK</t>
        </is>
      </c>
      <c r="BB933" t="inlineStr">
        <is>
          <t>9780670034208</t>
        </is>
      </c>
      <c r="BC933" t="inlineStr">
        <is>
          <t>32285005181457</t>
        </is>
      </c>
      <c r="BD933" t="inlineStr">
        <is>
          <t>893260165</t>
        </is>
      </c>
    </row>
    <row r="934">
      <c r="A934" t="inlineStr">
        <is>
          <t>No</t>
        </is>
      </c>
      <c r="B934" t="inlineStr">
        <is>
          <t>E208 .R6</t>
        </is>
      </c>
      <c r="C934" t="inlineStr">
        <is>
          <t>0                      E  0208000R  6</t>
        </is>
      </c>
      <c r="D934" t="inlineStr">
        <is>
          <t>The American Revolution in its political and military aspects, 1763-1783.</t>
        </is>
      </c>
      <c r="F934" t="inlineStr">
        <is>
          <t>No</t>
        </is>
      </c>
      <c r="G934" t="inlineStr">
        <is>
          <t>1</t>
        </is>
      </c>
      <c r="H934" t="inlineStr">
        <is>
          <t>No</t>
        </is>
      </c>
      <c r="I934" t="inlineStr">
        <is>
          <t>No</t>
        </is>
      </c>
      <c r="J934" t="inlineStr">
        <is>
          <t>0</t>
        </is>
      </c>
      <c r="K934" t="inlineStr">
        <is>
          <t>Robson, Eric, 1918-1954.</t>
        </is>
      </c>
      <c r="L934" t="inlineStr">
        <is>
          <t>London, Batchworth Press [1955]</t>
        </is>
      </c>
      <c r="M934" t="inlineStr">
        <is>
          <t>1955</t>
        </is>
      </c>
      <c r="O934" t="inlineStr">
        <is>
          <t>eng</t>
        </is>
      </c>
      <c r="P934" t="inlineStr">
        <is>
          <t>enk</t>
        </is>
      </c>
      <c r="R934" t="inlineStr">
        <is>
          <t xml:space="preserve">E  </t>
        </is>
      </c>
      <c r="S934" t="n">
        <v>2</v>
      </c>
      <c r="T934" t="n">
        <v>2</v>
      </c>
      <c r="U934" t="inlineStr">
        <is>
          <t>1998-12-01</t>
        </is>
      </c>
      <c r="V934" t="inlineStr">
        <is>
          <t>1998-12-01</t>
        </is>
      </c>
      <c r="W934" t="inlineStr">
        <is>
          <t>1996-08-19</t>
        </is>
      </c>
      <c r="X934" t="inlineStr">
        <is>
          <t>1996-08-19</t>
        </is>
      </c>
      <c r="Y934" t="n">
        <v>250</v>
      </c>
      <c r="Z934" t="n">
        <v>192</v>
      </c>
      <c r="AA934" t="n">
        <v>926</v>
      </c>
      <c r="AB934" t="n">
        <v>2</v>
      </c>
      <c r="AC934" t="n">
        <v>7</v>
      </c>
      <c r="AD934" t="n">
        <v>10</v>
      </c>
      <c r="AE934" t="n">
        <v>43</v>
      </c>
      <c r="AF934" t="n">
        <v>4</v>
      </c>
      <c r="AG934" t="n">
        <v>20</v>
      </c>
      <c r="AH934" t="n">
        <v>4</v>
      </c>
      <c r="AI934" t="n">
        <v>10</v>
      </c>
      <c r="AJ934" t="n">
        <v>2</v>
      </c>
      <c r="AK934" t="n">
        <v>20</v>
      </c>
      <c r="AL934" t="n">
        <v>1</v>
      </c>
      <c r="AM934" t="n">
        <v>6</v>
      </c>
      <c r="AN934" t="n">
        <v>0</v>
      </c>
      <c r="AO934" t="n">
        <v>0</v>
      </c>
      <c r="AP934" t="inlineStr">
        <is>
          <t>No</t>
        </is>
      </c>
      <c r="AQ934" t="inlineStr">
        <is>
          <t>Yes</t>
        </is>
      </c>
      <c r="AR934">
        <f>HYPERLINK("http://catalog.hathitrust.org/Record/000362102","HathiTrust Record")</f>
        <v/>
      </c>
      <c r="AS934">
        <f>HYPERLINK("https://creighton-primo.hosted.exlibrisgroup.com/primo-explore/search?tab=default_tab&amp;search_scope=EVERYTHING&amp;vid=01CRU&amp;lang=en_US&amp;offset=0&amp;query=any,contains,991003547849702656","Catalog Record")</f>
        <v/>
      </c>
      <c r="AT934">
        <f>HYPERLINK("http://www.worldcat.org/oclc/1115109","WorldCat Record")</f>
        <v/>
      </c>
      <c r="AU934" t="inlineStr">
        <is>
          <t>459306:eng</t>
        </is>
      </c>
      <c r="AV934" t="inlineStr">
        <is>
          <t>1115109</t>
        </is>
      </c>
      <c r="AW934" t="inlineStr">
        <is>
          <t>991003547849702656</t>
        </is>
      </c>
      <c r="AX934" t="inlineStr">
        <is>
          <t>991003547849702656</t>
        </is>
      </c>
      <c r="AY934" t="inlineStr">
        <is>
          <t>2267478150002656</t>
        </is>
      </c>
      <c r="AZ934" t="inlineStr">
        <is>
          <t>BOOK</t>
        </is>
      </c>
      <c r="BC934" t="inlineStr">
        <is>
          <t>32285002281425</t>
        </is>
      </c>
      <c r="BD934" t="inlineStr">
        <is>
          <t>893240335</t>
        </is>
      </c>
    </row>
    <row r="935">
      <c r="A935" t="inlineStr">
        <is>
          <t>No</t>
        </is>
      </c>
      <c r="B935" t="inlineStr">
        <is>
          <t>E208 .S67 1989</t>
        </is>
      </c>
      <c r="C935" t="inlineStr">
        <is>
          <t>0                      E  0208000S  67          1989</t>
        </is>
      </c>
      <c r="D935" t="inlineStr">
        <is>
          <t>A new age now begins : a people's history of the American Revolution / Page Smith.</t>
        </is>
      </c>
      <c r="F935" t="inlineStr">
        <is>
          <t>Yes</t>
        </is>
      </c>
      <c r="G935" t="inlineStr">
        <is>
          <t>1</t>
        </is>
      </c>
      <c r="H935" t="inlineStr">
        <is>
          <t>No</t>
        </is>
      </c>
      <c r="I935" t="inlineStr">
        <is>
          <t>No</t>
        </is>
      </c>
      <c r="J935" t="inlineStr">
        <is>
          <t>0</t>
        </is>
      </c>
      <c r="K935" t="inlineStr">
        <is>
          <t>Smith, Page.</t>
        </is>
      </c>
      <c r="L935" t="inlineStr">
        <is>
          <t>New York : Penguin Books, 1989, c1976.</t>
        </is>
      </c>
      <c r="M935" t="inlineStr">
        <is>
          <t>1989</t>
        </is>
      </c>
      <c r="O935" t="inlineStr">
        <is>
          <t>eng</t>
        </is>
      </c>
      <c r="P935" t="inlineStr">
        <is>
          <t>nyu</t>
        </is>
      </c>
      <c r="R935" t="inlineStr">
        <is>
          <t xml:space="preserve">E  </t>
        </is>
      </c>
      <c r="S935" t="n">
        <v>2</v>
      </c>
      <c r="T935" t="n">
        <v>2</v>
      </c>
      <c r="U935" t="inlineStr">
        <is>
          <t>2004-03-27</t>
        </is>
      </c>
      <c r="V935" t="inlineStr">
        <is>
          <t>2004-03-27</t>
        </is>
      </c>
      <c r="W935" t="inlineStr">
        <is>
          <t>1990-06-20</t>
        </is>
      </c>
      <c r="X935" t="inlineStr">
        <is>
          <t>1990-06-20</t>
        </is>
      </c>
      <c r="Y935" t="n">
        <v>106</v>
      </c>
      <c r="Z935" t="n">
        <v>100</v>
      </c>
      <c r="AA935" t="n">
        <v>107</v>
      </c>
      <c r="AB935" t="n">
        <v>1</v>
      </c>
      <c r="AC935" t="n">
        <v>1</v>
      </c>
      <c r="AD935" t="n">
        <v>0</v>
      </c>
      <c r="AE935" t="n">
        <v>0</v>
      </c>
      <c r="AF935" t="n">
        <v>0</v>
      </c>
      <c r="AG935" t="n">
        <v>0</v>
      </c>
      <c r="AH935" t="n">
        <v>0</v>
      </c>
      <c r="AI935" t="n">
        <v>0</v>
      </c>
      <c r="AJ935" t="n">
        <v>0</v>
      </c>
      <c r="AK935" t="n">
        <v>0</v>
      </c>
      <c r="AL935" t="n">
        <v>0</v>
      </c>
      <c r="AM935" t="n">
        <v>0</v>
      </c>
      <c r="AN935" t="n">
        <v>0</v>
      </c>
      <c r="AO935" t="n">
        <v>0</v>
      </c>
      <c r="AP935" t="inlineStr">
        <is>
          <t>No</t>
        </is>
      </c>
      <c r="AQ935" t="inlineStr">
        <is>
          <t>No</t>
        </is>
      </c>
      <c r="AS935">
        <f>HYPERLINK("https://creighton-primo.hosted.exlibrisgroup.com/primo-explore/search?tab=default_tab&amp;search_scope=EVERYTHING&amp;vid=01CRU&amp;lang=en_US&amp;offset=0&amp;query=any,contains,991001433689702656","Catalog Record")</f>
        <v/>
      </c>
      <c r="AT935">
        <f>HYPERLINK("http://www.worldcat.org/oclc/19125519","WorldCat Record")</f>
        <v/>
      </c>
      <c r="AU935" t="inlineStr">
        <is>
          <t>10226991778:eng</t>
        </is>
      </c>
      <c r="AV935" t="inlineStr">
        <is>
          <t>19125519</t>
        </is>
      </c>
      <c r="AW935" t="inlineStr">
        <is>
          <t>991001433689702656</t>
        </is>
      </c>
      <c r="AX935" t="inlineStr">
        <is>
          <t>991001433689702656</t>
        </is>
      </c>
      <c r="AY935" t="inlineStr">
        <is>
          <t>2269691920002656</t>
        </is>
      </c>
      <c r="AZ935" t="inlineStr">
        <is>
          <t>BOOK</t>
        </is>
      </c>
      <c r="BB935" t="inlineStr">
        <is>
          <t>9780140122534</t>
        </is>
      </c>
      <c r="BC935" t="inlineStr">
        <is>
          <t>32285000178748</t>
        </is>
      </c>
      <c r="BD935" t="inlineStr">
        <is>
          <t>893696745</t>
        </is>
      </c>
    </row>
    <row r="936">
      <c r="A936" t="inlineStr">
        <is>
          <t>No</t>
        </is>
      </c>
      <c r="B936" t="inlineStr">
        <is>
          <t>E208 .W29 1995</t>
        </is>
      </c>
      <c r="C936" t="inlineStr">
        <is>
          <t>0                      E  0208000W  29          1995</t>
        </is>
      </c>
      <c r="D936" t="inlineStr">
        <is>
          <t>The American Revolution : nationhood achieved, 1763-1788 / Harry M. Ward.</t>
        </is>
      </c>
      <c r="F936" t="inlineStr">
        <is>
          <t>No</t>
        </is>
      </c>
      <c r="G936" t="inlineStr">
        <is>
          <t>1</t>
        </is>
      </c>
      <c r="H936" t="inlineStr">
        <is>
          <t>No</t>
        </is>
      </c>
      <c r="I936" t="inlineStr">
        <is>
          <t>No</t>
        </is>
      </c>
      <c r="J936" t="inlineStr">
        <is>
          <t>0</t>
        </is>
      </c>
      <c r="K936" t="inlineStr">
        <is>
          <t>Ward, Harry M.</t>
        </is>
      </c>
      <c r="L936" t="inlineStr">
        <is>
          <t>New York : St. Martin's Press, c1995.</t>
        </is>
      </c>
      <c r="M936" t="inlineStr">
        <is>
          <t>1995</t>
        </is>
      </c>
      <c r="O936" t="inlineStr">
        <is>
          <t>eng</t>
        </is>
      </c>
      <c r="P936" t="inlineStr">
        <is>
          <t>nyu</t>
        </is>
      </c>
      <c r="Q936" t="inlineStr">
        <is>
          <t>The St. Martin's series in U.S. history</t>
        </is>
      </c>
      <c r="R936" t="inlineStr">
        <is>
          <t xml:space="preserve">E  </t>
        </is>
      </c>
      <c r="S936" t="n">
        <v>5</v>
      </c>
      <c r="T936" t="n">
        <v>5</v>
      </c>
      <c r="U936" t="inlineStr">
        <is>
          <t>2004-11-17</t>
        </is>
      </c>
      <c r="V936" t="inlineStr">
        <is>
          <t>2004-11-17</t>
        </is>
      </c>
      <c r="W936" t="inlineStr">
        <is>
          <t>1996-11-27</t>
        </is>
      </c>
      <c r="X936" t="inlineStr">
        <is>
          <t>1996-11-27</t>
        </is>
      </c>
      <c r="Y936" t="n">
        <v>715</v>
      </c>
      <c r="Z936" t="n">
        <v>626</v>
      </c>
      <c r="AA936" t="n">
        <v>631</v>
      </c>
      <c r="AB936" t="n">
        <v>4</v>
      </c>
      <c r="AC936" t="n">
        <v>4</v>
      </c>
      <c r="AD936" t="n">
        <v>30</v>
      </c>
      <c r="AE936" t="n">
        <v>30</v>
      </c>
      <c r="AF936" t="n">
        <v>14</v>
      </c>
      <c r="AG936" t="n">
        <v>14</v>
      </c>
      <c r="AH936" t="n">
        <v>6</v>
      </c>
      <c r="AI936" t="n">
        <v>6</v>
      </c>
      <c r="AJ936" t="n">
        <v>14</v>
      </c>
      <c r="AK936" t="n">
        <v>14</v>
      </c>
      <c r="AL936" t="n">
        <v>3</v>
      </c>
      <c r="AM936" t="n">
        <v>3</v>
      </c>
      <c r="AN936" t="n">
        <v>0</v>
      </c>
      <c r="AO936" t="n">
        <v>0</v>
      </c>
      <c r="AP936" t="inlineStr">
        <is>
          <t>No</t>
        </is>
      </c>
      <c r="AQ936" t="inlineStr">
        <is>
          <t>No</t>
        </is>
      </c>
      <c r="AS936">
        <f>HYPERLINK("https://creighton-primo.hosted.exlibrisgroup.com/primo-explore/search?tab=default_tab&amp;search_scope=EVERYTHING&amp;vid=01CRU&amp;lang=en_US&amp;offset=0&amp;query=any,contains,991002433149702656","Catalog Record")</f>
        <v/>
      </c>
      <c r="AT936">
        <f>HYPERLINK("http://www.worldcat.org/oclc/31727720","WorldCat Record")</f>
        <v/>
      </c>
      <c r="AU936" t="inlineStr">
        <is>
          <t>837001621:eng</t>
        </is>
      </c>
      <c r="AV936" t="inlineStr">
        <is>
          <t>31727720</t>
        </is>
      </c>
      <c r="AW936" t="inlineStr">
        <is>
          <t>991002433149702656</t>
        </is>
      </c>
      <c r="AX936" t="inlineStr">
        <is>
          <t>991002433149702656</t>
        </is>
      </c>
      <c r="AY936" t="inlineStr">
        <is>
          <t>2260267960002656</t>
        </is>
      </c>
      <c r="AZ936" t="inlineStr">
        <is>
          <t>BOOK</t>
        </is>
      </c>
      <c r="BB936" t="inlineStr">
        <is>
          <t>9780312071622</t>
        </is>
      </c>
      <c r="BC936" t="inlineStr">
        <is>
          <t>32285002386786</t>
        </is>
      </c>
      <c r="BD936" t="inlineStr">
        <is>
          <t>893517283</t>
        </is>
      </c>
    </row>
    <row r="937">
      <c r="A937" t="inlineStr">
        <is>
          <t>No</t>
        </is>
      </c>
      <c r="B937" t="inlineStr">
        <is>
          <t>E208 .W85 2002</t>
        </is>
      </c>
      <c r="C937" t="inlineStr">
        <is>
          <t>0                      E  0208000W  85          2002</t>
        </is>
      </c>
      <c r="D937" t="inlineStr">
        <is>
          <t>The American revolution : a history / Gordon S. Wood.</t>
        </is>
      </c>
      <c r="F937" t="inlineStr">
        <is>
          <t>No</t>
        </is>
      </c>
      <c r="G937" t="inlineStr">
        <is>
          <t>1</t>
        </is>
      </c>
      <c r="H937" t="inlineStr">
        <is>
          <t>No</t>
        </is>
      </c>
      <c r="I937" t="inlineStr">
        <is>
          <t>No</t>
        </is>
      </c>
      <c r="J937" t="inlineStr">
        <is>
          <t>0</t>
        </is>
      </c>
      <c r="K937" t="inlineStr">
        <is>
          <t>Wood, Gordon S.</t>
        </is>
      </c>
      <c r="L937" t="inlineStr">
        <is>
          <t>New York : Modern Library, 2002.</t>
        </is>
      </c>
      <c r="M937" t="inlineStr">
        <is>
          <t>2002</t>
        </is>
      </c>
      <c r="N937" t="inlineStr">
        <is>
          <t>Modern library ed.</t>
        </is>
      </c>
      <c r="O937" t="inlineStr">
        <is>
          <t>eng</t>
        </is>
      </c>
      <c r="P937" t="inlineStr">
        <is>
          <t>nyu</t>
        </is>
      </c>
      <c r="Q937" t="inlineStr">
        <is>
          <t>Modern Library chronicles ; 9</t>
        </is>
      </c>
      <c r="R937" t="inlineStr">
        <is>
          <t xml:space="preserve">E  </t>
        </is>
      </c>
      <c r="S937" t="n">
        <v>8</v>
      </c>
      <c r="T937" t="n">
        <v>8</v>
      </c>
      <c r="U937" t="inlineStr">
        <is>
          <t>2004-11-17</t>
        </is>
      </c>
      <c r="V937" t="inlineStr">
        <is>
          <t>2004-11-17</t>
        </is>
      </c>
      <c r="W937" t="inlineStr">
        <is>
          <t>2002-04-25</t>
        </is>
      </c>
      <c r="X937" t="inlineStr">
        <is>
          <t>2002-04-25</t>
        </is>
      </c>
      <c r="Y937" t="n">
        <v>1204</v>
      </c>
      <c r="Z937" t="n">
        <v>1134</v>
      </c>
      <c r="AA937" t="n">
        <v>1494</v>
      </c>
      <c r="AB937" t="n">
        <v>7</v>
      </c>
      <c r="AC937" t="n">
        <v>10</v>
      </c>
      <c r="AD937" t="n">
        <v>32</v>
      </c>
      <c r="AE937" t="n">
        <v>38</v>
      </c>
      <c r="AF937" t="n">
        <v>11</v>
      </c>
      <c r="AG937" t="n">
        <v>14</v>
      </c>
      <c r="AH937" t="n">
        <v>10</v>
      </c>
      <c r="AI937" t="n">
        <v>10</v>
      </c>
      <c r="AJ937" t="n">
        <v>18</v>
      </c>
      <c r="AK937" t="n">
        <v>21</v>
      </c>
      <c r="AL937" t="n">
        <v>3</v>
      </c>
      <c r="AM937" t="n">
        <v>4</v>
      </c>
      <c r="AN937" t="n">
        <v>1</v>
      </c>
      <c r="AO937" t="n">
        <v>1</v>
      </c>
      <c r="AP937" t="inlineStr">
        <is>
          <t>No</t>
        </is>
      </c>
      <c r="AQ937" t="inlineStr">
        <is>
          <t>No</t>
        </is>
      </c>
      <c r="AS937">
        <f>HYPERLINK("https://creighton-primo.hosted.exlibrisgroup.com/primo-explore/search?tab=default_tab&amp;search_scope=EVERYTHING&amp;vid=01CRU&amp;lang=en_US&amp;offset=0&amp;query=any,contains,991003781359702656","Catalog Record")</f>
        <v/>
      </c>
      <c r="AT937">
        <f>HYPERLINK("http://www.worldcat.org/oclc/48177421","WorldCat Record")</f>
        <v/>
      </c>
      <c r="AU937" t="inlineStr">
        <is>
          <t>706576:eng</t>
        </is>
      </c>
      <c r="AV937" t="inlineStr">
        <is>
          <t>48177421</t>
        </is>
      </c>
      <c r="AW937" t="inlineStr">
        <is>
          <t>991003781359702656</t>
        </is>
      </c>
      <c r="AX937" t="inlineStr">
        <is>
          <t>991003781359702656</t>
        </is>
      </c>
      <c r="AY937" t="inlineStr">
        <is>
          <t>2257135830002656</t>
        </is>
      </c>
      <c r="AZ937" t="inlineStr">
        <is>
          <t>BOOK</t>
        </is>
      </c>
      <c r="BB937" t="inlineStr">
        <is>
          <t>9780679640578</t>
        </is>
      </c>
      <c r="BC937" t="inlineStr">
        <is>
          <t>32285004483615</t>
        </is>
      </c>
      <c r="BD937" t="inlineStr">
        <is>
          <t>893722098</t>
        </is>
      </c>
    </row>
    <row r="938">
      <c r="A938" t="inlineStr">
        <is>
          <t>No</t>
        </is>
      </c>
      <c r="B938" t="inlineStr">
        <is>
          <t>E208 .Y68 1993</t>
        </is>
      </c>
      <c r="C938" t="inlineStr">
        <is>
          <t>0                      E  0208000Y  68          1993</t>
        </is>
      </c>
      <c r="D938" t="inlineStr">
        <is>
          <t>We the people : voices and images of the new nation / Alfred F. Young and Terry J. Fife ; with Mary E. Janzen.</t>
        </is>
      </c>
      <c r="F938" t="inlineStr">
        <is>
          <t>No</t>
        </is>
      </c>
      <c r="G938" t="inlineStr">
        <is>
          <t>1</t>
        </is>
      </c>
      <c r="H938" t="inlineStr">
        <is>
          <t>No</t>
        </is>
      </c>
      <c r="I938" t="inlineStr">
        <is>
          <t>No</t>
        </is>
      </c>
      <c r="J938" t="inlineStr">
        <is>
          <t>0</t>
        </is>
      </c>
      <c r="K938" t="inlineStr">
        <is>
          <t>Young, Alfred F., 1925-2012.</t>
        </is>
      </c>
      <c r="L938" t="inlineStr">
        <is>
          <t>Philadelphia : Temple University Press, 1993.</t>
        </is>
      </c>
      <c r="M938" t="inlineStr">
        <is>
          <t>1993</t>
        </is>
      </c>
      <c r="O938" t="inlineStr">
        <is>
          <t>eng</t>
        </is>
      </c>
      <c r="P938" t="inlineStr">
        <is>
          <t>pau</t>
        </is>
      </c>
      <c r="Q938" t="inlineStr">
        <is>
          <t>Critical perspectives on the past</t>
        </is>
      </c>
      <c r="R938" t="inlineStr">
        <is>
          <t xml:space="preserve">E  </t>
        </is>
      </c>
      <c r="S938" t="n">
        <v>3</v>
      </c>
      <c r="T938" t="n">
        <v>3</v>
      </c>
      <c r="U938" t="inlineStr">
        <is>
          <t>1999-12-28</t>
        </is>
      </c>
      <c r="V938" t="inlineStr">
        <is>
          <t>1999-12-28</t>
        </is>
      </c>
      <c r="W938" t="inlineStr">
        <is>
          <t>1996-11-11</t>
        </is>
      </c>
      <c r="X938" t="inlineStr">
        <is>
          <t>1996-11-11</t>
        </is>
      </c>
      <c r="Y938" t="n">
        <v>400</v>
      </c>
      <c r="Z938" t="n">
        <v>384</v>
      </c>
      <c r="AA938" t="n">
        <v>393</v>
      </c>
      <c r="AB938" t="n">
        <v>2</v>
      </c>
      <c r="AC938" t="n">
        <v>2</v>
      </c>
      <c r="AD938" t="n">
        <v>16</v>
      </c>
      <c r="AE938" t="n">
        <v>16</v>
      </c>
      <c r="AF938" t="n">
        <v>4</v>
      </c>
      <c r="AG938" t="n">
        <v>4</v>
      </c>
      <c r="AH938" t="n">
        <v>5</v>
      </c>
      <c r="AI938" t="n">
        <v>5</v>
      </c>
      <c r="AJ938" t="n">
        <v>10</v>
      </c>
      <c r="AK938" t="n">
        <v>10</v>
      </c>
      <c r="AL938" t="n">
        <v>1</v>
      </c>
      <c r="AM938" t="n">
        <v>1</v>
      </c>
      <c r="AN938" t="n">
        <v>1</v>
      </c>
      <c r="AO938" t="n">
        <v>1</v>
      </c>
      <c r="AP938" t="inlineStr">
        <is>
          <t>No</t>
        </is>
      </c>
      <c r="AQ938" t="inlineStr">
        <is>
          <t>No</t>
        </is>
      </c>
      <c r="AS938">
        <f>HYPERLINK("https://creighton-primo.hosted.exlibrisgroup.com/primo-explore/search?tab=default_tab&amp;search_scope=EVERYTHING&amp;vid=01CRU&amp;lang=en_US&amp;offset=0&amp;query=any,contains,991002044619702656","Catalog Record")</f>
        <v/>
      </c>
      <c r="AT938">
        <f>HYPERLINK("http://www.worldcat.org/oclc/26095832","WorldCat Record")</f>
        <v/>
      </c>
      <c r="AU938" t="inlineStr">
        <is>
          <t>283838668:eng</t>
        </is>
      </c>
      <c r="AV938" t="inlineStr">
        <is>
          <t>26095832</t>
        </is>
      </c>
      <c r="AW938" t="inlineStr">
        <is>
          <t>991002044619702656</t>
        </is>
      </c>
      <c r="AX938" t="inlineStr">
        <is>
          <t>991002044619702656</t>
        </is>
      </c>
      <c r="AY938" t="inlineStr">
        <is>
          <t>2267734270002656</t>
        </is>
      </c>
      <c r="AZ938" t="inlineStr">
        <is>
          <t>BOOK</t>
        </is>
      </c>
      <c r="BB938" t="inlineStr">
        <is>
          <t>9780877229377</t>
        </is>
      </c>
      <c r="BC938" t="inlineStr">
        <is>
          <t>32285002371218</t>
        </is>
      </c>
      <c r="BD938" t="inlineStr">
        <is>
          <t>893785644</t>
        </is>
      </c>
    </row>
    <row r="939">
      <c r="A939" t="inlineStr">
        <is>
          <t>No</t>
        </is>
      </c>
      <c r="B939" t="inlineStr">
        <is>
          <t>E209 .A497 1987</t>
        </is>
      </c>
      <c r="C939" t="inlineStr">
        <is>
          <t>0                      E  0209000A  497         1987</t>
        </is>
      </c>
      <c r="D939" t="inlineStr">
        <is>
          <t>The American Revolution : its character and limits / edited by Jack P. Greene.</t>
        </is>
      </c>
      <c r="F939" t="inlineStr">
        <is>
          <t>No</t>
        </is>
      </c>
      <c r="G939" t="inlineStr">
        <is>
          <t>1</t>
        </is>
      </c>
      <c r="H939" t="inlineStr">
        <is>
          <t>No</t>
        </is>
      </c>
      <c r="I939" t="inlineStr">
        <is>
          <t>No</t>
        </is>
      </c>
      <c r="J939" t="inlineStr">
        <is>
          <t>0</t>
        </is>
      </c>
      <c r="L939" t="inlineStr">
        <is>
          <t>New York : New York University Press, c1987.</t>
        </is>
      </c>
      <c r="M939" t="inlineStr">
        <is>
          <t>1987</t>
        </is>
      </c>
      <c r="O939" t="inlineStr">
        <is>
          <t>eng</t>
        </is>
      </c>
      <c r="P939" t="inlineStr">
        <is>
          <t>nyu</t>
        </is>
      </c>
      <c r="R939" t="inlineStr">
        <is>
          <t xml:space="preserve">E  </t>
        </is>
      </c>
      <c r="S939" t="n">
        <v>4</v>
      </c>
      <c r="T939" t="n">
        <v>4</v>
      </c>
      <c r="U939" t="inlineStr">
        <is>
          <t>1996-12-01</t>
        </is>
      </c>
      <c r="V939" t="inlineStr">
        <is>
          <t>1996-12-01</t>
        </is>
      </c>
      <c r="W939" t="inlineStr">
        <is>
          <t>1989-10-20</t>
        </is>
      </c>
      <c r="X939" t="inlineStr">
        <is>
          <t>1989-10-20</t>
        </is>
      </c>
      <c r="Y939" t="n">
        <v>665</v>
      </c>
      <c r="Z939" t="n">
        <v>535</v>
      </c>
      <c r="AA939" t="n">
        <v>535</v>
      </c>
      <c r="AB939" t="n">
        <v>4</v>
      </c>
      <c r="AC939" t="n">
        <v>4</v>
      </c>
      <c r="AD939" t="n">
        <v>28</v>
      </c>
      <c r="AE939" t="n">
        <v>28</v>
      </c>
      <c r="AF939" t="n">
        <v>12</v>
      </c>
      <c r="AG939" t="n">
        <v>12</v>
      </c>
      <c r="AH939" t="n">
        <v>6</v>
      </c>
      <c r="AI939" t="n">
        <v>6</v>
      </c>
      <c r="AJ939" t="n">
        <v>14</v>
      </c>
      <c r="AK939" t="n">
        <v>14</v>
      </c>
      <c r="AL939" t="n">
        <v>3</v>
      </c>
      <c r="AM939" t="n">
        <v>3</v>
      </c>
      <c r="AN939" t="n">
        <v>0</v>
      </c>
      <c r="AO939" t="n">
        <v>0</v>
      </c>
      <c r="AP939" t="inlineStr">
        <is>
          <t>No</t>
        </is>
      </c>
      <c r="AQ939" t="inlineStr">
        <is>
          <t>No</t>
        </is>
      </c>
      <c r="AS939">
        <f>HYPERLINK("https://creighton-primo.hosted.exlibrisgroup.com/primo-explore/search?tab=default_tab&amp;search_scope=EVERYTHING&amp;vid=01CRU&amp;lang=en_US&amp;offset=0&amp;query=any,contains,991001079059702656","Catalog Record")</f>
        <v/>
      </c>
      <c r="AT939">
        <f>HYPERLINK("http://www.worldcat.org/oclc/16083009","WorldCat Record")</f>
        <v/>
      </c>
      <c r="AU939" t="inlineStr">
        <is>
          <t>836631065:eng</t>
        </is>
      </c>
      <c r="AV939" t="inlineStr">
        <is>
          <t>16083009</t>
        </is>
      </c>
      <c r="AW939" t="inlineStr">
        <is>
          <t>991001079059702656</t>
        </is>
      </c>
      <c r="AX939" t="inlineStr">
        <is>
          <t>991001079059702656</t>
        </is>
      </c>
      <c r="AY939" t="inlineStr">
        <is>
          <t>2260372530002656</t>
        </is>
      </c>
      <c r="AZ939" t="inlineStr">
        <is>
          <t>BOOK</t>
        </is>
      </c>
      <c r="BB939" t="inlineStr">
        <is>
          <t>9780814730126</t>
        </is>
      </c>
      <c r="BC939" t="inlineStr">
        <is>
          <t>32285000001163</t>
        </is>
      </c>
      <c r="BD939" t="inlineStr">
        <is>
          <t>893407811</t>
        </is>
      </c>
    </row>
    <row r="940">
      <c r="A940" t="inlineStr">
        <is>
          <t>No</t>
        </is>
      </c>
      <c r="B940" t="inlineStr">
        <is>
          <t>E209 .F67</t>
        </is>
      </c>
      <c r="C940" t="inlineStr">
        <is>
          <t>0                      E  0209000F  67</t>
        </is>
      </c>
      <c r="D940" t="inlineStr">
        <is>
          <t>Labor and the American revolution / by Philip S. Foner.</t>
        </is>
      </c>
      <c r="F940" t="inlineStr">
        <is>
          <t>No</t>
        </is>
      </c>
      <c r="G940" t="inlineStr">
        <is>
          <t>1</t>
        </is>
      </c>
      <c r="H940" t="inlineStr">
        <is>
          <t>No</t>
        </is>
      </c>
      <c r="I940" t="inlineStr">
        <is>
          <t>No</t>
        </is>
      </c>
      <c r="J940" t="inlineStr">
        <is>
          <t>0</t>
        </is>
      </c>
      <c r="K940" t="inlineStr">
        <is>
          <t>Foner, Philip Sheldon, 1910-1994.</t>
        </is>
      </c>
      <c r="L940" t="inlineStr">
        <is>
          <t>Westport, Conn. : Greenwood Press, 1976.</t>
        </is>
      </c>
      <c r="M940" t="inlineStr">
        <is>
          <t>1976</t>
        </is>
      </c>
      <c r="O940" t="inlineStr">
        <is>
          <t>eng</t>
        </is>
      </c>
      <c r="P940" t="inlineStr">
        <is>
          <t>ctu</t>
        </is>
      </c>
      <c r="R940" t="inlineStr">
        <is>
          <t xml:space="preserve">E  </t>
        </is>
      </c>
      <c r="S940" t="n">
        <v>3</v>
      </c>
      <c r="T940" t="n">
        <v>3</v>
      </c>
      <c r="U940" t="inlineStr">
        <is>
          <t>1998-09-19</t>
        </is>
      </c>
      <c r="V940" t="inlineStr">
        <is>
          <t>1998-09-19</t>
        </is>
      </c>
      <c r="W940" t="inlineStr">
        <is>
          <t>1997-05-06</t>
        </is>
      </c>
      <c r="X940" t="inlineStr">
        <is>
          <t>1997-05-06</t>
        </is>
      </c>
      <c r="Y940" t="n">
        <v>747</v>
      </c>
      <c r="Z940" t="n">
        <v>644</v>
      </c>
      <c r="AA940" t="n">
        <v>651</v>
      </c>
      <c r="AB940" t="n">
        <v>5</v>
      </c>
      <c r="AC940" t="n">
        <v>5</v>
      </c>
      <c r="AD940" t="n">
        <v>34</v>
      </c>
      <c r="AE940" t="n">
        <v>34</v>
      </c>
      <c r="AF940" t="n">
        <v>12</v>
      </c>
      <c r="AG940" t="n">
        <v>12</v>
      </c>
      <c r="AH940" t="n">
        <v>8</v>
      </c>
      <c r="AI940" t="n">
        <v>8</v>
      </c>
      <c r="AJ940" t="n">
        <v>17</v>
      </c>
      <c r="AK940" t="n">
        <v>17</v>
      </c>
      <c r="AL940" t="n">
        <v>4</v>
      </c>
      <c r="AM940" t="n">
        <v>4</v>
      </c>
      <c r="AN940" t="n">
        <v>2</v>
      </c>
      <c r="AO940" t="n">
        <v>2</v>
      </c>
      <c r="AP940" t="inlineStr">
        <is>
          <t>No</t>
        </is>
      </c>
      <c r="AQ940" t="inlineStr">
        <is>
          <t>Yes</t>
        </is>
      </c>
      <c r="AR940">
        <f>HYPERLINK("http://catalog.hathitrust.org/Record/000722808","HathiTrust Record")</f>
        <v/>
      </c>
      <c r="AS940">
        <f>HYPERLINK("https://creighton-primo.hosted.exlibrisgroup.com/primo-explore/search?tab=default_tab&amp;search_scope=EVERYTHING&amp;vid=01CRU&amp;lang=en_US&amp;offset=0&amp;query=any,contains,991004119899702656","Catalog Record")</f>
        <v/>
      </c>
      <c r="AT940">
        <f>HYPERLINK("http://www.worldcat.org/oclc/2424538","WorldCat Record")</f>
        <v/>
      </c>
      <c r="AU940" t="inlineStr">
        <is>
          <t>501805:eng</t>
        </is>
      </c>
      <c r="AV940" t="inlineStr">
        <is>
          <t>2424538</t>
        </is>
      </c>
      <c r="AW940" t="inlineStr">
        <is>
          <t>991004119899702656</t>
        </is>
      </c>
      <c r="AX940" t="inlineStr">
        <is>
          <t>991004119899702656</t>
        </is>
      </c>
      <c r="AY940" t="inlineStr">
        <is>
          <t>2265108230002656</t>
        </is>
      </c>
      <c r="AZ940" t="inlineStr">
        <is>
          <t>BOOK</t>
        </is>
      </c>
      <c r="BB940" t="inlineStr">
        <is>
          <t>9780837190037</t>
        </is>
      </c>
      <c r="BC940" t="inlineStr">
        <is>
          <t>32285002574068</t>
        </is>
      </c>
      <c r="BD940" t="inlineStr">
        <is>
          <t>893624364</t>
        </is>
      </c>
    </row>
    <row r="941">
      <c r="A941" t="inlineStr">
        <is>
          <t>No</t>
        </is>
      </c>
      <c r="B941" t="inlineStr">
        <is>
          <t>E209 .K35 1978</t>
        </is>
      </c>
      <c r="C941" t="inlineStr">
        <is>
          <t>0                      E  0209000K  35          1978</t>
        </is>
      </c>
      <c r="D941" t="inlineStr">
        <is>
          <t>A season of youth : the American Revolution and the historical imagination / Michael Kammen.</t>
        </is>
      </c>
      <c r="F941" t="inlineStr">
        <is>
          <t>No</t>
        </is>
      </c>
      <c r="G941" t="inlineStr">
        <is>
          <t>1</t>
        </is>
      </c>
      <c r="H941" t="inlineStr">
        <is>
          <t>No</t>
        </is>
      </c>
      <c r="I941" t="inlineStr">
        <is>
          <t>No</t>
        </is>
      </c>
      <c r="J941" t="inlineStr">
        <is>
          <t>0</t>
        </is>
      </c>
      <c r="K941" t="inlineStr">
        <is>
          <t>Kammen, Michael G.</t>
        </is>
      </c>
      <c r="L941" t="inlineStr">
        <is>
          <t>New York : Knopf, 1978.</t>
        </is>
      </c>
      <c r="M941" t="inlineStr">
        <is>
          <t>1978</t>
        </is>
      </c>
      <c r="N941" t="inlineStr">
        <is>
          <t>1st ed.</t>
        </is>
      </c>
      <c r="O941" t="inlineStr">
        <is>
          <t>eng</t>
        </is>
      </c>
      <c r="P941" t="inlineStr">
        <is>
          <t>nyu</t>
        </is>
      </c>
      <c r="R941" t="inlineStr">
        <is>
          <t xml:space="preserve">E  </t>
        </is>
      </c>
      <c r="S941" t="n">
        <v>2</v>
      </c>
      <c r="T941" t="n">
        <v>2</v>
      </c>
      <c r="U941" t="inlineStr">
        <is>
          <t>1998-12-04</t>
        </is>
      </c>
      <c r="V941" t="inlineStr">
        <is>
          <t>1998-12-04</t>
        </is>
      </c>
      <c r="W941" t="inlineStr">
        <is>
          <t>1991-03-07</t>
        </is>
      </c>
      <c r="X941" t="inlineStr">
        <is>
          <t>1991-03-07</t>
        </is>
      </c>
      <c r="Y941" t="n">
        <v>975</v>
      </c>
      <c r="Z941" t="n">
        <v>870</v>
      </c>
      <c r="AA941" t="n">
        <v>1026</v>
      </c>
      <c r="AB941" t="n">
        <v>5</v>
      </c>
      <c r="AC941" t="n">
        <v>6</v>
      </c>
      <c r="AD941" t="n">
        <v>37</v>
      </c>
      <c r="AE941" t="n">
        <v>42</v>
      </c>
      <c r="AF941" t="n">
        <v>14</v>
      </c>
      <c r="AG941" t="n">
        <v>17</v>
      </c>
      <c r="AH941" t="n">
        <v>10</v>
      </c>
      <c r="AI941" t="n">
        <v>11</v>
      </c>
      <c r="AJ941" t="n">
        <v>18</v>
      </c>
      <c r="AK941" t="n">
        <v>21</v>
      </c>
      <c r="AL941" t="n">
        <v>4</v>
      </c>
      <c r="AM941" t="n">
        <v>5</v>
      </c>
      <c r="AN941" t="n">
        <v>0</v>
      </c>
      <c r="AO941" t="n">
        <v>0</v>
      </c>
      <c r="AP941" t="inlineStr">
        <is>
          <t>No</t>
        </is>
      </c>
      <c r="AQ941" t="inlineStr">
        <is>
          <t>Yes</t>
        </is>
      </c>
      <c r="AR941">
        <f>HYPERLINK("http://catalog.hathitrust.org/Record/004387538","HathiTrust Record")</f>
        <v/>
      </c>
      <c r="AS941">
        <f>HYPERLINK("https://creighton-primo.hosted.exlibrisgroup.com/primo-explore/search?tab=default_tab&amp;search_scope=EVERYTHING&amp;vid=01CRU&amp;lang=en_US&amp;offset=0&amp;query=any,contains,991004527329702656","Catalog Record")</f>
        <v/>
      </c>
      <c r="AT941">
        <f>HYPERLINK("http://www.worldcat.org/oclc/3844057","WorldCat Record")</f>
        <v/>
      </c>
      <c r="AU941" t="inlineStr">
        <is>
          <t>890709356:eng</t>
        </is>
      </c>
      <c r="AV941" t="inlineStr">
        <is>
          <t>3844057</t>
        </is>
      </c>
      <c r="AW941" t="inlineStr">
        <is>
          <t>991004527329702656</t>
        </is>
      </c>
      <c r="AX941" t="inlineStr">
        <is>
          <t>991004527329702656</t>
        </is>
      </c>
      <c r="AY941" t="inlineStr">
        <is>
          <t>2264713460002656</t>
        </is>
      </c>
      <c r="AZ941" t="inlineStr">
        <is>
          <t>BOOK</t>
        </is>
      </c>
      <c r="BB941" t="inlineStr">
        <is>
          <t>9780394496511</t>
        </is>
      </c>
      <c r="BC941" t="inlineStr">
        <is>
          <t>32285000540640</t>
        </is>
      </c>
      <c r="BD941" t="inlineStr">
        <is>
          <t>893888824</t>
        </is>
      </c>
    </row>
    <row r="942">
      <c r="A942" t="inlineStr">
        <is>
          <t>No</t>
        </is>
      </c>
      <c r="B942" t="inlineStr">
        <is>
          <t>E209 .R38</t>
        </is>
      </c>
      <c r="C942" t="inlineStr">
        <is>
          <t>0                      E  0209000R  38</t>
        </is>
      </c>
      <c r="D942" t="inlineStr">
        <is>
          <t>Religious origins of the American Revolution / edited, with introd. and annotations by Page Smith.</t>
        </is>
      </c>
      <c r="F942" t="inlineStr">
        <is>
          <t>No</t>
        </is>
      </c>
      <c r="G942" t="inlineStr">
        <is>
          <t>1</t>
        </is>
      </c>
      <c r="H942" t="inlineStr">
        <is>
          <t>No</t>
        </is>
      </c>
      <c r="I942" t="inlineStr">
        <is>
          <t>No</t>
        </is>
      </c>
      <c r="J942" t="inlineStr">
        <is>
          <t>0</t>
        </is>
      </c>
      <c r="L942" t="inlineStr">
        <is>
          <t>Missoula, Mont. : Published by Scholars Press for the American Academy of Religion, c1976.</t>
        </is>
      </c>
      <c r="M942" t="inlineStr">
        <is>
          <t>1976</t>
        </is>
      </c>
      <c r="O942" t="inlineStr">
        <is>
          <t>eng</t>
        </is>
      </c>
      <c r="P942" t="inlineStr">
        <is>
          <t>mtu</t>
        </is>
      </c>
      <c r="Q942" t="inlineStr">
        <is>
          <t>American Academy of Religion aids for the study of religion ; no. 3</t>
        </is>
      </c>
      <c r="R942" t="inlineStr">
        <is>
          <t xml:space="preserve">E  </t>
        </is>
      </c>
      <c r="S942" t="n">
        <v>1</v>
      </c>
      <c r="T942" t="n">
        <v>1</v>
      </c>
      <c r="U942" t="inlineStr">
        <is>
          <t>1993-04-19</t>
        </is>
      </c>
      <c r="V942" t="inlineStr">
        <is>
          <t>1993-04-19</t>
        </is>
      </c>
      <c r="W942" t="inlineStr">
        <is>
          <t>1991-03-07</t>
        </is>
      </c>
      <c r="X942" t="inlineStr">
        <is>
          <t>1991-03-07</t>
        </is>
      </c>
      <c r="Y942" t="n">
        <v>370</v>
      </c>
      <c r="Z942" t="n">
        <v>315</v>
      </c>
      <c r="AA942" t="n">
        <v>321</v>
      </c>
      <c r="AB942" t="n">
        <v>3</v>
      </c>
      <c r="AC942" t="n">
        <v>3</v>
      </c>
      <c r="AD942" t="n">
        <v>17</v>
      </c>
      <c r="AE942" t="n">
        <v>17</v>
      </c>
      <c r="AF942" t="n">
        <v>7</v>
      </c>
      <c r="AG942" t="n">
        <v>7</v>
      </c>
      <c r="AH942" t="n">
        <v>3</v>
      </c>
      <c r="AI942" t="n">
        <v>3</v>
      </c>
      <c r="AJ942" t="n">
        <v>9</v>
      </c>
      <c r="AK942" t="n">
        <v>9</v>
      </c>
      <c r="AL942" t="n">
        <v>2</v>
      </c>
      <c r="AM942" t="n">
        <v>2</v>
      </c>
      <c r="AN942" t="n">
        <v>0</v>
      </c>
      <c r="AO942" t="n">
        <v>0</v>
      </c>
      <c r="AP942" t="inlineStr">
        <is>
          <t>No</t>
        </is>
      </c>
      <c r="AQ942" t="inlineStr">
        <is>
          <t>Yes</t>
        </is>
      </c>
      <c r="AR942">
        <f>HYPERLINK("http://catalog.hathitrust.org/Record/008317550","HathiTrust Record")</f>
        <v/>
      </c>
      <c r="AS942">
        <f>HYPERLINK("https://creighton-primo.hosted.exlibrisgroup.com/primo-explore/search?tab=default_tab&amp;search_scope=EVERYTHING&amp;vid=01CRU&amp;lang=en_US&amp;offset=0&amp;query=any,contains,991004177649702656","Catalog Record")</f>
        <v/>
      </c>
      <c r="AT942">
        <f>HYPERLINK("http://www.worldcat.org/oclc/2597515","WorldCat Record")</f>
        <v/>
      </c>
      <c r="AU942" t="inlineStr">
        <is>
          <t>152227627:eng</t>
        </is>
      </c>
      <c r="AV942" t="inlineStr">
        <is>
          <t>2597515</t>
        </is>
      </c>
      <c r="AW942" t="inlineStr">
        <is>
          <t>991004177649702656</t>
        </is>
      </c>
      <c r="AX942" t="inlineStr">
        <is>
          <t>991004177649702656</t>
        </is>
      </c>
      <c r="AY942" t="inlineStr">
        <is>
          <t>2265716220002656</t>
        </is>
      </c>
      <c r="AZ942" t="inlineStr">
        <is>
          <t>BOOK</t>
        </is>
      </c>
      <c r="BB942" t="inlineStr">
        <is>
          <t>9780891301219</t>
        </is>
      </c>
      <c r="BC942" t="inlineStr">
        <is>
          <t>32285000540657</t>
        </is>
      </c>
      <c r="BD942" t="inlineStr">
        <is>
          <t>893235147</t>
        </is>
      </c>
    </row>
    <row r="943">
      <c r="A943" t="inlineStr">
        <is>
          <t>No</t>
        </is>
      </c>
      <c r="B943" t="inlineStr">
        <is>
          <t>E210 .A22</t>
        </is>
      </c>
      <c r="C943" t="inlineStr">
        <is>
          <t>0                      E  0210000A  22</t>
        </is>
      </c>
      <c r="D943" t="inlineStr">
        <is>
          <t>Political ideas of the American Revolution : Britannic-American contributions to the problem of imperial organization, 1765 to 1775 / by Randolph Greenfield Adams.</t>
        </is>
      </c>
      <c r="F943" t="inlineStr">
        <is>
          <t>No</t>
        </is>
      </c>
      <c r="G943" t="inlineStr">
        <is>
          <t>1</t>
        </is>
      </c>
      <c r="H943" t="inlineStr">
        <is>
          <t>No</t>
        </is>
      </c>
      <c r="I943" t="inlineStr">
        <is>
          <t>Yes</t>
        </is>
      </c>
      <c r="J943" t="inlineStr">
        <is>
          <t>0</t>
        </is>
      </c>
      <c r="K943" t="inlineStr">
        <is>
          <t>Adams, Randolph Greenfield, 1892-1951.</t>
        </is>
      </c>
      <c r="L943" t="inlineStr">
        <is>
          <t>New York : Facsimile Library, inc., 1939.</t>
        </is>
      </c>
      <c r="M943" t="inlineStr">
        <is>
          <t>1939</t>
        </is>
      </c>
      <c r="N943" t="inlineStr">
        <is>
          <t>Library ed.</t>
        </is>
      </c>
      <c r="O943" t="inlineStr">
        <is>
          <t>eng</t>
        </is>
      </c>
      <c r="P943" t="inlineStr">
        <is>
          <t>nyu</t>
        </is>
      </c>
      <c r="R943" t="inlineStr">
        <is>
          <t xml:space="preserve">E  </t>
        </is>
      </c>
      <c r="S943" t="n">
        <v>5</v>
      </c>
      <c r="T943" t="n">
        <v>5</v>
      </c>
      <c r="U943" t="inlineStr">
        <is>
          <t>2000-10-01</t>
        </is>
      </c>
      <c r="V943" t="inlineStr">
        <is>
          <t>2000-10-01</t>
        </is>
      </c>
      <c r="W943" t="inlineStr">
        <is>
          <t>1990-11-30</t>
        </is>
      </c>
      <c r="X943" t="inlineStr">
        <is>
          <t>1990-11-30</t>
        </is>
      </c>
      <c r="Y943" t="n">
        <v>182</v>
      </c>
      <c r="Z943" t="n">
        <v>169</v>
      </c>
      <c r="AA943" t="n">
        <v>982</v>
      </c>
      <c r="AB943" t="n">
        <v>2</v>
      </c>
      <c r="AC943" t="n">
        <v>7</v>
      </c>
      <c r="AD943" t="n">
        <v>14</v>
      </c>
      <c r="AE943" t="n">
        <v>44</v>
      </c>
      <c r="AF943" t="n">
        <v>6</v>
      </c>
      <c r="AG943" t="n">
        <v>19</v>
      </c>
      <c r="AH943" t="n">
        <v>3</v>
      </c>
      <c r="AI943" t="n">
        <v>11</v>
      </c>
      <c r="AJ943" t="n">
        <v>8</v>
      </c>
      <c r="AK943" t="n">
        <v>21</v>
      </c>
      <c r="AL943" t="n">
        <v>1</v>
      </c>
      <c r="AM943" t="n">
        <v>6</v>
      </c>
      <c r="AN943" t="n">
        <v>0</v>
      </c>
      <c r="AO943" t="n">
        <v>0</v>
      </c>
      <c r="AP943" t="inlineStr">
        <is>
          <t>Yes</t>
        </is>
      </c>
      <c r="AQ943" t="inlineStr">
        <is>
          <t>No</t>
        </is>
      </c>
      <c r="AR943">
        <f>HYPERLINK("http://catalog.hathitrust.org/Record/102108178","HathiTrust Record")</f>
        <v/>
      </c>
      <c r="AS943">
        <f>HYPERLINK("https://creighton-primo.hosted.exlibrisgroup.com/primo-explore/search?tab=default_tab&amp;search_scope=EVERYTHING&amp;vid=01CRU&amp;lang=en_US&amp;offset=0&amp;query=any,contains,991003847689702656","Catalog Record")</f>
        <v/>
      </c>
      <c r="AT943">
        <f>HYPERLINK("http://www.worldcat.org/oclc/1634258","WorldCat Record")</f>
        <v/>
      </c>
      <c r="AU943" t="inlineStr">
        <is>
          <t>4918777579:eng</t>
        </is>
      </c>
      <c r="AV943" t="inlineStr">
        <is>
          <t>1634258</t>
        </is>
      </c>
      <c r="AW943" t="inlineStr">
        <is>
          <t>991003847689702656</t>
        </is>
      </c>
      <c r="AX943" t="inlineStr">
        <is>
          <t>991003847689702656</t>
        </is>
      </c>
      <c r="AY943" t="inlineStr">
        <is>
          <t>2256776040002656</t>
        </is>
      </c>
      <c r="AZ943" t="inlineStr">
        <is>
          <t>BOOK</t>
        </is>
      </c>
      <c r="BC943" t="inlineStr">
        <is>
          <t>32285000410737</t>
        </is>
      </c>
      <c r="BD943" t="inlineStr">
        <is>
          <t>893611536</t>
        </is>
      </c>
    </row>
    <row r="944">
      <c r="A944" t="inlineStr">
        <is>
          <t>No</t>
        </is>
      </c>
      <c r="B944" t="inlineStr">
        <is>
          <t>E210 .A45</t>
        </is>
      </c>
      <c r="C944" t="inlineStr">
        <is>
          <t>0                      E  0210000A  45</t>
        </is>
      </c>
      <c r="D944" t="inlineStr">
        <is>
          <t>In the common cause: American response to the Coercive acts of 1774.</t>
        </is>
      </c>
      <c r="F944" t="inlineStr">
        <is>
          <t>No</t>
        </is>
      </c>
      <c r="G944" t="inlineStr">
        <is>
          <t>1</t>
        </is>
      </c>
      <c r="H944" t="inlineStr">
        <is>
          <t>No</t>
        </is>
      </c>
      <c r="I944" t="inlineStr">
        <is>
          <t>No</t>
        </is>
      </c>
      <c r="J944" t="inlineStr">
        <is>
          <t>0</t>
        </is>
      </c>
      <c r="K944" t="inlineStr">
        <is>
          <t>Ammerman, David L. (David Leon), 1938-</t>
        </is>
      </c>
      <c r="L944" t="inlineStr">
        <is>
          <t>Charlottesville, University Press of Virginia [1974]</t>
        </is>
      </c>
      <c r="M944" t="inlineStr">
        <is>
          <t>1974</t>
        </is>
      </c>
      <c r="O944" t="inlineStr">
        <is>
          <t>eng</t>
        </is>
      </c>
      <c r="P944" t="inlineStr">
        <is>
          <t>vau</t>
        </is>
      </c>
      <c r="R944" t="inlineStr">
        <is>
          <t xml:space="preserve">E  </t>
        </is>
      </c>
      <c r="S944" t="n">
        <v>1</v>
      </c>
      <c r="T944" t="n">
        <v>1</v>
      </c>
      <c r="U944" t="inlineStr">
        <is>
          <t>1998-09-19</t>
        </is>
      </c>
      <c r="V944" t="inlineStr">
        <is>
          <t>1998-09-19</t>
        </is>
      </c>
      <c r="W944" t="inlineStr">
        <is>
          <t>1997-05-06</t>
        </is>
      </c>
      <c r="X944" t="inlineStr">
        <is>
          <t>1997-05-06</t>
        </is>
      </c>
      <c r="Y944" t="n">
        <v>509</v>
      </c>
      <c r="Z944" t="n">
        <v>442</v>
      </c>
      <c r="AA944" t="n">
        <v>538</v>
      </c>
      <c r="AB944" t="n">
        <v>4</v>
      </c>
      <c r="AC944" t="n">
        <v>4</v>
      </c>
      <c r="AD944" t="n">
        <v>24</v>
      </c>
      <c r="AE944" t="n">
        <v>29</v>
      </c>
      <c r="AF944" t="n">
        <v>9</v>
      </c>
      <c r="AG944" t="n">
        <v>12</v>
      </c>
      <c r="AH944" t="n">
        <v>5</v>
      </c>
      <c r="AI944" t="n">
        <v>7</v>
      </c>
      <c r="AJ944" t="n">
        <v>13</v>
      </c>
      <c r="AK944" t="n">
        <v>14</v>
      </c>
      <c r="AL944" t="n">
        <v>3</v>
      </c>
      <c r="AM944" t="n">
        <v>3</v>
      </c>
      <c r="AN944" t="n">
        <v>0</v>
      </c>
      <c r="AO944" t="n">
        <v>1</v>
      </c>
      <c r="AP944" t="inlineStr">
        <is>
          <t>No</t>
        </is>
      </c>
      <c r="AQ944" t="inlineStr">
        <is>
          <t>Yes</t>
        </is>
      </c>
      <c r="AR944">
        <f>HYPERLINK("http://catalog.hathitrust.org/Record/000361906","HathiTrust Record")</f>
        <v/>
      </c>
      <c r="AS944">
        <f>HYPERLINK("https://creighton-primo.hosted.exlibrisgroup.com/primo-explore/search?tab=default_tab&amp;search_scope=EVERYTHING&amp;vid=01CRU&amp;lang=en_US&amp;offset=0&amp;query=any,contains,991003305379702656","Catalog Record")</f>
        <v/>
      </c>
      <c r="AT944">
        <f>HYPERLINK("http://www.worldcat.org/oclc/828297","WorldCat Record")</f>
        <v/>
      </c>
      <c r="AU944" t="inlineStr">
        <is>
          <t>1728440:eng</t>
        </is>
      </c>
      <c r="AV944" t="inlineStr">
        <is>
          <t>828297</t>
        </is>
      </c>
      <c r="AW944" t="inlineStr">
        <is>
          <t>991003305379702656</t>
        </is>
      </c>
      <c r="AX944" t="inlineStr">
        <is>
          <t>991003305379702656</t>
        </is>
      </c>
      <c r="AY944" t="inlineStr">
        <is>
          <t>2269317170002656</t>
        </is>
      </c>
      <c r="AZ944" t="inlineStr">
        <is>
          <t>BOOK</t>
        </is>
      </c>
      <c r="BB944" t="inlineStr">
        <is>
          <t>9780813905259</t>
        </is>
      </c>
      <c r="BC944" t="inlineStr">
        <is>
          <t>32285002574118</t>
        </is>
      </c>
      <c r="BD944" t="inlineStr">
        <is>
          <t>893416252</t>
        </is>
      </c>
    </row>
    <row r="945">
      <c r="A945" t="inlineStr">
        <is>
          <t>No</t>
        </is>
      </c>
      <c r="B945" t="inlineStr">
        <is>
          <t>E210 .A55 1948</t>
        </is>
      </c>
      <c r="C945" t="inlineStr">
        <is>
          <t>0                      E  0210000A  55          1948</t>
        </is>
      </c>
      <c r="D945" t="inlineStr">
        <is>
          <t>The colonial background of the American revolution : four essays in American colonial history / by Charles M. Andrews.</t>
        </is>
      </c>
      <c r="F945" t="inlineStr">
        <is>
          <t>No</t>
        </is>
      </c>
      <c r="G945" t="inlineStr">
        <is>
          <t>1</t>
        </is>
      </c>
      <c r="H945" t="inlineStr">
        <is>
          <t>No</t>
        </is>
      </c>
      <c r="I945" t="inlineStr">
        <is>
          <t>No</t>
        </is>
      </c>
      <c r="J945" t="inlineStr">
        <is>
          <t>0</t>
        </is>
      </c>
      <c r="K945" t="inlineStr">
        <is>
          <t>Andrews, Charles McLean, 1863-1943.</t>
        </is>
      </c>
      <c r="L945" t="inlineStr">
        <is>
          <t>New Haven : Yale university press ; London : H. Milford, Oxford university press, 1948, c1931.</t>
        </is>
      </c>
      <c r="M945" t="inlineStr">
        <is>
          <t>1948</t>
        </is>
      </c>
      <c r="N945" t="inlineStr">
        <is>
          <t>Rev. ed.</t>
        </is>
      </c>
      <c r="O945" t="inlineStr">
        <is>
          <t>eng</t>
        </is>
      </c>
      <c r="P945" t="inlineStr">
        <is>
          <t>ctu</t>
        </is>
      </c>
      <c r="R945" t="inlineStr">
        <is>
          <t xml:space="preserve">E  </t>
        </is>
      </c>
      <c r="S945" t="n">
        <v>3</v>
      </c>
      <c r="T945" t="n">
        <v>3</v>
      </c>
      <c r="U945" t="inlineStr">
        <is>
          <t>1996-09-08</t>
        </is>
      </c>
      <c r="V945" t="inlineStr">
        <is>
          <t>1996-09-08</t>
        </is>
      </c>
      <c r="W945" t="inlineStr">
        <is>
          <t>1992-12-04</t>
        </is>
      </c>
      <c r="X945" t="inlineStr">
        <is>
          <t>1992-12-04</t>
        </is>
      </c>
      <c r="Y945" t="n">
        <v>922</v>
      </c>
      <c r="Z945" t="n">
        <v>824</v>
      </c>
      <c r="AA945" t="n">
        <v>1765</v>
      </c>
      <c r="AB945" t="n">
        <v>9</v>
      </c>
      <c r="AC945" t="n">
        <v>15</v>
      </c>
      <c r="AD945" t="n">
        <v>35</v>
      </c>
      <c r="AE945" t="n">
        <v>67</v>
      </c>
      <c r="AF945" t="n">
        <v>14</v>
      </c>
      <c r="AG945" t="n">
        <v>23</v>
      </c>
      <c r="AH945" t="n">
        <v>7</v>
      </c>
      <c r="AI945" t="n">
        <v>11</v>
      </c>
      <c r="AJ945" t="n">
        <v>10</v>
      </c>
      <c r="AK945" t="n">
        <v>21</v>
      </c>
      <c r="AL945" t="n">
        <v>8</v>
      </c>
      <c r="AM945" t="n">
        <v>10</v>
      </c>
      <c r="AN945" t="n">
        <v>2</v>
      </c>
      <c r="AO945" t="n">
        <v>12</v>
      </c>
      <c r="AP945" t="inlineStr">
        <is>
          <t>No</t>
        </is>
      </c>
      <c r="AQ945" t="inlineStr">
        <is>
          <t>Yes</t>
        </is>
      </c>
      <c r="AR945">
        <f>HYPERLINK("http://catalog.hathitrust.org/Record/000778107","HathiTrust Record")</f>
        <v/>
      </c>
      <c r="AS945">
        <f>HYPERLINK("https://creighton-primo.hosted.exlibrisgroup.com/primo-explore/search?tab=default_tab&amp;search_scope=EVERYTHING&amp;vid=01CRU&amp;lang=en_US&amp;offset=0&amp;query=any,contains,991003423819702656","Catalog Record")</f>
        <v/>
      </c>
      <c r="AT945">
        <f>HYPERLINK("http://www.worldcat.org/oclc/964290","WorldCat Record")</f>
        <v/>
      </c>
      <c r="AU945" t="inlineStr">
        <is>
          <t>571853:eng</t>
        </is>
      </c>
      <c r="AV945" t="inlineStr">
        <is>
          <t>964290</t>
        </is>
      </c>
      <c r="AW945" t="inlineStr">
        <is>
          <t>991003423819702656</t>
        </is>
      </c>
      <c r="AX945" t="inlineStr">
        <is>
          <t>991003423819702656</t>
        </is>
      </c>
      <c r="AY945" t="inlineStr">
        <is>
          <t>2261253130002656</t>
        </is>
      </c>
      <c r="AZ945" t="inlineStr">
        <is>
          <t>BOOK</t>
        </is>
      </c>
      <c r="BC945" t="inlineStr">
        <is>
          <t>32285001402782</t>
        </is>
      </c>
      <c r="BD945" t="inlineStr">
        <is>
          <t>893428770</t>
        </is>
      </c>
    </row>
    <row r="946">
      <c r="A946" t="inlineStr">
        <is>
          <t>No</t>
        </is>
      </c>
      <c r="B946" t="inlineStr">
        <is>
          <t>E210 .B4 1965</t>
        </is>
      </c>
      <c r="C946" t="inlineStr">
        <is>
          <t>0                      E  0210000B  4           1965</t>
        </is>
      </c>
      <c r="D946" t="inlineStr">
        <is>
          <t>The debate on the American Revolution, 1761-1783; a sourcebook.</t>
        </is>
      </c>
      <c r="F946" t="inlineStr">
        <is>
          <t>No</t>
        </is>
      </c>
      <c r="G946" t="inlineStr">
        <is>
          <t>1</t>
        </is>
      </c>
      <c r="H946" t="inlineStr">
        <is>
          <t>No</t>
        </is>
      </c>
      <c r="I946" t="inlineStr">
        <is>
          <t>No</t>
        </is>
      </c>
      <c r="J946" t="inlineStr">
        <is>
          <t>0</t>
        </is>
      </c>
      <c r="K946" t="inlineStr">
        <is>
          <t>Beloff, Max, 1913-1999, editor.</t>
        </is>
      </c>
      <c r="L946" t="inlineStr">
        <is>
          <t>New York, Harper &amp; Row [1965, c1960]</t>
        </is>
      </c>
      <c r="M946" t="inlineStr">
        <is>
          <t>1965</t>
        </is>
      </c>
      <c r="O946" t="inlineStr">
        <is>
          <t>eng</t>
        </is>
      </c>
      <c r="P946" t="inlineStr">
        <is>
          <t>nyu</t>
        </is>
      </c>
      <c r="Q946" t="inlineStr">
        <is>
          <t>Harper torchbooks, TB 1225K. The Academy library</t>
        </is>
      </c>
      <c r="R946" t="inlineStr">
        <is>
          <t xml:space="preserve">E  </t>
        </is>
      </c>
      <c r="S946" t="n">
        <v>7</v>
      </c>
      <c r="T946" t="n">
        <v>7</v>
      </c>
      <c r="U946" t="inlineStr">
        <is>
          <t>1998-11-20</t>
        </is>
      </c>
      <c r="V946" t="inlineStr">
        <is>
          <t>1998-11-20</t>
        </is>
      </c>
      <c r="W946" t="inlineStr">
        <is>
          <t>1990-07-27</t>
        </is>
      </c>
      <c r="X946" t="inlineStr">
        <is>
          <t>1990-07-27</t>
        </is>
      </c>
      <c r="Y946" t="n">
        <v>289</v>
      </c>
      <c r="Z946" t="n">
        <v>266</v>
      </c>
      <c r="AA946" t="n">
        <v>269</v>
      </c>
      <c r="AB946" t="n">
        <v>3</v>
      </c>
      <c r="AC946" t="n">
        <v>3</v>
      </c>
      <c r="AD946" t="n">
        <v>10</v>
      </c>
      <c r="AE946" t="n">
        <v>10</v>
      </c>
      <c r="AF946" t="n">
        <v>3</v>
      </c>
      <c r="AG946" t="n">
        <v>3</v>
      </c>
      <c r="AH946" t="n">
        <v>1</v>
      </c>
      <c r="AI946" t="n">
        <v>1</v>
      </c>
      <c r="AJ946" t="n">
        <v>3</v>
      </c>
      <c r="AK946" t="n">
        <v>3</v>
      </c>
      <c r="AL946" t="n">
        <v>2</v>
      </c>
      <c r="AM946" t="n">
        <v>2</v>
      </c>
      <c r="AN946" t="n">
        <v>2</v>
      </c>
      <c r="AO946" t="n">
        <v>2</v>
      </c>
      <c r="AP946" t="inlineStr">
        <is>
          <t>No</t>
        </is>
      </c>
      <c r="AQ946" t="inlineStr">
        <is>
          <t>No</t>
        </is>
      </c>
      <c r="AS946">
        <f>HYPERLINK("https://creighton-primo.hosted.exlibrisgroup.com/primo-explore/search?tab=default_tab&amp;search_scope=EVERYTHING&amp;vid=01CRU&amp;lang=en_US&amp;offset=0&amp;query=any,contains,991003996019702656","Catalog Record")</f>
        <v/>
      </c>
      <c r="AT946">
        <f>HYPERLINK("http://www.worldcat.org/oclc/2060906","WorldCat Record")</f>
        <v/>
      </c>
      <c r="AU946" t="inlineStr">
        <is>
          <t>4923170336:eng</t>
        </is>
      </c>
      <c r="AV946" t="inlineStr">
        <is>
          <t>2060906</t>
        </is>
      </c>
      <c r="AW946" t="inlineStr">
        <is>
          <t>991003996019702656</t>
        </is>
      </c>
      <c r="AX946" t="inlineStr">
        <is>
          <t>991003996019702656</t>
        </is>
      </c>
      <c r="AY946" t="inlineStr">
        <is>
          <t>2258208570002656</t>
        </is>
      </c>
      <c r="AZ946" t="inlineStr">
        <is>
          <t>BOOK</t>
        </is>
      </c>
      <c r="BC946" t="inlineStr">
        <is>
          <t>32285000228568</t>
        </is>
      </c>
      <c r="BD946" t="inlineStr">
        <is>
          <t>893410985</t>
        </is>
      </c>
    </row>
    <row r="947">
      <c r="A947" t="inlineStr">
        <is>
          <t>No</t>
        </is>
      </c>
      <c r="B947" t="inlineStr">
        <is>
          <t>E210 .B9 1966</t>
        </is>
      </c>
      <c r="C947" t="inlineStr">
        <is>
          <t>0                      E  0210000B  9           1966</t>
        </is>
      </c>
      <c r="D947" t="inlineStr">
        <is>
          <t>Empire or independence; a study in the failure of reconciliation, 1774-1783 [by] Weldon A. Brown.</t>
        </is>
      </c>
      <c r="F947" t="inlineStr">
        <is>
          <t>No</t>
        </is>
      </c>
      <c r="G947" t="inlineStr">
        <is>
          <t>1</t>
        </is>
      </c>
      <c r="H947" t="inlineStr">
        <is>
          <t>No</t>
        </is>
      </c>
      <c r="I947" t="inlineStr">
        <is>
          <t>No</t>
        </is>
      </c>
      <c r="J947" t="inlineStr">
        <is>
          <t>0</t>
        </is>
      </c>
      <c r="K947" t="inlineStr">
        <is>
          <t>Brown, Weldon A., 1911-</t>
        </is>
      </c>
      <c r="L947" t="inlineStr">
        <is>
          <t>Port Washington, N. Y., Kennikat Press [1966, c1941]</t>
        </is>
      </c>
      <c r="M947" t="inlineStr">
        <is>
          <t>1966</t>
        </is>
      </c>
      <c r="N947" t="inlineStr">
        <is>
          <t>New ed. with an introd. by Ralph Adams Brown.</t>
        </is>
      </c>
      <c r="O947" t="inlineStr">
        <is>
          <t>eng</t>
        </is>
      </c>
      <c r="P947" t="inlineStr">
        <is>
          <t>nyu</t>
        </is>
      </c>
      <c r="R947" t="inlineStr">
        <is>
          <t xml:space="preserve">E  </t>
        </is>
      </c>
      <c r="S947" t="n">
        <v>1</v>
      </c>
      <c r="T947" t="n">
        <v>1</v>
      </c>
      <c r="U947" t="inlineStr">
        <is>
          <t>2001-10-04</t>
        </is>
      </c>
      <c r="V947" t="inlineStr">
        <is>
          <t>2001-10-04</t>
        </is>
      </c>
      <c r="W947" t="inlineStr">
        <is>
          <t>1997-05-06</t>
        </is>
      </c>
      <c r="X947" t="inlineStr">
        <is>
          <t>1997-05-06</t>
        </is>
      </c>
      <c r="Y947" t="n">
        <v>399</v>
      </c>
      <c r="Z947" t="n">
        <v>372</v>
      </c>
      <c r="AA947" t="n">
        <v>519</v>
      </c>
      <c r="AB947" t="n">
        <v>6</v>
      </c>
      <c r="AC947" t="n">
        <v>6</v>
      </c>
      <c r="AD947" t="n">
        <v>18</v>
      </c>
      <c r="AE947" t="n">
        <v>27</v>
      </c>
      <c r="AF947" t="n">
        <v>5</v>
      </c>
      <c r="AG947" t="n">
        <v>11</v>
      </c>
      <c r="AH947" t="n">
        <v>3</v>
      </c>
      <c r="AI947" t="n">
        <v>6</v>
      </c>
      <c r="AJ947" t="n">
        <v>9</v>
      </c>
      <c r="AK947" t="n">
        <v>12</v>
      </c>
      <c r="AL947" t="n">
        <v>5</v>
      </c>
      <c r="AM947" t="n">
        <v>5</v>
      </c>
      <c r="AN947" t="n">
        <v>0</v>
      </c>
      <c r="AO947" t="n">
        <v>0</v>
      </c>
      <c r="AP947" t="inlineStr">
        <is>
          <t>No</t>
        </is>
      </c>
      <c r="AQ947" t="inlineStr">
        <is>
          <t>Yes</t>
        </is>
      </c>
      <c r="AR947">
        <f>HYPERLINK("http://catalog.hathitrust.org/Record/006001020","HathiTrust Record")</f>
        <v/>
      </c>
      <c r="AS947">
        <f>HYPERLINK("https://creighton-primo.hosted.exlibrisgroup.com/primo-explore/search?tab=default_tab&amp;search_scope=EVERYTHING&amp;vid=01CRU&amp;lang=en_US&amp;offset=0&amp;query=any,contains,991002416279702656","Catalog Record")</f>
        <v/>
      </c>
      <c r="AT947">
        <f>HYPERLINK("http://www.worldcat.org/oclc/341868","WorldCat Record")</f>
        <v/>
      </c>
      <c r="AU947" t="inlineStr">
        <is>
          <t>1480413:eng</t>
        </is>
      </c>
      <c r="AV947" t="inlineStr">
        <is>
          <t>341868</t>
        </is>
      </c>
      <c r="AW947" t="inlineStr">
        <is>
          <t>991002416279702656</t>
        </is>
      </c>
      <c r="AX947" t="inlineStr">
        <is>
          <t>991002416279702656</t>
        </is>
      </c>
      <c r="AY947" t="inlineStr">
        <is>
          <t>2265664750002656</t>
        </is>
      </c>
      <c r="AZ947" t="inlineStr">
        <is>
          <t>BOOK</t>
        </is>
      </c>
      <c r="BC947" t="inlineStr">
        <is>
          <t>32285002574167</t>
        </is>
      </c>
      <c r="BD947" t="inlineStr">
        <is>
          <t>893779786</t>
        </is>
      </c>
    </row>
    <row r="948">
      <c r="A948" t="inlineStr">
        <is>
          <t>No</t>
        </is>
      </c>
      <c r="B948" t="inlineStr">
        <is>
          <t>E210 .C53 1966a</t>
        </is>
      </c>
      <c r="C948" t="inlineStr">
        <is>
          <t>0                      E  0210000C  53          1966a</t>
        </is>
      </c>
      <c r="D948" t="inlineStr">
        <is>
          <t>Crisis of empire : Great Britain and the American colonies, 1754-1783 / by I. R. Christie.</t>
        </is>
      </c>
      <c r="F948" t="inlineStr">
        <is>
          <t>No</t>
        </is>
      </c>
      <c r="G948" t="inlineStr">
        <is>
          <t>1</t>
        </is>
      </c>
      <c r="H948" t="inlineStr">
        <is>
          <t>No</t>
        </is>
      </c>
      <c r="I948" t="inlineStr">
        <is>
          <t>No</t>
        </is>
      </c>
      <c r="J948" t="inlineStr">
        <is>
          <t>0</t>
        </is>
      </c>
      <c r="K948" t="inlineStr">
        <is>
          <t>Christie, Ian R.</t>
        </is>
      </c>
      <c r="L948" t="inlineStr">
        <is>
          <t>New York : Norton, c1966.</t>
        </is>
      </c>
      <c r="M948" t="inlineStr">
        <is>
          <t>1966</t>
        </is>
      </c>
      <c r="O948" t="inlineStr">
        <is>
          <t>eng</t>
        </is>
      </c>
      <c r="P948" t="inlineStr">
        <is>
          <t>nyu</t>
        </is>
      </c>
      <c r="Q948" t="inlineStr">
        <is>
          <t>Foundations of modern history</t>
        </is>
      </c>
      <c r="R948" t="inlineStr">
        <is>
          <t xml:space="preserve">E  </t>
        </is>
      </c>
      <c r="S948" t="n">
        <v>7</v>
      </c>
      <c r="T948" t="n">
        <v>7</v>
      </c>
      <c r="U948" t="inlineStr">
        <is>
          <t>1998-11-17</t>
        </is>
      </c>
      <c r="V948" t="inlineStr">
        <is>
          <t>1998-11-17</t>
        </is>
      </c>
      <c r="W948" t="inlineStr">
        <is>
          <t>1990-03-28</t>
        </is>
      </c>
      <c r="X948" t="inlineStr">
        <is>
          <t>1990-03-28</t>
        </is>
      </c>
      <c r="Y948" t="n">
        <v>599</v>
      </c>
      <c r="Z948" t="n">
        <v>561</v>
      </c>
      <c r="AA948" t="n">
        <v>623</v>
      </c>
      <c r="AB948" t="n">
        <v>6</v>
      </c>
      <c r="AC948" t="n">
        <v>6</v>
      </c>
      <c r="AD948" t="n">
        <v>30</v>
      </c>
      <c r="AE948" t="n">
        <v>31</v>
      </c>
      <c r="AF948" t="n">
        <v>11</v>
      </c>
      <c r="AG948" t="n">
        <v>11</v>
      </c>
      <c r="AH948" t="n">
        <v>7</v>
      </c>
      <c r="AI948" t="n">
        <v>7</v>
      </c>
      <c r="AJ948" t="n">
        <v>19</v>
      </c>
      <c r="AK948" t="n">
        <v>20</v>
      </c>
      <c r="AL948" t="n">
        <v>4</v>
      </c>
      <c r="AM948" t="n">
        <v>4</v>
      </c>
      <c r="AN948" t="n">
        <v>0</v>
      </c>
      <c r="AO948" t="n">
        <v>0</v>
      </c>
      <c r="AP948" t="inlineStr">
        <is>
          <t>No</t>
        </is>
      </c>
      <c r="AQ948" t="inlineStr">
        <is>
          <t>No</t>
        </is>
      </c>
      <c r="AS948">
        <f>HYPERLINK("https://creighton-primo.hosted.exlibrisgroup.com/primo-explore/search?tab=default_tab&amp;search_scope=EVERYTHING&amp;vid=01CRU&amp;lang=en_US&amp;offset=0&amp;query=any,contains,991003999409702656","Catalog Record")</f>
        <v/>
      </c>
      <c r="AT948">
        <f>HYPERLINK("http://www.worldcat.org/oclc/2072242","WorldCat Record")</f>
        <v/>
      </c>
      <c r="AU948" t="inlineStr">
        <is>
          <t>12258414:eng</t>
        </is>
      </c>
      <c r="AV948" t="inlineStr">
        <is>
          <t>2072242</t>
        </is>
      </c>
      <c r="AW948" t="inlineStr">
        <is>
          <t>991003999409702656</t>
        </is>
      </c>
      <c r="AX948" t="inlineStr">
        <is>
          <t>991003999409702656</t>
        </is>
      </c>
      <c r="AY948" t="inlineStr">
        <is>
          <t>2254700470002656</t>
        </is>
      </c>
      <c r="AZ948" t="inlineStr">
        <is>
          <t>BOOK</t>
        </is>
      </c>
      <c r="BC948" t="inlineStr">
        <is>
          <t>32285000099480</t>
        </is>
      </c>
      <c r="BD948" t="inlineStr">
        <is>
          <t>893605518</t>
        </is>
      </c>
    </row>
    <row r="949">
      <c r="A949" t="inlineStr">
        <is>
          <t>No</t>
        </is>
      </c>
      <c r="B949" t="inlineStr">
        <is>
          <t>E210 .C56 2000</t>
        </is>
      </c>
      <c r="C949" t="inlineStr">
        <is>
          <t>0                      E  0210000C  56          2000</t>
        </is>
      </c>
      <c r="D949" t="inlineStr">
        <is>
          <t>Revolutionary America, 1763-1815 : a political history / Francis D. Cogliano.</t>
        </is>
      </c>
      <c r="F949" t="inlineStr">
        <is>
          <t>No</t>
        </is>
      </c>
      <c r="G949" t="inlineStr">
        <is>
          <t>1</t>
        </is>
      </c>
      <c r="H949" t="inlineStr">
        <is>
          <t>No</t>
        </is>
      </c>
      <c r="I949" t="inlineStr">
        <is>
          <t>No</t>
        </is>
      </c>
      <c r="J949" t="inlineStr">
        <is>
          <t>0</t>
        </is>
      </c>
      <c r="K949" t="inlineStr">
        <is>
          <t>Cogliano, Francis D.</t>
        </is>
      </c>
      <c r="L949" t="inlineStr">
        <is>
          <t>London ; New York : Routlege, 2000.</t>
        </is>
      </c>
      <c r="M949" t="inlineStr">
        <is>
          <t>2000</t>
        </is>
      </c>
      <c r="O949" t="inlineStr">
        <is>
          <t>eng</t>
        </is>
      </c>
      <c r="P949" t="inlineStr">
        <is>
          <t>enk</t>
        </is>
      </c>
      <c r="R949" t="inlineStr">
        <is>
          <t xml:space="preserve">E  </t>
        </is>
      </c>
      <c r="S949" t="n">
        <v>1</v>
      </c>
      <c r="T949" t="n">
        <v>1</v>
      </c>
      <c r="U949" t="inlineStr">
        <is>
          <t>2002-05-07</t>
        </is>
      </c>
      <c r="V949" t="inlineStr">
        <is>
          <t>2002-05-07</t>
        </is>
      </c>
      <c r="W949" t="inlineStr">
        <is>
          <t>2001-10-15</t>
        </is>
      </c>
      <c r="X949" t="inlineStr">
        <is>
          <t>2001-10-15</t>
        </is>
      </c>
      <c r="Y949" t="n">
        <v>252</v>
      </c>
      <c r="Z949" t="n">
        <v>199</v>
      </c>
      <c r="AA949" t="n">
        <v>982</v>
      </c>
      <c r="AB949" t="n">
        <v>1</v>
      </c>
      <c r="AC949" t="n">
        <v>22</v>
      </c>
      <c r="AD949" t="n">
        <v>10</v>
      </c>
      <c r="AE949" t="n">
        <v>32</v>
      </c>
      <c r="AF949" t="n">
        <v>1</v>
      </c>
      <c r="AG949" t="n">
        <v>8</v>
      </c>
      <c r="AH949" t="n">
        <v>4</v>
      </c>
      <c r="AI949" t="n">
        <v>6</v>
      </c>
      <c r="AJ949" t="n">
        <v>7</v>
      </c>
      <c r="AK949" t="n">
        <v>14</v>
      </c>
      <c r="AL949" t="n">
        <v>0</v>
      </c>
      <c r="AM949" t="n">
        <v>10</v>
      </c>
      <c r="AN949" t="n">
        <v>0</v>
      </c>
      <c r="AO949" t="n">
        <v>0</v>
      </c>
      <c r="AP949" t="inlineStr">
        <is>
          <t>No</t>
        </is>
      </c>
      <c r="AQ949" t="inlineStr">
        <is>
          <t>No</t>
        </is>
      </c>
      <c r="AS949">
        <f>HYPERLINK("https://creighton-primo.hosted.exlibrisgroup.com/primo-explore/search?tab=default_tab&amp;search_scope=EVERYTHING&amp;vid=01CRU&amp;lang=en_US&amp;offset=0&amp;query=any,contains,991003582099702656","Catalog Record")</f>
        <v/>
      </c>
      <c r="AT949">
        <f>HYPERLINK("http://www.worldcat.org/oclc/41266085","WorldCat Record")</f>
        <v/>
      </c>
      <c r="AU949" t="inlineStr">
        <is>
          <t>793837499:eng</t>
        </is>
      </c>
      <c r="AV949" t="inlineStr">
        <is>
          <t>41266085</t>
        </is>
      </c>
      <c r="AW949" t="inlineStr">
        <is>
          <t>991003582099702656</t>
        </is>
      </c>
      <c r="AX949" t="inlineStr">
        <is>
          <t>991003582099702656</t>
        </is>
      </c>
      <c r="AY949" t="inlineStr">
        <is>
          <t>2262779280002656</t>
        </is>
      </c>
      <c r="AZ949" t="inlineStr">
        <is>
          <t>BOOK</t>
        </is>
      </c>
      <c r="BB949" t="inlineStr">
        <is>
          <t>9780415180573</t>
        </is>
      </c>
      <c r="BC949" t="inlineStr">
        <is>
          <t>32285004396494</t>
        </is>
      </c>
      <c r="BD949" t="inlineStr">
        <is>
          <t>893234309</t>
        </is>
      </c>
    </row>
    <row r="950">
      <c r="A950" t="inlineStr">
        <is>
          <t>No</t>
        </is>
      </c>
      <c r="B950" t="inlineStr">
        <is>
          <t>E210 .C665 1995</t>
        </is>
      </c>
      <c r="C950" t="inlineStr">
        <is>
          <t>0                      E  0210000C  665         1995</t>
        </is>
      </c>
      <c r="D950" t="inlineStr">
        <is>
          <t>The long fuse : how England lost the American colonies, 1760-1785 / Don Cook.</t>
        </is>
      </c>
      <c r="F950" t="inlineStr">
        <is>
          <t>No</t>
        </is>
      </c>
      <c r="G950" t="inlineStr">
        <is>
          <t>1</t>
        </is>
      </c>
      <c r="H950" t="inlineStr">
        <is>
          <t>No</t>
        </is>
      </c>
      <c r="I950" t="inlineStr">
        <is>
          <t>No</t>
        </is>
      </c>
      <c r="J950" t="inlineStr">
        <is>
          <t>0</t>
        </is>
      </c>
      <c r="K950" t="inlineStr">
        <is>
          <t>Cook, Don, 1920-1995.</t>
        </is>
      </c>
      <c r="L950" t="inlineStr">
        <is>
          <t>New York : Atlantic Monthly Press, c1995.</t>
        </is>
      </c>
      <c r="M950" t="inlineStr">
        <is>
          <t>1995</t>
        </is>
      </c>
      <c r="N950" t="inlineStr">
        <is>
          <t>1st ed.</t>
        </is>
      </c>
      <c r="O950" t="inlineStr">
        <is>
          <t>eng</t>
        </is>
      </c>
      <c r="P950" t="inlineStr">
        <is>
          <t>nyu</t>
        </is>
      </c>
      <c r="R950" t="inlineStr">
        <is>
          <t xml:space="preserve">E  </t>
        </is>
      </c>
      <c r="S950" t="n">
        <v>6</v>
      </c>
      <c r="T950" t="n">
        <v>6</v>
      </c>
      <c r="U950" t="inlineStr">
        <is>
          <t>2000-10-01</t>
        </is>
      </c>
      <c r="V950" t="inlineStr">
        <is>
          <t>2000-10-01</t>
        </is>
      </c>
      <c r="W950" t="inlineStr">
        <is>
          <t>1995-11-14</t>
        </is>
      </c>
      <c r="X950" t="inlineStr">
        <is>
          <t>1995-11-14</t>
        </is>
      </c>
      <c r="Y950" t="n">
        <v>1019</v>
      </c>
      <c r="Z950" t="n">
        <v>954</v>
      </c>
      <c r="AA950" t="n">
        <v>1039</v>
      </c>
      <c r="AB950" t="n">
        <v>9</v>
      </c>
      <c r="AC950" t="n">
        <v>9</v>
      </c>
      <c r="AD950" t="n">
        <v>31</v>
      </c>
      <c r="AE950" t="n">
        <v>33</v>
      </c>
      <c r="AF950" t="n">
        <v>11</v>
      </c>
      <c r="AG950" t="n">
        <v>12</v>
      </c>
      <c r="AH950" t="n">
        <v>7</v>
      </c>
      <c r="AI950" t="n">
        <v>7</v>
      </c>
      <c r="AJ950" t="n">
        <v>18</v>
      </c>
      <c r="AK950" t="n">
        <v>18</v>
      </c>
      <c r="AL950" t="n">
        <v>5</v>
      </c>
      <c r="AM950" t="n">
        <v>5</v>
      </c>
      <c r="AN950" t="n">
        <v>0</v>
      </c>
      <c r="AO950" t="n">
        <v>1</v>
      </c>
      <c r="AP950" t="inlineStr">
        <is>
          <t>No</t>
        </is>
      </c>
      <c r="AQ950" t="inlineStr">
        <is>
          <t>No</t>
        </is>
      </c>
      <c r="AS950">
        <f>HYPERLINK("https://creighton-primo.hosted.exlibrisgroup.com/primo-explore/search?tab=default_tab&amp;search_scope=EVERYTHING&amp;vid=01CRU&amp;lang=en_US&amp;offset=0&amp;query=any,contains,991002428679702656","Catalog Record")</f>
        <v/>
      </c>
      <c r="AT950">
        <f>HYPERLINK("http://www.worldcat.org/oclc/31657755","WorldCat Record")</f>
        <v/>
      </c>
      <c r="AU950" t="inlineStr">
        <is>
          <t>329894339:eng</t>
        </is>
      </c>
      <c r="AV950" t="inlineStr">
        <is>
          <t>31657755</t>
        </is>
      </c>
      <c r="AW950" t="inlineStr">
        <is>
          <t>991002428679702656</t>
        </is>
      </c>
      <c r="AX950" t="inlineStr">
        <is>
          <t>991002428679702656</t>
        </is>
      </c>
      <c r="AY950" t="inlineStr">
        <is>
          <t>2269230670002656</t>
        </is>
      </c>
      <c r="AZ950" t="inlineStr">
        <is>
          <t>BOOK</t>
        </is>
      </c>
      <c r="BB950" t="inlineStr">
        <is>
          <t>9780871135889</t>
        </is>
      </c>
      <c r="BC950" t="inlineStr">
        <is>
          <t>32285002103264</t>
        </is>
      </c>
      <c r="BD950" t="inlineStr">
        <is>
          <t>893232942</t>
        </is>
      </c>
    </row>
    <row r="951">
      <c r="A951" t="inlineStr">
        <is>
          <t>No</t>
        </is>
      </c>
      <c r="B951" t="inlineStr">
        <is>
          <t>E210 .D4 1977</t>
        </is>
      </c>
      <c r="C951" t="inlineStr">
        <is>
          <t>0                      E  0210000D  4           1977</t>
        </is>
      </c>
      <c r="D951" t="inlineStr">
        <is>
          <t>English politics and the American Revolution / John Derry.</t>
        </is>
      </c>
      <c r="F951" t="inlineStr">
        <is>
          <t>No</t>
        </is>
      </c>
      <c r="G951" t="inlineStr">
        <is>
          <t>1</t>
        </is>
      </c>
      <c r="H951" t="inlineStr">
        <is>
          <t>No</t>
        </is>
      </c>
      <c r="I951" t="inlineStr">
        <is>
          <t>No</t>
        </is>
      </c>
      <c r="J951" t="inlineStr">
        <is>
          <t>0</t>
        </is>
      </c>
      <c r="K951" t="inlineStr">
        <is>
          <t>Derry, John W. (John Wesley)</t>
        </is>
      </c>
      <c r="L951" t="inlineStr">
        <is>
          <t>New York : St. Martin's Press, 1977, c1976.</t>
        </is>
      </c>
      <c r="M951" t="inlineStr">
        <is>
          <t>1977</t>
        </is>
      </c>
      <c r="O951" t="inlineStr">
        <is>
          <t>eng</t>
        </is>
      </c>
      <c r="P951" t="inlineStr">
        <is>
          <t>nyu</t>
        </is>
      </c>
      <c r="R951" t="inlineStr">
        <is>
          <t xml:space="preserve">E  </t>
        </is>
      </c>
      <c r="S951" t="n">
        <v>8</v>
      </c>
      <c r="T951" t="n">
        <v>8</v>
      </c>
      <c r="U951" t="inlineStr">
        <is>
          <t>2002-11-06</t>
        </is>
      </c>
      <c r="V951" t="inlineStr">
        <is>
          <t>2002-11-06</t>
        </is>
      </c>
      <c r="W951" t="inlineStr">
        <is>
          <t>1992-11-24</t>
        </is>
      </c>
      <c r="X951" t="inlineStr">
        <is>
          <t>1992-11-24</t>
        </is>
      </c>
      <c r="Y951" t="n">
        <v>287</v>
      </c>
      <c r="Z951" t="n">
        <v>275</v>
      </c>
      <c r="AA951" t="n">
        <v>358</v>
      </c>
      <c r="AB951" t="n">
        <v>4</v>
      </c>
      <c r="AC951" t="n">
        <v>5</v>
      </c>
      <c r="AD951" t="n">
        <v>14</v>
      </c>
      <c r="AE951" t="n">
        <v>19</v>
      </c>
      <c r="AF951" t="n">
        <v>4</v>
      </c>
      <c r="AG951" t="n">
        <v>4</v>
      </c>
      <c r="AH951" t="n">
        <v>4</v>
      </c>
      <c r="AI951" t="n">
        <v>6</v>
      </c>
      <c r="AJ951" t="n">
        <v>5</v>
      </c>
      <c r="AK951" t="n">
        <v>8</v>
      </c>
      <c r="AL951" t="n">
        <v>3</v>
      </c>
      <c r="AM951" t="n">
        <v>4</v>
      </c>
      <c r="AN951" t="n">
        <v>0</v>
      </c>
      <c r="AO951" t="n">
        <v>0</v>
      </c>
      <c r="AP951" t="inlineStr">
        <is>
          <t>No</t>
        </is>
      </c>
      <c r="AQ951" t="inlineStr">
        <is>
          <t>No</t>
        </is>
      </c>
      <c r="AS951">
        <f>HYPERLINK("https://creighton-primo.hosted.exlibrisgroup.com/primo-explore/search?tab=default_tab&amp;search_scope=EVERYTHING&amp;vid=01CRU&amp;lang=en_US&amp;offset=0&amp;query=any,contains,991004382679702656","Catalog Record")</f>
        <v/>
      </c>
      <c r="AT951">
        <f>HYPERLINK("http://www.worldcat.org/oclc/3225966","WorldCat Record")</f>
        <v/>
      </c>
      <c r="AU951" t="inlineStr">
        <is>
          <t>5600968:eng</t>
        </is>
      </c>
      <c r="AV951" t="inlineStr">
        <is>
          <t>3225966</t>
        </is>
      </c>
      <c r="AW951" t="inlineStr">
        <is>
          <t>991004382679702656</t>
        </is>
      </c>
      <c r="AX951" t="inlineStr">
        <is>
          <t>991004382679702656</t>
        </is>
      </c>
      <c r="AY951" t="inlineStr">
        <is>
          <t>2256217820002656</t>
        </is>
      </c>
      <c r="AZ951" t="inlineStr">
        <is>
          <t>BOOK</t>
        </is>
      </c>
      <c r="BB951" t="inlineStr">
        <is>
          <t>9780312255237</t>
        </is>
      </c>
      <c r="BC951" t="inlineStr">
        <is>
          <t>32285001408995</t>
        </is>
      </c>
      <c r="BD951" t="inlineStr">
        <is>
          <t>893247524</t>
        </is>
      </c>
    </row>
    <row r="952">
      <c r="A952" t="inlineStr">
        <is>
          <t>No</t>
        </is>
      </c>
      <c r="B952" t="inlineStr">
        <is>
          <t>E210 .E27 1988</t>
        </is>
      </c>
      <c r="C952" t="inlineStr">
        <is>
          <t>0                      E  0210000E  27          1988</t>
        </is>
      </c>
      <c r="D952" t="inlineStr">
        <is>
          <t>A mighty empire : the origins of the American Revolution / Marc Egnal.</t>
        </is>
      </c>
      <c r="F952" t="inlineStr">
        <is>
          <t>No</t>
        </is>
      </c>
      <c r="G952" t="inlineStr">
        <is>
          <t>1</t>
        </is>
      </c>
      <c r="H952" t="inlineStr">
        <is>
          <t>No</t>
        </is>
      </c>
      <c r="I952" t="inlineStr">
        <is>
          <t>No</t>
        </is>
      </c>
      <c r="J952" t="inlineStr">
        <is>
          <t>0</t>
        </is>
      </c>
      <c r="K952" t="inlineStr">
        <is>
          <t>Egnal, Marc.</t>
        </is>
      </c>
      <c r="L952" t="inlineStr">
        <is>
          <t>Ithaca, N.Y. : Cornell University Press, 1988.</t>
        </is>
      </c>
      <c r="M952" t="inlineStr">
        <is>
          <t>1988</t>
        </is>
      </c>
      <c r="O952" t="inlineStr">
        <is>
          <t>eng</t>
        </is>
      </c>
      <c r="P952" t="inlineStr">
        <is>
          <t>nyu</t>
        </is>
      </c>
      <c r="R952" t="inlineStr">
        <is>
          <t xml:space="preserve">E  </t>
        </is>
      </c>
      <c r="S952" t="n">
        <v>3</v>
      </c>
      <c r="T952" t="n">
        <v>3</v>
      </c>
      <c r="U952" t="inlineStr">
        <is>
          <t>1996-12-01</t>
        </is>
      </c>
      <c r="V952" t="inlineStr">
        <is>
          <t>1996-12-01</t>
        </is>
      </c>
      <c r="W952" t="inlineStr">
        <is>
          <t>1991-03-07</t>
        </is>
      </c>
      <c r="X952" t="inlineStr">
        <is>
          <t>1991-03-07</t>
        </is>
      </c>
      <c r="Y952" t="n">
        <v>1029</v>
      </c>
      <c r="Z952" t="n">
        <v>897</v>
      </c>
      <c r="AA952" t="n">
        <v>933</v>
      </c>
      <c r="AB952" t="n">
        <v>6</v>
      </c>
      <c r="AC952" t="n">
        <v>6</v>
      </c>
      <c r="AD952" t="n">
        <v>34</v>
      </c>
      <c r="AE952" t="n">
        <v>34</v>
      </c>
      <c r="AF952" t="n">
        <v>14</v>
      </c>
      <c r="AG952" t="n">
        <v>14</v>
      </c>
      <c r="AH952" t="n">
        <v>10</v>
      </c>
      <c r="AI952" t="n">
        <v>10</v>
      </c>
      <c r="AJ952" t="n">
        <v>18</v>
      </c>
      <c r="AK952" t="n">
        <v>18</v>
      </c>
      <c r="AL952" t="n">
        <v>4</v>
      </c>
      <c r="AM952" t="n">
        <v>4</v>
      </c>
      <c r="AN952" t="n">
        <v>0</v>
      </c>
      <c r="AO952" t="n">
        <v>0</v>
      </c>
      <c r="AP952" t="inlineStr">
        <is>
          <t>No</t>
        </is>
      </c>
      <c r="AQ952" t="inlineStr">
        <is>
          <t>Yes</t>
        </is>
      </c>
      <c r="AR952">
        <f>HYPERLINK("http://catalog.hathitrust.org/Record/000906218","HathiTrust Record")</f>
        <v/>
      </c>
      <c r="AS952">
        <f>HYPERLINK("https://creighton-primo.hosted.exlibrisgroup.com/primo-explore/search?tab=default_tab&amp;search_scope=EVERYTHING&amp;vid=01CRU&amp;lang=en_US&amp;offset=0&amp;query=any,contains,991001098599702656","Catalog Record")</f>
        <v/>
      </c>
      <c r="AT952">
        <f>HYPERLINK("http://www.worldcat.org/oclc/16278083","WorldCat Record")</f>
        <v/>
      </c>
      <c r="AU952" t="inlineStr">
        <is>
          <t>836688521:eng</t>
        </is>
      </c>
      <c r="AV952" t="inlineStr">
        <is>
          <t>16278083</t>
        </is>
      </c>
      <c r="AW952" t="inlineStr">
        <is>
          <t>991001098599702656</t>
        </is>
      </c>
      <c r="AX952" t="inlineStr">
        <is>
          <t>991001098599702656</t>
        </is>
      </c>
      <c r="AY952" t="inlineStr">
        <is>
          <t>2263611280002656</t>
        </is>
      </c>
      <c r="AZ952" t="inlineStr">
        <is>
          <t>BOOK</t>
        </is>
      </c>
      <c r="BB952" t="inlineStr">
        <is>
          <t>9780801419324</t>
        </is>
      </c>
      <c r="BC952" t="inlineStr">
        <is>
          <t>32285000540681</t>
        </is>
      </c>
      <c r="BD952" t="inlineStr">
        <is>
          <t>893715172</t>
        </is>
      </c>
    </row>
    <row r="953">
      <c r="A953" t="inlineStr">
        <is>
          <t>No</t>
        </is>
      </c>
      <c r="B953" t="inlineStr">
        <is>
          <t>E210 .G7 1979</t>
        </is>
      </c>
      <c r="C953" t="inlineStr">
        <is>
          <t>0                      E  0210000G  7           1979</t>
        </is>
      </c>
      <c r="D953" t="inlineStr">
        <is>
          <t>The reinterpretation of the American Revolution, 1763-1789 / edited, with an introd. by Jack P. Greene.</t>
        </is>
      </c>
      <c r="F953" t="inlineStr">
        <is>
          <t>No</t>
        </is>
      </c>
      <c r="G953" t="inlineStr">
        <is>
          <t>1</t>
        </is>
      </c>
      <c r="H953" t="inlineStr">
        <is>
          <t>No</t>
        </is>
      </c>
      <c r="I953" t="inlineStr">
        <is>
          <t>No</t>
        </is>
      </c>
      <c r="J953" t="inlineStr">
        <is>
          <t>0</t>
        </is>
      </c>
      <c r="K953" t="inlineStr">
        <is>
          <t>Greene, Jack P. compiler.</t>
        </is>
      </c>
      <c r="L953" t="inlineStr">
        <is>
          <t>Westport, Conn. : Greenwood Press, 1979, c1968.</t>
        </is>
      </c>
      <c r="M953" t="inlineStr">
        <is>
          <t>1979</t>
        </is>
      </c>
      <c r="O953" t="inlineStr">
        <is>
          <t>eng</t>
        </is>
      </c>
      <c r="P953" t="inlineStr">
        <is>
          <t>ctu</t>
        </is>
      </c>
      <c r="R953" t="inlineStr">
        <is>
          <t xml:space="preserve">E  </t>
        </is>
      </c>
      <c r="S953" t="n">
        <v>10</v>
      </c>
      <c r="T953" t="n">
        <v>10</v>
      </c>
      <c r="U953" t="inlineStr">
        <is>
          <t>2005-11-03</t>
        </is>
      </c>
      <c r="V953" t="inlineStr">
        <is>
          <t>2005-11-03</t>
        </is>
      </c>
      <c r="W953" t="inlineStr">
        <is>
          <t>1990-07-27</t>
        </is>
      </c>
      <c r="X953" t="inlineStr">
        <is>
          <t>1990-07-27</t>
        </is>
      </c>
      <c r="Y953" t="n">
        <v>92</v>
      </c>
      <c r="Z953" t="n">
        <v>84</v>
      </c>
      <c r="AA953" t="n">
        <v>896</v>
      </c>
      <c r="AB953" t="n">
        <v>1</v>
      </c>
      <c r="AC953" t="n">
        <v>8</v>
      </c>
      <c r="AD953" t="n">
        <v>6</v>
      </c>
      <c r="AE953" t="n">
        <v>46</v>
      </c>
      <c r="AF953" t="n">
        <v>3</v>
      </c>
      <c r="AG953" t="n">
        <v>22</v>
      </c>
      <c r="AH953" t="n">
        <v>2</v>
      </c>
      <c r="AI953" t="n">
        <v>8</v>
      </c>
      <c r="AJ953" t="n">
        <v>4</v>
      </c>
      <c r="AK953" t="n">
        <v>21</v>
      </c>
      <c r="AL953" t="n">
        <v>0</v>
      </c>
      <c r="AM953" t="n">
        <v>6</v>
      </c>
      <c r="AN953" t="n">
        <v>0</v>
      </c>
      <c r="AO953" t="n">
        <v>1</v>
      </c>
      <c r="AP953" t="inlineStr">
        <is>
          <t>No</t>
        </is>
      </c>
      <c r="AQ953" t="inlineStr">
        <is>
          <t>Yes</t>
        </is>
      </c>
      <c r="AR953">
        <f>HYPERLINK("http://catalog.hathitrust.org/Record/006001023","HathiTrust Record")</f>
        <v/>
      </c>
      <c r="AS953">
        <f>HYPERLINK("https://creighton-primo.hosted.exlibrisgroup.com/primo-explore/search?tab=default_tab&amp;search_scope=EVERYTHING&amp;vid=01CRU&amp;lang=en_US&amp;offset=0&amp;query=any,contains,991004679299702656","Catalog Record")</f>
        <v/>
      </c>
      <c r="AT953">
        <f>HYPERLINK("http://www.worldcat.org/oclc/4550099","WorldCat Record")</f>
        <v/>
      </c>
      <c r="AU953" t="inlineStr">
        <is>
          <t>1455633:eng</t>
        </is>
      </c>
      <c r="AV953" t="inlineStr">
        <is>
          <t>4550099</t>
        </is>
      </c>
      <c r="AW953" t="inlineStr">
        <is>
          <t>991004679299702656</t>
        </is>
      </c>
      <c r="AX953" t="inlineStr">
        <is>
          <t>991004679299702656</t>
        </is>
      </c>
      <c r="AY953" t="inlineStr">
        <is>
          <t>2260393040002656</t>
        </is>
      </c>
      <c r="AZ953" t="inlineStr">
        <is>
          <t>BOOK</t>
        </is>
      </c>
      <c r="BB953" t="inlineStr">
        <is>
          <t>9780313209307</t>
        </is>
      </c>
      <c r="BC953" t="inlineStr">
        <is>
          <t>32285000228592</t>
        </is>
      </c>
      <c r="BD953" t="inlineStr">
        <is>
          <t>893253983</t>
        </is>
      </c>
    </row>
    <row r="954">
      <c r="A954" t="inlineStr">
        <is>
          <t>No</t>
        </is>
      </c>
      <c r="B954" t="inlineStr">
        <is>
          <t>E210 .H64 1988</t>
        </is>
      </c>
      <c r="C954" t="inlineStr">
        <is>
          <t>0                      E  0210000H  64          1988</t>
        </is>
      </c>
      <c r="D954" t="inlineStr">
        <is>
          <t>Sister republics : the origins of French and American republicanism / Patrice Higonnet.</t>
        </is>
      </c>
      <c r="F954" t="inlineStr">
        <is>
          <t>No</t>
        </is>
      </c>
      <c r="G954" t="inlineStr">
        <is>
          <t>1</t>
        </is>
      </c>
      <c r="H954" t="inlineStr">
        <is>
          <t>No</t>
        </is>
      </c>
      <c r="I954" t="inlineStr">
        <is>
          <t>No</t>
        </is>
      </c>
      <c r="J954" t="inlineStr">
        <is>
          <t>0</t>
        </is>
      </c>
      <c r="K954" t="inlineStr">
        <is>
          <t>Higonnet, Patrice L. R.</t>
        </is>
      </c>
      <c r="L954" t="inlineStr">
        <is>
          <t>Cambridge, Mass. : Harvard University Press, 1988.</t>
        </is>
      </c>
      <c r="M954" t="inlineStr">
        <is>
          <t>1988</t>
        </is>
      </c>
      <c r="O954" t="inlineStr">
        <is>
          <t>eng</t>
        </is>
      </c>
      <c r="P954" t="inlineStr">
        <is>
          <t>mau</t>
        </is>
      </c>
      <c r="R954" t="inlineStr">
        <is>
          <t xml:space="preserve">E  </t>
        </is>
      </c>
      <c r="S954" t="n">
        <v>5</v>
      </c>
      <c r="T954" t="n">
        <v>5</v>
      </c>
      <c r="U954" t="inlineStr">
        <is>
          <t>2002-11-03</t>
        </is>
      </c>
      <c r="V954" t="inlineStr">
        <is>
          <t>2002-11-03</t>
        </is>
      </c>
      <c r="W954" t="inlineStr">
        <is>
          <t>1991-03-07</t>
        </is>
      </c>
      <c r="X954" t="inlineStr">
        <is>
          <t>1991-03-07</t>
        </is>
      </c>
      <c r="Y954" t="n">
        <v>710</v>
      </c>
      <c r="Z954" t="n">
        <v>573</v>
      </c>
      <c r="AA954" t="n">
        <v>584</v>
      </c>
      <c r="AB954" t="n">
        <v>4</v>
      </c>
      <c r="AC954" t="n">
        <v>4</v>
      </c>
      <c r="AD954" t="n">
        <v>33</v>
      </c>
      <c r="AE954" t="n">
        <v>33</v>
      </c>
      <c r="AF954" t="n">
        <v>11</v>
      </c>
      <c r="AG954" t="n">
        <v>11</v>
      </c>
      <c r="AH954" t="n">
        <v>7</v>
      </c>
      <c r="AI954" t="n">
        <v>7</v>
      </c>
      <c r="AJ954" t="n">
        <v>21</v>
      </c>
      <c r="AK954" t="n">
        <v>21</v>
      </c>
      <c r="AL954" t="n">
        <v>3</v>
      </c>
      <c r="AM954" t="n">
        <v>3</v>
      </c>
      <c r="AN954" t="n">
        <v>2</v>
      </c>
      <c r="AO954" t="n">
        <v>2</v>
      </c>
      <c r="AP954" t="inlineStr">
        <is>
          <t>No</t>
        </is>
      </c>
      <c r="AQ954" t="inlineStr">
        <is>
          <t>Yes</t>
        </is>
      </c>
      <c r="AR954">
        <f>HYPERLINK("http://catalog.hathitrust.org/Record/000949358","HathiTrust Record")</f>
        <v/>
      </c>
      <c r="AS954">
        <f>HYPERLINK("https://creighton-primo.hosted.exlibrisgroup.com/primo-explore/search?tab=default_tab&amp;search_scope=EVERYTHING&amp;vid=01CRU&amp;lang=en_US&amp;offset=0&amp;query=any,contains,991001209179702656","Catalog Record")</f>
        <v/>
      </c>
      <c r="AT954">
        <f>HYPERLINK("http://www.worldcat.org/oclc/17383664","WorldCat Record")</f>
        <v/>
      </c>
      <c r="AU954" t="inlineStr">
        <is>
          <t>321631470:eng</t>
        </is>
      </c>
      <c r="AV954" t="inlineStr">
        <is>
          <t>17383664</t>
        </is>
      </c>
      <c r="AW954" t="inlineStr">
        <is>
          <t>991001209179702656</t>
        </is>
      </c>
      <c r="AX954" t="inlineStr">
        <is>
          <t>991001209179702656</t>
        </is>
      </c>
      <c r="AY954" t="inlineStr">
        <is>
          <t>2271111150002656</t>
        </is>
      </c>
      <c r="AZ954" t="inlineStr">
        <is>
          <t>BOOK</t>
        </is>
      </c>
      <c r="BB954" t="inlineStr">
        <is>
          <t>9780674809826</t>
        </is>
      </c>
      <c r="BC954" t="inlineStr">
        <is>
          <t>32285000540699</t>
        </is>
      </c>
      <c r="BD954" t="inlineStr">
        <is>
          <t>893690430</t>
        </is>
      </c>
    </row>
    <row r="955">
      <c r="A955" t="inlineStr">
        <is>
          <t>No</t>
        </is>
      </c>
      <c r="B955" t="inlineStr">
        <is>
          <t>E210 .H65 1969</t>
        </is>
      </c>
      <c r="C955" t="inlineStr">
        <is>
          <t>0                      E  0210000H  65          1969</t>
        </is>
      </c>
      <c r="D955" t="inlineStr">
        <is>
          <t>The preliminaries of the American Revolution as seen in the English press, 1763-1775.</t>
        </is>
      </c>
      <c r="F955" t="inlineStr">
        <is>
          <t>No</t>
        </is>
      </c>
      <c r="G955" t="inlineStr">
        <is>
          <t>1</t>
        </is>
      </c>
      <c r="H955" t="inlineStr">
        <is>
          <t>No</t>
        </is>
      </c>
      <c r="I955" t="inlineStr">
        <is>
          <t>No</t>
        </is>
      </c>
      <c r="J955" t="inlineStr">
        <is>
          <t>0</t>
        </is>
      </c>
      <c r="K955" t="inlineStr">
        <is>
          <t>Hinkhouse, Fred Junkin, 1895-</t>
        </is>
      </c>
      <c r="L955" t="inlineStr">
        <is>
          <t>New York : Octagon Books, 1969 [c1926]</t>
        </is>
      </c>
      <c r="M955" t="inlineStr">
        <is>
          <t>1969</t>
        </is>
      </c>
      <c r="O955" t="inlineStr">
        <is>
          <t>eng</t>
        </is>
      </c>
      <c r="P955" t="inlineStr">
        <is>
          <t>nyu</t>
        </is>
      </c>
      <c r="R955" t="inlineStr">
        <is>
          <t xml:space="preserve">E  </t>
        </is>
      </c>
      <c r="S955" t="n">
        <v>5</v>
      </c>
      <c r="T955" t="n">
        <v>5</v>
      </c>
      <c r="U955" t="inlineStr">
        <is>
          <t>2002-11-04</t>
        </is>
      </c>
      <c r="V955" t="inlineStr">
        <is>
          <t>2002-11-04</t>
        </is>
      </c>
      <c r="W955" t="inlineStr">
        <is>
          <t>1991-12-23</t>
        </is>
      </c>
      <c r="X955" t="inlineStr">
        <is>
          <t>1991-12-23</t>
        </is>
      </c>
      <c r="Y955" t="n">
        <v>413</v>
      </c>
      <c r="Z955" t="n">
        <v>388</v>
      </c>
      <c r="AA955" t="n">
        <v>775</v>
      </c>
      <c r="AB955" t="n">
        <v>5</v>
      </c>
      <c r="AC955" t="n">
        <v>10</v>
      </c>
      <c r="AD955" t="n">
        <v>22</v>
      </c>
      <c r="AE955" t="n">
        <v>45</v>
      </c>
      <c r="AF955" t="n">
        <v>9</v>
      </c>
      <c r="AG955" t="n">
        <v>15</v>
      </c>
      <c r="AH955" t="n">
        <v>4</v>
      </c>
      <c r="AI955" t="n">
        <v>9</v>
      </c>
      <c r="AJ955" t="n">
        <v>10</v>
      </c>
      <c r="AK955" t="n">
        <v>16</v>
      </c>
      <c r="AL955" t="n">
        <v>4</v>
      </c>
      <c r="AM955" t="n">
        <v>8</v>
      </c>
      <c r="AN955" t="n">
        <v>0</v>
      </c>
      <c r="AO955" t="n">
        <v>5</v>
      </c>
      <c r="AP955" t="inlineStr">
        <is>
          <t>No</t>
        </is>
      </c>
      <c r="AQ955" t="inlineStr">
        <is>
          <t>Yes</t>
        </is>
      </c>
      <c r="AR955">
        <f>HYPERLINK("http://catalog.hathitrust.org/Record/004387584","HathiTrust Record")</f>
        <v/>
      </c>
      <c r="AS955">
        <f>HYPERLINK("https://creighton-primo.hosted.exlibrisgroup.com/primo-explore/search?tab=default_tab&amp;search_scope=EVERYTHING&amp;vid=01CRU&amp;lang=en_US&amp;offset=0&amp;query=any,contains,991000058539702656","Catalog Record")</f>
        <v/>
      </c>
      <c r="AT955">
        <f>HYPERLINK("http://www.worldcat.org/oclc/24113","WorldCat Record")</f>
        <v/>
      </c>
      <c r="AU955" t="inlineStr">
        <is>
          <t>198985483:eng</t>
        </is>
      </c>
      <c r="AV955" t="inlineStr">
        <is>
          <t>24113</t>
        </is>
      </c>
      <c r="AW955" t="inlineStr">
        <is>
          <t>991000058539702656</t>
        </is>
      </c>
      <c r="AX955" t="inlineStr">
        <is>
          <t>991000058539702656</t>
        </is>
      </c>
      <c r="AY955" t="inlineStr">
        <is>
          <t>2266687670002656</t>
        </is>
      </c>
      <c r="AZ955" t="inlineStr">
        <is>
          <t>BOOK</t>
        </is>
      </c>
      <c r="BC955" t="inlineStr">
        <is>
          <t>32285000879246</t>
        </is>
      </c>
      <c r="BD955" t="inlineStr">
        <is>
          <t>893527755</t>
        </is>
      </c>
    </row>
    <row r="956">
      <c r="A956" t="inlineStr">
        <is>
          <t>No</t>
        </is>
      </c>
      <c r="B956" t="inlineStr">
        <is>
          <t>E210 .H73</t>
        </is>
      </c>
      <c r="C956" t="inlineStr">
        <is>
          <t>0                      E  0210000H  73</t>
        </is>
      </c>
      <c r="D956" t="inlineStr">
        <is>
          <t>The role of ideology in the American Revolution / edited by John R. Howe, Jr.</t>
        </is>
      </c>
      <c r="F956" t="inlineStr">
        <is>
          <t>No</t>
        </is>
      </c>
      <c r="G956" t="inlineStr">
        <is>
          <t>1</t>
        </is>
      </c>
      <c r="H956" t="inlineStr">
        <is>
          <t>No</t>
        </is>
      </c>
      <c r="I956" t="inlineStr">
        <is>
          <t>No</t>
        </is>
      </c>
      <c r="J956" t="inlineStr">
        <is>
          <t>0</t>
        </is>
      </c>
      <c r="K956" t="inlineStr">
        <is>
          <t>Howe, John R. compiler.</t>
        </is>
      </c>
      <c r="L956" t="inlineStr">
        <is>
          <t>New York : Holt, Rinehart, and Winston, [1970].</t>
        </is>
      </c>
      <c r="M956" t="inlineStr">
        <is>
          <t>1970</t>
        </is>
      </c>
      <c r="O956" t="inlineStr">
        <is>
          <t>eng</t>
        </is>
      </c>
      <c r="P956" t="inlineStr">
        <is>
          <t>nyu</t>
        </is>
      </c>
      <c r="Q956" t="inlineStr">
        <is>
          <t>American problem studies</t>
        </is>
      </c>
      <c r="R956" t="inlineStr">
        <is>
          <t xml:space="preserve">E  </t>
        </is>
      </c>
      <c r="S956" t="n">
        <v>8</v>
      </c>
      <c r="T956" t="n">
        <v>8</v>
      </c>
      <c r="U956" t="inlineStr">
        <is>
          <t>2004-11-29</t>
        </is>
      </c>
      <c r="V956" t="inlineStr">
        <is>
          <t>2004-11-29</t>
        </is>
      </c>
      <c r="W956" t="inlineStr">
        <is>
          <t>1993-05-06</t>
        </is>
      </c>
      <c r="X956" t="inlineStr">
        <is>
          <t>1993-05-06</t>
        </is>
      </c>
      <c r="Y956" t="n">
        <v>416</v>
      </c>
      <c r="Z956" t="n">
        <v>360</v>
      </c>
      <c r="AA956" t="n">
        <v>443</v>
      </c>
      <c r="AB956" t="n">
        <v>5</v>
      </c>
      <c r="AC956" t="n">
        <v>6</v>
      </c>
      <c r="AD956" t="n">
        <v>19</v>
      </c>
      <c r="AE956" t="n">
        <v>26</v>
      </c>
      <c r="AF956" t="n">
        <v>6</v>
      </c>
      <c r="AG956" t="n">
        <v>9</v>
      </c>
      <c r="AH956" t="n">
        <v>3</v>
      </c>
      <c r="AI956" t="n">
        <v>5</v>
      </c>
      <c r="AJ956" t="n">
        <v>10</v>
      </c>
      <c r="AK956" t="n">
        <v>12</v>
      </c>
      <c r="AL956" t="n">
        <v>4</v>
      </c>
      <c r="AM956" t="n">
        <v>5</v>
      </c>
      <c r="AN956" t="n">
        <v>0</v>
      </c>
      <c r="AO956" t="n">
        <v>0</v>
      </c>
      <c r="AP956" t="inlineStr">
        <is>
          <t>No</t>
        </is>
      </c>
      <c r="AQ956" t="inlineStr">
        <is>
          <t>No</t>
        </is>
      </c>
      <c r="AS956">
        <f>HYPERLINK("https://creighton-primo.hosted.exlibrisgroup.com/primo-explore/search?tab=default_tab&amp;search_scope=EVERYTHING&amp;vid=01CRU&amp;lang=en_US&amp;offset=0&amp;query=any,contains,991000383359702656","Catalog Record")</f>
        <v/>
      </c>
      <c r="AT956">
        <f>HYPERLINK("http://www.worldcat.org/oclc/72467","WorldCat Record")</f>
        <v/>
      </c>
      <c r="AU956" t="inlineStr">
        <is>
          <t>542452:eng</t>
        </is>
      </c>
      <c r="AV956" t="inlineStr">
        <is>
          <t>72467</t>
        </is>
      </c>
      <c r="AW956" t="inlineStr">
        <is>
          <t>991000383359702656</t>
        </is>
      </c>
      <c r="AX956" t="inlineStr">
        <is>
          <t>991000383359702656</t>
        </is>
      </c>
      <c r="AY956" t="inlineStr">
        <is>
          <t>2271431930002656</t>
        </is>
      </c>
      <c r="AZ956" t="inlineStr">
        <is>
          <t>BOOK</t>
        </is>
      </c>
      <c r="BB956" t="inlineStr">
        <is>
          <t>9780030778001</t>
        </is>
      </c>
      <c r="BC956" t="inlineStr">
        <is>
          <t>32285001651511</t>
        </is>
      </c>
      <c r="BD956" t="inlineStr">
        <is>
          <t>893595494</t>
        </is>
      </c>
    </row>
    <row r="957">
      <c r="A957" t="inlineStr">
        <is>
          <t>No</t>
        </is>
      </c>
      <c r="B957" t="inlineStr">
        <is>
          <t>E210 .J45</t>
        </is>
      </c>
      <c r="C957" t="inlineStr">
        <is>
          <t>0                      E  0210000J  45</t>
        </is>
      </c>
      <c r="D957" t="inlineStr">
        <is>
          <t>The American Revolution within America / by Merrill Jensen.</t>
        </is>
      </c>
      <c r="F957" t="inlineStr">
        <is>
          <t>No</t>
        </is>
      </c>
      <c r="G957" t="inlineStr">
        <is>
          <t>1</t>
        </is>
      </c>
      <c r="H957" t="inlineStr">
        <is>
          <t>No</t>
        </is>
      </c>
      <c r="I957" t="inlineStr">
        <is>
          <t>No</t>
        </is>
      </c>
      <c r="J957" t="inlineStr">
        <is>
          <t>0</t>
        </is>
      </c>
      <c r="K957" t="inlineStr">
        <is>
          <t>Jensen, Merrill.</t>
        </is>
      </c>
      <c r="L957" t="inlineStr">
        <is>
          <t>New York : New York University Press, 1974.</t>
        </is>
      </c>
      <c r="M957" t="inlineStr">
        <is>
          <t>1974</t>
        </is>
      </c>
      <c r="O957" t="inlineStr">
        <is>
          <t>eng</t>
        </is>
      </c>
      <c r="P957" t="inlineStr">
        <is>
          <t>nyu</t>
        </is>
      </c>
      <c r="Q957" t="inlineStr">
        <is>
          <t>Anson G. Phelps lectureship on early American history</t>
        </is>
      </c>
      <c r="R957" t="inlineStr">
        <is>
          <t xml:space="preserve">E  </t>
        </is>
      </c>
      <c r="S957" t="n">
        <v>2</v>
      </c>
      <c r="T957" t="n">
        <v>2</v>
      </c>
      <c r="U957" t="inlineStr">
        <is>
          <t>1995-09-24</t>
        </is>
      </c>
      <c r="V957" t="inlineStr">
        <is>
          <t>1995-09-24</t>
        </is>
      </c>
      <c r="W957" t="inlineStr">
        <is>
          <t>1992-12-03</t>
        </is>
      </c>
      <c r="X957" t="inlineStr">
        <is>
          <t>1992-12-03</t>
        </is>
      </c>
      <c r="Y957" t="n">
        <v>668</v>
      </c>
      <c r="Z957" t="n">
        <v>573</v>
      </c>
      <c r="AA957" t="n">
        <v>579</v>
      </c>
      <c r="AB957" t="n">
        <v>4</v>
      </c>
      <c r="AC957" t="n">
        <v>4</v>
      </c>
      <c r="AD957" t="n">
        <v>28</v>
      </c>
      <c r="AE957" t="n">
        <v>28</v>
      </c>
      <c r="AF957" t="n">
        <v>12</v>
      </c>
      <c r="AG957" t="n">
        <v>12</v>
      </c>
      <c r="AH957" t="n">
        <v>8</v>
      </c>
      <c r="AI957" t="n">
        <v>8</v>
      </c>
      <c r="AJ957" t="n">
        <v>12</v>
      </c>
      <c r="AK957" t="n">
        <v>12</v>
      </c>
      <c r="AL957" t="n">
        <v>3</v>
      </c>
      <c r="AM957" t="n">
        <v>3</v>
      </c>
      <c r="AN957" t="n">
        <v>0</v>
      </c>
      <c r="AO957" t="n">
        <v>0</v>
      </c>
      <c r="AP957" t="inlineStr">
        <is>
          <t>No</t>
        </is>
      </c>
      <c r="AQ957" t="inlineStr">
        <is>
          <t>No</t>
        </is>
      </c>
      <c r="AS957">
        <f>HYPERLINK("https://creighton-primo.hosted.exlibrisgroup.com/primo-explore/search?tab=default_tab&amp;search_scope=EVERYTHING&amp;vid=01CRU&amp;lang=en_US&amp;offset=0&amp;query=any,contains,991003644959702656","Catalog Record")</f>
        <v/>
      </c>
      <c r="AT957">
        <f>HYPERLINK("http://www.worldcat.org/oclc/1244749","WorldCat Record")</f>
        <v/>
      </c>
      <c r="AU957" t="inlineStr">
        <is>
          <t>2151800:eng</t>
        </is>
      </c>
      <c r="AV957" t="inlineStr">
        <is>
          <t>1244749</t>
        </is>
      </c>
      <c r="AW957" t="inlineStr">
        <is>
          <t>991003644959702656</t>
        </is>
      </c>
      <c r="AX957" t="inlineStr">
        <is>
          <t>991003644959702656</t>
        </is>
      </c>
      <c r="AY957" t="inlineStr">
        <is>
          <t>2259888090002656</t>
        </is>
      </c>
      <c r="AZ957" t="inlineStr">
        <is>
          <t>BOOK</t>
        </is>
      </c>
      <c r="BC957" t="inlineStr">
        <is>
          <t>32285001412286</t>
        </is>
      </c>
      <c r="BD957" t="inlineStr">
        <is>
          <t>893868667</t>
        </is>
      </c>
    </row>
    <row r="958">
      <c r="A958" t="inlineStr">
        <is>
          <t>No</t>
        </is>
      </c>
      <c r="B958" t="inlineStr">
        <is>
          <t>E210 .K65 1961</t>
        </is>
      </c>
      <c r="C958" t="inlineStr">
        <is>
          <t>0                      E  0210000K  65          1961</t>
        </is>
      </c>
      <c r="D958" t="inlineStr">
        <is>
          <t>Origin of the American Revolution: 1759-1766.</t>
        </is>
      </c>
      <c r="F958" t="inlineStr">
        <is>
          <t>No</t>
        </is>
      </c>
      <c r="G958" t="inlineStr">
        <is>
          <t>1</t>
        </is>
      </c>
      <c r="H958" t="inlineStr">
        <is>
          <t>No</t>
        </is>
      </c>
      <c r="I958" t="inlineStr">
        <is>
          <t>No</t>
        </is>
      </c>
      <c r="J958" t="inlineStr">
        <is>
          <t>0</t>
        </is>
      </c>
      <c r="K958" t="inlineStr">
        <is>
          <t>Knollenberg, Bernhard, 1892-1973.</t>
        </is>
      </c>
      <c r="L958" t="inlineStr">
        <is>
          <t>New York, Collier Books [1961]</t>
        </is>
      </c>
      <c r="M958" t="inlineStr">
        <is>
          <t>1961</t>
        </is>
      </c>
      <c r="N958" t="inlineStr">
        <is>
          <t>[Rev. ed.]</t>
        </is>
      </c>
      <c r="O958" t="inlineStr">
        <is>
          <t>eng</t>
        </is>
      </c>
      <c r="P958" t="inlineStr">
        <is>
          <t>nyu</t>
        </is>
      </c>
      <c r="Q958" t="inlineStr">
        <is>
          <t>Collier books ; BS42</t>
        </is>
      </c>
      <c r="R958" t="inlineStr">
        <is>
          <t xml:space="preserve">E  </t>
        </is>
      </c>
      <c r="S958" t="n">
        <v>6</v>
      </c>
      <c r="T958" t="n">
        <v>6</v>
      </c>
      <c r="U958" t="inlineStr">
        <is>
          <t>1996-09-09</t>
        </is>
      </c>
      <c r="V958" t="inlineStr">
        <is>
          <t>1996-09-09</t>
        </is>
      </c>
      <c r="W958" t="inlineStr">
        <is>
          <t>1991-12-12</t>
        </is>
      </c>
      <c r="X958" t="inlineStr">
        <is>
          <t>1991-12-12</t>
        </is>
      </c>
      <c r="Y958" t="n">
        <v>383</v>
      </c>
      <c r="Z958" t="n">
        <v>332</v>
      </c>
      <c r="AA958" t="n">
        <v>1548</v>
      </c>
      <c r="AB958" t="n">
        <v>4</v>
      </c>
      <c r="AC958" t="n">
        <v>15</v>
      </c>
      <c r="AD958" t="n">
        <v>10</v>
      </c>
      <c r="AE958" t="n">
        <v>58</v>
      </c>
      <c r="AF958" t="n">
        <v>4</v>
      </c>
      <c r="AG958" t="n">
        <v>24</v>
      </c>
      <c r="AH958" t="n">
        <v>3</v>
      </c>
      <c r="AI958" t="n">
        <v>9</v>
      </c>
      <c r="AJ958" t="n">
        <v>4</v>
      </c>
      <c r="AK958" t="n">
        <v>24</v>
      </c>
      <c r="AL958" t="n">
        <v>2</v>
      </c>
      <c r="AM958" t="n">
        <v>10</v>
      </c>
      <c r="AN958" t="n">
        <v>0</v>
      </c>
      <c r="AO958" t="n">
        <v>3</v>
      </c>
      <c r="AP958" t="inlineStr">
        <is>
          <t>No</t>
        </is>
      </c>
      <c r="AQ958" t="inlineStr">
        <is>
          <t>No</t>
        </is>
      </c>
      <c r="AS958">
        <f>HYPERLINK("https://creighton-primo.hosted.exlibrisgroup.com/primo-explore/search?tab=default_tab&amp;search_scope=EVERYTHING&amp;vid=01CRU&amp;lang=en_US&amp;offset=0&amp;query=any,contains,991003176019702656","Catalog Record")</f>
        <v/>
      </c>
      <c r="AT958">
        <f>HYPERLINK("http://www.worldcat.org/oclc/710808","WorldCat Record")</f>
        <v/>
      </c>
      <c r="AU958" t="inlineStr">
        <is>
          <t>1030189:eng</t>
        </is>
      </c>
      <c r="AV958" t="inlineStr">
        <is>
          <t>710808</t>
        </is>
      </c>
      <c r="AW958" t="inlineStr">
        <is>
          <t>991003176019702656</t>
        </is>
      </c>
      <c r="AX958" t="inlineStr">
        <is>
          <t>991003176019702656</t>
        </is>
      </c>
      <c r="AY958" t="inlineStr">
        <is>
          <t>2262452340002656</t>
        </is>
      </c>
      <c r="AZ958" t="inlineStr">
        <is>
          <t>BOOK</t>
        </is>
      </c>
      <c r="BC958" t="inlineStr">
        <is>
          <t>32285000878495</t>
        </is>
      </c>
      <c r="BD958" t="inlineStr">
        <is>
          <t>893598342</t>
        </is>
      </c>
    </row>
    <row r="959">
      <c r="A959" t="inlineStr">
        <is>
          <t>No</t>
        </is>
      </c>
      <c r="B959" t="inlineStr">
        <is>
          <t>E210 .L8</t>
        </is>
      </c>
      <c r="C959" t="inlineStr">
        <is>
          <t>0                      E  0210000L  8</t>
        </is>
      </c>
      <c r="D959" t="inlineStr">
        <is>
          <t>Portents of rebellion : rhetoric and revolution in Philadelphia, 1765-76 / Stephen E. Lucas.</t>
        </is>
      </c>
      <c r="F959" t="inlineStr">
        <is>
          <t>No</t>
        </is>
      </c>
      <c r="G959" t="inlineStr">
        <is>
          <t>1</t>
        </is>
      </c>
      <c r="H959" t="inlineStr">
        <is>
          <t>No</t>
        </is>
      </c>
      <c r="I959" t="inlineStr">
        <is>
          <t>No</t>
        </is>
      </c>
      <c r="J959" t="inlineStr">
        <is>
          <t>0</t>
        </is>
      </c>
      <c r="K959" t="inlineStr">
        <is>
          <t>Lucas, Stephen, 1946-</t>
        </is>
      </c>
      <c r="L959" t="inlineStr">
        <is>
          <t>Philadelphia : Temple University Press, 1976.</t>
        </is>
      </c>
      <c r="M959" t="inlineStr">
        <is>
          <t>1976</t>
        </is>
      </c>
      <c r="O959" t="inlineStr">
        <is>
          <t>eng</t>
        </is>
      </c>
      <c r="P959" t="inlineStr">
        <is>
          <t>pau</t>
        </is>
      </c>
      <c r="R959" t="inlineStr">
        <is>
          <t xml:space="preserve">E  </t>
        </is>
      </c>
      <c r="S959" t="n">
        <v>1</v>
      </c>
      <c r="T959" t="n">
        <v>1</v>
      </c>
      <c r="U959" t="inlineStr">
        <is>
          <t>1992-12-02</t>
        </is>
      </c>
      <c r="V959" t="inlineStr">
        <is>
          <t>1992-12-02</t>
        </is>
      </c>
      <c r="W959" t="inlineStr">
        <is>
          <t>1991-12-12</t>
        </is>
      </c>
      <c r="X959" t="inlineStr">
        <is>
          <t>1991-12-12</t>
        </is>
      </c>
      <c r="Y959" t="n">
        <v>464</v>
      </c>
      <c r="Z959" t="n">
        <v>414</v>
      </c>
      <c r="AA959" t="n">
        <v>428</v>
      </c>
      <c r="AB959" t="n">
        <v>6</v>
      </c>
      <c r="AC959" t="n">
        <v>6</v>
      </c>
      <c r="AD959" t="n">
        <v>27</v>
      </c>
      <c r="AE959" t="n">
        <v>27</v>
      </c>
      <c r="AF959" t="n">
        <v>6</v>
      </c>
      <c r="AG959" t="n">
        <v>6</v>
      </c>
      <c r="AH959" t="n">
        <v>8</v>
      </c>
      <c r="AI959" t="n">
        <v>8</v>
      </c>
      <c r="AJ959" t="n">
        <v>15</v>
      </c>
      <c r="AK959" t="n">
        <v>15</v>
      </c>
      <c r="AL959" t="n">
        <v>5</v>
      </c>
      <c r="AM959" t="n">
        <v>5</v>
      </c>
      <c r="AN959" t="n">
        <v>0</v>
      </c>
      <c r="AO959" t="n">
        <v>0</v>
      </c>
      <c r="AP959" t="inlineStr">
        <is>
          <t>No</t>
        </is>
      </c>
      <c r="AQ959" t="inlineStr">
        <is>
          <t>Yes</t>
        </is>
      </c>
      <c r="AR959">
        <f>HYPERLINK("http://catalog.hathitrust.org/Record/000212755","HathiTrust Record")</f>
        <v/>
      </c>
      <c r="AS959">
        <f>HYPERLINK("https://creighton-primo.hosted.exlibrisgroup.com/primo-explore/search?tab=default_tab&amp;search_scope=EVERYTHING&amp;vid=01CRU&amp;lang=en_US&amp;offset=0&amp;query=any,contains,991004288209702656","Catalog Record")</f>
        <v/>
      </c>
      <c r="AT959">
        <f>HYPERLINK("http://www.worldcat.org/oclc/2932496","WorldCat Record")</f>
        <v/>
      </c>
      <c r="AU959" t="inlineStr">
        <is>
          <t>205791457:eng</t>
        </is>
      </c>
      <c r="AV959" t="inlineStr">
        <is>
          <t>2932496</t>
        </is>
      </c>
      <c r="AW959" t="inlineStr">
        <is>
          <t>991004288209702656</t>
        </is>
      </c>
      <c r="AX959" t="inlineStr">
        <is>
          <t>991004288209702656</t>
        </is>
      </c>
      <c r="AY959" t="inlineStr">
        <is>
          <t>2268656760002656</t>
        </is>
      </c>
      <c r="AZ959" t="inlineStr">
        <is>
          <t>BOOK</t>
        </is>
      </c>
      <c r="BB959" t="inlineStr">
        <is>
          <t>9780877220879</t>
        </is>
      </c>
      <c r="BC959" t="inlineStr">
        <is>
          <t>32285000878610</t>
        </is>
      </c>
      <c r="BD959" t="inlineStr">
        <is>
          <t>893319028</t>
        </is>
      </c>
    </row>
    <row r="960">
      <c r="A960" t="inlineStr">
        <is>
          <t>No</t>
        </is>
      </c>
      <c r="B960" t="inlineStr">
        <is>
          <t>E210 .M14</t>
        </is>
      </c>
      <c r="C960" t="inlineStr">
        <is>
          <t>0                      E  0210000M  14</t>
        </is>
      </c>
      <c r="D960" t="inlineStr">
        <is>
          <t>E pluribus unum: the formation of the American Republic, 1776-1790.</t>
        </is>
      </c>
      <c r="F960" t="inlineStr">
        <is>
          <t>No</t>
        </is>
      </c>
      <c r="G960" t="inlineStr">
        <is>
          <t>1</t>
        </is>
      </c>
      <c r="H960" t="inlineStr">
        <is>
          <t>No</t>
        </is>
      </c>
      <c r="I960" t="inlineStr">
        <is>
          <t>No</t>
        </is>
      </c>
      <c r="J960" t="inlineStr">
        <is>
          <t>0</t>
        </is>
      </c>
      <c r="K960" t="inlineStr">
        <is>
          <t>McDonald, Forrest.</t>
        </is>
      </c>
      <c r="L960" t="inlineStr">
        <is>
          <t>Boston, Houghton Mifflin, 1965.</t>
        </is>
      </c>
      <c r="M960" t="inlineStr">
        <is>
          <t>1965</t>
        </is>
      </c>
      <c r="O960" t="inlineStr">
        <is>
          <t>eng</t>
        </is>
      </c>
      <c r="P960" t="inlineStr">
        <is>
          <t>mau</t>
        </is>
      </c>
      <c r="R960" t="inlineStr">
        <is>
          <t xml:space="preserve">E  </t>
        </is>
      </c>
      <c r="S960" t="n">
        <v>4</v>
      </c>
      <c r="T960" t="n">
        <v>4</v>
      </c>
      <c r="U960" t="inlineStr">
        <is>
          <t>1998-11-07</t>
        </is>
      </c>
      <c r="V960" t="inlineStr">
        <is>
          <t>1998-11-07</t>
        </is>
      </c>
      <c r="W960" t="inlineStr">
        <is>
          <t>1996-08-19</t>
        </is>
      </c>
      <c r="X960" t="inlineStr">
        <is>
          <t>1996-08-19</t>
        </is>
      </c>
      <c r="Y960" t="n">
        <v>991</v>
      </c>
      <c r="Z960" t="n">
        <v>919</v>
      </c>
      <c r="AA960" t="n">
        <v>1321</v>
      </c>
      <c r="AB960" t="n">
        <v>7</v>
      </c>
      <c r="AC960" t="n">
        <v>10</v>
      </c>
      <c r="AD960" t="n">
        <v>39</v>
      </c>
      <c r="AE960" t="n">
        <v>60</v>
      </c>
      <c r="AF960" t="n">
        <v>14</v>
      </c>
      <c r="AG960" t="n">
        <v>20</v>
      </c>
      <c r="AH960" t="n">
        <v>8</v>
      </c>
      <c r="AI960" t="n">
        <v>10</v>
      </c>
      <c r="AJ960" t="n">
        <v>15</v>
      </c>
      <c r="AK960" t="n">
        <v>20</v>
      </c>
      <c r="AL960" t="n">
        <v>6</v>
      </c>
      <c r="AM960" t="n">
        <v>9</v>
      </c>
      <c r="AN960" t="n">
        <v>6</v>
      </c>
      <c r="AO960" t="n">
        <v>12</v>
      </c>
      <c r="AP960" t="inlineStr">
        <is>
          <t>No</t>
        </is>
      </c>
      <c r="AQ960" t="inlineStr">
        <is>
          <t>Yes</t>
        </is>
      </c>
      <c r="AR960">
        <f>HYPERLINK("http://catalog.hathitrust.org/Record/000361918","HathiTrust Record")</f>
        <v/>
      </c>
      <c r="AS960">
        <f>HYPERLINK("https://creighton-primo.hosted.exlibrisgroup.com/primo-explore/search?tab=default_tab&amp;search_scope=EVERYTHING&amp;vid=01CRU&amp;lang=en_US&amp;offset=0&amp;query=any,contains,991001373769702656","Catalog Record")</f>
        <v/>
      </c>
      <c r="AT960">
        <f>HYPERLINK("http://www.worldcat.org/oclc/224321","WorldCat Record")</f>
        <v/>
      </c>
      <c r="AU960" t="inlineStr">
        <is>
          <t>558769:eng</t>
        </is>
      </c>
      <c r="AV960" t="inlineStr">
        <is>
          <t>224321</t>
        </is>
      </c>
      <c r="AW960" t="inlineStr">
        <is>
          <t>991001373769702656</t>
        </is>
      </c>
      <c r="AX960" t="inlineStr">
        <is>
          <t>991001373769702656</t>
        </is>
      </c>
      <c r="AY960" t="inlineStr">
        <is>
          <t>2264233340002656</t>
        </is>
      </c>
      <c r="AZ960" t="inlineStr">
        <is>
          <t>BOOK</t>
        </is>
      </c>
      <c r="BC960" t="inlineStr">
        <is>
          <t>32285002281458</t>
        </is>
      </c>
      <c r="BD960" t="inlineStr">
        <is>
          <t>893797523</t>
        </is>
      </c>
    </row>
    <row r="961">
      <c r="A961" t="inlineStr">
        <is>
          <t>No</t>
        </is>
      </c>
      <c r="B961" t="inlineStr">
        <is>
          <t>E210 .M5</t>
        </is>
      </c>
      <c r="C961" t="inlineStr">
        <is>
          <t>0                      E  0210000M  5</t>
        </is>
      </c>
      <c r="D961" t="inlineStr">
        <is>
          <t>Origins of the American revolution / by John C. Miller; decorative drawings by Eric M. Simon.</t>
        </is>
      </c>
      <c r="F961" t="inlineStr">
        <is>
          <t>No</t>
        </is>
      </c>
      <c r="G961" t="inlineStr">
        <is>
          <t>1</t>
        </is>
      </c>
      <c r="H961" t="inlineStr">
        <is>
          <t>No</t>
        </is>
      </c>
      <c r="I961" t="inlineStr">
        <is>
          <t>No</t>
        </is>
      </c>
      <c r="J961" t="inlineStr">
        <is>
          <t>0</t>
        </is>
      </c>
      <c r="K961" t="inlineStr">
        <is>
          <t>Miller, John Chester, 1907-1991.</t>
        </is>
      </c>
      <c r="L961" t="inlineStr">
        <is>
          <t>Boston : Little, Brown and company, 1943.</t>
        </is>
      </c>
      <c r="M961" t="inlineStr">
        <is>
          <t>1943</t>
        </is>
      </c>
      <c r="O961" t="inlineStr">
        <is>
          <t>eng</t>
        </is>
      </c>
      <c r="P961" t="inlineStr">
        <is>
          <t>mau</t>
        </is>
      </c>
      <c r="R961" t="inlineStr">
        <is>
          <t xml:space="preserve">E  </t>
        </is>
      </c>
      <c r="S961" t="n">
        <v>6</v>
      </c>
      <c r="T961" t="n">
        <v>6</v>
      </c>
      <c r="U961" t="inlineStr">
        <is>
          <t>2005-11-03</t>
        </is>
      </c>
      <c r="V961" t="inlineStr">
        <is>
          <t>2005-11-03</t>
        </is>
      </c>
      <c r="W961" t="inlineStr">
        <is>
          <t>1992-12-03</t>
        </is>
      </c>
      <c r="X961" t="inlineStr">
        <is>
          <t>1992-12-03</t>
        </is>
      </c>
      <c r="Y961" t="n">
        <v>1764</v>
      </c>
      <c r="Z961" t="n">
        <v>1635</v>
      </c>
      <c r="AA961" t="n">
        <v>2014</v>
      </c>
      <c r="AB961" t="n">
        <v>13</v>
      </c>
      <c r="AC961" t="n">
        <v>17</v>
      </c>
      <c r="AD961" t="n">
        <v>55</v>
      </c>
      <c r="AE961" t="n">
        <v>62</v>
      </c>
      <c r="AF961" t="n">
        <v>21</v>
      </c>
      <c r="AG961" t="n">
        <v>23</v>
      </c>
      <c r="AH961" t="n">
        <v>10</v>
      </c>
      <c r="AI961" t="n">
        <v>10</v>
      </c>
      <c r="AJ961" t="n">
        <v>22</v>
      </c>
      <c r="AK961" t="n">
        <v>26</v>
      </c>
      <c r="AL961" t="n">
        <v>9</v>
      </c>
      <c r="AM961" t="n">
        <v>11</v>
      </c>
      <c r="AN961" t="n">
        <v>5</v>
      </c>
      <c r="AO961" t="n">
        <v>5</v>
      </c>
      <c r="AP961" t="inlineStr">
        <is>
          <t>No</t>
        </is>
      </c>
      <c r="AQ961" t="inlineStr">
        <is>
          <t>Yes</t>
        </is>
      </c>
      <c r="AR961">
        <f>HYPERLINK("http://catalog.hathitrust.org/Record/000363684","HathiTrust Record")</f>
        <v/>
      </c>
      <c r="AS961">
        <f>HYPERLINK("https://creighton-primo.hosted.exlibrisgroup.com/primo-explore/search?tab=default_tab&amp;search_scope=EVERYTHING&amp;vid=01CRU&amp;lang=en_US&amp;offset=0&amp;query=any,contains,991002756149702656","Catalog Record")</f>
        <v/>
      </c>
      <c r="AT961">
        <f>HYPERLINK("http://www.worldcat.org/oclc/426509","WorldCat Record")</f>
        <v/>
      </c>
      <c r="AU961" t="inlineStr">
        <is>
          <t>1090898999:eng</t>
        </is>
      </c>
      <c r="AV961" t="inlineStr">
        <is>
          <t>426509</t>
        </is>
      </c>
      <c r="AW961" t="inlineStr">
        <is>
          <t>991002756149702656</t>
        </is>
      </c>
      <c r="AX961" t="inlineStr">
        <is>
          <t>991002756149702656</t>
        </is>
      </c>
      <c r="AY961" t="inlineStr">
        <is>
          <t>2265340060002656</t>
        </is>
      </c>
      <c r="AZ961" t="inlineStr">
        <is>
          <t>BOOK</t>
        </is>
      </c>
      <c r="BC961" t="inlineStr">
        <is>
          <t>32285001412278</t>
        </is>
      </c>
      <c r="BD961" t="inlineStr">
        <is>
          <t>893530429</t>
        </is>
      </c>
    </row>
    <row r="962">
      <c r="A962" t="inlineStr">
        <is>
          <t>No</t>
        </is>
      </c>
      <c r="B962" t="inlineStr">
        <is>
          <t>E210 .M62 1979</t>
        </is>
      </c>
      <c r="C962" t="inlineStr">
        <is>
          <t>0                      E  0210000M  62          1979</t>
        </is>
      </c>
      <c r="D962" t="inlineStr">
        <is>
          <t>The American Revolution reconsidered / Richard B. Morris.</t>
        </is>
      </c>
      <c r="F962" t="inlineStr">
        <is>
          <t>No</t>
        </is>
      </c>
      <c r="G962" t="inlineStr">
        <is>
          <t>1</t>
        </is>
      </c>
      <c r="H962" t="inlineStr">
        <is>
          <t>No</t>
        </is>
      </c>
      <c r="I962" t="inlineStr">
        <is>
          <t>No</t>
        </is>
      </c>
      <c r="J962" t="inlineStr">
        <is>
          <t>0</t>
        </is>
      </c>
      <c r="K962" t="inlineStr">
        <is>
          <t>Morris, Richard B. (Richard Brandon), 1904-1989.</t>
        </is>
      </c>
      <c r="L962" t="inlineStr">
        <is>
          <t>Westport, Conn. : Greenwood Press, 1979, c1967.</t>
        </is>
      </c>
      <c r="M962" t="inlineStr">
        <is>
          <t>1979</t>
        </is>
      </c>
      <c r="O962" t="inlineStr">
        <is>
          <t>eng</t>
        </is>
      </c>
      <c r="P962" t="inlineStr">
        <is>
          <t>ctu</t>
        </is>
      </c>
      <c r="R962" t="inlineStr">
        <is>
          <t xml:space="preserve">E  </t>
        </is>
      </c>
      <c r="S962" t="n">
        <v>7</v>
      </c>
      <c r="T962" t="n">
        <v>7</v>
      </c>
      <c r="U962" t="inlineStr">
        <is>
          <t>1998-11-20</t>
        </is>
      </c>
      <c r="V962" t="inlineStr">
        <is>
          <t>1998-11-20</t>
        </is>
      </c>
      <c r="W962" t="inlineStr">
        <is>
          <t>1990-07-27</t>
        </is>
      </c>
      <c r="X962" t="inlineStr">
        <is>
          <t>1990-07-27</t>
        </is>
      </c>
      <c r="Y962" t="n">
        <v>120</v>
      </c>
      <c r="Z962" t="n">
        <v>105</v>
      </c>
      <c r="AA962" t="n">
        <v>1291</v>
      </c>
      <c r="AB962" t="n">
        <v>2</v>
      </c>
      <c r="AC962" t="n">
        <v>9</v>
      </c>
      <c r="AD962" t="n">
        <v>6</v>
      </c>
      <c r="AE962" t="n">
        <v>47</v>
      </c>
      <c r="AF962" t="n">
        <v>3</v>
      </c>
      <c r="AG962" t="n">
        <v>24</v>
      </c>
      <c r="AH962" t="n">
        <v>2</v>
      </c>
      <c r="AI962" t="n">
        <v>8</v>
      </c>
      <c r="AJ962" t="n">
        <v>2</v>
      </c>
      <c r="AK962" t="n">
        <v>19</v>
      </c>
      <c r="AL962" t="n">
        <v>1</v>
      </c>
      <c r="AM962" t="n">
        <v>7</v>
      </c>
      <c r="AN962" t="n">
        <v>0</v>
      </c>
      <c r="AO962" t="n">
        <v>1</v>
      </c>
      <c r="AP962" t="inlineStr">
        <is>
          <t>No</t>
        </is>
      </c>
      <c r="AQ962" t="inlineStr">
        <is>
          <t>Yes</t>
        </is>
      </c>
      <c r="AR962">
        <f>HYPERLINK("http://catalog.hathitrust.org/Record/008317552","HathiTrust Record")</f>
        <v/>
      </c>
      <c r="AS962">
        <f>HYPERLINK("https://creighton-primo.hosted.exlibrisgroup.com/primo-explore/search?tab=default_tab&amp;search_scope=EVERYTHING&amp;vid=01CRU&amp;lang=en_US&amp;offset=0&amp;query=any,contains,991004669599702656","Catalog Record")</f>
        <v/>
      </c>
      <c r="AT962">
        <f>HYPERLINK("http://www.worldcat.org/oclc/4515114","WorldCat Record")</f>
        <v/>
      </c>
      <c r="AU962" t="inlineStr">
        <is>
          <t>20182573:eng</t>
        </is>
      </c>
      <c r="AV962" t="inlineStr">
        <is>
          <t>4515114</t>
        </is>
      </c>
      <c r="AW962" t="inlineStr">
        <is>
          <t>991004669599702656</t>
        </is>
      </c>
      <c r="AX962" t="inlineStr">
        <is>
          <t>991004669599702656</t>
        </is>
      </c>
      <c r="AY962" t="inlineStr">
        <is>
          <t>2263034150002656</t>
        </is>
      </c>
      <c r="AZ962" t="inlineStr">
        <is>
          <t>BOOK</t>
        </is>
      </c>
      <c r="BB962" t="inlineStr">
        <is>
          <t>9780313209093</t>
        </is>
      </c>
      <c r="BC962" t="inlineStr">
        <is>
          <t>32285000228618</t>
        </is>
      </c>
      <c r="BD962" t="inlineStr">
        <is>
          <t>893722547</t>
        </is>
      </c>
    </row>
    <row r="963">
      <c r="A963" t="inlineStr">
        <is>
          <t>No</t>
        </is>
      </c>
      <c r="B963" t="inlineStr">
        <is>
          <t>E210 .R34 1982</t>
        </is>
      </c>
      <c r="C963" t="inlineStr">
        <is>
          <t>0                      E  0210000R  34          1982</t>
        </is>
      </c>
      <c r="D963" t="inlineStr">
        <is>
          <t>The beginnings of national politics : an interpretative history of the Continental Congress / Jack N. Rakove.</t>
        </is>
      </c>
      <c r="F963" t="inlineStr">
        <is>
          <t>No</t>
        </is>
      </c>
      <c r="G963" t="inlineStr">
        <is>
          <t>1</t>
        </is>
      </c>
      <c r="H963" t="inlineStr">
        <is>
          <t>No</t>
        </is>
      </c>
      <c r="I963" t="inlineStr">
        <is>
          <t>No</t>
        </is>
      </c>
      <c r="J963" t="inlineStr">
        <is>
          <t>0</t>
        </is>
      </c>
      <c r="K963" t="inlineStr">
        <is>
          <t>Rakove, Jack N., 1947-</t>
        </is>
      </c>
      <c r="L963" t="inlineStr">
        <is>
          <t>Baltimore : Johns Hopkins University Press, 1982, c1979.</t>
        </is>
      </c>
      <c r="M963" t="inlineStr">
        <is>
          <t>1982</t>
        </is>
      </c>
      <c r="O963" t="inlineStr">
        <is>
          <t>eng</t>
        </is>
      </c>
      <c r="P963" t="inlineStr">
        <is>
          <t>mdu</t>
        </is>
      </c>
      <c r="R963" t="inlineStr">
        <is>
          <t xml:space="preserve">E  </t>
        </is>
      </c>
      <c r="S963" t="n">
        <v>2</v>
      </c>
      <c r="T963" t="n">
        <v>2</v>
      </c>
      <c r="U963" t="inlineStr">
        <is>
          <t>1993-08-06</t>
        </is>
      </c>
      <c r="V963" t="inlineStr">
        <is>
          <t>1993-08-06</t>
        </is>
      </c>
      <c r="W963" t="inlineStr">
        <is>
          <t>1990-07-27</t>
        </is>
      </c>
      <c r="X963" t="inlineStr">
        <is>
          <t>1990-07-27</t>
        </is>
      </c>
      <c r="Y963" t="n">
        <v>219</v>
      </c>
      <c r="Z963" t="n">
        <v>196</v>
      </c>
      <c r="AA963" t="n">
        <v>1033</v>
      </c>
      <c r="AB963" t="n">
        <v>3</v>
      </c>
      <c r="AC963" t="n">
        <v>9</v>
      </c>
      <c r="AD963" t="n">
        <v>15</v>
      </c>
      <c r="AE963" t="n">
        <v>46</v>
      </c>
      <c r="AF963" t="n">
        <v>7</v>
      </c>
      <c r="AG963" t="n">
        <v>17</v>
      </c>
      <c r="AH963" t="n">
        <v>0</v>
      </c>
      <c r="AI963" t="n">
        <v>10</v>
      </c>
      <c r="AJ963" t="n">
        <v>5</v>
      </c>
      <c r="AK963" t="n">
        <v>18</v>
      </c>
      <c r="AL963" t="n">
        <v>1</v>
      </c>
      <c r="AM963" t="n">
        <v>6</v>
      </c>
      <c r="AN963" t="n">
        <v>4</v>
      </c>
      <c r="AO963" t="n">
        <v>5</v>
      </c>
      <c r="AP963" t="inlineStr">
        <is>
          <t>No</t>
        </is>
      </c>
      <c r="AQ963" t="inlineStr">
        <is>
          <t>Yes</t>
        </is>
      </c>
      <c r="AR963">
        <f>HYPERLINK("http://catalog.hathitrust.org/Record/000361864","HathiTrust Record")</f>
        <v/>
      </c>
      <c r="AS963">
        <f>HYPERLINK("https://creighton-primo.hosted.exlibrisgroup.com/primo-explore/search?tab=default_tab&amp;search_scope=EVERYTHING&amp;vid=01CRU&amp;lang=en_US&amp;offset=0&amp;query=any,contains,991005229649702656","Catalog Record")</f>
        <v/>
      </c>
      <c r="AT963">
        <f>HYPERLINK("http://www.worldcat.org/oclc/8306656","WorldCat Record")</f>
        <v/>
      </c>
      <c r="AU963" t="inlineStr">
        <is>
          <t>452630:eng</t>
        </is>
      </c>
      <c r="AV963" t="inlineStr">
        <is>
          <t>8306656</t>
        </is>
      </c>
      <c r="AW963" t="inlineStr">
        <is>
          <t>991005229649702656</t>
        </is>
      </c>
      <c r="AX963" t="inlineStr">
        <is>
          <t>991005229649702656</t>
        </is>
      </c>
      <c r="AY963" t="inlineStr">
        <is>
          <t>2269225480002656</t>
        </is>
      </c>
      <c r="AZ963" t="inlineStr">
        <is>
          <t>BOOK</t>
        </is>
      </c>
      <c r="BB963" t="inlineStr">
        <is>
          <t>9780801828645</t>
        </is>
      </c>
      <c r="BC963" t="inlineStr">
        <is>
          <t>32285000228634</t>
        </is>
      </c>
      <c r="BD963" t="inlineStr">
        <is>
          <t>893248580</t>
        </is>
      </c>
    </row>
    <row r="964">
      <c r="A964" t="inlineStr">
        <is>
          <t>No</t>
        </is>
      </c>
      <c r="B964" t="inlineStr">
        <is>
          <t>E210 .S73</t>
        </is>
      </c>
      <c r="C964" t="inlineStr">
        <is>
          <t>0                      E  0210000S  73</t>
        </is>
      </c>
      <c r="D964" t="inlineStr">
        <is>
          <t>Agents and merchants : British colonial policy and the origins of the American Revolution, 1763-1775 / [by] Jack M. Sosin.</t>
        </is>
      </c>
      <c r="F964" t="inlineStr">
        <is>
          <t>No</t>
        </is>
      </c>
      <c r="G964" t="inlineStr">
        <is>
          <t>1</t>
        </is>
      </c>
      <c r="H964" t="inlineStr">
        <is>
          <t>No</t>
        </is>
      </c>
      <c r="I964" t="inlineStr">
        <is>
          <t>No</t>
        </is>
      </c>
      <c r="J964" t="inlineStr">
        <is>
          <t>0</t>
        </is>
      </c>
      <c r="K964" t="inlineStr">
        <is>
          <t>Sosin, Jack M.</t>
        </is>
      </c>
      <c r="L964" t="inlineStr">
        <is>
          <t>Lincoln : University of Nebraska Press, 1965.</t>
        </is>
      </c>
      <c r="M964" t="inlineStr">
        <is>
          <t>1965</t>
        </is>
      </c>
      <c r="O964" t="inlineStr">
        <is>
          <t>eng</t>
        </is>
      </c>
      <c r="P964" t="inlineStr">
        <is>
          <t>nbu</t>
        </is>
      </c>
      <c r="R964" t="inlineStr">
        <is>
          <t xml:space="preserve">E  </t>
        </is>
      </c>
      <c r="S964" t="n">
        <v>1</v>
      </c>
      <c r="T964" t="n">
        <v>1</v>
      </c>
      <c r="U964" t="inlineStr">
        <is>
          <t>1996-09-08</t>
        </is>
      </c>
      <c r="V964" t="inlineStr">
        <is>
          <t>1996-09-08</t>
        </is>
      </c>
      <c r="W964" t="inlineStr">
        <is>
          <t>1992-09-21</t>
        </is>
      </c>
      <c r="X964" t="inlineStr">
        <is>
          <t>1992-09-21</t>
        </is>
      </c>
      <c r="Y964" t="n">
        <v>837</v>
      </c>
      <c r="Z964" t="n">
        <v>742</v>
      </c>
      <c r="AA964" t="n">
        <v>751</v>
      </c>
      <c r="AB964" t="n">
        <v>12</v>
      </c>
      <c r="AC964" t="n">
        <v>12</v>
      </c>
      <c r="AD964" t="n">
        <v>47</v>
      </c>
      <c r="AE964" t="n">
        <v>47</v>
      </c>
      <c r="AF964" t="n">
        <v>19</v>
      </c>
      <c r="AG964" t="n">
        <v>19</v>
      </c>
      <c r="AH964" t="n">
        <v>10</v>
      </c>
      <c r="AI964" t="n">
        <v>10</v>
      </c>
      <c r="AJ964" t="n">
        <v>19</v>
      </c>
      <c r="AK964" t="n">
        <v>19</v>
      </c>
      <c r="AL964" t="n">
        <v>10</v>
      </c>
      <c r="AM964" t="n">
        <v>10</v>
      </c>
      <c r="AN964" t="n">
        <v>0</v>
      </c>
      <c r="AO964" t="n">
        <v>0</v>
      </c>
      <c r="AP964" t="inlineStr">
        <is>
          <t>No</t>
        </is>
      </c>
      <c r="AQ964" t="inlineStr">
        <is>
          <t>Yes</t>
        </is>
      </c>
      <c r="AR964">
        <f>HYPERLINK("http://catalog.hathitrust.org/Record/000361921","HathiTrust Record")</f>
        <v/>
      </c>
      <c r="AS964">
        <f>HYPERLINK("https://creighton-primo.hosted.exlibrisgroup.com/primo-explore/search?tab=default_tab&amp;search_scope=EVERYTHING&amp;vid=01CRU&amp;lang=en_US&amp;offset=0&amp;query=any,contains,991002756039702656","Catalog Record")</f>
        <v/>
      </c>
      <c r="AT964">
        <f>HYPERLINK("http://www.worldcat.org/oclc/426499","WorldCat Record")</f>
        <v/>
      </c>
      <c r="AU964" t="inlineStr">
        <is>
          <t>1520329:eng</t>
        </is>
      </c>
      <c r="AV964" t="inlineStr">
        <is>
          <t>426499</t>
        </is>
      </c>
      <c r="AW964" t="inlineStr">
        <is>
          <t>991002756039702656</t>
        </is>
      </c>
      <c r="AX964" t="inlineStr">
        <is>
          <t>991002756039702656</t>
        </is>
      </c>
      <c r="AY964" t="inlineStr">
        <is>
          <t>2265371330002656</t>
        </is>
      </c>
      <c r="AZ964" t="inlineStr">
        <is>
          <t>BOOK</t>
        </is>
      </c>
      <c r="BC964" t="inlineStr">
        <is>
          <t>32285001303808</t>
        </is>
      </c>
      <c r="BD964" t="inlineStr">
        <is>
          <t>893427979</t>
        </is>
      </c>
    </row>
    <row r="965">
      <c r="A965" t="inlineStr">
        <is>
          <t>No</t>
        </is>
      </c>
      <c r="B965" t="inlineStr">
        <is>
          <t>E210 .T83 1982</t>
        </is>
      </c>
      <c r="C965" t="inlineStr">
        <is>
          <t>0                      E  0210000T  83          1982</t>
        </is>
      </c>
      <c r="D965" t="inlineStr">
        <is>
          <t>The fall of the first British Empire : origins of the War of American Independence / Robert W. Tucker and David C. Hendrickson.</t>
        </is>
      </c>
      <c r="F965" t="inlineStr">
        <is>
          <t>No</t>
        </is>
      </c>
      <c r="G965" t="inlineStr">
        <is>
          <t>1</t>
        </is>
      </c>
      <c r="H965" t="inlineStr">
        <is>
          <t>No</t>
        </is>
      </c>
      <c r="I965" t="inlineStr">
        <is>
          <t>No</t>
        </is>
      </c>
      <c r="J965" t="inlineStr">
        <is>
          <t>0</t>
        </is>
      </c>
      <c r="K965" t="inlineStr">
        <is>
          <t>Tucker, Robert W.</t>
        </is>
      </c>
      <c r="L965" t="inlineStr">
        <is>
          <t>Baltimore : Johns Hopkins University Press, c1982.</t>
        </is>
      </c>
      <c r="M965" t="inlineStr">
        <is>
          <t>1982</t>
        </is>
      </c>
      <c r="O965" t="inlineStr">
        <is>
          <t>eng</t>
        </is>
      </c>
      <c r="P965" t="inlineStr">
        <is>
          <t>mdu</t>
        </is>
      </c>
      <c r="R965" t="inlineStr">
        <is>
          <t xml:space="preserve">E  </t>
        </is>
      </c>
      <c r="S965" t="n">
        <v>2</v>
      </c>
      <c r="T965" t="n">
        <v>2</v>
      </c>
      <c r="U965" t="inlineStr">
        <is>
          <t>1992-11-03</t>
        </is>
      </c>
      <c r="V965" t="inlineStr">
        <is>
          <t>1992-11-03</t>
        </is>
      </c>
      <c r="W965" t="inlineStr">
        <is>
          <t>1990-07-27</t>
        </is>
      </c>
      <c r="X965" t="inlineStr">
        <is>
          <t>1990-07-27</t>
        </is>
      </c>
      <c r="Y965" t="n">
        <v>715</v>
      </c>
      <c r="Z965" t="n">
        <v>579</v>
      </c>
      <c r="AA965" t="n">
        <v>582</v>
      </c>
      <c r="AB965" t="n">
        <v>4</v>
      </c>
      <c r="AC965" t="n">
        <v>4</v>
      </c>
      <c r="AD965" t="n">
        <v>25</v>
      </c>
      <c r="AE965" t="n">
        <v>25</v>
      </c>
      <c r="AF965" t="n">
        <v>9</v>
      </c>
      <c r="AG965" t="n">
        <v>9</v>
      </c>
      <c r="AH965" t="n">
        <v>8</v>
      </c>
      <c r="AI965" t="n">
        <v>8</v>
      </c>
      <c r="AJ965" t="n">
        <v>14</v>
      </c>
      <c r="AK965" t="n">
        <v>14</v>
      </c>
      <c r="AL965" t="n">
        <v>3</v>
      </c>
      <c r="AM965" t="n">
        <v>3</v>
      </c>
      <c r="AN965" t="n">
        <v>0</v>
      </c>
      <c r="AO965" t="n">
        <v>0</v>
      </c>
      <c r="AP965" t="inlineStr">
        <is>
          <t>No</t>
        </is>
      </c>
      <c r="AQ965" t="inlineStr">
        <is>
          <t>Yes</t>
        </is>
      </c>
      <c r="AR965">
        <f>HYPERLINK("http://catalog.hathitrust.org/Record/000269923","HathiTrust Record")</f>
        <v/>
      </c>
      <c r="AS965">
        <f>HYPERLINK("https://creighton-primo.hosted.exlibrisgroup.com/primo-explore/search?tab=default_tab&amp;search_scope=EVERYTHING&amp;vid=01CRU&amp;lang=en_US&amp;offset=0&amp;query=any,contains,991005247299702656","Catalog Record")</f>
        <v/>
      </c>
      <c r="AT965">
        <f>HYPERLINK("http://www.worldcat.org/oclc/8474186","WorldCat Record")</f>
        <v/>
      </c>
      <c r="AU965" t="inlineStr">
        <is>
          <t>31766215:eng</t>
        </is>
      </c>
      <c r="AV965" t="inlineStr">
        <is>
          <t>8474186</t>
        </is>
      </c>
      <c r="AW965" t="inlineStr">
        <is>
          <t>991005247299702656</t>
        </is>
      </c>
      <c r="AX965" t="inlineStr">
        <is>
          <t>991005247299702656</t>
        </is>
      </c>
      <c r="AY965" t="inlineStr">
        <is>
          <t>2258868880002656</t>
        </is>
      </c>
      <c r="AZ965" t="inlineStr">
        <is>
          <t>BOOK</t>
        </is>
      </c>
      <c r="BB965" t="inlineStr">
        <is>
          <t>9780801827808</t>
        </is>
      </c>
      <c r="BC965" t="inlineStr">
        <is>
          <t>32285000228642</t>
        </is>
      </c>
      <c r="BD965" t="inlineStr">
        <is>
          <t>893353788</t>
        </is>
      </c>
    </row>
    <row r="966">
      <c r="A966" t="inlineStr">
        <is>
          <t>No</t>
        </is>
      </c>
      <c r="B966" t="inlineStr">
        <is>
          <t>E210 .W5</t>
        </is>
      </c>
      <c r="C966" t="inlineStr">
        <is>
          <t>0                      E  0210000W  5</t>
        </is>
      </c>
      <c r="D966" t="inlineStr">
        <is>
          <t>British subministers and colonial America, 1763-1783 / by Franklin B. Wickwire.</t>
        </is>
      </c>
      <c r="F966" t="inlineStr">
        <is>
          <t>No</t>
        </is>
      </c>
      <c r="G966" t="inlineStr">
        <is>
          <t>1</t>
        </is>
      </c>
      <c r="H966" t="inlineStr">
        <is>
          <t>No</t>
        </is>
      </c>
      <c r="I966" t="inlineStr">
        <is>
          <t>No</t>
        </is>
      </c>
      <c r="J966" t="inlineStr">
        <is>
          <t>0</t>
        </is>
      </c>
      <c r="K966" t="inlineStr">
        <is>
          <t>Wickwire, Franklin (Franklin B.), 1931-</t>
        </is>
      </c>
      <c r="L966" t="inlineStr">
        <is>
          <t>Princeton, N.J. : Princeton University Press, 1966.</t>
        </is>
      </c>
      <c r="M966" t="inlineStr">
        <is>
          <t>1966</t>
        </is>
      </c>
      <c r="O966" t="inlineStr">
        <is>
          <t>eng</t>
        </is>
      </c>
      <c r="P966" t="inlineStr">
        <is>
          <t>nju</t>
        </is>
      </c>
      <c r="R966" t="inlineStr">
        <is>
          <t xml:space="preserve">E  </t>
        </is>
      </c>
      <c r="S966" t="n">
        <v>1</v>
      </c>
      <c r="T966" t="n">
        <v>1</v>
      </c>
      <c r="U966" t="inlineStr">
        <is>
          <t>2002-11-06</t>
        </is>
      </c>
      <c r="V966" t="inlineStr">
        <is>
          <t>2002-11-06</t>
        </is>
      </c>
      <c r="W966" t="inlineStr">
        <is>
          <t>1992-09-16</t>
        </is>
      </c>
      <c r="X966" t="inlineStr">
        <is>
          <t>1992-09-16</t>
        </is>
      </c>
      <c r="Y966" t="n">
        <v>761</v>
      </c>
      <c r="Z966" t="n">
        <v>663</v>
      </c>
      <c r="AA966" t="n">
        <v>670</v>
      </c>
      <c r="AB966" t="n">
        <v>7</v>
      </c>
      <c r="AC966" t="n">
        <v>7</v>
      </c>
      <c r="AD966" t="n">
        <v>36</v>
      </c>
      <c r="AE966" t="n">
        <v>36</v>
      </c>
      <c r="AF966" t="n">
        <v>14</v>
      </c>
      <c r="AG966" t="n">
        <v>14</v>
      </c>
      <c r="AH966" t="n">
        <v>11</v>
      </c>
      <c r="AI966" t="n">
        <v>11</v>
      </c>
      <c r="AJ966" t="n">
        <v>15</v>
      </c>
      <c r="AK966" t="n">
        <v>15</v>
      </c>
      <c r="AL966" t="n">
        <v>6</v>
      </c>
      <c r="AM966" t="n">
        <v>6</v>
      </c>
      <c r="AN966" t="n">
        <v>1</v>
      </c>
      <c r="AO966" t="n">
        <v>1</v>
      </c>
      <c r="AP966" t="inlineStr">
        <is>
          <t>No</t>
        </is>
      </c>
      <c r="AQ966" t="inlineStr">
        <is>
          <t>Yes</t>
        </is>
      </c>
      <c r="AR966">
        <f>HYPERLINK("http://catalog.hathitrust.org/Record/000361922","HathiTrust Record")</f>
        <v/>
      </c>
      <c r="AS966">
        <f>HYPERLINK("https://creighton-primo.hosted.exlibrisgroup.com/primo-explore/search?tab=default_tab&amp;search_scope=EVERYTHING&amp;vid=01CRU&amp;lang=en_US&amp;offset=0&amp;query=any,contains,991002756129702656","Catalog Record")</f>
        <v/>
      </c>
      <c r="AT966">
        <f>HYPERLINK("http://www.worldcat.org/oclc/426505","WorldCat Record")</f>
        <v/>
      </c>
      <c r="AU966" t="inlineStr">
        <is>
          <t>1520347:eng</t>
        </is>
      </c>
      <c r="AV966" t="inlineStr">
        <is>
          <t>426505</t>
        </is>
      </c>
      <c r="AW966" t="inlineStr">
        <is>
          <t>991002756129702656</t>
        </is>
      </c>
      <c r="AX966" t="inlineStr">
        <is>
          <t>991002756129702656</t>
        </is>
      </c>
      <c r="AY966" t="inlineStr">
        <is>
          <t>2265359610002656</t>
        </is>
      </c>
      <c r="AZ966" t="inlineStr">
        <is>
          <t>BOOK</t>
        </is>
      </c>
      <c r="BC966" t="inlineStr">
        <is>
          <t>32285001300960</t>
        </is>
      </c>
      <c r="BD966" t="inlineStr">
        <is>
          <t>893899174</t>
        </is>
      </c>
    </row>
    <row r="967">
      <c r="A967" t="inlineStr">
        <is>
          <t>No</t>
        </is>
      </c>
      <c r="B967" t="inlineStr">
        <is>
          <t>E211 .C48 1970</t>
        </is>
      </c>
      <c r="C967" t="inlineStr">
        <is>
          <t>0                      E  0211000C  48          1970</t>
        </is>
      </c>
      <c r="D967" t="inlineStr">
        <is>
          <t>The beginnings of the American Revolution : based on contemporary letters, diaries, and other documents.</t>
        </is>
      </c>
      <c r="F967" t="inlineStr">
        <is>
          <t>Yes</t>
        </is>
      </c>
      <c r="G967" t="inlineStr">
        <is>
          <t>1</t>
        </is>
      </c>
      <c r="H967" t="inlineStr">
        <is>
          <t>Yes</t>
        </is>
      </c>
      <c r="I967" t="inlineStr">
        <is>
          <t>No</t>
        </is>
      </c>
      <c r="J967" t="inlineStr">
        <is>
          <t>0</t>
        </is>
      </c>
      <c r="K967" t="inlineStr">
        <is>
          <t>Chase, Ellen.</t>
        </is>
      </c>
      <c r="L967" t="inlineStr">
        <is>
          <t>Port Washington, N.Y. : Kennikat Press, [1970]</t>
        </is>
      </c>
      <c r="M967" t="inlineStr">
        <is>
          <t>1970</t>
        </is>
      </c>
      <c r="O967" t="inlineStr">
        <is>
          <t>eng</t>
        </is>
      </c>
      <c r="P967" t="inlineStr">
        <is>
          <t>nyu</t>
        </is>
      </c>
      <c r="Q967" t="inlineStr">
        <is>
          <t>Kennikat American bicentennial series</t>
        </is>
      </c>
      <c r="R967" t="inlineStr">
        <is>
          <t xml:space="preserve">E  </t>
        </is>
      </c>
      <c r="S967" t="n">
        <v>4</v>
      </c>
      <c r="T967" t="n">
        <v>4</v>
      </c>
      <c r="U967" t="inlineStr">
        <is>
          <t>2005-11-03</t>
        </is>
      </c>
      <c r="V967" t="inlineStr">
        <is>
          <t>2005-11-03</t>
        </is>
      </c>
      <c r="W967" t="inlineStr">
        <is>
          <t>1992-11-24</t>
        </is>
      </c>
      <c r="X967" t="inlineStr">
        <is>
          <t>1997-03-31</t>
        </is>
      </c>
      <c r="Y967" t="n">
        <v>178</v>
      </c>
      <c r="Z967" t="n">
        <v>165</v>
      </c>
      <c r="AA967" t="n">
        <v>284</v>
      </c>
      <c r="AB967" t="n">
        <v>2</v>
      </c>
      <c r="AC967" t="n">
        <v>3</v>
      </c>
      <c r="AD967" t="n">
        <v>4</v>
      </c>
      <c r="AE967" t="n">
        <v>11</v>
      </c>
      <c r="AF967" t="n">
        <v>0</v>
      </c>
      <c r="AG967" t="n">
        <v>0</v>
      </c>
      <c r="AH967" t="n">
        <v>2</v>
      </c>
      <c r="AI967" t="n">
        <v>3</v>
      </c>
      <c r="AJ967" t="n">
        <v>2</v>
      </c>
      <c r="AK967" t="n">
        <v>7</v>
      </c>
      <c r="AL967" t="n">
        <v>1</v>
      </c>
      <c r="AM967" t="n">
        <v>2</v>
      </c>
      <c r="AN967" t="n">
        <v>0</v>
      </c>
      <c r="AO967" t="n">
        <v>0</v>
      </c>
      <c r="AP967" t="inlineStr">
        <is>
          <t>No</t>
        </is>
      </c>
      <c r="AQ967" t="inlineStr">
        <is>
          <t>Yes</t>
        </is>
      </c>
      <c r="AR967">
        <f>HYPERLINK("http://catalog.hathitrust.org/Record/004387625","HathiTrust Record")</f>
        <v/>
      </c>
      <c r="AS967">
        <f>HYPERLINK("https://creighton-primo.hosted.exlibrisgroup.com/primo-explore/search?tab=default_tab&amp;search_scope=EVERYTHING&amp;vid=01CRU&amp;lang=en_US&amp;offset=0&amp;query=any,contains,991000550649702656","Catalog Record")</f>
        <v/>
      </c>
      <c r="AT967">
        <f>HYPERLINK("http://www.worldcat.org/oclc/92600","WorldCat Record")</f>
        <v/>
      </c>
      <c r="AU967" t="inlineStr">
        <is>
          <t>1306540:eng</t>
        </is>
      </c>
      <c r="AV967" t="inlineStr">
        <is>
          <t>92600</t>
        </is>
      </c>
      <c r="AW967" t="inlineStr">
        <is>
          <t>991000550649702656</t>
        </is>
      </c>
      <c r="AX967" t="inlineStr">
        <is>
          <t>991000550649702656</t>
        </is>
      </c>
      <c r="AY967" t="inlineStr">
        <is>
          <t>2262744060002656</t>
        </is>
      </c>
      <c r="AZ967" t="inlineStr">
        <is>
          <t>BOOK</t>
        </is>
      </c>
      <c r="BB967" t="inlineStr">
        <is>
          <t>9780804612647</t>
        </is>
      </c>
      <c r="BC967" t="inlineStr">
        <is>
          <t>32285001408979</t>
        </is>
      </c>
      <c r="BD967" t="inlineStr">
        <is>
          <t>893508888</t>
        </is>
      </c>
    </row>
    <row r="968">
      <c r="A968" t="inlineStr">
        <is>
          <t>No</t>
        </is>
      </c>
      <c r="B968" t="inlineStr">
        <is>
          <t>E211 .C48 1970 V.2</t>
        </is>
      </c>
      <c r="C968" t="inlineStr">
        <is>
          <t>0                      E  0211000C  48          1970                                        V.2</t>
        </is>
      </c>
      <c r="D968" t="inlineStr">
        <is>
          <t>The beginnings of the American Revolution : based on contemporary letters, diaries, and other documents.</t>
        </is>
      </c>
      <c r="E968" t="inlineStr">
        <is>
          <t>V.2*</t>
        </is>
      </c>
      <c r="F968" t="inlineStr">
        <is>
          <t>Yes</t>
        </is>
      </c>
      <c r="G968" t="inlineStr">
        <is>
          <t>1</t>
        </is>
      </c>
      <c r="H968" t="inlineStr">
        <is>
          <t>No</t>
        </is>
      </c>
      <c r="I968" t="inlineStr">
        <is>
          <t>No</t>
        </is>
      </c>
      <c r="J968" t="inlineStr">
        <is>
          <t>0</t>
        </is>
      </c>
      <c r="K968" t="inlineStr">
        <is>
          <t>Chase, Ellen.</t>
        </is>
      </c>
      <c r="L968" t="inlineStr">
        <is>
          <t>Port Washington, N.Y. : Kennikat Press, [1970]</t>
        </is>
      </c>
      <c r="M968" t="inlineStr">
        <is>
          <t>1970</t>
        </is>
      </c>
      <c r="O968" t="inlineStr">
        <is>
          <t>eng</t>
        </is>
      </c>
      <c r="P968" t="inlineStr">
        <is>
          <t>nyu</t>
        </is>
      </c>
      <c r="Q968" t="inlineStr">
        <is>
          <t>Kennikat American bicentennial series</t>
        </is>
      </c>
      <c r="R968" t="inlineStr">
        <is>
          <t xml:space="preserve">E  </t>
        </is>
      </c>
      <c r="S968" t="n">
        <v>0</v>
      </c>
      <c r="T968" t="n">
        <v>4</v>
      </c>
      <c r="V968" t="inlineStr">
        <is>
          <t>2005-11-03</t>
        </is>
      </c>
      <c r="W968" t="inlineStr">
        <is>
          <t>1992-11-24</t>
        </is>
      </c>
      <c r="X968" t="inlineStr">
        <is>
          <t>1997-03-31</t>
        </is>
      </c>
      <c r="Y968" t="n">
        <v>178</v>
      </c>
      <c r="Z968" t="n">
        <v>165</v>
      </c>
      <c r="AA968" t="n">
        <v>284</v>
      </c>
      <c r="AB968" t="n">
        <v>2</v>
      </c>
      <c r="AC968" t="n">
        <v>3</v>
      </c>
      <c r="AD968" t="n">
        <v>4</v>
      </c>
      <c r="AE968" t="n">
        <v>11</v>
      </c>
      <c r="AF968" t="n">
        <v>0</v>
      </c>
      <c r="AG968" t="n">
        <v>0</v>
      </c>
      <c r="AH968" t="n">
        <v>2</v>
      </c>
      <c r="AI968" t="n">
        <v>3</v>
      </c>
      <c r="AJ968" t="n">
        <v>2</v>
      </c>
      <c r="AK968" t="n">
        <v>7</v>
      </c>
      <c r="AL968" t="n">
        <v>1</v>
      </c>
      <c r="AM968" t="n">
        <v>2</v>
      </c>
      <c r="AN968" t="n">
        <v>0</v>
      </c>
      <c r="AO968" t="n">
        <v>0</v>
      </c>
      <c r="AP968" t="inlineStr">
        <is>
          <t>No</t>
        </is>
      </c>
      <c r="AQ968" t="inlineStr">
        <is>
          <t>Yes</t>
        </is>
      </c>
      <c r="AR968">
        <f>HYPERLINK("http://catalog.hathitrust.org/Record/004387625","HathiTrust Record")</f>
        <v/>
      </c>
      <c r="AS968">
        <f>HYPERLINK("https://creighton-primo.hosted.exlibrisgroup.com/primo-explore/search?tab=default_tab&amp;search_scope=EVERYTHING&amp;vid=01CRU&amp;lang=en_US&amp;offset=0&amp;query=any,contains,991000550649702656","Catalog Record")</f>
        <v/>
      </c>
      <c r="AT968">
        <f>HYPERLINK("http://www.worldcat.org/oclc/92600","WorldCat Record")</f>
        <v/>
      </c>
      <c r="AU968" t="inlineStr">
        <is>
          <t>1306540:eng</t>
        </is>
      </c>
      <c r="AV968" t="inlineStr">
        <is>
          <t>92600</t>
        </is>
      </c>
      <c r="AW968" t="inlineStr">
        <is>
          <t>991000550649702656</t>
        </is>
      </c>
      <c r="AX968" t="inlineStr">
        <is>
          <t>991000550649702656</t>
        </is>
      </c>
      <c r="AY968" t="inlineStr">
        <is>
          <t>2262744060002656</t>
        </is>
      </c>
      <c r="AZ968" t="inlineStr">
        <is>
          <t>BOOK</t>
        </is>
      </c>
      <c r="BB968" t="inlineStr">
        <is>
          <t>9780804612647</t>
        </is>
      </c>
      <c r="BC968" t="inlineStr">
        <is>
          <t>32285001408987</t>
        </is>
      </c>
      <c r="BD968" t="inlineStr">
        <is>
          <t>893528150</t>
        </is>
      </c>
    </row>
    <row r="969">
      <c r="A969" t="inlineStr">
        <is>
          <t>No</t>
        </is>
      </c>
      <c r="B969" t="inlineStr">
        <is>
          <t>E211 .C48 1970 V.3</t>
        </is>
      </c>
      <c r="C969" t="inlineStr">
        <is>
          <t>0                      E  0211000C  48          1970                                        V.3</t>
        </is>
      </c>
      <c r="D969" t="inlineStr">
        <is>
          <t>The beginnings of the American Revolution : based on contemporary letters, diaries, and other documents.</t>
        </is>
      </c>
      <c r="E969" t="inlineStr">
        <is>
          <t>V.3*</t>
        </is>
      </c>
      <c r="F969" t="inlineStr">
        <is>
          <t>Yes</t>
        </is>
      </c>
      <c r="G969" t="inlineStr">
        <is>
          <t>1</t>
        </is>
      </c>
      <c r="H969" t="inlineStr">
        <is>
          <t>No</t>
        </is>
      </c>
      <c r="I969" t="inlineStr">
        <is>
          <t>No</t>
        </is>
      </c>
      <c r="J969" t="inlineStr">
        <is>
          <t>0</t>
        </is>
      </c>
      <c r="K969" t="inlineStr">
        <is>
          <t>Chase, Ellen.</t>
        </is>
      </c>
      <c r="L969" t="inlineStr">
        <is>
          <t>Port Washington, N.Y. : Kennikat Press, [1970]</t>
        </is>
      </c>
      <c r="M969" t="inlineStr">
        <is>
          <t>1970</t>
        </is>
      </c>
      <c r="O969" t="inlineStr">
        <is>
          <t>eng</t>
        </is>
      </c>
      <c r="P969" t="inlineStr">
        <is>
          <t>nyu</t>
        </is>
      </c>
      <c r="Q969" t="inlineStr">
        <is>
          <t>Kennikat American bicentennial series</t>
        </is>
      </c>
      <c r="R969" t="inlineStr">
        <is>
          <t xml:space="preserve">E  </t>
        </is>
      </c>
      <c r="S969" t="n">
        <v>0</v>
      </c>
      <c r="T969" t="n">
        <v>4</v>
      </c>
      <c r="V969" t="inlineStr">
        <is>
          <t>2005-11-03</t>
        </is>
      </c>
      <c r="W969" t="inlineStr">
        <is>
          <t>1997-03-31</t>
        </is>
      </c>
      <c r="X969" t="inlineStr">
        <is>
          <t>1997-03-31</t>
        </is>
      </c>
      <c r="Y969" t="n">
        <v>178</v>
      </c>
      <c r="Z969" t="n">
        <v>165</v>
      </c>
      <c r="AA969" t="n">
        <v>284</v>
      </c>
      <c r="AB969" t="n">
        <v>2</v>
      </c>
      <c r="AC969" t="n">
        <v>3</v>
      </c>
      <c r="AD969" t="n">
        <v>4</v>
      </c>
      <c r="AE969" t="n">
        <v>11</v>
      </c>
      <c r="AF969" t="n">
        <v>0</v>
      </c>
      <c r="AG969" t="n">
        <v>0</v>
      </c>
      <c r="AH969" t="n">
        <v>2</v>
      </c>
      <c r="AI969" t="n">
        <v>3</v>
      </c>
      <c r="AJ969" t="n">
        <v>2</v>
      </c>
      <c r="AK969" t="n">
        <v>7</v>
      </c>
      <c r="AL969" t="n">
        <v>1</v>
      </c>
      <c r="AM969" t="n">
        <v>2</v>
      </c>
      <c r="AN969" t="n">
        <v>0</v>
      </c>
      <c r="AO969" t="n">
        <v>0</v>
      </c>
      <c r="AP969" t="inlineStr">
        <is>
          <t>No</t>
        </is>
      </c>
      <c r="AQ969" t="inlineStr">
        <is>
          <t>Yes</t>
        </is>
      </c>
      <c r="AR969">
        <f>HYPERLINK("http://catalog.hathitrust.org/Record/004387625","HathiTrust Record")</f>
        <v/>
      </c>
      <c r="AS969">
        <f>HYPERLINK("https://creighton-primo.hosted.exlibrisgroup.com/primo-explore/search?tab=default_tab&amp;search_scope=EVERYTHING&amp;vid=01CRU&amp;lang=en_US&amp;offset=0&amp;query=any,contains,991000550649702656","Catalog Record")</f>
        <v/>
      </c>
      <c r="AT969">
        <f>HYPERLINK("http://www.worldcat.org/oclc/92600","WorldCat Record")</f>
        <v/>
      </c>
      <c r="AU969" t="inlineStr">
        <is>
          <t>1306540:eng</t>
        </is>
      </c>
      <c r="AV969" t="inlineStr">
        <is>
          <t>92600</t>
        </is>
      </c>
      <c r="AW969" t="inlineStr">
        <is>
          <t>991000550649702656</t>
        </is>
      </c>
      <c r="AX969" t="inlineStr">
        <is>
          <t>991000550649702656</t>
        </is>
      </c>
      <c r="AY969" t="inlineStr">
        <is>
          <t>2262744060002656</t>
        </is>
      </c>
      <c r="AZ969" t="inlineStr">
        <is>
          <t>BOOK</t>
        </is>
      </c>
      <c r="BB969" t="inlineStr">
        <is>
          <t>9780804612647</t>
        </is>
      </c>
      <c r="BC969" t="inlineStr">
        <is>
          <t>32285002485893</t>
        </is>
      </c>
      <c r="BD969" t="inlineStr">
        <is>
          <t>893534207</t>
        </is>
      </c>
    </row>
    <row r="970">
      <c r="A970" t="inlineStr">
        <is>
          <t>No</t>
        </is>
      </c>
      <c r="B970" t="inlineStr">
        <is>
          <t>E211 .T56 1976</t>
        </is>
      </c>
      <c r="C970" t="inlineStr">
        <is>
          <t>0                      E  0211000T  56          1976</t>
        </is>
      </c>
      <c r="D970" t="inlineStr">
        <is>
          <t>Three revolutions.</t>
        </is>
      </c>
      <c r="F970" t="inlineStr">
        <is>
          <t>No</t>
        </is>
      </c>
      <c r="G970" t="inlineStr">
        <is>
          <t>1</t>
        </is>
      </c>
      <c r="H970" t="inlineStr">
        <is>
          <t>No</t>
        </is>
      </c>
      <c r="I970" t="inlineStr">
        <is>
          <t>No</t>
        </is>
      </c>
      <c r="J970" t="inlineStr">
        <is>
          <t>0</t>
        </is>
      </c>
      <c r="L970" t="inlineStr">
        <is>
          <t>Westport, Conn. : Greenwood Press, 1976.</t>
        </is>
      </c>
      <c r="M970" t="inlineStr">
        <is>
          <t>1976</t>
        </is>
      </c>
      <c r="O970" t="inlineStr">
        <is>
          <t>eng</t>
        </is>
      </c>
      <c r="P970" t="inlineStr">
        <is>
          <t>ctu</t>
        </is>
      </c>
      <c r="R970" t="inlineStr">
        <is>
          <t xml:space="preserve">E  </t>
        </is>
      </c>
      <c r="S970" t="n">
        <v>2</v>
      </c>
      <c r="T970" t="n">
        <v>2</v>
      </c>
      <c r="U970" t="inlineStr">
        <is>
          <t>2002-11-03</t>
        </is>
      </c>
      <c r="V970" t="inlineStr">
        <is>
          <t>2002-11-03</t>
        </is>
      </c>
      <c r="W970" t="inlineStr">
        <is>
          <t>1997-05-06</t>
        </is>
      </c>
      <c r="X970" t="inlineStr">
        <is>
          <t>1997-05-06</t>
        </is>
      </c>
      <c r="Y970" t="n">
        <v>85</v>
      </c>
      <c r="Z970" t="n">
        <v>78</v>
      </c>
      <c r="AA970" t="n">
        <v>275</v>
      </c>
      <c r="AB970" t="n">
        <v>1</v>
      </c>
      <c r="AC970" t="n">
        <v>4</v>
      </c>
      <c r="AD970" t="n">
        <v>3</v>
      </c>
      <c r="AE970" t="n">
        <v>15</v>
      </c>
      <c r="AF970" t="n">
        <v>1</v>
      </c>
      <c r="AG970" t="n">
        <v>5</v>
      </c>
      <c r="AH970" t="n">
        <v>2</v>
      </c>
      <c r="AI970" t="n">
        <v>2</v>
      </c>
      <c r="AJ970" t="n">
        <v>2</v>
      </c>
      <c r="AK970" t="n">
        <v>9</v>
      </c>
      <c r="AL970" t="n">
        <v>0</v>
      </c>
      <c r="AM970" t="n">
        <v>3</v>
      </c>
      <c r="AN970" t="n">
        <v>0</v>
      </c>
      <c r="AO970" t="n">
        <v>0</v>
      </c>
      <c r="AP970" t="inlineStr">
        <is>
          <t>No</t>
        </is>
      </c>
      <c r="AQ970" t="inlineStr">
        <is>
          <t>No</t>
        </is>
      </c>
      <c r="AS970">
        <f>HYPERLINK("https://creighton-primo.hosted.exlibrisgroup.com/primo-explore/search?tab=default_tab&amp;search_scope=EVERYTHING&amp;vid=01CRU&amp;lang=en_US&amp;offset=0&amp;query=any,contains,991004251779702656","Catalog Record")</f>
        <v/>
      </c>
      <c r="AT970">
        <f>HYPERLINK("http://www.worldcat.org/oclc/2815343","WorldCat Record")</f>
        <v/>
      </c>
      <c r="AU970" t="inlineStr">
        <is>
          <t>9846481887:eng</t>
        </is>
      </c>
      <c r="AV970" t="inlineStr">
        <is>
          <t>2815343</t>
        </is>
      </c>
      <c r="AW970" t="inlineStr">
        <is>
          <t>991004251779702656</t>
        </is>
      </c>
      <c r="AX970" t="inlineStr">
        <is>
          <t>991004251779702656</t>
        </is>
      </c>
      <c r="AY970" t="inlineStr">
        <is>
          <t>2258341850002656</t>
        </is>
      </c>
      <c r="AZ970" t="inlineStr">
        <is>
          <t>BOOK</t>
        </is>
      </c>
      <c r="BB970" t="inlineStr">
        <is>
          <t>9780837180908</t>
        </is>
      </c>
      <c r="BC970" t="inlineStr">
        <is>
          <t>32285002574381</t>
        </is>
      </c>
      <c r="BD970" t="inlineStr">
        <is>
          <t>893693717</t>
        </is>
      </c>
    </row>
    <row r="971">
      <c r="A971" t="inlineStr">
        <is>
          <t>No</t>
        </is>
      </c>
      <c r="B971" t="inlineStr">
        <is>
          <t>E215.1 .D53</t>
        </is>
      </c>
      <c r="C971" t="inlineStr">
        <is>
          <t>0                      E  0215100D  53</t>
        </is>
      </c>
      <c r="D971" t="inlineStr">
        <is>
          <t>The navigation acts and the American Revolution.</t>
        </is>
      </c>
      <c r="F971" t="inlineStr">
        <is>
          <t>No</t>
        </is>
      </c>
      <c r="G971" t="inlineStr">
        <is>
          <t>1</t>
        </is>
      </c>
      <c r="H971" t="inlineStr">
        <is>
          <t>No</t>
        </is>
      </c>
      <c r="I971" t="inlineStr">
        <is>
          <t>No</t>
        </is>
      </c>
      <c r="J971" t="inlineStr">
        <is>
          <t>0</t>
        </is>
      </c>
      <c r="K971" t="inlineStr">
        <is>
          <t>Dickerson, O. M. (Oliver Morton), 1875-1966.</t>
        </is>
      </c>
      <c r="L971" t="inlineStr">
        <is>
          <t>Philadelphia : University of Pennsylvania Press, 1951.</t>
        </is>
      </c>
      <c r="M971" t="inlineStr">
        <is>
          <t>1951</t>
        </is>
      </c>
      <c r="O971" t="inlineStr">
        <is>
          <t>eng</t>
        </is>
      </c>
      <c r="P971" t="inlineStr">
        <is>
          <t>pau</t>
        </is>
      </c>
      <c r="R971" t="inlineStr">
        <is>
          <t xml:space="preserve">E  </t>
        </is>
      </c>
      <c r="S971" t="n">
        <v>3</v>
      </c>
      <c r="T971" t="n">
        <v>3</v>
      </c>
      <c r="U971" t="inlineStr">
        <is>
          <t>1996-02-14</t>
        </is>
      </c>
      <c r="V971" t="inlineStr">
        <is>
          <t>1996-02-14</t>
        </is>
      </c>
      <c r="W971" t="inlineStr">
        <is>
          <t>1990-04-18</t>
        </is>
      </c>
      <c r="X971" t="inlineStr">
        <is>
          <t>1990-04-18</t>
        </is>
      </c>
      <c r="Y971" t="n">
        <v>808</v>
      </c>
      <c r="Z971" t="n">
        <v>728</v>
      </c>
      <c r="AA971" t="n">
        <v>1084</v>
      </c>
      <c r="AB971" t="n">
        <v>6</v>
      </c>
      <c r="AC971" t="n">
        <v>8</v>
      </c>
      <c r="AD971" t="n">
        <v>35</v>
      </c>
      <c r="AE971" t="n">
        <v>48</v>
      </c>
      <c r="AF971" t="n">
        <v>13</v>
      </c>
      <c r="AG971" t="n">
        <v>19</v>
      </c>
      <c r="AH971" t="n">
        <v>6</v>
      </c>
      <c r="AI971" t="n">
        <v>9</v>
      </c>
      <c r="AJ971" t="n">
        <v>20</v>
      </c>
      <c r="AK971" t="n">
        <v>22</v>
      </c>
      <c r="AL971" t="n">
        <v>4</v>
      </c>
      <c r="AM971" t="n">
        <v>6</v>
      </c>
      <c r="AN971" t="n">
        <v>2</v>
      </c>
      <c r="AO971" t="n">
        <v>3</v>
      </c>
      <c r="AP971" t="inlineStr">
        <is>
          <t>No</t>
        </is>
      </c>
      <c r="AQ971" t="inlineStr">
        <is>
          <t>Yes</t>
        </is>
      </c>
      <c r="AR971">
        <f>HYPERLINK("http://catalog.hathitrust.org/Record/000361925","HathiTrust Record")</f>
        <v/>
      </c>
      <c r="AS971">
        <f>HYPERLINK("https://creighton-primo.hosted.exlibrisgroup.com/primo-explore/search?tab=default_tab&amp;search_scope=EVERYTHING&amp;vid=01CRU&amp;lang=en_US&amp;offset=0&amp;query=any,contains,991002753879702656","Catalog Record")</f>
        <v/>
      </c>
      <c r="AT971">
        <f>HYPERLINK("http://www.worldcat.org/oclc/425636","WorldCat Record")</f>
        <v/>
      </c>
      <c r="AU971" t="inlineStr">
        <is>
          <t>572534:eng</t>
        </is>
      </c>
      <c r="AV971" t="inlineStr">
        <is>
          <t>425636</t>
        </is>
      </c>
      <c r="AW971" t="inlineStr">
        <is>
          <t>991002753879702656</t>
        </is>
      </c>
      <c r="AX971" t="inlineStr">
        <is>
          <t>991002753879702656</t>
        </is>
      </c>
      <c r="AY971" t="inlineStr">
        <is>
          <t>2267944030002656</t>
        </is>
      </c>
      <c r="AZ971" t="inlineStr">
        <is>
          <t>BOOK</t>
        </is>
      </c>
      <c r="BC971" t="inlineStr">
        <is>
          <t>32285000118512</t>
        </is>
      </c>
      <c r="BD971" t="inlineStr">
        <is>
          <t>893867636</t>
        </is>
      </c>
    </row>
    <row r="972">
      <c r="A972" t="inlineStr">
        <is>
          <t>No</t>
        </is>
      </c>
      <c r="B972" t="inlineStr">
        <is>
          <t>E215.1 .S60</t>
        </is>
      </c>
      <c r="C972" t="inlineStr">
        <is>
          <t>0                      E  0215100S  60</t>
        </is>
      </c>
      <c r="D972" t="inlineStr">
        <is>
          <t>The writs of assistance case / M. H. Smith. --</t>
        </is>
      </c>
      <c r="F972" t="inlineStr">
        <is>
          <t>No</t>
        </is>
      </c>
      <c r="G972" t="inlineStr">
        <is>
          <t>1</t>
        </is>
      </c>
      <c r="H972" t="inlineStr">
        <is>
          <t>No</t>
        </is>
      </c>
      <c r="I972" t="inlineStr">
        <is>
          <t>No</t>
        </is>
      </c>
      <c r="J972" t="inlineStr">
        <is>
          <t>0</t>
        </is>
      </c>
      <c r="K972" t="inlineStr">
        <is>
          <t>Smith, M. H.</t>
        </is>
      </c>
      <c r="L972" t="inlineStr">
        <is>
          <t>Berkeley : University of California Press, 1978.</t>
        </is>
      </c>
      <c r="M972" t="inlineStr">
        <is>
          <t>1978</t>
        </is>
      </c>
      <c r="O972" t="inlineStr">
        <is>
          <t>eng</t>
        </is>
      </c>
      <c r="P972" t="inlineStr">
        <is>
          <t>cau</t>
        </is>
      </c>
      <c r="R972" t="inlineStr">
        <is>
          <t xml:space="preserve">E  </t>
        </is>
      </c>
      <c r="S972" t="n">
        <v>1</v>
      </c>
      <c r="T972" t="n">
        <v>1</v>
      </c>
      <c r="U972" t="inlineStr">
        <is>
          <t>1995-08-29</t>
        </is>
      </c>
      <c r="V972" t="inlineStr">
        <is>
          <t>1995-08-29</t>
        </is>
      </c>
      <c r="W972" t="inlineStr">
        <is>
          <t>1991-03-07</t>
        </is>
      </c>
      <c r="X972" t="inlineStr">
        <is>
          <t>1991-03-07</t>
        </is>
      </c>
      <c r="Y972" t="n">
        <v>565</v>
      </c>
      <c r="Z972" t="n">
        <v>506</v>
      </c>
      <c r="AA972" t="n">
        <v>518</v>
      </c>
      <c r="AB972" t="n">
        <v>4</v>
      </c>
      <c r="AC972" t="n">
        <v>4</v>
      </c>
      <c r="AD972" t="n">
        <v>32</v>
      </c>
      <c r="AE972" t="n">
        <v>32</v>
      </c>
      <c r="AF972" t="n">
        <v>5</v>
      </c>
      <c r="AG972" t="n">
        <v>5</v>
      </c>
      <c r="AH972" t="n">
        <v>4</v>
      </c>
      <c r="AI972" t="n">
        <v>4</v>
      </c>
      <c r="AJ972" t="n">
        <v>11</v>
      </c>
      <c r="AK972" t="n">
        <v>11</v>
      </c>
      <c r="AL972" t="n">
        <v>3</v>
      </c>
      <c r="AM972" t="n">
        <v>3</v>
      </c>
      <c r="AN972" t="n">
        <v>13</v>
      </c>
      <c r="AO972" t="n">
        <v>13</v>
      </c>
      <c r="AP972" t="inlineStr">
        <is>
          <t>No</t>
        </is>
      </c>
      <c r="AQ972" t="inlineStr">
        <is>
          <t>No</t>
        </is>
      </c>
      <c r="AS972">
        <f>HYPERLINK("https://creighton-primo.hosted.exlibrisgroup.com/primo-explore/search?tab=default_tab&amp;search_scope=EVERYTHING&amp;vid=01CRU&amp;lang=en_US&amp;offset=0&amp;query=any,contains,991004601219702656","Catalog Record")</f>
        <v/>
      </c>
      <c r="AT972">
        <f>HYPERLINK("http://www.worldcat.org/oclc/4174621","WorldCat Record")</f>
        <v/>
      </c>
      <c r="AU972" t="inlineStr">
        <is>
          <t>501496:eng</t>
        </is>
      </c>
      <c r="AV972" t="inlineStr">
        <is>
          <t>4174621</t>
        </is>
      </c>
      <c r="AW972" t="inlineStr">
        <is>
          <t>991004601219702656</t>
        </is>
      </c>
      <c r="AX972" t="inlineStr">
        <is>
          <t>991004601219702656</t>
        </is>
      </c>
      <c r="AY972" t="inlineStr">
        <is>
          <t>2267445500002656</t>
        </is>
      </c>
      <c r="AZ972" t="inlineStr">
        <is>
          <t>BOOK</t>
        </is>
      </c>
      <c r="BB972" t="inlineStr">
        <is>
          <t>9780520033498</t>
        </is>
      </c>
      <c r="BC972" t="inlineStr">
        <is>
          <t>32285000540731</t>
        </is>
      </c>
      <c r="BD972" t="inlineStr">
        <is>
          <t>893532578</t>
        </is>
      </c>
    </row>
    <row r="973">
      <c r="A973" t="inlineStr">
        <is>
          <t>No</t>
        </is>
      </c>
      <c r="B973" t="inlineStr">
        <is>
          <t>E215.2 .T48</t>
        </is>
      </c>
      <c r="C973" t="inlineStr">
        <is>
          <t>0                      E  0215200T  48</t>
        </is>
      </c>
      <c r="D973" t="inlineStr">
        <is>
          <t>British politics and the Stamp Act crisis : the first phase of the American Revolution 1763-1767 / by P. D. G. Thomas.</t>
        </is>
      </c>
      <c r="F973" t="inlineStr">
        <is>
          <t>No</t>
        </is>
      </c>
      <c r="G973" t="inlineStr">
        <is>
          <t>1</t>
        </is>
      </c>
      <c r="H973" t="inlineStr">
        <is>
          <t>No</t>
        </is>
      </c>
      <c r="I973" t="inlineStr">
        <is>
          <t>No</t>
        </is>
      </c>
      <c r="J973" t="inlineStr">
        <is>
          <t>0</t>
        </is>
      </c>
      <c r="K973" t="inlineStr">
        <is>
          <t>Thomas, P. D. G. (Peter David Garner), 1930-</t>
        </is>
      </c>
      <c r="L973" t="inlineStr">
        <is>
          <t>Oxford ; New York : Clarendon Press, 1975.</t>
        </is>
      </c>
      <c r="M973" t="inlineStr">
        <is>
          <t>1975</t>
        </is>
      </c>
      <c r="O973" t="inlineStr">
        <is>
          <t>eng</t>
        </is>
      </c>
      <c r="P973" t="inlineStr">
        <is>
          <t>enk</t>
        </is>
      </c>
      <c r="R973" t="inlineStr">
        <is>
          <t xml:space="preserve">E  </t>
        </is>
      </c>
      <c r="S973" t="n">
        <v>1</v>
      </c>
      <c r="T973" t="n">
        <v>1</v>
      </c>
      <c r="U973" t="inlineStr">
        <is>
          <t>2002-11-06</t>
        </is>
      </c>
      <c r="V973" t="inlineStr">
        <is>
          <t>2002-11-06</t>
        </is>
      </c>
      <c r="W973" t="inlineStr">
        <is>
          <t>1992-11-24</t>
        </is>
      </c>
      <c r="X973" t="inlineStr">
        <is>
          <t>1992-11-24</t>
        </is>
      </c>
      <c r="Y973" t="n">
        <v>704</v>
      </c>
      <c r="Z973" t="n">
        <v>556</v>
      </c>
      <c r="AA973" t="n">
        <v>563</v>
      </c>
      <c r="AB973" t="n">
        <v>5</v>
      </c>
      <c r="AC973" t="n">
        <v>5</v>
      </c>
      <c r="AD973" t="n">
        <v>28</v>
      </c>
      <c r="AE973" t="n">
        <v>28</v>
      </c>
      <c r="AF973" t="n">
        <v>11</v>
      </c>
      <c r="AG973" t="n">
        <v>11</v>
      </c>
      <c r="AH973" t="n">
        <v>6</v>
      </c>
      <c r="AI973" t="n">
        <v>6</v>
      </c>
      <c r="AJ973" t="n">
        <v>16</v>
      </c>
      <c r="AK973" t="n">
        <v>16</v>
      </c>
      <c r="AL973" t="n">
        <v>4</v>
      </c>
      <c r="AM973" t="n">
        <v>4</v>
      </c>
      <c r="AN973" t="n">
        <v>0</v>
      </c>
      <c r="AO973" t="n">
        <v>0</v>
      </c>
      <c r="AP973" t="inlineStr">
        <is>
          <t>No</t>
        </is>
      </c>
      <c r="AQ973" t="inlineStr">
        <is>
          <t>Yes</t>
        </is>
      </c>
      <c r="AR973">
        <f>HYPERLINK("http://catalog.hathitrust.org/Record/000040656","HathiTrust Record")</f>
        <v/>
      </c>
      <c r="AS973">
        <f>HYPERLINK("https://creighton-primo.hosted.exlibrisgroup.com/primo-explore/search?tab=default_tab&amp;search_scope=EVERYTHING&amp;vid=01CRU&amp;lang=en_US&amp;offset=0&amp;query=any,contains,991003706169702656","Catalog Record")</f>
        <v/>
      </c>
      <c r="AT973">
        <f>HYPERLINK("http://www.worldcat.org/oclc/1343765","WorldCat Record")</f>
        <v/>
      </c>
      <c r="AU973" t="inlineStr">
        <is>
          <t>867386436:eng</t>
        </is>
      </c>
      <c r="AV973" t="inlineStr">
        <is>
          <t>1343765</t>
        </is>
      </c>
      <c r="AW973" t="inlineStr">
        <is>
          <t>991003706169702656</t>
        </is>
      </c>
      <c r="AX973" t="inlineStr">
        <is>
          <t>991003706169702656</t>
        </is>
      </c>
      <c r="AY973" t="inlineStr">
        <is>
          <t>2263773340002656</t>
        </is>
      </c>
      <c r="AZ973" t="inlineStr">
        <is>
          <t>BOOK</t>
        </is>
      </c>
      <c r="BB973" t="inlineStr">
        <is>
          <t>9780198224310</t>
        </is>
      </c>
      <c r="BC973" t="inlineStr">
        <is>
          <t>32285001408961</t>
        </is>
      </c>
      <c r="BD973" t="inlineStr">
        <is>
          <t>893686844</t>
        </is>
      </c>
    </row>
    <row r="974">
      <c r="A974" t="inlineStr">
        <is>
          <t>No</t>
        </is>
      </c>
      <c r="B974" t="inlineStr">
        <is>
          <t>E215.4 .Z6 1970</t>
        </is>
      </c>
      <c r="C974" t="inlineStr">
        <is>
          <t>0                      E  0215400Z  6           1970</t>
        </is>
      </c>
      <c r="D974" t="inlineStr">
        <is>
          <t>The Boston massacre / by Hiller B. Zobel.</t>
        </is>
      </c>
      <c r="F974" t="inlineStr">
        <is>
          <t>No</t>
        </is>
      </c>
      <c r="G974" t="inlineStr">
        <is>
          <t>1</t>
        </is>
      </c>
      <c r="H974" t="inlineStr">
        <is>
          <t>No</t>
        </is>
      </c>
      <c r="I974" t="inlineStr">
        <is>
          <t>No</t>
        </is>
      </c>
      <c r="J974" t="inlineStr">
        <is>
          <t>0</t>
        </is>
      </c>
      <c r="K974" t="inlineStr">
        <is>
          <t>Zobel, Hiller B.</t>
        </is>
      </c>
      <c r="L974" t="inlineStr">
        <is>
          <t>New York, W. W. Norton [1970]</t>
        </is>
      </c>
      <c r="M974" t="inlineStr">
        <is>
          <t>1970</t>
        </is>
      </c>
      <c r="N974" t="inlineStr">
        <is>
          <t>[1st ed.]</t>
        </is>
      </c>
      <c r="O974" t="inlineStr">
        <is>
          <t>eng</t>
        </is>
      </c>
      <c r="P974" t="inlineStr">
        <is>
          <t>nyu</t>
        </is>
      </c>
      <c r="R974" t="inlineStr">
        <is>
          <t xml:space="preserve">E  </t>
        </is>
      </c>
      <c r="S974" t="n">
        <v>4</v>
      </c>
      <c r="T974" t="n">
        <v>4</v>
      </c>
      <c r="U974" t="inlineStr">
        <is>
          <t>1993-09-06</t>
        </is>
      </c>
      <c r="V974" t="inlineStr">
        <is>
          <t>1993-09-06</t>
        </is>
      </c>
      <c r="W974" t="inlineStr">
        <is>
          <t>1992-10-30</t>
        </is>
      </c>
      <c r="X974" t="inlineStr">
        <is>
          <t>1992-10-30</t>
        </is>
      </c>
      <c r="Y974" t="n">
        <v>1400</v>
      </c>
      <c r="Z974" t="n">
        <v>1325</v>
      </c>
      <c r="AA974" t="n">
        <v>1598</v>
      </c>
      <c r="AB974" t="n">
        <v>10</v>
      </c>
      <c r="AC974" t="n">
        <v>11</v>
      </c>
      <c r="AD974" t="n">
        <v>50</v>
      </c>
      <c r="AE974" t="n">
        <v>57</v>
      </c>
      <c r="AF974" t="n">
        <v>20</v>
      </c>
      <c r="AG974" t="n">
        <v>23</v>
      </c>
      <c r="AH974" t="n">
        <v>7</v>
      </c>
      <c r="AI974" t="n">
        <v>8</v>
      </c>
      <c r="AJ974" t="n">
        <v>23</v>
      </c>
      <c r="AK974" t="n">
        <v>24</v>
      </c>
      <c r="AL974" t="n">
        <v>8</v>
      </c>
      <c r="AM974" t="n">
        <v>9</v>
      </c>
      <c r="AN974" t="n">
        <v>3</v>
      </c>
      <c r="AO974" t="n">
        <v>6</v>
      </c>
      <c r="AP974" t="inlineStr">
        <is>
          <t>No</t>
        </is>
      </c>
      <c r="AQ974" t="inlineStr">
        <is>
          <t>No</t>
        </is>
      </c>
      <c r="AS974">
        <f>HYPERLINK("https://creighton-primo.hosted.exlibrisgroup.com/primo-explore/search?tab=default_tab&amp;search_scope=EVERYTHING&amp;vid=01CRU&amp;lang=en_US&amp;offset=0&amp;query=any,contains,991000147139702656","Catalog Record")</f>
        <v/>
      </c>
      <c r="AT974">
        <f>HYPERLINK("http://www.worldcat.org/oclc/59163","WorldCat Record")</f>
        <v/>
      </c>
      <c r="AU974" t="inlineStr">
        <is>
          <t>1010821:eng</t>
        </is>
      </c>
      <c r="AV974" t="inlineStr">
        <is>
          <t>59163</t>
        </is>
      </c>
      <c r="AW974" t="inlineStr">
        <is>
          <t>991000147139702656</t>
        </is>
      </c>
      <c r="AX974" t="inlineStr">
        <is>
          <t>991000147139702656</t>
        </is>
      </c>
      <c r="AY974" t="inlineStr">
        <is>
          <t>2260579170002656</t>
        </is>
      </c>
      <c r="AZ974" t="inlineStr">
        <is>
          <t>BOOK</t>
        </is>
      </c>
      <c r="BB974" t="inlineStr">
        <is>
          <t>9780393053760</t>
        </is>
      </c>
      <c r="BC974" t="inlineStr">
        <is>
          <t>32285001387363</t>
        </is>
      </c>
      <c r="BD974" t="inlineStr">
        <is>
          <t>893589212</t>
        </is>
      </c>
    </row>
    <row r="975">
      <c r="A975" t="inlineStr">
        <is>
          <t>No</t>
        </is>
      </c>
      <c r="B975" t="inlineStr">
        <is>
          <t>E215.7 .L3 1979</t>
        </is>
      </c>
      <c r="C975" t="inlineStr">
        <is>
          <t>0                      E  0215700L  3           1979</t>
        </is>
      </c>
      <c r="D975" t="inlineStr">
        <is>
          <t>The Boston Tea Party / Benjamin Woods Labaree.</t>
        </is>
      </c>
      <c r="F975" t="inlineStr">
        <is>
          <t>No</t>
        </is>
      </c>
      <c r="G975" t="inlineStr">
        <is>
          <t>1</t>
        </is>
      </c>
      <c r="H975" t="inlineStr">
        <is>
          <t>No</t>
        </is>
      </c>
      <c r="I975" t="inlineStr">
        <is>
          <t>No</t>
        </is>
      </c>
      <c r="J975" t="inlineStr">
        <is>
          <t>0</t>
        </is>
      </c>
      <c r="K975" t="inlineStr">
        <is>
          <t>Labaree, Benjamin Woods.</t>
        </is>
      </c>
      <c r="L975" t="inlineStr">
        <is>
          <t>Boston : Northeastern University Press, 1979, c1964.</t>
        </is>
      </c>
      <c r="M975" t="inlineStr">
        <is>
          <t>1979</t>
        </is>
      </c>
      <c r="N975" t="inlineStr">
        <is>
          <t>Northeastern classics ed.</t>
        </is>
      </c>
      <c r="O975" t="inlineStr">
        <is>
          <t>eng</t>
        </is>
      </c>
      <c r="P975" t="inlineStr">
        <is>
          <t>mau</t>
        </is>
      </c>
      <c r="R975" t="inlineStr">
        <is>
          <t xml:space="preserve">E  </t>
        </is>
      </c>
      <c r="S975" t="n">
        <v>4</v>
      </c>
      <c r="T975" t="n">
        <v>4</v>
      </c>
      <c r="U975" t="inlineStr">
        <is>
          <t>2002-07-17</t>
        </is>
      </c>
      <c r="V975" t="inlineStr">
        <is>
          <t>2002-07-17</t>
        </is>
      </c>
      <c r="W975" t="inlineStr">
        <is>
          <t>1990-07-27</t>
        </is>
      </c>
      <c r="X975" t="inlineStr">
        <is>
          <t>1990-07-27</t>
        </is>
      </c>
      <c r="Y975" t="n">
        <v>275</v>
      </c>
      <c r="Z975" t="n">
        <v>264</v>
      </c>
      <c r="AA975" t="n">
        <v>1557</v>
      </c>
      <c r="AB975" t="n">
        <v>1</v>
      </c>
      <c r="AC975" t="n">
        <v>14</v>
      </c>
      <c r="AD975" t="n">
        <v>9</v>
      </c>
      <c r="AE975" t="n">
        <v>51</v>
      </c>
      <c r="AF975" t="n">
        <v>5</v>
      </c>
      <c r="AG975" t="n">
        <v>23</v>
      </c>
      <c r="AH975" t="n">
        <v>2</v>
      </c>
      <c r="AI975" t="n">
        <v>9</v>
      </c>
      <c r="AJ975" t="n">
        <v>3</v>
      </c>
      <c r="AK975" t="n">
        <v>19</v>
      </c>
      <c r="AL975" t="n">
        <v>0</v>
      </c>
      <c r="AM975" t="n">
        <v>9</v>
      </c>
      <c r="AN975" t="n">
        <v>1</v>
      </c>
      <c r="AO975" t="n">
        <v>1</v>
      </c>
      <c r="AP975" t="inlineStr">
        <is>
          <t>No</t>
        </is>
      </c>
      <c r="AQ975" t="inlineStr">
        <is>
          <t>Yes</t>
        </is>
      </c>
      <c r="AR975">
        <f>HYPERLINK("http://catalog.hathitrust.org/Record/010604902","HathiTrust Record")</f>
        <v/>
      </c>
      <c r="AS975">
        <f>HYPERLINK("https://creighton-primo.hosted.exlibrisgroup.com/primo-explore/search?tab=default_tab&amp;search_scope=EVERYTHING&amp;vid=01CRU&amp;lang=en_US&amp;offset=0&amp;query=any,contains,991004931739702656","Catalog Record")</f>
        <v/>
      </c>
      <c r="AT975">
        <f>HYPERLINK("http://www.worldcat.org/oclc/6100451","WorldCat Record")</f>
        <v/>
      </c>
      <c r="AU975" t="inlineStr">
        <is>
          <t>414671:eng</t>
        </is>
      </c>
      <c r="AV975" t="inlineStr">
        <is>
          <t>6100451</t>
        </is>
      </c>
      <c r="AW975" t="inlineStr">
        <is>
          <t>991004931739702656</t>
        </is>
      </c>
      <c r="AX975" t="inlineStr">
        <is>
          <t>991004931739702656</t>
        </is>
      </c>
      <c r="AY975" t="inlineStr">
        <is>
          <t>2255439360002656</t>
        </is>
      </c>
      <c r="AZ975" t="inlineStr">
        <is>
          <t>BOOK</t>
        </is>
      </c>
      <c r="BB975" t="inlineStr">
        <is>
          <t>9780930350055</t>
        </is>
      </c>
      <c r="BC975" t="inlineStr">
        <is>
          <t>32285004469671</t>
        </is>
      </c>
      <c r="BD975" t="inlineStr">
        <is>
          <t>893901909</t>
        </is>
      </c>
    </row>
    <row r="976">
      <c r="A976" t="inlineStr">
        <is>
          <t>No</t>
        </is>
      </c>
      <c r="B976" t="inlineStr">
        <is>
          <t>E215.7 .T48 1991</t>
        </is>
      </c>
      <c r="C976" t="inlineStr">
        <is>
          <t>0                      E  0215700T  48          1991</t>
        </is>
      </c>
      <c r="D976" t="inlineStr">
        <is>
          <t>Tea party to independence : the third phase of the American Revolution, 1773-1776 / Peter D.G. Thomas.</t>
        </is>
      </c>
      <c r="F976" t="inlineStr">
        <is>
          <t>No</t>
        </is>
      </c>
      <c r="G976" t="inlineStr">
        <is>
          <t>1</t>
        </is>
      </c>
      <c r="H976" t="inlineStr">
        <is>
          <t>No</t>
        </is>
      </c>
      <c r="I976" t="inlineStr">
        <is>
          <t>No</t>
        </is>
      </c>
      <c r="J976" t="inlineStr">
        <is>
          <t>0</t>
        </is>
      </c>
      <c r="K976" t="inlineStr">
        <is>
          <t>Thomas, P. D. G. (Peter David Garner), 1930-</t>
        </is>
      </c>
      <c r="L976" t="inlineStr">
        <is>
          <t>Oxford : Clarendon Press ; New York : Oxford University Press, 1991.</t>
        </is>
      </c>
      <c r="M976" t="inlineStr">
        <is>
          <t>1991</t>
        </is>
      </c>
      <c r="O976" t="inlineStr">
        <is>
          <t>eng</t>
        </is>
      </c>
      <c r="P976" t="inlineStr">
        <is>
          <t>enk</t>
        </is>
      </c>
      <c r="R976" t="inlineStr">
        <is>
          <t xml:space="preserve">E  </t>
        </is>
      </c>
      <c r="S976" t="n">
        <v>2</v>
      </c>
      <c r="T976" t="n">
        <v>2</v>
      </c>
      <c r="U976" t="inlineStr">
        <is>
          <t>1993-09-26</t>
        </is>
      </c>
      <c r="V976" t="inlineStr">
        <is>
          <t>1993-09-26</t>
        </is>
      </c>
      <c r="W976" t="inlineStr">
        <is>
          <t>1992-06-22</t>
        </is>
      </c>
      <c r="X976" t="inlineStr">
        <is>
          <t>1992-06-22</t>
        </is>
      </c>
      <c r="Y976" t="n">
        <v>572</v>
      </c>
      <c r="Z976" t="n">
        <v>465</v>
      </c>
      <c r="AA976" t="n">
        <v>486</v>
      </c>
      <c r="AB976" t="n">
        <v>2</v>
      </c>
      <c r="AC976" t="n">
        <v>2</v>
      </c>
      <c r="AD976" t="n">
        <v>23</v>
      </c>
      <c r="AE976" t="n">
        <v>24</v>
      </c>
      <c r="AF976" t="n">
        <v>8</v>
      </c>
      <c r="AG976" t="n">
        <v>8</v>
      </c>
      <c r="AH976" t="n">
        <v>6</v>
      </c>
      <c r="AI976" t="n">
        <v>7</v>
      </c>
      <c r="AJ976" t="n">
        <v>14</v>
      </c>
      <c r="AK976" t="n">
        <v>14</v>
      </c>
      <c r="AL976" t="n">
        <v>1</v>
      </c>
      <c r="AM976" t="n">
        <v>1</v>
      </c>
      <c r="AN976" t="n">
        <v>0</v>
      </c>
      <c r="AO976" t="n">
        <v>0</v>
      </c>
      <c r="AP976" t="inlineStr">
        <is>
          <t>No</t>
        </is>
      </c>
      <c r="AQ976" t="inlineStr">
        <is>
          <t>No</t>
        </is>
      </c>
      <c r="AS976">
        <f>HYPERLINK("https://creighton-primo.hosted.exlibrisgroup.com/primo-explore/search?tab=default_tab&amp;search_scope=EVERYTHING&amp;vid=01CRU&amp;lang=en_US&amp;offset=0&amp;query=any,contains,991001807149702656","Catalog Record")</f>
        <v/>
      </c>
      <c r="AT976">
        <f>HYPERLINK("http://www.worldcat.org/oclc/22709847","WorldCat Record")</f>
        <v/>
      </c>
      <c r="AU976" t="inlineStr">
        <is>
          <t>836750887:eng</t>
        </is>
      </c>
      <c r="AV976" t="inlineStr">
        <is>
          <t>22709847</t>
        </is>
      </c>
      <c r="AW976" t="inlineStr">
        <is>
          <t>991001807149702656</t>
        </is>
      </c>
      <c r="AX976" t="inlineStr">
        <is>
          <t>991001807149702656</t>
        </is>
      </c>
      <c r="AY976" t="inlineStr">
        <is>
          <t>2270611630002656</t>
        </is>
      </c>
      <c r="AZ976" t="inlineStr">
        <is>
          <t>BOOK</t>
        </is>
      </c>
      <c r="BB976" t="inlineStr">
        <is>
          <t>9780198201427</t>
        </is>
      </c>
      <c r="BC976" t="inlineStr">
        <is>
          <t>32285001128981</t>
        </is>
      </c>
      <c r="BD976" t="inlineStr">
        <is>
          <t>893408383</t>
        </is>
      </c>
    </row>
    <row r="977">
      <c r="A977" t="inlineStr">
        <is>
          <t>No</t>
        </is>
      </c>
      <c r="B977" t="inlineStr">
        <is>
          <t>E221 .A46</t>
        </is>
      </c>
      <c r="C977" t="inlineStr">
        <is>
          <t>0                      E  0221000A  46</t>
        </is>
      </c>
      <c r="D977" t="inlineStr">
        <is>
          <t>The American testament : for the Institute for Philosophical Research and the Aspen Institute for Humanistic Studies / Mortimer J. Adler and William Gorman.</t>
        </is>
      </c>
      <c r="F977" t="inlineStr">
        <is>
          <t>No</t>
        </is>
      </c>
      <c r="G977" t="inlineStr">
        <is>
          <t>1</t>
        </is>
      </c>
      <c r="H977" t="inlineStr">
        <is>
          <t>No</t>
        </is>
      </c>
      <c r="I977" t="inlineStr">
        <is>
          <t>No</t>
        </is>
      </c>
      <c r="J977" t="inlineStr">
        <is>
          <t>0</t>
        </is>
      </c>
      <c r="K977" t="inlineStr">
        <is>
          <t>Adler, Mortimer Jerome, 1902-2001.</t>
        </is>
      </c>
      <c r="L977" t="inlineStr">
        <is>
          <t>New York : Praeger, 1975.</t>
        </is>
      </c>
      <c r="M977" t="inlineStr">
        <is>
          <t>1975</t>
        </is>
      </c>
      <c r="O977" t="inlineStr">
        <is>
          <t>eng</t>
        </is>
      </c>
      <c r="P977" t="inlineStr">
        <is>
          <t>nyu</t>
        </is>
      </c>
      <c r="R977" t="inlineStr">
        <is>
          <t xml:space="preserve">E  </t>
        </is>
      </c>
      <c r="S977" t="n">
        <v>1</v>
      </c>
      <c r="T977" t="n">
        <v>1</v>
      </c>
      <c r="U977" t="inlineStr">
        <is>
          <t>2001-02-01</t>
        </is>
      </c>
      <c r="V977" t="inlineStr">
        <is>
          <t>2001-02-01</t>
        </is>
      </c>
      <c r="W977" t="inlineStr">
        <is>
          <t>1997-05-06</t>
        </is>
      </c>
      <c r="X977" t="inlineStr">
        <is>
          <t>1997-05-06</t>
        </is>
      </c>
      <c r="Y977" t="n">
        <v>709</v>
      </c>
      <c r="Z977" t="n">
        <v>674</v>
      </c>
      <c r="AA977" t="n">
        <v>686</v>
      </c>
      <c r="AB977" t="n">
        <v>4</v>
      </c>
      <c r="AC977" t="n">
        <v>4</v>
      </c>
      <c r="AD977" t="n">
        <v>26</v>
      </c>
      <c r="AE977" t="n">
        <v>26</v>
      </c>
      <c r="AF977" t="n">
        <v>7</v>
      </c>
      <c r="AG977" t="n">
        <v>7</v>
      </c>
      <c r="AH977" t="n">
        <v>4</v>
      </c>
      <c r="AI977" t="n">
        <v>4</v>
      </c>
      <c r="AJ977" t="n">
        <v>9</v>
      </c>
      <c r="AK977" t="n">
        <v>9</v>
      </c>
      <c r="AL977" t="n">
        <v>3</v>
      </c>
      <c r="AM977" t="n">
        <v>3</v>
      </c>
      <c r="AN977" t="n">
        <v>7</v>
      </c>
      <c r="AO977" t="n">
        <v>7</v>
      </c>
      <c r="AP977" t="inlineStr">
        <is>
          <t>No</t>
        </is>
      </c>
      <c r="AQ977" t="inlineStr">
        <is>
          <t>Yes</t>
        </is>
      </c>
      <c r="AR977">
        <f>HYPERLINK("http://catalog.hathitrust.org/Record/000222715","HathiTrust Record")</f>
        <v/>
      </c>
      <c r="AS977">
        <f>HYPERLINK("https://creighton-primo.hosted.exlibrisgroup.com/primo-explore/search?tab=default_tab&amp;search_scope=EVERYTHING&amp;vid=01CRU&amp;lang=en_US&amp;offset=0&amp;query=any,contains,991003805479702656","Catalog Record")</f>
        <v/>
      </c>
      <c r="AT977">
        <f>HYPERLINK("http://www.worldcat.org/oclc/1530575","WorldCat Record")</f>
        <v/>
      </c>
      <c r="AU977" t="inlineStr">
        <is>
          <t>47766010:eng</t>
        </is>
      </c>
      <c r="AV977" t="inlineStr">
        <is>
          <t>1530575</t>
        </is>
      </c>
      <c r="AW977" t="inlineStr">
        <is>
          <t>991003805479702656</t>
        </is>
      </c>
      <c r="AX977" t="inlineStr">
        <is>
          <t>991003805479702656</t>
        </is>
      </c>
      <c r="AY977" t="inlineStr">
        <is>
          <t>2269564680002656</t>
        </is>
      </c>
      <c r="AZ977" t="inlineStr">
        <is>
          <t>BOOK</t>
        </is>
      </c>
      <c r="BB977" t="inlineStr">
        <is>
          <t>9780275340605</t>
        </is>
      </c>
      <c r="BC977" t="inlineStr">
        <is>
          <t>32285002574423</t>
        </is>
      </c>
      <c r="BD977" t="inlineStr">
        <is>
          <t>893506014</t>
        </is>
      </c>
    </row>
    <row r="978">
      <c r="A978" t="inlineStr">
        <is>
          <t>No</t>
        </is>
      </c>
      <c r="B978" t="inlineStr">
        <is>
          <t>E221 .B37 1997</t>
        </is>
      </c>
      <c r="C978" t="inlineStr">
        <is>
          <t>0                      E  0221000B  37          1997</t>
        </is>
      </c>
      <c r="D978" t="inlineStr">
        <is>
          <t>The signers of the Declaration of Independence : a biographical and genealogical reference / by Della Gray Barthelmas ; with a foreword by Frank Borman.</t>
        </is>
      </c>
      <c r="F978" t="inlineStr">
        <is>
          <t>No</t>
        </is>
      </c>
      <c r="G978" t="inlineStr">
        <is>
          <t>1</t>
        </is>
      </c>
      <c r="H978" t="inlineStr">
        <is>
          <t>No</t>
        </is>
      </c>
      <c r="I978" t="inlineStr">
        <is>
          <t>No</t>
        </is>
      </c>
      <c r="J978" t="inlineStr">
        <is>
          <t>0</t>
        </is>
      </c>
      <c r="K978" t="inlineStr">
        <is>
          <t>Barthelmas, Della Gray, 1920-</t>
        </is>
      </c>
      <c r="L978" t="inlineStr">
        <is>
          <t>Jefferson, N.C. : McFarland, c1997.</t>
        </is>
      </c>
      <c r="M978" t="inlineStr">
        <is>
          <t>1997</t>
        </is>
      </c>
      <c r="O978" t="inlineStr">
        <is>
          <t>eng</t>
        </is>
      </c>
      <c r="P978" t="inlineStr">
        <is>
          <t>ncu</t>
        </is>
      </c>
      <c r="R978" t="inlineStr">
        <is>
          <t xml:space="preserve">E  </t>
        </is>
      </c>
      <c r="S978" t="n">
        <v>0</v>
      </c>
      <c r="T978" t="n">
        <v>0</v>
      </c>
      <c r="U978" t="inlineStr">
        <is>
          <t>2002-09-06</t>
        </is>
      </c>
      <c r="V978" t="inlineStr">
        <is>
          <t>2002-09-06</t>
        </is>
      </c>
      <c r="W978" t="inlineStr">
        <is>
          <t>1999-01-28</t>
        </is>
      </c>
      <c r="X978" t="inlineStr">
        <is>
          <t>1999-01-28</t>
        </is>
      </c>
      <c r="Y978" t="n">
        <v>523</v>
      </c>
      <c r="Z978" t="n">
        <v>492</v>
      </c>
      <c r="AA978" t="n">
        <v>594</v>
      </c>
      <c r="AB978" t="n">
        <v>4</v>
      </c>
      <c r="AC978" t="n">
        <v>4</v>
      </c>
      <c r="AD978" t="n">
        <v>7</v>
      </c>
      <c r="AE978" t="n">
        <v>10</v>
      </c>
      <c r="AF978" t="n">
        <v>1</v>
      </c>
      <c r="AG978" t="n">
        <v>3</v>
      </c>
      <c r="AH978" t="n">
        <v>1</v>
      </c>
      <c r="AI978" t="n">
        <v>3</v>
      </c>
      <c r="AJ978" t="n">
        <v>4</v>
      </c>
      <c r="AK978" t="n">
        <v>4</v>
      </c>
      <c r="AL978" t="n">
        <v>2</v>
      </c>
      <c r="AM978" t="n">
        <v>2</v>
      </c>
      <c r="AN978" t="n">
        <v>1</v>
      </c>
      <c r="AO978" t="n">
        <v>1</v>
      </c>
      <c r="AP978" t="inlineStr">
        <is>
          <t>No</t>
        </is>
      </c>
      <c r="AQ978" t="inlineStr">
        <is>
          <t>Yes</t>
        </is>
      </c>
      <c r="AR978">
        <f>HYPERLINK("http://catalog.hathitrust.org/Record/003174651","HathiTrust Record")</f>
        <v/>
      </c>
      <c r="AS978">
        <f>HYPERLINK("https://creighton-primo.hosted.exlibrisgroup.com/primo-explore/search?tab=default_tab&amp;search_scope=EVERYTHING&amp;vid=01CRU&amp;lang=en_US&amp;offset=0&amp;query=any,contains,991002792199702656","Catalog Record")</f>
        <v/>
      </c>
      <c r="AT978">
        <f>HYPERLINK("http://www.worldcat.org/oclc/36662998","WorldCat Record")</f>
        <v/>
      </c>
      <c r="AU978" t="inlineStr">
        <is>
          <t>771019:eng</t>
        </is>
      </c>
      <c r="AV978" t="inlineStr">
        <is>
          <t>36662998</t>
        </is>
      </c>
      <c r="AW978" t="inlineStr">
        <is>
          <t>991002792199702656</t>
        </is>
      </c>
      <c r="AX978" t="inlineStr">
        <is>
          <t>991002792199702656</t>
        </is>
      </c>
      <c r="AY978" t="inlineStr">
        <is>
          <t>2258270920002656</t>
        </is>
      </c>
      <c r="AZ978" t="inlineStr">
        <is>
          <t>BOOK</t>
        </is>
      </c>
      <c r="BB978" t="inlineStr">
        <is>
          <t>9780786403189</t>
        </is>
      </c>
      <c r="BC978" t="inlineStr">
        <is>
          <t>32285003516928</t>
        </is>
      </c>
      <c r="BD978" t="inlineStr">
        <is>
          <t>893774026</t>
        </is>
      </c>
    </row>
    <row r="979">
      <c r="A979" t="inlineStr">
        <is>
          <t>No</t>
        </is>
      </c>
      <c r="B979" t="inlineStr">
        <is>
          <t>E221 .D95</t>
        </is>
      </c>
      <c r="C979" t="inlineStr">
        <is>
          <t>0                      E  0221000D  95</t>
        </is>
      </c>
      <c r="D979" t="inlineStr">
        <is>
          <t>The lives of the signers of the Declaration of Independence / by N. Dwight.</t>
        </is>
      </c>
      <c r="F979" t="inlineStr">
        <is>
          <t>No</t>
        </is>
      </c>
      <c r="G979" t="inlineStr">
        <is>
          <t>1</t>
        </is>
      </c>
      <c r="H979" t="inlineStr">
        <is>
          <t>No</t>
        </is>
      </c>
      <c r="I979" t="inlineStr">
        <is>
          <t>No</t>
        </is>
      </c>
      <c r="J979" t="inlineStr">
        <is>
          <t>0</t>
        </is>
      </c>
      <c r="K979" t="inlineStr">
        <is>
          <t>Dwight, Nathaniel, 1770-1831.</t>
        </is>
      </c>
      <c r="L979" t="inlineStr">
        <is>
          <t>New York : Barnes, 1851.</t>
        </is>
      </c>
      <c r="M979" t="inlineStr">
        <is>
          <t>1851</t>
        </is>
      </c>
      <c r="O979" t="inlineStr">
        <is>
          <t>eng</t>
        </is>
      </c>
      <c r="P979" t="inlineStr">
        <is>
          <t>nyu</t>
        </is>
      </c>
      <c r="R979" t="inlineStr">
        <is>
          <t xml:space="preserve">E  </t>
        </is>
      </c>
      <c r="S979" t="n">
        <v>1</v>
      </c>
      <c r="T979" t="n">
        <v>1</v>
      </c>
      <c r="U979" t="inlineStr">
        <is>
          <t>1999-04-27</t>
        </is>
      </c>
      <c r="V979" t="inlineStr">
        <is>
          <t>1999-04-27</t>
        </is>
      </c>
      <c r="W979" t="inlineStr">
        <is>
          <t>1997-05-06</t>
        </is>
      </c>
      <c r="X979" t="inlineStr">
        <is>
          <t>1997-05-06</t>
        </is>
      </c>
      <c r="Y979" t="n">
        <v>59</v>
      </c>
      <c r="Z979" t="n">
        <v>57</v>
      </c>
      <c r="AA979" t="n">
        <v>368</v>
      </c>
      <c r="AB979" t="n">
        <v>1</v>
      </c>
      <c r="AC979" t="n">
        <v>4</v>
      </c>
      <c r="AD979" t="n">
        <v>2</v>
      </c>
      <c r="AE979" t="n">
        <v>18</v>
      </c>
      <c r="AF979" t="n">
        <v>1</v>
      </c>
      <c r="AG979" t="n">
        <v>5</v>
      </c>
      <c r="AH979" t="n">
        <v>1</v>
      </c>
      <c r="AI979" t="n">
        <v>5</v>
      </c>
      <c r="AJ979" t="n">
        <v>0</v>
      </c>
      <c r="AK979" t="n">
        <v>3</v>
      </c>
      <c r="AL979" t="n">
        <v>0</v>
      </c>
      <c r="AM979" t="n">
        <v>2</v>
      </c>
      <c r="AN979" t="n">
        <v>1</v>
      </c>
      <c r="AO979" t="n">
        <v>6</v>
      </c>
      <c r="AP979" t="inlineStr">
        <is>
          <t>No</t>
        </is>
      </c>
      <c r="AQ979" t="inlineStr">
        <is>
          <t>No</t>
        </is>
      </c>
      <c r="AS979">
        <f>HYPERLINK("https://creighton-primo.hosted.exlibrisgroup.com/primo-explore/search?tab=default_tab&amp;search_scope=EVERYTHING&amp;vid=01CRU&amp;lang=en_US&amp;offset=0&amp;query=any,contains,991004455179702656","Catalog Record")</f>
        <v/>
      </c>
      <c r="AT979">
        <f>HYPERLINK("http://www.worldcat.org/oclc/3522033","WorldCat Record")</f>
        <v/>
      </c>
      <c r="AU979" t="inlineStr">
        <is>
          <t>3580038:eng</t>
        </is>
      </c>
      <c r="AV979" t="inlineStr">
        <is>
          <t>3522033</t>
        </is>
      </c>
      <c r="AW979" t="inlineStr">
        <is>
          <t>991004455179702656</t>
        </is>
      </c>
      <c r="AX979" t="inlineStr">
        <is>
          <t>991004455179702656</t>
        </is>
      </c>
      <c r="AY979" t="inlineStr">
        <is>
          <t>2262080950002656</t>
        </is>
      </c>
      <c r="AZ979" t="inlineStr">
        <is>
          <t>BOOK</t>
        </is>
      </c>
      <c r="BC979" t="inlineStr">
        <is>
          <t>32285002574464</t>
        </is>
      </c>
      <c r="BD979" t="inlineStr">
        <is>
          <t>893337745</t>
        </is>
      </c>
    </row>
    <row r="980">
      <c r="A980" t="inlineStr">
        <is>
          <t>No</t>
        </is>
      </c>
      <c r="B980" t="inlineStr">
        <is>
          <t>E221 .G8637 1976</t>
        </is>
      </c>
      <c r="C980" t="inlineStr">
        <is>
          <t>0                      E  0221000G  8637        1976</t>
        </is>
      </c>
      <c r="D980" t="inlineStr">
        <is>
          <t>Lives of the signers of the Declaration of independence : with a sketch of the life of Washington / by Charles A. Goodrich.</t>
        </is>
      </c>
      <c r="F980" t="inlineStr">
        <is>
          <t>No</t>
        </is>
      </c>
      <c r="G980" t="inlineStr">
        <is>
          <t>1</t>
        </is>
      </c>
      <c r="H980" t="inlineStr">
        <is>
          <t>No</t>
        </is>
      </c>
      <c r="I980" t="inlineStr">
        <is>
          <t>No</t>
        </is>
      </c>
      <c r="J980" t="inlineStr">
        <is>
          <t>0</t>
        </is>
      </c>
      <c r="K980" t="inlineStr">
        <is>
          <t>Goodrich, Charles A. (Charles Augustus), 1790-1862.</t>
        </is>
      </c>
      <c r="L980" t="inlineStr">
        <is>
          <t>Charlotteville, N.Y. : SamHar Press, c1976.</t>
        </is>
      </c>
      <c r="M980" t="inlineStr">
        <is>
          <t>1976</t>
        </is>
      </c>
      <c r="O980" t="inlineStr">
        <is>
          <t>eng</t>
        </is>
      </c>
      <c r="P980" t="inlineStr">
        <is>
          <t>nyu</t>
        </is>
      </c>
      <c r="R980" t="inlineStr">
        <is>
          <t xml:space="preserve">E  </t>
        </is>
      </c>
      <c r="S980" t="n">
        <v>4</v>
      </c>
      <c r="T980" t="n">
        <v>4</v>
      </c>
      <c r="U980" t="inlineStr">
        <is>
          <t>1999-01-05</t>
        </is>
      </c>
      <c r="V980" t="inlineStr">
        <is>
          <t>1999-01-05</t>
        </is>
      </c>
      <c r="W980" t="inlineStr">
        <is>
          <t>1999-03-04</t>
        </is>
      </c>
      <c r="X980" t="inlineStr">
        <is>
          <t>1999-03-04</t>
        </is>
      </c>
      <c r="Y980" t="n">
        <v>115</v>
      </c>
      <c r="Z980" t="n">
        <v>112</v>
      </c>
      <c r="AA980" t="n">
        <v>248</v>
      </c>
      <c r="AB980" t="n">
        <v>1</v>
      </c>
      <c r="AC980" t="n">
        <v>1</v>
      </c>
      <c r="AD980" t="n">
        <v>2</v>
      </c>
      <c r="AE980" t="n">
        <v>4</v>
      </c>
      <c r="AF980" t="n">
        <v>1</v>
      </c>
      <c r="AG980" t="n">
        <v>1</v>
      </c>
      <c r="AH980" t="n">
        <v>0</v>
      </c>
      <c r="AI980" t="n">
        <v>1</v>
      </c>
      <c r="AJ980" t="n">
        <v>1</v>
      </c>
      <c r="AK980" t="n">
        <v>2</v>
      </c>
      <c r="AL980" t="n">
        <v>0</v>
      </c>
      <c r="AM980" t="n">
        <v>0</v>
      </c>
      <c r="AN980" t="n">
        <v>0</v>
      </c>
      <c r="AO980" t="n">
        <v>0</v>
      </c>
      <c r="AP980" t="inlineStr">
        <is>
          <t>No</t>
        </is>
      </c>
      <c r="AQ980" t="inlineStr">
        <is>
          <t>No</t>
        </is>
      </c>
      <c r="AS980">
        <f>HYPERLINK("https://creighton-primo.hosted.exlibrisgroup.com/primo-explore/search?tab=default_tab&amp;search_scope=EVERYTHING&amp;vid=01CRU&amp;lang=en_US&amp;offset=0&amp;query=any,contains,991004347559702656","Catalog Record")</f>
        <v/>
      </c>
      <c r="AT980">
        <f>HYPERLINK("http://www.worldcat.org/oclc/3104150","WorldCat Record")</f>
        <v/>
      </c>
      <c r="AU980" t="inlineStr">
        <is>
          <t>4927421721:eng</t>
        </is>
      </c>
      <c r="AV980" t="inlineStr">
        <is>
          <t>3104150</t>
        </is>
      </c>
      <c r="AW980" t="inlineStr">
        <is>
          <t>991004347559702656</t>
        </is>
      </c>
      <c r="AX980" t="inlineStr">
        <is>
          <t>991004347559702656</t>
        </is>
      </c>
      <c r="AY980" t="inlineStr">
        <is>
          <t>2271102200002656</t>
        </is>
      </c>
      <c r="AZ980" t="inlineStr">
        <is>
          <t>BOOK</t>
        </is>
      </c>
      <c r="BC980" t="inlineStr">
        <is>
          <t>32285003263091</t>
        </is>
      </c>
      <c r="BD980" t="inlineStr">
        <is>
          <t>893806962</t>
        </is>
      </c>
    </row>
    <row r="981">
      <c r="A981" t="inlineStr">
        <is>
          <t>No</t>
        </is>
      </c>
      <c r="B981" t="inlineStr">
        <is>
          <t>E221 .J63 1976</t>
        </is>
      </c>
      <c r="C981" t="inlineStr">
        <is>
          <t>0                      E  0221000J  63          1976</t>
        </is>
      </c>
      <c r="D981" t="inlineStr">
        <is>
          <t>The Declaration of Independence : two essays / by Howard Mumford Jones, Howard H. Peckham.</t>
        </is>
      </c>
      <c r="F981" t="inlineStr">
        <is>
          <t>No</t>
        </is>
      </c>
      <c r="G981" t="inlineStr">
        <is>
          <t>1</t>
        </is>
      </c>
      <c r="H981" t="inlineStr">
        <is>
          <t>No</t>
        </is>
      </c>
      <c r="I981" t="inlineStr">
        <is>
          <t>No</t>
        </is>
      </c>
      <c r="J981" t="inlineStr">
        <is>
          <t>0</t>
        </is>
      </c>
      <c r="K981" t="inlineStr">
        <is>
          <t>Jones, Howard Mumford, 1892-1980.</t>
        </is>
      </c>
      <c r="L981" t="inlineStr">
        <is>
          <t>Worcester [Mass.] : American Antiquarian Society, 1976.</t>
        </is>
      </c>
      <c r="M981" t="inlineStr">
        <is>
          <t>1976</t>
        </is>
      </c>
      <c r="O981" t="inlineStr">
        <is>
          <t>eng</t>
        </is>
      </c>
      <c r="P981" t="inlineStr">
        <is>
          <t>mau</t>
        </is>
      </c>
      <c r="R981" t="inlineStr">
        <is>
          <t xml:space="preserve">E  </t>
        </is>
      </c>
      <c r="S981" t="n">
        <v>2</v>
      </c>
      <c r="T981" t="n">
        <v>2</v>
      </c>
      <c r="U981" t="inlineStr">
        <is>
          <t>1998-02-26</t>
        </is>
      </c>
      <c r="V981" t="inlineStr">
        <is>
          <t>1998-02-26</t>
        </is>
      </c>
      <c r="W981" t="inlineStr">
        <is>
          <t>1991-03-07</t>
        </is>
      </c>
      <c r="X981" t="inlineStr">
        <is>
          <t>1991-03-07</t>
        </is>
      </c>
      <c r="Y981" t="n">
        <v>134</v>
      </c>
      <c r="Z981" t="n">
        <v>121</v>
      </c>
      <c r="AA981" t="n">
        <v>122</v>
      </c>
      <c r="AB981" t="n">
        <v>1</v>
      </c>
      <c r="AC981" t="n">
        <v>1</v>
      </c>
      <c r="AD981" t="n">
        <v>6</v>
      </c>
      <c r="AE981" t="n">
        <v>6</v>
      </c>
      <c r="AF981" t="n">
        <v>2</v>
      </c>
      <c r="AG981" t="n">
        <v>2</v>
      </c>
      <c r="AH981" t="n">
        <v>2</v>
      </c>
      <c r="AI981" t="n">
        <v>2</v>
      </c>
      <c r="AJ981" t="n">
        <v>4</v>
      </c>
      <c r="AK981" t="n">
        <v>4</v>
      </c>
      <c r="AL981" t="n">
        <v>0</v>
      </c>
      <c r="AM981" t="n">
        <v>0</v>
      </c>
      <c r="AN981" t="n">
        <v>1</v>
      </c>
      <c r="AO981" t="n">
        <v>1</v>
      </c>
      <c r="AP981" t="inlineStr">
        <is>
          <t>No</t>
        </is>
      </c>
      <c r="AQ981" t="inlineStr">
        <is>
          <t>No</t>
        </is>
      </c>
      <c r="AS981">
        <f>HYPERLINK("https://creighton-primo.hosted.exlibrisgroup.com/primo-explore/search?tab=default_tab&amp;search_scope=EVERYTHING&amp;vid=01CRU&amp;lang=en_US&amp;offset=0&amp;query=any,contains,991004001449702656","Catalog Record")</f>
        <v/>
      </c>
      <c r="AT981">
        <f>HYPERLINK("http://www.worldcat.org/oclc/2074013","WorldCat Record")</f>
        <v/>
      </c>
      <c r="AU981" t="inlineStr">
        <is>
          <t>287164758:eng</t>
        </is>
      </c>
      <c r="AV981" t="inlineStr">
        <is>
          <t>2074013</t>
        </is>
      </c>
      <c r="AW981" t="inlineStr">
        <is>
          <t>991004001449702656</t>
        </is>
      </c>
      <c r="AX981" t="inlineStr">
        <is>
          <t>991004001449702656</t>
        </is>
      </c>
      <c r="AY981" t="inlineStr">
        <is>
          <t>2264000740002656</t>
        </is>
      </c>
      <c r="AZ981" t="inlineStr">
        <is>
          <t>BOOK</t>
        </is>
      </c>
      <c r="BB981" t="inlineStr">
        <is>
          <t>9780912296074</t>
        </is>
      </c>
      <c r="BC981" t="inlineStr">
        <is>
          <t>32285000540749</t>
        </is>
      </c>
      <c r="BD981" t="inlineStr">
        <is>
          <t>893435751</t>
        </is>
      </c>
    </row>
    <row r="982">
      <c r="A982" t="inlineStr">
        <is>
          <t>No</t>
        </is>
      </c>
      <c r="B982" t="inlineStr">
        <is>
          <t>E230 .C322 1968</t>
        </is>
      </c>
      <c r="C982" t="inlineStr">
        <is>
          <t>0                      E  0230000C  322         1968</t>
        </is>
      </c>
      <c r="D982" t="inlineStr">
        <is>
          <t>Battles of the American Revolution. Battle maps and charts of the American Revolution.</t>
        </is>
      </c>
      <c r="F982" t="inlineStr">
        <is>
          <t>No</t>
        </is>
      </c>
      <c r="G982" t="inlineStr">
        <is>
          <t>1</t>
        </is>
      </c>
      <c r="H982" t="inlineStr">
        <is>
          <t>No</t>
        </is>
      </c>
      <c r="I982" t="inlineStr">
        <is>
          <t>No</t>
        </is>
      </c>
      <c r="J982" t="inlineStr">
        <is>
          <t>0</t>
        </is>
      </c>
      <c r="K982" t="inlineStr">
        <is>
          <t>Carrington, Henry B., 1824-1912.</t>
        </is>
      </c>
      <c r="L982" t="inlineStr">
        <is>
          <t>[New York] New York times [1968]</t>
        </is>
      </c>
      <c r="M982" t="inlineStr">
        <is>
          <t>1968</t>
        </is>
      </c>
      <c r="O982" t="inlineStr">
        <is>
          <t>eng</t>
        </is>
      </c>
      <c r="P982" t="inlineStr">
        <is>
          <t>nyu</t>
        </is>
      </c>
      <c r="Q982" t="inlineStr">
        <is>
          <t>Eyewitness account of the American Revolution</t>
        </is>
      </c>
      <c r="R982" t="inlineStr">
        <is>
          <t xml:space="preserve">E  </t>
        </is>
      </c>
      <c r="S982" t="n">
        <v>1</v>
      </c>
      <c r="T982" t="n">
        <v>1</v>
      </c>
      <c r="U982" t="inlineStr">
        <is>
          <t>1998-12-08</t>
        </is>
      </c>
      <c r="V982" t="inlineStr">
        <is>
          <t>1998-12-08</t>
        </is>
      </c>
      <c r="W982" t="inlineStr">
        <is>
          <t>1997-05-06</t>
        </is>
      </c>
      <c r="X982" t="inlineStr">
        <is>
          <t>1997-05-06</t>
        </is>
      </c>
      <c r="Y982" t="n">
        <v>421</v>
      </c>
      <c r="Z982" t="n">
        <v>409</v>
      </c>
      <c r="AA982" t="n">
        <v>928</v>
      </c>
      <c r="AB982" t="n">
        <v>4</v>
      </c>
      <c r="AC982" t="n">
        <v>6</v>
      </c>
      <c r="AD982" t="n">
        <v>18</v>
      </c>
      <c r="AE982" t="n">
        <v>25</v>
      </c>
      <c r="AF982" t="n">
        <v>6</v>
      </c>
      <c r="AG982" t="n">
        <v>10</v>
      </c>
      <c r="AH982" t="n">
        <v>4</v>
      </c>
      <c r="AI982" t="n">
        <v>5</v>
      </c>
      <c r="AJ982" t="n">
        <v>10</v>
      </c>
      <c r="AK982" t="n">
        <v>12</v>
      </c>
      <c r="AL982" t="n">
        <v>2</v>
      </c>
      <c r="AM982" t="n">
        <v>3</v>
      </c>
      <c r="AN982" t="n">
        <v>0</v>
      </c>
      <c r="AO982" t="n">
        <v>0</v>
      </c>
      <c r="AP982" t="inlineStr">
        <is>
          <t>No</t>
        </is>
      </c>
      <c r="AQ982" t="inlineStr">
        <is>
          <t>No</t>
        </is>
      </c>
      <c r="AS982">
        <f>HYPERLINK("https://creighton-primo.hosted.exlibrisgroup.com/primo-explore/search?tab=default_tab&amp;search_scope=EVERYTHING&amp;vid=01CRU&amp;lang=en_US&amp;offset=0&amp;query=any,contains,991003185839702656","Catalog Record")</f>
        <v/>
      </c>
      <c r="AT982">
        <f>HYPERLINK("http://www.worldcat.org/oclc/712647","WorldCat Record")</f>
        <v/>
      </c>
      <c r="AU982" t="inlineStr">
        <is>
          <t>9242875728:eng</t>
        </is>
      </c>
      <c r="AV982" t="inlineStr">
        <is>
          <t>712647</t>
        </is>
      </c>
      <c r="AW982" t="inlineStr">
        <is>
          <t>991003185839702656</t>
        </is>
      </c>
      <c r="AX982" t="inlineStr">
        <is>
          <t>991003185839702656</t>
        </is>
      </c>
      <c r="AY982" t="inlineStr">
        <is>
          <t>2256623380002656</t>
        </is>
      </c>
      <c r="AZ982" t="inlineStr">
        <is>
          <t>BOOK</t>
        </is>
      </c>
      <c r="BC982" t="inlineStr">
        <is>
          <t>32285002574498</t>
        </is>
      </c>
      <c r="BD982" t="inlineStr">
        <is>
          <t>893505288</t>
        </is>
      </c>
    </row>
    <row r="983">
      <c r="A983" t="inlineStr">
        <is>
          <t>No</t>
        </is>
      </c>
      <c r="B983" t="inlineStr">
        <is>
          <t>E230 .M34 1982</t>
        </is>
      </c>
      <c r="C983" t="inlineStr">
        <is>
          <t>0                      E  0230000M  34          1982</t>
        </is>
      </c>
      <c r="D983" t="inlineStr">
        <is>
          <t>A respectable army : the military origins of the Republic, 1763-1789 / James Kirby Martin and Mark Edward Lender.</t>
        </is>
      </c>
      <c r="F983" t="inlineStr">
        <is>
          <t>No</t>
        </is>
      </c>
      <c r="G983" t="inlineStr">
        <is>
          <t>1</t>
        </is>
      </c>
      <c r="H983" t="inlineStr">
        <is>
          <t>No</t>
        </is>
      </c>
      <c r="I983" t="inlineStr">
        <is>
          <t>No</t>
        </is>
      </c>
      <c r="J983" t="inlineStr">
        <is>
          <t>0</t>
        </is>
      </c>
      <c r="K983" t="inlineStr">
        <is>
          <t>Martin, James Kirby, 1943-</t>
        </is>
      </c>
      <c r="L983" t="inlineStr">
        <is>
          <t>Arlington Heights, Ill. : H. Davidson, c1982.</t>
        </is>
      </c>
      <c r="M983" t="inlineStr">
        <is>
          <t>1982</t>
        </is>
      </c>
      <c r="O983" t="inlineStr">
        <is>
          <t>eng</t>
        </is>
      </c>
      <c r="P983" t="inlineStr">
        <is>
          <t>ilu</t>
        </is>
      </c>
      <c r="Q983" t="inlineStr">
        <is>
          <t>The American history series</t>
        </is>
      </c>
      <c r="R983" t="inlineStr">
        <is>
          <t xml:space="preserve">E  </t>
        </is>
      </c>
      <c r="S983" t="n">
        <v>4</v>
      </c>
      <c r="T983" t="n">
        <v>4</v>
      </c>
      <c r="U983" t="inlineStr">
        <is>
          <t>1993-08-06</t>
        </is>
      </c>
      <c r="V983" t="inlineStr">
        <is>
          <t>1993-08-06</t>
        </is>
      </c>
      <c r="W983" t="inlineStr">
        <is>
          <t>1991-03-07</t>
        </is>
      </c>
      <c r="X983" t="inlineStr">
        <is>
          <t>1991-03-07</t>
        </is>
      </c>
      <c r="Y983" t="n">
        <v>563</v>
      </c>
      <c r="Z983" t="n">
        <v>507</v>
      </c>
      <c r="AA983" t="n">
        <v>920</v>
      </c>
      <c r="AB983" t="n">
        <v>3</v>
      </c>
      <c r="AC983" t="n">
        <v>7</v>
      </c>
      <c r="AD983" t="n">
        <v>23</v>
      </c>
      <c r="AE983" t="n">
        <v>42</v>
      </c>
      <c r="AF983" t="n">
        <v>10</v>
      </c>
      <c r="AG983" t="n">
        <v>16</v>
      </c>
      <c r="AH983" t="n">
        <v>6</v>
      </c>
      <c r="AI983" t="n">
        <v>10</v>
      </c>
      <c r="AJ983" t="n">
        <v>12</v>
      </c>
      <c r="AK983" t="n">
        <v>18</v>
      </c>
      <c r="AL983" t="n">
        <v>2</v>
      </c>
      <c r="AM983" t="n">
        <v>6</v>
      </c>
      <c r="AN983" t="n">
        <v>0</v>
      </c>
      <c r="AO983" t="n">
        <v>1</v>
      </c>
      <c r="AP983" t="inlineStr">
        <is>
          <t>No</t>
        </is>
      </c>
      <c r="AQ983" t="inlineStr">
        <is>
          <t>Yes</t>
        </is>
      </c>
      <c r="AR983">
        <f>HYPERLINK("http://catalog.hathitrust.org/Record/004387680","HathiTrust Record")</f>
        <v/>
      </c>
      <c r="AS983">
        <f>HYPERLINK("https://creighton-primo.hosted.exlibrisgroup.com/primo-explore/search?tab=default_tab&amp;search_scope=EVERYTHING&amp;vid=01CRU&amp;lang=en_US&amp;offset=0&amp;query=any,contains,991005182939702656","Catalog Record")</f>
        <v/>
      </c>
      <c r="AT983">
        <f>HYPERLINK("http://www.worldcat.org/oclc/7947493","WorldCat Record")</f>
        <v/>
      </c>
      <c r="AU983" t="inlineStr">
        <is>
          <t>543054:eng</t>
        </is>
      </c>
      <c r="AV983" t="inlineStr">
        <is>
          <t>7947493</t>
        </is>
      </c>
      <c r="AW983" t="inlineStr">
        <is>
          <t>991005182939702656</t>
        </is>
      </c>
      <c r="AX983" t="inlineStr">
        <is>
          <t>991005182939702656</t>
        </is>
      </c>
      <c r="AY983" t="inlineStr">
        <is>
          <t>2270185590002656</t>
        </is>
      </c>
      <c r="AZ983" t="inlineStr">
        <is>
          <t>BOOK</t>
        </is>
      </c>
      <c r="BB983" t="inlineStr">
        <is>
          <t>9780882958125</t>
        </is>
      </c>
      <c r="BC983" t="inlineStr">
        <is>
          <t>32285000540756</t>
        </is>
      </c>
      <c r="BD983" t="inlineStr">
        <is>
          <t>893600766</t>
        </is>
      </c>
    </row>
    <row r="984">
      <c r="A984" t="inlineStr">
        <is>
          <t>No</t>
        </is>
      </c>
      <c r="B984" t="inlineStr">
        <is>
          <t>E231 .C65 1970</t>
        </is>
      </c>
      <c r="C984" t="inlineStr">
        <is>
          <t>0                      E  0231000C  65          1970</t>
        </is>
      </c>
      <c r="D984" t="inlineStr">
        <is>
          <t>The battle of April 19, 1775, in Lexington, Concord, Lincoln, Arlington, Cambridge, Somerville, and Charlestown, Massachusetts.</t>
        </is>
      </c>
      <c r="F984" t="inlineStr">
        <is>
          <t>No</t>
        </is>
      </c>
      <c r="G984" t="inlineStr">
        <is>
          <t>1</t>
        </is>
      </c>
      <c r="H984" t="inlineStr">
        <is>
          <t>No</t>
        </is>
      </c>
      <c r="I984" t="inlineStr">
        <is>
          <t>No</t>
        </is>
      </c>
      <c r="J984" t="inlineStr">
        <is>
          <t>0</t>
        </is>
      </c>
      <c r="K984" t="inlineStr">
        <is>
          <t>Coburn, Frank Warren, 1853-1923.</t>
        </is>
      </c>
      <c r="L984" t="inlineStr">
        <is>
          <t>Port Washington, N.Y., Kennikat Press [1970]</t>
        </is>
      </c>
      <c r="M984" t="inlineStr">
        <is>
          <t>1970</t>
        </is>
      </c>
      <c r="N984" t="inlineStr">
        <is>
          <t>2d ed., rev. and with additions.</t>
        </is>
      </c>
      <c r="O984" t="inlineStr">
        <is>
          <t>eng</t>
        </is>
      </c>
      <c r="P984" t="inlineStr">
        <is>
          <t>nyu</t>
        </is>
      </c>
      <c r="Q984" t="inlineStr">
        <is>
          <t>Kennikat American bicentennial series</t>
        </is>
      </c>
      <c r="R984" t="inlineStr">
        <is>
          <t xml:space="preserve">E  </t>
        </is>
      </c>
      <c r="S984" t="n">
        <v>1</v>
      </c>
      <c r="T984" t="n">
        <v>1</v>
      </c>
      <c r="U984" t="inlineStr">
        <is>
          <t>2001-01-22</t>
        </is>
      </c>
      <c r="V984" t="inlineStr">
        <is>
          <t>2001-01-22</t>
        </is>
      </c>
      <c r="W984" t="inlineStr">
        <is>
          <t>1997-05-06</t>
        </is>
      </c>
      <c r="X984" t="inlineStr">
        <is>
          <t>1997-05-06</t>
        </is>
      </c>
      <c r="Y984" t="n">
        <v>219</v>
      </c>
      <c r="Z984" t="n">
        <v>199</v>
      </c>
      <c r="AA984" t="n">
        <v>395</v>
      </c>
      <c r="AB984" t="n">
        <v>4</v>
      </c>
      <c r="AC984" t="n">
        <v>4</v>
      </c>
      <c r="AD984" t="n">
        <v>6</v>
      </c>
      <c r="AE984" t="n">
        <v>12</v>
      </c>
      <c r="AF984" t="n">
        <v>0</v>
      </c>
      <c r="AG984" t="n">
        <v>0</v>
      </c>
      <c r="AH984" t="n">
        <v>2</v>
      </c>
      <c r="AI984" t="n">
        <v>4</v>
      </c>
      <c r="AJ984" t="n">
        <v>1</v>
      </c>
      <c r="AK984" t="n">
        <v>6</v>
      </c>
      <c r="AL984" t="n">
        <v>3</v>
      </c>
      <c r="AM984" t="n">
        <v>3</v>
      </c>
      <c r="AN984" t="n">
        <v>0</v>
      </c>
      <c r="AO984" t="n">
        <v>0</v>
      </c>
      <c r="AP984" t="inlineStr">
        <is>
          <t>No</t>
        </is>
      </c>
      <c r="AQ984" t="inlineStr">
        <is>
          <t>Yes</t>
        </is>
      </c>
      <c r="AR984">
        <f>HYPERLINK("http://catalog.hathitrust.org/Record/006001042","HathiTrust Record")</f>
        <v/>
      </c>
      <c r="AS984">
        <f>HYPERLINK("https://creighton-primo.hosted.exlibrisgroup.com/primo-explore/search?tab=default_tab&amp;search_scope=EVERYTHING&amp;vid=01CRU&amp;lang=en_US&amp;offset=0&amp;query=any,contains,991000565449702656","Catalog Record")</f>
        <v/>
      </c>
      <c r="AT984">
        <f>HYPERLINK("http://www.worldcat.org/oclc/94081","WorldCat Record")</f>
        <v/>
      </c>
      <c r="AU984" t="inlineStr">
        <is>
          <t>458476:eng</t>
        </is>
      </c>
      <c r="AV984" t="inlineStr">
        <is>
          <t>94081</t>
        </is>
      </c>
      <c r="AW984" t="inlineStr">
        <is>
          <t>991000565449702656</t>
        </is>
      </c>
      <c r="AX984" t="inlineStr">
        <is>
          <t>991000565449702656</t>
        </is>
      </c>
      <c r="AY984" t="inlineStr">
        <is>
          <t>2265894780002656</t>
        </is>
      </c>
      <c r="AZ984" t="inlineStr">
        <is>
          <t>BOOK</t>
        </is>
      </c>
      <c r="BB984" t="inlineStr">
        <is>
          <t>9780804612654</t>
        </is>
      </c>
      <c r="BC984" t="inlineStr">
        <is>
          <t>32285002574670</t>
        </is>
      </c>
      <c r="BD984" t="inlineStr">
        <is>
          <t>893796782</t>
        </is>
      </c>
    </row>
    <row r="985">
      <c r="A985" t="inlineStr">
        <is>
          <t>No</t>
        </is>
      </c>
      <c r="B985" t="inlineStr">
        <is>
          <t>E241.B8 S63</t>
        </is>
      </c>
      <c r="C985" t="inlineStr">
        <is>
          <t>0                      E  0241000B  8                  S  63</t>
        </is>
      </c>
      <c r="D985" t="inlineStr">
        <is>
          <t>The Battle of Brandywine / by Samuel S. Smith ; foreword by John B. B. Trussell, Jr.</t>
        </is>
      </c>
      <c r="F985" t="inlineStr">
        <is>
          <t>No</t>
        </is>
      </c>
      <c r="G985" t="inlineStr">
        <is>
          <t>1</t>
        </is>
      </c>
      <c r="H985" t="inlineStr">
        <is>
          <t>No</t>
        </is>
      </c>
      <c r="I985" t="inlineStr">
        <is>
          <t>No</t>
        </is>
      </c>
      <c r="J985" t="inlineStr">
        <is>
          <t>0</t>
        </is>
      </c>
      <c r="K985" t="inlineStr">
        <is>
          <t>Smith, Samuel Stelle.</t>
        </is>
      </c>
      <c r="L985" t="inlineStr">
        <is>
          <t>Monmouth Beach, NJ : Philip Freneau Press, 1976.</t>
        </is>
      </c>
      <c r="M985" t="inlineStr">
        <is>
          <t>1976</t>
        </is>
      </c>
      <c r="O985" t="inlineStr">
        <is>
          <t>eng</t>
        </is>
      </c>
      <c r="P985" t="inlineStr">
        <is>
          <t>nju</t>
        </is>
      </c>
      <c r="Q985" t="inlineStr">
        <is>
          <t>Philip Freneau Bicentennial series on the American Revolution</t>
        </is>
      </c>
      <c r="R985" t="inlineStr">
        <is>
          <t xml:space="preserve">E  </t>
        </is>
      </c>
      <c r="S985" t="n">
        <v>4</v>
      </c>
      <c r="T985" t="n">
        <v>4</v>
      </c>
      <c r="U985" t="inlineStr">
        <is>
          <t>2002-04-30</t>
        </is>
      </c>
      <c r="V985" t="inlineStr">
        <is>
          <t>2002-04-30</t>
        </is>
      </c>
      <c r="W985" t="inlineStr">
        <is>
          <t>1997-05-06</t>
        </is>
      </c>
      <c r="X985" t="inlineStr">
        <is>
          <t>1997-05-06</t>
        </is>
      </c>
      <c r="Y985" t="n">
        <v>121</v>
      </c>
      <c r="Z985" t="n">
        <v>117</v>
      </c>
      <c r="AA985" t="n">
        <v>119</v>
      </c>
      <c r="AB985" t="n">
        <v>2</v>
      </c>
      <c r="AC985" t="n">
        <v>2</v>
      </c>
      <c r="AD985" t="n">
        <v>5</v>
      </c>
      <c r="AE985" t="n">
        <v>5</v>
      </c>
      <c r="AF985" t="n">
        <v>0</v>
      </c>
      <c r="AG985" t="n">
        <v>0</v>
      </c>
      <c r="AH985" t="n">
        <v>2</v>
      </c>
      <c r="AI985" t="n">
        <v>2</v>
      </c>
      <c r="AJ985" t="n">
        <v>4</v>
      </c>
      <c r="AK985" t="n">
        <v>4</v>
      </c>
      <c r="AL985" t="n">
        <v>1</v>
      </c>
      <c r="AM985" t="n">
        <v>1</v>
      </c>
      <c r="AN985" t="n">
        <v>0</v>
      </c>
      <c r="AO985" t="n">
        <v>0</v>
      </c>
      <c r="AP985" t="inlineStr">
        <is>
          <t>No</t>
        </is>
      </c>
      <c r="AQ985" t="inlineStr">
        <is>
          <t>Yes</t>
        </is>
      </c>
      <c r="AR985">
        <f>HYPERLINK("http://catalog.hathitrust.org/Record/002807412","HathiTrust Record")</f>
        <v/>
      </c>
      <c r="AS985">
        <f>HYPERLINK("https://creighton-primo.hosted.exlibrisgroup.com/primo-explore/search?tab=default_tab&amp;search_scope=EVERYTHING&amp;vid=01CRU&amp;lang=en_US&amp;offset=0&amp;query=any,contains,991004160709702656","Catalog Record")</f>
        <v/>
      </c>
      <c r="AT985">
        <f>HYPERLINK("http://www.worldcat.org/oclc/2550811","WorldCat Record")</f>
        <v/>
      </c>
      <c r="AU985" t="inlineStr">
        <is>
          <t>5120230:eng</t>
        </is>
      </c>
      <c r="AV985" t="inlineStr">
        <is>
          <t>2550811</t>
        </is>
      </c>
      <c r="AW985" t="inlineStr">
        <is>
          <t>991004160709702656</t>
        </is>
      </c>
      <c r="AX985" t="inlineStr">
        <is>
          <t>991004160709702656</t>
        </is>
      </c>
      <c r="AY985" t="inlineStr">
        <is>
          <t>2256993070002656</t>
        </is>
      </c>
      <c r="AZ985" t="inlineStr">
        <is>
          <t>BOOK</t>
        </is>
      </c>
      <c r="BB985" t="inlineStr">
        <is>
          <t>9780912480121</t>
        </is>
      </c>
      <c r="BC985" t="inlineStr">
        <is>
          <t>32285002574852</t>
        </is>
      </c>
      <c r="BD985" t="inlineStr">
        <is>
          <t>893253324</t>
        </is>
      </c>
    </row>
    <row r="986">
      <c r="A986" t="inlineStr">
        <is>
          <t>No</t>
        </is>
      </c>
      <c r="B986" t="inlineStr">
        <is>
          <t>E241.B9 E53</t>
        </is>
      </c>
      <c r="C986" t="inlineStr">
        <is>
          <t>0                      E  0241000B  9                  E  53</t>
        </is>
      </c>
      <c r="D986" t="inlineStr">
        <is>
          <t>The Battle of Bunker's Hill / by John R. Elting ; foreword by Harold L. Peterson.</t>
        </is>
      </c>
      <c r="F986" t="inlineStr">
        <is>
          <t>No</t>
        </is>
      </c>
      <c r="G986" t="inlineStr">
        <is>
          <t>1</t>
        </is>
      </c>
      <c r="H986" t="inlineStr">
        <is>
          <t>No</t>
        </is>
      </c>
      <c r="I986" t="inlineStr">
        <is>
          <t>No</t>
        </is>
      </c>
      <c r="J986" t="inlineStr">
        <is>
          <t>0</t>
        </is>
      </c>
      <c r="K986" t="inlineStr">
        <is>
          <t>Elting, John Robert.</t>
        </is>
      </c>
      <c r="L986" t="inlineStr">
        <is>
          <t>Monmouth Beach, N.J. : Philip Freneau Press, 1975.</t>
        </is>
      </c>
      <c r="M986" t="inlineStr">
        <is>
          <t>1975</t>
        </is>
      </c>
      <c r="O986" t="inlineStr">
        <is>
          <t>eng</t>
        </is>
      </c>
      <c r="P986" t="inlineStr">
        <is>
          <t>nju</t>
        </is>
      </c>
      <c r="Q986" t="inlineStr">
        <is>
          <t>Philip Freneau Press bicentennial series on the American Revolution</t>
        </is>
      </c>
      <c r="R986" t="inlineStr">
        <is>
          <t xml:space="preserve">E  </t>
        </is>
      </c>
      <c r="S986" t="n">
        <v>6</v>
      </c>
      <c r="T986" t="n">
        <v>6</v>
      </c>
      <c r="U986" t="inlineStr">
        <is>
          <t>2002-02-17</t>
        </is>
      </c>
      <c r="V986" t="inlineStr">
        <is>
          <t>2002-02-17</t>
        </is>
      </c>
      <c r="W986" t="inlineStr">
        <is>
          <t>1996-04-11</t>
        </is>
      </c>
      <c r="X986" t="inlineStr">
        <is>
          <t>1996-04-11</t>
        </is>
      </c>
      <c r="Y986" t="n">
        <v>424</v>
      </c>
      <c r="Z986" t="n">
        <v>412</v>
      </c>
      <c r="AA986" t="n">
        <v>414</v>
      </c>
      <c r="AB986" t="n">
        <v>5</v>
      </c>
      <c r="AC986" t="n">
        <v>5</v>
      </c>
      <c r="AD986" t="n">
        <v>9</v>
      </c>
      <c r="AE986" t="n">
        <v>9</v>
      </c>
      <c r="AF986" t="n">
        <v>1</v>
      </c>
      <c r="AG986" t="n">
        <v>1</v>
      </c>
      <c r="AH986" t="n">
        <v>3</v>
      </c>
      <c r="AI986" t="n">
        <v>3</v>
      </c>
      <c r="AJ986" t="n">
        <v>4</v>
      </c>
      <c r="AK986" t="n">
        <v>4</v>
      </c>
      <c r="AL986" t="n">
        <v>3</v>
      </c>
      <c r="AM986" t="n">
        <v>3</v>
      </c>
      <c r="AN986" t="n">
        <v>0</v>
      </c>
      <c r="AO986" t="n">
        <v>0</v>
      </c>
      <c r="AP986" t="inlineStr">
        <is>
          <t>No</t>
        </is>
      </c>
      <c r="AQ986" t="inlineStr">
        <is>
          <t>Yes</t>
        </is>
      </c>
      <c r="AR986">
        <f>HYPERLINK("http://catalog.hathitrust.org/Record/000362966","HathiTrust Record")</f>
        <v/>
      </c>
      <c r="AS986">
        <f>HYPERLINK("https://creighton-primo.hosted.exlibrisgroup.com/primo-explore/search?tab=default_tab&amp;search_scope=EVERYTHING&amp;vid=01CRU&amp;lang=en_US&amp;offset=0&amp;query=any,contains,991004266259702656","Catalog Record")</f>
        <v/>
      </c>
      <c r="AT986">
        <f>HYPERLINK("http://www.worldcat.org/oclc/2867199","WorldCat Record")</f>
        <v/>
      </c>
      <c r="AU986" t="inlineStr">
        <is>
          <t>557514:eng</t>
        </is>
      </c>
      <c r="AV986" t="inlineStr">
        <is>
          <t>2867199</t>
        </is>
      </c>
      <c r="AW986" t="inlineStr">
        <is>
          <t>991004266259702656</t>
        </is>
      </c>
      <c r="AX986" t="inlineStr">
        <is>
          <t>991004266259702656</t>
        </is>
      </c>
      <c r="AY986" t="inlineStr">
        <is>
          <t>2266041900002656</t>
        </is>
      </c>
      <c r="AZ986" t="inlineStr">
        <is>
          <t>BOOK</t>
        </is>
      </c>
      <c r="BB986" t="inlineStr">
        <is>
          <t>9780912480114</t>
        </is>
      </c>
      <c r="BC986" t="inlineStr">
        <is>
          <t>32285002151933</t>
        </is>
      </c>
      <c r="BD986" t="inlineStr">
        <is>
          <t>893319001</t>
        </is>
      </c>
    </row>
    <row r="987">
      <c r="A987" t="inlineStr">
        <is>
          <t>No</t>
        </is>
      </c>
      <c r="B987" t="inlineStr">
        <is>
          <t>E241.B9 F58 1960</t>
        </is>
      </c>
      <c r="C987" t="inlineStr">
        <is>
          <t>0                      E  0241000B  9                  F  58          1960</t>
        </is>
      </c>
      <c r="D987" t="inlineStr">
        <is>
          <t>Now we are enemies : the story of Bunker Hill / Thomas J. Fleming.</t>
        </is>
      </c>
      <c r="F987" t="inlineStr">
        <is>
          <t>No</t>
        </is>
      </c>
      <c r="G987" t="inlineStr">
        <is>
          <t>1</t>
        </is>
      </c>
      <c r="H987" t="inlineStr">
        <is>
          <t>No</t>
        </is>
      </c>
      <c r="I987" t="inlineStr">
        <is>
          <t>No</t>
        </is>
      </c>
      <c r="J987" t="inlineStr">
        <is>
          <t>0</t>
        </is>
      </c>
      <c r="K987" t="inlineStr">
        <is>
          <t>Fleming, Thomas J.</t>
        </is>
      </c>
      <c r="L987" t="inlineStr">
        <is>
          <t>New York : St. Martin's Press, c1960.</t>
        </is>
      </c>
      <c r="M987" t="inlineStr">
        <is>
          <t>1960</t>
        </is>
      </c>
      <c r="O987" t="inlineStr">
        <is>
          <t>eng</t>
        </is>
      </c>
      <c r="P987" t="inlineStr">
        <is>
          <t>nyu</t>
        </is>
      </c>
      <c r="R987" t="inlineStr">
        <is>
          <t xml:space="preserve">E  </t>
        </is>
      </c>
      <c r="S987" t="n">
        <v>4</v>
      </c>
      <c r="T987" t="n">
        <v>4</v>
      </c>
      <c r="U987" t="inlineStr">
        <is>
          <t>2001-02-19</t>
        </is>
      </c>
      <c r="V987" t="inlineStr">
        <is>
          <t>2001-02-19</t>
        </is>
      </c>
      <c r="W987" t="inlineStr">
        <is>
          <t>1990-07-27</t>
        </is>
      </c>
      <c r="X987" t="inlineStr">
        <is>
          <t>1990-07-27</t>
        </is>
      </c>
      <c r="Y987" t="n">
        <v>738</v>
      </c>
      <c r="Z987" t="n">
        <v>723</v>
      </c>
      <c r="AA987" t="n">
        <v>1578</v>
      </c>
      <c r="AB987" t="n">
        <v>6</v>
      </c>
      <c r="AC987" t="n">
        <v>13</v>
      </c>
      <c r="AD987" t="n">
        <v>18</v>
      </c>
      <c r="AE987" t="n">
        <v>37</v>
      </c>
      <c r="AF987" t="n">
        <v>7</v>
      </c>
      <c r="AG987" t="n">
        <v>15</v>
      </c>
      <c r="AH987" t="n">
        <v>3</v>
      </c>
      <c r="AI987" t="n">
        <v>6</v>
      </c>
      <c r="AJ987" t="n">
        <v>11</v>
      </c>
      <c r="AK987" t="n">
        <v>19</v>
      </c>
      <c r="AL987" t="n">
        <v>3</v>
      </c>
      <c r="AM987" t="n">
        <v>5</v>
      </c>
      <c r="AN987" t="n">
        <v>1</v>
      </c>
      <c r="AO987" t="n">
        <v>1</v>
      </c>
      <c r="AP987" t="inlineStr">
        <is>
          <t>No</t>
        </is>
      </c>
      <c r="AQ987" t="inlineStr">
        <is>
          <t>Yes</t>
        </is>
      </c>
      <c r="AR987">
        <f>HYPERLINK("http://catalog.hathitrust.org/Record/000362249","HathiTrust Record")</f>
        <v/>
      </c>
      <c r="AS987">
        <f>HYPERLINK("https://creighton-primo.hosted.exlibrisgroup.com/primo-explore/search?tab=default_tab&amp;search_scope=EVERYTHING&amp;vid=01CRU&amp;lang=en_US&amp;offset=0&amp;query=any,contains,991003427189702656","Catalog Record")</f>
        <v/>
      </c>
      <c r="AT987">
        <f>HYPERLINK("http://www.worldcat.org/oclc/964803","WorldCat Record")</f>
        <v/>
      </c>
      <c r="AU987" t="inlineStr">
        <is>
          <t>498081749:eng</t>
        </is>
      </c>
      <c r="AV987" t="inlineStr">
        <is>
          <t>964803</t>
        </is>
      </c>
      <c r="AW987" t="inlineStr">
        <is>
          <t>991003427189702656</t>
        </is>
      </c>
      <c r="AX987" t="inlineStr">
        <is>
          <t>991003427189702656</t>
        </is>
      </c>
      <c r="AY987" t="inlineStr">
        <is>
          <t>2261698450002656</t>
        </is>
      </c>
      <c r="AZ987" t="inlineStr">
        <is>
          <t>BOOK</t>
        </is>
      </c>
      <c r="BC987" t="inlineStr">
        <is>
          <t>32285000228683</t>
        </is>
      </c>
      <c r="BD987" t="inlineStr">
        <is>
          <t>893518468</t>
        </is>
      </c>
    </row>
    <row r="988">
      <c r="A988" t="inlineStr">
        <is>
          <t>No</t>
        </is>
      </c>
      <c r="B988" t="inlineStr">
        <is>
          <t>E241.M7 S9 1970</t>
        </is>
      </c>
      <c r="C988" t="inlineStr">
        <is>
          <t>0                      E  0241000M  7                  S  9           1970</t>
        </is>
      </c>
      <c r="D988" t="inlineStr">
        <is>
          <t>The Battle of Monmouth. Edited by William Starr Myers.</t>
        </is>
      </c>
      <c r="F988" t="inlineStr">
        <is>
          <t>No</t>
        </is>
      </c>
      <c r="G988" t="inlineStr">
        <is>
          <t>1</t>
        </is>
      </c>
      <c r="H988" t="inlineStr">
        <is>
          <t>No</t>
        </is>
      </c>
      <c r="I988" t="inlineStr">
        <is>
          <t>No</t>
        </is>
      </c>
      <c r="J988" t="inlineStr">
        <is>
          <t>0</t>
        </is>
      </c>
      <c r="K988" t="inlineStr">
        <is>
          <t>Stryker, William S. (William Scudder), 1838-1900.</t>
        </is>
      </c>
      <c r="L988" t="inlineStr">
        <is>
          <t>Port Washington, N.Y., Kennikat Press [1970]</t>
        </is>
      </c>
      <c r="M988" t="inlineStr">
        <is>
          <t>1970</t>
        </is>
      </c>
      <c r="O988" t="inlineStr">
        <is>
          <t>eng</t>
        </is>
      </c>
      <c r="P988" t="inlineStr">
        <is>
          <t>nyu</t>
        </is>
      </c>
      <c r="Q988" t="inlineStr">
        <is>
          <t>Kennikat American bicentennial series</t>
        </is>
      </c>
      <c r="R988" t="inlineStr">
        <is>
          <t xml:space="preserve">E  </t>
        </is>
      </c>
      <c r="S988" t="n">
        <v>2</v>
      </c>
      <c r="T988" t="n">
        <v>2</v>
      </c>
      <c r="U988" t="inlineStr">
        <is>
          <t>1999-01-19</t>
        </is>
      </c>
      <c r="V988" t="inlineStr">
        <is>
          <t>1999-01-19</t>
        </is>
      </c>
      <c r="W988" t="inlineStr">
        <is>
          <t>1997-05-06</t>
        </is>
      </c>
      <c r="X988" t="inlineStr">
        <is>
          <t>1997-05-06</t>
        </is>
      </c>
      <c r="Y988" t="n">
        <v>210</v>
      </c>
      <c r="Z988" t="n">
        <v>199</v>
      </c>
      <c r="AA988" t="n">
        <v>327</v>
      </c>
      <c r="AB988" t="n">
        <v>4</v>
      </c>
      <c r="AC988" t="n">
        <v>5</v>
      </c>
      <c r="AD988" t="n">
        <v>7</v>
      </c>
      <c r="AE988" t="n">
        <v>11</v>
      </c>
      <c r="AF988" t="n">
        <v>0</v>
      </c>
      <c r="AG988" t="n">
        <v>1</v>
      </c>
      <c r="AH988" t="n">
        <v>3</v>
      </c>
      <c r="AI988" t="n">
        <v>3</v>
      </c>
      <c r="AJ988" t="n">
        <v>2</v>
      </c>
      <c r="AK988" t="n">
        <v>4</v>
      </c>
      <c r="AL988" t="n">
        <v>3</v>
      </c>
      <c r="AM988" t="n">
        <v>4</v>
      </c>
      <c r="AN988" t="n">
        <v>0</v>
      </c>
      <c r="AO988" t="n">
        <v>0</v>
      </c>
      <c r="AP988" t="inlineStr">
        <is>
          <t>No</t>
        </is>
      </c>
      <c r="AQ988" t="inlineStr">
        <is>
          <t>No</t>
        </is>
      </c>
      <c r="AS988">
        <f>HYPERLINK("https://creighton-primo.hosted.exlibrisgroup.com/primo-explore/search?tab=default_tab&amp;search_scope=EVERYTHING&amp;vid=01CRU&amp;lang=en_US&amp;offset=0&amp;query=any,contains,991000553779702656","Catalog Record")</f>
        <v/>
      </c>
      <c r="AT988">
        <f>HYPERLINK("http://www.worldcat.org/oclc/92926","WorldCat Record")</f>
        <v/>
      </c>
      <c r="AU988" t="inlineStr">
        <is>
          <t>458491:eng</t>
        </is>
      </c>
      <c r="AV988" t="inlineStr">
        <is>
          <t>92926</t>
        </is>
      </c>
      <c r="AW988" t="inlineStr">
        <is>
          <t>991000553779702656</t>
        </is>
      </c>
      <c r="AX988" t="inlineStr">
        <is>
          <t>991000553779702656</t>
        </is>
      </c>
      <c r="AY988" t="inlineStr">
        <is>
          <t>2262547980002656</t>
        </is>
      </c>
      <c r="AZ988" t="inlineStr">
        <is>
          <t>BOOK</t>
        </is>
      </c>
      <c r="BB988" t="inlineStr">
        <is>
          <t>9780804612869</t>
        </is>
      </c>
      <c r="BC988" t="inlineStr">
        <is>
          <t>32285002574910</t>
        </is>
      </c>
      <c r="BD988" t="inlineStr">
        <is>
          <t>893595656</t>
        </is>
      </c>
    </row>
    <row r="989">
      <c r="A989" t="inlineStr">
        <is>
          <t>No</t>
        </is>
      </c>
      <c r="B989" t="inlineStr">
        <is>
          <t>E241.P9 S6</t>
        </is>
      </c>
      <c r="C989" t="inlineStr">
        <is>
          <t>0                      E  0241000P  9                  S  6</t>
        </is>
      </c>
      <c r="D989" t="inlineStr">
        <is>
          <t>The Battle of Princeton.</t>
        </is>
      </c>
      <c r="F989" t="inlineStr">
        <is>
          <t>No</t>
        </is>
      </c>
      <c r="G989" t="inlineStr">
        <is>
          <t>1</t>
        </is>
      </c>
      <c r="H989" t="inlineStr">
        <is>
          <t>No</t>
        </is>
      </c>
      <c r="I989" t="inlineStr">
        <is>
          <t>No</t>
        </is>
      </c>
      <c r="J989" t="inlineStr">
        <is>
          <t>0</t>
        </is>
      </c>
      <c r="K989" t="inlineStr">
        <is>
          <t>Smith, Samuel Stelle.</t>
        </is>
      </c>
      <c r="L989" t="inlineStr">
        <is>
          <t>Monmouth Beach, N.J., Philip Freneau Press, 1967.</t>
        </is>
      </c>
      <c r="M989" t="inlineStr">
        <is>
          <t>1967</t>
        </is>
      </c>
      <c r="O989" t="inlineStr">
        <is>
          <t>eng</t>
        </is>
      </c>
      <c r="P989" t="inlineStr">
        <is>
          <t>nju</t>
        </is>
      </c>
      <c r="Q989" t="inlineStr">
        <is>
          <t>Philip Freneau Press bicentennial series on the American Revolution</t>
        </is>
      </c>
      <c r="R989" t="inlineStr">
        <is>
          <t xml:space="preserve">E  </t>
        </is>
      </c>
      <c r="S989" t="n">
        <v>2</v>
      </c>
      <c r="T989" t="n">
        <v>2</v>
      </c>
      <c r="U989" t="inlineStr">
        <is>
          <t>1998-11-30</t>
        </is>
      </c>
      <c r="V989" t="inlineStr">
        <is>
          <t>1998-11-30</t>
        </is>
      </c>
      <c r="W989" t="inlineStr">
        <is>
          <t>1997-05-06</t>
        </is>
      </c>
      <c r="X989" t="inlineStr">
        <is>
          <t>1997-05-06</t>
        </is>
      </c>
      <c r="Y989" t="n">
        <v>385</v>
      </c>
      <c r="Z989" t="n">
        <v>378</v>
      </c>
      <c r="AA989" t="n">
        <v>384</v>
      </c>
      <c r="AB989" t="n">
        <v>2</v>
      </c>
      <c r="AC989" t="n">
        <v>2</v>
      </c>
      <c r="AD989" t="n">
        <v>12</v>
      </c>
      <c r="AE989" t="n">
        <v>12</v>
      </c>
      <c r="AF989" t="n">
        <v>3</v>
      </c>
      <c r="AG989" t="n">
        <v>3</v>
      </c>
      <c r="AH989" t="n">
        <v>4</v>
      </c>
      <c r="AI989" t="n">
        <v>4</v>
      </c>
      <c r="AJ989" t="n">
        <v>8</v>
      </c>
      <c r="AK989" t="n">
        <v>8</v>
      </c>
      <c r="AL989" t="n">
        <v>1</v>
      </c>
      <c r="AM989" t="n">
        <v>1</v>
      </c>
      <c r="AN989" t="n">
        <v>0</v>
      </c>
      <c r="AO989" t="n">
        <v>0</v>
      </c>
      <c r="AP989" t="inlineStr">
        <is>
          <t>No</t>
        </is>
      </c>
      <c r="AQ989" t="inlineStr">
        <is>
          <t>No</t>
        </is>
      </c>
      <c r="AS989">
        <f>HYPERLINK("https://creighton-primo.hosted.exlibrisgroup.com/primo-explore/search?tab=default_tab&amp;search_scope=EVERYTHING&amp;vid=01CRU&amp;lang=en_US&amp;offset=0&amp;query=any,contains,991003294179702656","Catalog Record")</f>
        <v/>
      </c>
      <c r="AT989">
        <f>HYPERLINK("http://www.worldcat.org/oclc/816313","WorldCat Record")</f>
        <v/>
      </c>
      <c r="AU989" t="inlineStr">
        <is>
          <t>1678879:eng</t>
        </is>
      </c>
      <c r="AV989" t="inlineStr">
        <is>
          <t>816313</t>
        </is>
      </c>
      <c r="AW989" t="inlineStr">
        <is>
          <t>991003294179702656</t>
        </is>
      </c>
      <c r="AX989" t="inlineStr">
        <is>
          <t>991003294179702656</t>
        </is>
      </c>
      <c r="AY989" t="inlineStr">
        <is>
          <t>2271303890002656</t>
        </is>
      </c>
      <c r="AZ989" t="inlineStr">
        <is>
          <t>BOOK</t>
        </is>
      </c>
      <c r="BC989" t="inlineStr">
        <is>
          <t>32285002574928</t>
        </is>
      </c>
      <c r="BD989" t="inlineStr">
        <is>
          <t>893780817</t>
        </is>
      </c>
    </row>
    <row r="990">
      <c r="A990" t="inlineStr">
        <is>
          <t>No</t>
        </is>
      </c>
      <c r="B990" t="inlineStr">
        <is>
          <t>E241.Q3 F56</t>
        </is>
      </c>
      <c r="C990" t="inlineStr">
        <is>
          <t>0                      E  0241000Q  3                  F  56</t>
        </is>
      </c>
      <c r="D990" t="inlineStr">
        <is>
          <t>Rise, and fight again : perilous times along the road to independence / Charles Bracelen Flood.</t>
        </is>
      </c>
      <c r="F990" t="inlineStr">
        <is>
          <t>No</t>
        </is>
      </c>
      <c r="G990" t="inlineStr">
        <is>
          <t>1</t>
        </is>
      </c>
      <c r="H990" t="inlineStr">
        <is>
          <t>No</t>
        </is>
      </c>
      <c r="I990" t="inlineStr">
        <is>
          <t>No</t>
        </is>
      </c>
      <c r="J990" t="inlineStr">
        <is>
          <t>0</t>
        </is>
      </c>
      <c r="K990" t="inlineStr">
        <is>
          <t>Flood, Charles Bracelen.</t>
        </is>
      </c>
      <c r="L990" t="inlineStr">
        <is>
          <t>New York : Dodd, Mead, c1976.</t>
        </is>
      </c>
      <c r="M990" t="inlineStr">
        <is>
          <t>1976</t>
        </is>
      </c>
      <c r="O990" t="inlineStr">
        <is>
          <t>eng</t>
        </is>
      </c>
      <c r="P990" t="inlineStr">
        <is>
          <t>nyu</t>
        </is>
      </c>
      <c r="R990" t="inlineStr">
        <is>
          <t xml:space="preserve">E  </t>
        </is>
      </c>
      <c r="S990" t="n">
        <v>1</v>
      </c>
      <c r="T990" t="n">
        <v>1</v>
      </c>
      <c r="U990" t="inlineStr">
        <is>
          <t>2001-04-30</t>
        </is>
      </c>
      <c r="V990" t="inlineStr">
        <is>
          <t>2001-04-30</t>
        </is>
      </c>
      <c r="W990" t="inlineStr">
        <is>
          <t>1997-05-06</t>
        </is>
      </c>
      <c r="X990" t="inlineStr">
        <is>
          <t>1997-05-06</t>
        </is>
      </c>
      <c r="Y990" t="n">
        <v>788</v>
      </c>
      <c r="Z990" t="n">
        <v>761</v>
      </c>
      <c r="AA990" t="n">
        <v>767</v>
      </c>
      <c r="AB990" t="n">
        <v>6</v>
      </c>
      <c r="AC990" t="n">
        <v>6</v>
      </c>
      <c r="AD990" t="n">
        <v>24</v>
      </c>
      <c r="AE990" t="n">
        <v>24</v>
      </c>
      <c r="AF990" t="n">
        <v>8</v>
      </c>
      <c r="AG990" t="n">
        <v>8</v>
      </c>
      <c r="AH990" t="n">
        <v>8</v>
      </c>
      <c r="AI990" t="n">
        <v>8</v>
      </c>
      <c r="AJ990" t="n">
        <v>9</v>
      </c>
      <c r="AK990" t="n">
        <v>9</v>
      </c>
      <c r="AL990" t="n">
        <v>5</v>
      </c>
      <c r="AM990" t="n">
        <v>5</v>
      </c>
      <c r="AN990" t="n">
        <v>0</v>
      </c>
      <c r="AO990" t="n">
        <v>0</v>
      </c>
      <c r="AP990" t="inlineStr">
        <is>
          <t>No</t>
        </is>
      </c>
      <c r="AQ990" t="inlineStr">
        <is>
          <t>Yes</t>
        </is>
      </c>
      <c r="AR990">
        <f>HYPERLINK("http://catalog.hathitrust.org/Record/000723144","HathiTrust Record")</f>
        <v/>
      </c>
      <c r="AS990">
        <f>HYPERLINK("https://creighton-primo.hosted.exlibrisgroup.com/primo-explore/search?tab=default_tab&amp;search_scope=EVERYTHING&amp;vid=01CRU&amp;lang=en_US&amp;offset=0&amp;query=any,contains,991004120119702656","Catalog Record")</f>
        <v/>
      </c>
      <c r="AT990">
        <f>HYPERLINK("http://www.worldcat.org/oclc/2424700","WorldCat Record")</f>
        <v/>
      </c>
      <c r="AU990" t="inlineStr">
        <is>
          <t>469566:eng</t>
        </is>
      </c>
      <c r="AV990" t="inlineStr">
        <is>
          <t>2424700</t>
        </is>
      </c>
      <c r="AW990" t="inlineStr">
        <is>
          <t>991004120119702656</t>
        </is>
      </c>
      <c r="AX990" t="inlineStr">
        <is>
          <t>991004120119702656</t>
        </is>
      </c>
      <c r="AY990" t="inlineStr">
        <is>
          <t>2265038840002656</t>
        </is>
      </c>
      <c r="AZ990" t="inlineStr">
        <is>
          <t>BOOK</t>
        </is>
      </c>
      <c r="BB990" t="inlineStr">
        <is>
          <t>9780396073567</t>
        </is>
      </c>
      <c r="BC990" t="inlineStr">
        <is>
          <t>32285002574936</t>
        </is>
      </c>
      <c r="BD990" t="inlineStr">
        <is>
          <t>893241040</t>
        </is>
      </c>
    </row>
    <row r="991">
      <c r="A991" t="inlineStr">
        <is>
          <t>No</t>
        </is>
      </c>
      <c r="B991" t="inlineStr">
        <is>
          <t>E241.S2 E43</t>
        </is>
      </c>
      <c r="C991" t="inlineStr">
        <is>
          <t>0                      E  0241000S  2                  E  43</t>
        </is>
      </c>
      <c r="D991" t="inlineStr">
        <is>
          <t>The battles of Saratoga / by John R. Elting ; foreword by Anthony Wayne Tommell and Michael Phillips.</t>
        </is>
      </c>
      <c r="F991" t="inlineStr">
        <is>
          <t>No</t>
        </is>
      </c>
      <c r="G991" t="inlineStr">
        <is>
          <t>1</t>
        </is>
      </c>
      <c r="H991" t="inlineStr">
        <is>
          <t>No</t>
        </is>
      </c>
      <c r="I991" t="inlineStr">
        <is>
          <t>No</t>
        </is>
      </c>
      <c r="J991" t="inlineStr">
        <is>
          <t>0</t>
        </is>
      </c>
      <c r="K991" t="inlineStr">
        <is>
          <t>Elting, John Robert.</t>
        </is>
      </c>
      <c r="L991" t="inlineStr">
        <is>
          <t>Monmouth Beach, N.J. : Philip Freneau Press, 1977.</t>
        </is>
      </c>
      <c r="M991" t="inlineStr">
        <is>
          <t>1977</t>
        </is>
      </c>
      <c r="O991" t="inlineStr">
        <is>
          <t>eng</t>
        </is>
      </c>
      <c r="P991" t="inlineStr">
        <is>
          <t>nju</t>
        </is>
      </c>
      <c r="Q991" t="inlineStr">
        <is>
          <t>Philip Freneau Bicentennial series on the American Revolution</t>
        </is>
      </c>
      <c r="R991" t="inlineStr">
        <is>
          <t xml:space="preserve">E  </t>
        </is>
      </c>
      <c r="S991" t="n">
        <v>2</v>
      </c>
      <c r="T991" t="n">
        <v>2</v>
      </c>
      <c r="U991" t="inlineStr">
        <is>
          <t>1998-11-24</t>
        </is>
      </c>
      <c r="V991" t="inlineStr">
        <is>
          <t>1998-11-24</t>
        </is>
      </c>
      <c r="W991" t="inlineStr">
        <is>
          <t>1997-05-06</t>
        </is>
      </c>
      <c r="X991" t="inlineStr">
        <is>
          <t>1997-05-06</t>
        </is>
      </c>
      <c r="Y991" t="n">
        <v>214</v>
      </c>
      <c r="Z991" t="n">
        <v>205</v>
      </c>
      <c r="AA991" t="n">
        <v>206</v>
      </c>
      <c r="AB991" t="n">
        <v>2</v>
      </c>
      <c r="AC991" t="n">
        <v>2</v>
      </c>
      <c r="AD991" t="n">
        <v>6</v>
      </c>
      <c r="AE991" t="n">
        <v>6</v>
      </c>
      <c r="AF991" t="n">
        <v>0</v>
      </c>
      <c r="AG991" t="n">
        <v>0</v>
      </c>
      <c r="AH991" t="n">
        <v>5</v>
      </c>
      <c r="AI991" t="n">
        <v>5</v>
      </c>
      <c r="AJ991" t="n">
        <v>2</v>
      </c>
      <c r="AK991" t="n">
        <v>2</v>
      </c>
      <c r="AL991" t="n">
        <v>1</v>
      </c>
      <c r="AM991" t="n">
        <v>1</v>
      </c>
      <c r="AN991" t="n">
        <v>0</v>
      </c>
      <c r="AO991" t="n">
        <v>0</v>
      </c>
      <c r="AP991" t="inlineStr">
        <is>
          <t>No</t>
        </is>
      </c>
      <c r="AQ991" t="inlineStr">
        <is>
          <t>No</t>
        </is>
      </c>
      <c r="AS991">
        <f>HYPERLINK("https://creighton-primo.hosted.exlibrisgroup.com/primo-explore/search?tab=default_tab&amp;search_scope=EVERYTHING&amp;vid=01CRU&amp;lang=en_US&amp;offset=0&amp;query=any,contains,991004477579702656","Catalog Record")</f>
        <v/>
      </c>
      <c r="AT991">
        <f>HYPERLINK("http://www.worldcat.org/oclc/3611084","WorldCat Record")</f>
        <v/>
      </c>
      <c r="AU991" t="inlineStr">
        <is>
          <t>557516:eng</t>
        </is>
      </c>
      <c r="AV991" t="inlineStr">
        <is>
          <t>3611084</t>
        </is>
      </c>
      <c r="AW991" t="inlineStr">
        <is>
          <t>991004477579702656</t>
        </is>
      </c>
      <c r="AX991" t="inlineStr">
        <is>
          <t>991004477579702656</t>
        </is>
      </c>
      <c r="AY991" t="inlineStr">
        <is>
          <t>2264543780002656</t>
        </is>
      </c>
      <c r="AZ991" t="inlineStr">
        <is>
          <t>BOOK</t>
        </is>
      </c>
      <c r="BB991" t="inlineStr">
        <is>
          <t>9780912480138</t>
        </is>
      </c>
      <c r="BC991" t="inlineStr">
        <is>
          <t>32285002574944</t>
        </is>
      </c>
      <c r="BD991" t="inlineStr">
        <is>
          <t>893241485</t>
        </is>
      </c>
    </row>
    <row r="992">
      <c r="A992" t="inlineStr">
        <is>
          <t>No</t>
        </is>
      </c>
      <c r="B992" t="inlineStr">
        <is>
          <t>E241.S2 K48 1997</t>
        </is>
      </c>
      <c r="C992" t="inlineStr">
        <is>
          <t>0                      E  0241000S  2                  K  48          1997</t>
        </is>
      </c>
      <c r="D992" t="inlineStr">
        <is>
          <t>Saratoga : turning point of America's Revolutionary War / Richard M. Ketchum.</t>
        </is>
      </c>
      <c r="F992" t="inlineStr">
        <is>
          <t>No</t>
        </is>
      </c>
      <c r="G992" t="inlineStr">
        <is>
          <t>1</t>
        </is>
      </c>
      <c r="H992" t="inlineStr">
        <is>
          <t>No</t>
        </is>
      </c>
      <c r="I992" t="inlineStr">
        <is>
          <t>No</t>
        </is>
      </c>
      <c r="J992" t="inlineStr">
        <is>
          <t>0</t>
        </is>
      </c>
      <c r="K992" t="inlineStr">
        <is>
          <t>Ketchum, Richard M., 1922-2012.</t>
        </is>
      </c>
      <c r="L992" t="inlineStr">
        <is>
          <t>New York : H. Holt, 1997.</t>
        </is>
      </c>
      <c r="M992" t="inlineStr">
        <is>
          <t>1997</t>
        </is>
      </c>
      <c r="N992" t="inlineStr">
        <is>
          <t>1st ed.</t>
        </is>
      </c>
      <c r="O992" t="inlineStr">
        <is>
          <t>eng</t>
        </is>
      </c>
      <c r="P992" t="inlineStr">
        <is>
          <t>nyu</t>
        </is>
      </c>
      <c r="R992" t="inlineStr">
        <is>
          <t xml:space="preserve">E  </t>
        </is>
      </c>
      <c r="S992" t="n">
        <v>4</v>
      </c>
      <c r="T992" t="n">
        <v>4</v>
      </c>
      <c r="U992" t="inlineStr">
        <is>
          <t>1998-11-24</t>
        </is>
      </c>
      <c r="V992" t="inlineStr">
        <is>
          <t>1998-11-24</t>
        </is>
      </c>
      <c r="W992" t="inlineStr">
        <is>
          <t>1997-11-04</t>
        </is>
      </c>
      <c r="X992" t="inlineStr">
        <is>
          <t>1997-11-04</t>
        </is>
      </c>
      <c r="Y992" t="n">
        <v>1180</v>
      </c>
      <c r="Z992" t="n">
        <v>1143</v>
      </c>
      <c r="AA992" t="n">
        <v>1308</v>
      </c>
      <c r="AB992" t="n">
        <v>11</v>
      </c>
      <c r="AC992" t="n">
        <v>12</v>
      </c>
      <c r="AD992" t="n">
        <v>33</v>
      </c>
      <c r="AE992" t="n">
        <v>36</v>
      </c>
      <c r="AF992" t="n">
        <v>12</v>
      </c>
      <c r="AG992" t="n">
        <v>14</v>
      </c>
      <c r="AH992" t="n">
        <v>7</v>
      </c>
      <c r="AI992" t="n">
        <v>7</v>
      </c>
      <c r="AJ992" t="n">
        <v>16</v>
      </c>
      <c r="AK992" t="n">
        <v>16</v>
      </c>
      <c r="AL992" t="n">
        <v>7</v>
      </c>
      <c r="AM992" t="n">
        <v>8</v>
      </c>
      <c r="AN992" t="n">
        <v>0</v>
      </c>
      <c r="AO992" t="n">
        <v>0</v>
      </c>
      <c r="AP992" t="inlineStr">
        <is>
          <t>No</t>
        </is>
      </c>
      <c r="AQ992" t="inlineStr">
        <is>
          <t>No</t>
        </is>
      </c>
      <c r="AS992">
        <f>HYPERLINK("https://creighton-primo.hosted.exlibrisgroup.com/primo-explore/search?tab=default_tab&amp;search_scope=EVERYTHING&amp;vid=01CRU&amp;lang=en_US&amp;offset=0&amp;query=any,contains,991002778579702656","Catalog Record")</f>
        <v/>
      </c>
      <c r="AT992">
        <f>HYPERLINK("http://www.worldcat.org/oclc/36485761","WorldCat Record")</f>
        <v/>
      </c>
      <c r="AU992" t="inlineStr">
        <is>
          <t>797241044:eng</t>
        </is>
      </c>
      <c r="AV992" t="inlineStr">
        <is>
          <t>36485761</t>
        </is>
      </c>
      <c r="AW992" t="inlineStr">
        <is>
          <t>991002778579702656</t>
        </is>
      </c>
      <c r="AX992" t="inlineStr">
        <is>
          <t>991002778579702656</t>
        </is>
      </c>
      <c r="AY992" t="inlineStr">
        <is>
          <t>2265267710002656</t>
        </is>
      </c>
      <c r="AZ992" t="inlineStr">
        <is>
          <t>BOOK</t>
        </is>
      </c>
      <c r="BB992" t="inlineStr">
        <is>
          <t>9780805046816</t>
        </is>
      </c>
      <c r="BC992" t="inlineStr">
        <is>
          <t>32285003275103</t>
        </is>
      </c>
      <c r="BD992" t="inlineStr">
        <is>
          <t>893780215</t>
        </is>
      </c>
    </row>
    <row r="993">
      <c r="A993" t="inlineStr">
        <is>
          <t>No</t>
        </is>
      </c>
      <c r="B993" t="inlineStr">
        <is>
          <t>E241.T7 S6</t>
        </is>
      </c>
      <c r="C993" t="inlineStr">
        <is>
          <t>0                      E  0241000T  7                  S  6</t>
        </is>
      </c>
      <c r="D993" t="inlineStr">
        <is>
          <t>The Battle of Trenton.</t>
        </is>
      </c>
      <c r="F993" t="inlineStr">
        <is>
          <t>No</t>
        </is>
      </c>
      <c r="G993" t="inlineStr">
        <is>
          <t>1</t>
        </is>
      </c>
      <c r="H993" t="inlineStr">
        <is>
          <t>No</t>
        </is>
      </c>
      <c r="I993" t="inlineStr">
        <is>
          <t>No</t>
        </is>
      </c>
      <c r="J993" t="inlineStr">
        <is>
          <t>0</t>
        </is>
      </c>
      <c r="K993" t="inlineStr">
        <is>
          <t>Smith, Samuel Stelle.</t>
        </is>
      </c>
      <c r="L993" t="inlineStr">
        <is>
          <t>Monmouth Beach, N.J., Philip Freneau Press, 1965.</t>
        </is>
      </c>
      <c r="M993" t="inlineStr">
        <is>
          <t>1965</t>
        </is>
      </c>
      <c r="O993" t="inlineStr">
        <is>
          <t>eng</t>
        </is>
      </c>
      <c r="P993" t="inlineStr">
        <is>
          <t>nju</t>
        </is>
      </c>
      <c r="Q993" t="inlineStr">
        <is>
          <t>Philip Freneau Press bicentennial series on the American Revolution</t>
        </is>
      </c>
      <c r="R993" t="inlineStr">
        <is>
          <t xml:space="preserve">E  </t>
        </is>
      </c>
      <c r="S993" t="n">
        <v>2</v>
      </c>
      <c r="T993" t="n">
        <v>2</v>
      </c>
      <c r="U993" t="inlineStr">
        <is>
          <t>1998-11-30</t>
        </is>
      </c>
      <c r="V993" t="inlineStr">
        <is>
          <t>1998-11-30</t>
        </is>
      </c>
      <c r="W993" t="inlineStr">
        <is>
          <t>1997-05-06</t>
        </is>
      </c>
      <c r="X993" t="inlineStr">
        <is>
          <t>1997-05-06</t>
        </is>
      </c>
      <c r="Y993" t="n">
        <v>444</v>
      </c>
      <c r="Z993" t="n">
        <v>434</v>
      </c>
      <c r="AA993" t="n">
        <v>437</v>
      </c>
      <c r="AB993" t="n">
        <v>3</v>
      </c>
      <c r="AC993" t="n">
        <v>3</v>
      </c>
      <c r="AD993" t="n">
        <v>18</v>
      </c>
      <c r="AE993" t="n">
        <v>18</v>
      </c>
      <c r="AF993" t="n">
        <v>3</v>
      </c>
      <c r="AG993" t="n">
        <v>3</v>
      </c>
      <c r="AH993" t="n">
        <v>6</v>
      </c>
      <c r="AI993" t="n">
        <v>6</v>
      </c>
      <c r="AJ993" t="n">
        <v>13</v>
      </c>
      <c r="AK993" t="n">
        <v>13</v>
      </c>
      <c r="AL993" t="n">
        <v>2</v>
      </c>
      <c r="AM993" t="n">
        <v>2</v>
      </c>
      <c r="AN993" t="n">
        <v>0</v>
      </c>
      <c r="AO993" t="n">
        <v>0</v>
      </c>
      <c r="AP993" t="inlineStr">
        <is>
          <t>No</t>
        </is>
      </c>
      <c r="AQ993" t="inlineStr">
        <is>
          <t>Yes</t>
        </is>
      </c>
      <c r="AR993">
        <f>HYPERLINK("http://catalog.hathitrust.org/Record/000362285","HathiTrust Record")</f>
        <v/>
      </c>
      <c r="AS993">
        <f>HYPERLINK("https://creighton-primo.hosted.exlibrisgroup.com/primo-explore/search?tab=default_tab&amp;search_scope=EVERYTHING&amp;vid=01CRU&amp;lang=en_US&amp;offset=0&amp;query=any,contains,991002754549702656","Catalog Record")</f>
        <v/>
      </c>
      <c r="AT993">
        <f>HYPERLINK("http://www.worldcat.org/oclc/425982","WorldCat Record")</f>
        <v/>
      </c>
      <c r="AU993" t="inlineStr">
        <is>
          <t>2218802135:eng</t>
        </is>
      </c>
      <c r="AV993" t="inlineStr">
        <is>
          <t>425982</t>
        </is>
      </c>
      <c r="AW993" t="inlineStr">
        <is>
          <t>991002754549702656</t>
        </is>
      </c>
      <c r="AX993" t="inlineStr">
        <is>
          <t>991002754549702656</t>
        </is>
      </c>
      <c r="AY993" t="inlineStr">
        <is>
          <t>2267847940002656</t>
        </is>
      </c>
      <c r="AZ993" t="inlineStr">
        <is>
          <t>BOOK</t>
        </is>
      </c>
      <c r="BC993" t="inlineStr">
        <is>
          <t>32285002574985</t>
        </is>
      </c>
      <c r="BD993" t="inlineStr">
        <is>
          <t>893335664</t>
        </is>
      </c>
    </row>
    <row r="994">
      <c r="A994" t="inlineStr">
        <is>
          <t>No</t>
        </is>
      </c>
      <c r="B994" t="inlineStr">
        <is>
          <t>E249 .D859 1985</t>
        </is>
      </c>
      <c r="C994" t="inlineStr">
        <is>
          <t>0                      E  0249000D  859         1985</t>
        </is>
      </c>
      <c r="D994" t="inlineStr">
        <is>
          <t>A diplomatic history of the American Revolution / Jonathan R. Dull.</t>
        </is>
      </c>
      <c r="F994" t="inlineStr">
        <is>
          <t>No</t>
        </is>
      </c>
      <c r="G994" t="inlineStr">
        <is>
          <t>1</t>
        </is>
      </c>
      <c r="H994" t="inlineStr">
        <is>
          <t>No</t>
        </is>
      </c>
      <c r="I994" t="inlineStr">
        <is>
          <t>No</t>
        </is>
      </c>
      <c r="J994" t="inlineStr">
        <is>
          <t>0</t>
        </is>
      </c>
      <c r="K994" t="inlineStr">
        <is>
          <t>Dull, Jonathan R., 1942-</t>
        </is>
      </c>
      <c r="L994" t="inlineStr">
        <is>
          <t>New Haven : Yale University Press, c1985.</t>
        </is>
      </c>
      <c r="M994" t="inlineStr">
        <is>
          <t>1985</t>
        </is>
      </c>
      <c r="O994" t="inlineStr">
        <is>
          <t>eng</t>
        </is>
      </c>
      <c r="P994" t="inlineStr">
        <is>
          <t>ctu</t>
        </is>
      </c>
      <c r="R994" t="inlineStr">
        <is>
          <t xml:space="preserve">E  </t>
        </is>
      </c>
      <c r="S994" t="n">
        <v>1</v>
      </c>
      <c r="T994" t="n">
        <v>1</v>
      </c>
      <c r="U994" t="inlineStr">
        <is>
          <t>1992-10-09</t>
        </is>
      </c>
      <c r="V994" t="inlineStr">
        <is>
          <t>1992-10-09</t>
        </is>
      </c>
      <c r="W994" t="inlineStr">
        <is>
          <t>1990-06-21</t>
        </is>
      </c>
      <c r="X994" t="inlineStr">
        <is>
          <t>1990-06-21</t>
        </is>
      </c>
      <c r="Y994" t="n">
        <v>1391</v>
      </c>
      <c r="Z994" t="n">
        <v>1247</v>
      </c>
      <c r="AA994" t="n">
        <v>1392</v>
      </c>
      <c r="AB994" t="n">
        <v>11</v>
      </c>
      <c r="AC994" t="n">
        <v>11</v>
      </c>
      <c r="AD994" t="n">
        <v>43</v>
      </c>
      <c r="AE994" t="n">
        <v>49</v>
      </c>
      <c r="AF994" t="n">
        <v>17</v>
      </c>
      <c r="AG994" t="n">
        <v>21</v>
      </c>
      <c r="AH994" t="n">
        <v>7</v>
      </c>
      <c r="AI994" t="n">
        <v>10</v>
      </c>
      <c r="AJ994" t="n">
        <v>18</v>
      </c>
      <c r="AK994" t="n">
        <v>20</v>
      </c>
      <c r="AL994" t="n">
        <v>8</v>
      </c>
      <c r="AM994" t="n">
        <v>8</v>
      </c>
      <c r="AN994" t="n">
        <v>1</v>
      </c>
      <c r="AO994" t="n">
        <v>1</v>
      </c>
      <c r="AP994" t="inlineStr">
        <is>
          <t>No</t>
        </is>
      </c>
      <c r="AQ994" t="inlineStr">
        <is>
          <t>No</t>
        </is>
      </c>
      <c r="AS994">
        <f>HYPERLINK("https://creighton-primo.hosted.exlibrisgroup.com/primo-explore/search?tab=default_tab&amp;search_scope=EVERYTHING&amp;vid=01CRU&amp;lang=en_US&amp;offset=0&amp;query=any,contains,991000592589702656","Catalog Record")</f>
        <v/>
      </c>
      <c r="AT994">
        <f>HYPERLINK("http://www.worldcat.org/oclc/11785820","WorldCat Record")</f>
        <v/>
      </c>
      <c r="AU994" t="inlineStr">
        <is>
          <t>4639770:eng</t>
        </is>
      </c>
      <c r="AV994" t="inlineStr">
        <is>
          <t>11785820</t>
        </is>
      </c>
      <c r="AW994" t="inlineStr">
        <is>
          <t>991000592589702656</t>
        </is>
      </c>
      <c r="AX994" t="inlineStr">
        <is>
          <t>991000592589702656</t>
        </is>
      </c>
      <c r="AY994" t="inlineStr">
        <is>
          <t>2255753860002656</t>
        </is>
      </c>
      <c r="AZ994" t="inlineStr">
        <is>
          <t>BOOK</t>
        </is>
      </c>
      <c r="BB994" t="inlineStr">
        <is>
          <t>9780300034196</t>
        </is>
      </c>
      <c r="BC994" t="inlineStr">
        <is>
          <t>32285000210798</t>
        </is>
      </c>
      <c r="BD994" t="inlineStr">
        <is>
          <t>893614325</t>
        </is>
      </c>
    </row>
    <row r="995">
      <c r="A995" t="inlineStr">
        <is>
          <t>No</t>
        </is>
      </c>
      <c r="B995" t="inlineStr">
        <is>
          <t>E249.3 .R43</t>
        </is>
      </c>
      <c r="C995" t="inlineStr">
        <is>
          <t>0                      E  0249300R  43</t>
        </is>
      </c>
      <c r="D995" t="inlineStr">
        <is>
          <t>Rebellion in America : a contemporary British viewpoint, 1765-1783 / David H. Murdoch, editor.</t>
        </is>
      </c>
      <c r="F995" t="inlineStr">
        <is>
          <t>No</t>
        </is>
      </c>
      <c r="G995" t="inlineStr">
        <is>
          <t>1</t>
        </is>
      </c>
      <c r="H995" t="inlineStr">
        <is>
          <t>No</t>
        </is>
      </c>
      <c r="I995" t="inlineStr">
        <is>
          <t>No</t>
        </is>
      </c>
      <c r="J995" t="inlineStr">
        <is>
          <t>0</t>
        </is>
      </c>
      <c r="L995" t="inlineStr">
        <is>
          <t>Santa Barbara, Calif. : Clio Books, c1979.</t>
        </is>
      </c>
      <c r="M995" t="inlineStr">
        <is>
          <t>1979</t>
        </is>
      </c>
      <c r="O995" t="inlineStr">
        <is>
          <t>eng</t>
        </is>
      </c>
      <c r="P995" t="inlineStr">
        <is>
          <t>enk</t>
        </is>
      </c>
      <c r="R995" t="inlineStr">
        <is>
          <t xml:space="preserve">E  </t>
        </is>
      </c>
      <c r="S995" t="n">
        <v>1</v>
      </c>
      <c r="T995" t="n">
        <v>1</v>
      </c>
      <c r="U995" t="inlineStr">
        <is>
          <t>1992-12-02</t>
        </is>
      </c>
      <c r="V995" t="inlineStr">
        <is>
          <t>1992-12-02</t>
        </is>
      </c>
      <c r="W995" t="inlineStr">
        <is>
          <t>1990-06-21</t>
        </is>
      </c>
      <c r="X995" t="inlineStr">
        <is>
          <t>1990-06-21</t>
        </is>
      </c>
      <c r="Y995" t="n">
        <v>369</v>
      </c>
      <c r="Z995" t="n">
        <v>308</v>
      </c>
      <c r="AA995" t="n">
        <v>317</v>
      </c>
      <c r="AB995" t="n">
        <v>2</v>
      </c>
      <c r="AC995" t="n">
        <v>2</v>
      </c>
      <c r="AD995" t="n">
        <v>14</v>
      </c>
      <c r="AE995" t="n">
        <v>15</v>
      </c>
      <c r="AF995" t="n">
        <v>6</v>
      </c>
      <c r="AG995" t="n">
        <v>7</v>
      </c>
      <c r="AH995" t="n">
        <v>5</v>
      </c>
      <c r="AI995" t="n">
        <v>5</v>
      </c>
      <c r="AJ995" t="n">
        <v>6</v>
      </c>
      <c r="AK995" t="n">
        <v>7</v>
      </c>
      <c r="AL995" t="n">
        <v>1</v>
      </c>
      <c r="AM995" t="n">
        <v>1</v>
      </c>
      <c r="AN995" t="n">
        <v>1</v>
      </c>
      <c r="AO995" t="n">
        <v>1</v>
      </c>
      <c r="AP995" t="inlineStr">
        <is>
          <t>No</t>
        </is>
      </c>
      <c r="AQ995" t="inlineStr">
        <is>
          <t>Yes</t>
        </is>
      </c>
      <c r="AR995">
        <f>HYPERLINK("http://catalog.hathitrust.org/Record/000032485","HathiTrust Record")</f>
        <v/>
      </c>
      <c r="AS995">
        <f>HYPERLINK("https://creighton-primo.hosted.exlibrisgroup.com/primo-explore/search?tab=default_tab&amp;search_scope=EVERYTHING&amp;vid=01CRU&amp;lang=en_US&amp;offset=0&amp;query=any,contains,991004429829702656","Catalog Record")</f>
        <v/>
      </c>
      <c r="AT995">
        <f>HYPERLINK("http://www.worldcat.org/oclc/3415291","WorldCat Record")</f>
        <v/>
      </c>
      <c r="AU995" t="inlineStr">
        <is>
          <t>836698646:eng</t>
        </is>
      </c>
      <c r="AV995" t="inlineStr">
        <is>
          <t>3415291</t>
        </is>
      </c>
      <c r="AW995" t="inlineStr">
        <is>
          <t>991004429829702656</t>
        </is>
      </c>
      <c r="AX995" t="inlineStr">
        <is>
          <t>991004429829702656</t>
        </is>
      </c>
      <c r="AY995" t="inlineStr">
        <is>
          <t>2260280220002656</t>
        </is>
      </c>
      <c r="AZ995" t="inlineStr">
        <is>
          <t>BOOK</t>
        </is>
      </c>
      <c r="BB995" t="inlineStr">
        <is>
          <t>9780874362251</t>
        </is>
      </c>
      <c r="BC995" t="inlineStr">
        <is>
          <t>32285000210814</t>
        </is>
      </c>
      <c r="BD995" t="inlineStr">
        <is>
          <t>893895001</t>
        </is>
      </c>
    </row>
    <row r="996">
      <c r="A996" t="inlineStr">
        <is>
          <t>No</t>
        </is>
      </c>
      <c r="B996" t="inlineStr">
        <is>
          <t>E255 .M66</t>
        </is>
      </c>
      <c r="C996" t="inlineStr">
        <is>
          <t>0                      E  0255000M  66</t>
        </is>
      </c>
      <c r="D996" t="inlineStr">
        <is>
          <t>Rag, tag, and bobtail; the story of the Continental Army, 1775-1783. Maps and end papers by Alice Wesche.</t>
        </is>
      </c>
      <c r="F996" t="inlineStr">
        <is>
          <t>No</t>
        </is>
      </c>
      <c r="G996" t="inlineStr">
        <is>
          <t>1</t>
        </is>
      </c>
      <c r="H996" t="inlineStr">
        <is>
          <t>No</t>
        </is>
      </c>
      <c r="I996" t="inlineStr">
        <is>
          <t>No</t>
        </is>
      </c>
      <c r="J996" t="inlineStr">
        <is>
          <t>0</t>
        </is>
      </c>
      <c r="K996" t="inlineStr">
        <is>
          <t>Montross, Lynn, 1895-1961.</t>
        </is>
      </c>
      <c r="L996" t="inlineStr">
        <is>
          <t>New York, Harper [1952]</t>
        </is>
      </c>
      <c r="M996" t="inlineStr">
        <is>
          <t>1952</t>
        </is>
      </c>
      <c r="N996" t="inlineStr">
        <is>
          <t>[1st ed.]</t>
        </is>
      </c>
      <c r="O996" t="inlineStr">
        <is>
          <t>eng</t>
        </is>
      </c>
      <c r="P996" t="inlineStr">
        <is>
          <t>nyu</t>
        </is>
      </c>
      <c r="R996" t="inlineStr">
        <is>
          <t xml:space="preserve">E  </t>
        </is>
      </c>
      <c r="S996" t="n">
        <v>1</v>
      </c>
      <c r="T996" t="n">
        <v>1</v>
      </c>
      <c r="U996" t="inlineStr">
        <is>
          <t>2001-02-19</t>
        </is>
      </c>
      <c r="V996" t="inlineStr">
        <is>
          <t>2001-02-19</t>
        </is>
      </c>
      <c r="W996" t="inlineStr">
        <is>
          <t>1997-05-06</t>
        </is>
      </c>
      <c r="X996" t="inlineStr">
        <is>
          <t>1997-05-06</t>
        </is>
      </c>
      <c r="Y996" t="n">
        <v>632</v>
      </c>
      <c r="Z996" t="n">
        <v>611</v>
      </c>
      <c r="AA996" t="n">
        <v>618</v>
      </c>
      <c r="AB996" t="n">
        <v>7</v>
      </c>
      <c r="AC996" t="n">
        <v>7</v>
      </c>
      <c r="AD996" t="n">
        <v>22</v>
      </c>
      <c r="AE996" t="n">
        <v>22</v>
      </c>
      <c r="AF996" t="n">
        <v>7</v>
      </c>
      <c r="AG996" t="n">
        <v>7</v>
      </c>
      <c r="AH996" t="n">
        <v>3</v>
      </c>
      <c r="AI996" t="n">
        <v>3</v>
      </c>
      <c r="AJ996" t="n">
        <v>10</v>
      </c>
      <c r="AK996" t="n">
        <v>10</v>
      </c>
      <c r="AL996" t="n">
        <v>4</v>
      </c>
      <c r="AM996" t="n">
        <v>4</v>
      </c>
      <c r="AN996" t="n">
        <v>1</v>
      </c>
      <c r="AO996" t="n">
        <v>1</v>
      </c>
      <c r="AP996" t="inlineStr">
        <is>
          <t>No</t>
        </is>
      </c>
      <c r="AQ996" t="inlineStr">
        <is>
          <t>Yes</t>
        </is>
      </c>
      <c r="AR996">
        <f>HYPERLINK("http://catalog.hathitrust.org/Record/000362622","HathiTrust Record")</f>
        <v/>
      </c>
      <c r="AS996">
        <f>HYPERLINK("https://creighton-primo.hosted.exlibrisgroup.com/primo-explore/search?tab=default_tab&amp;search_scope=EVERYTHING&amp;vid=01CRU&amp;lang=en_US&amp;offset=0&amp;query=any,contains,991002755169702656","Catalog Record")</f>
        <v/>
      </c>
      <c r="AT996">
        <f>HYPERLINK("http://www.worldcat.org/oclc/426182","WorldCat Record")</f>
        <v/>
      </c>
      <c r="AU996" t="inlineStr">
        <is>
          <t>1519479:eng</t>
        </is>
      </c>
      <c r="AV996" t="inlineStr">
        <is>
          <t>426182</t>
        </is>
      </c>
      <c r="AW996" t="inlineStr">
        <is>
          <t>991002755169702656</t>
        </is>
      </c>
      <c r="AX996" t="inlineStr">
        <is>
          <t>991002755169702656</t>
        </is>
      </c>
      <c r="AY996" t="inlineStr">
        <is>
          <t>2265447220002656</t>
        </is>
      </c>
      <c r="AZ996" t="inlineStr">
        <is>
          <t>BOOK</t>
        </is>
      </c>
      <c r="BC996" t="inlineStr">
        <is>
          <t>32285002615101</t>
        </is>
      </c>
      <c r="BD996" t="inlineStr">
        <is>
          <t>893335668</t>
        </is>
      </c>
    </row>
    <row r="997">
      <c r="A997" t="inlineStr">
        <is>
          <t>No</t>
        </is>
      </c>
      <c r="B997" t="inlineStr">
        <is>
          <t>E263.C5 B83</t>
        </is>
      </c>
      <c r="C997" t="inlineStr">
        <is>
          <t>0                      E  0263000C  5                  B  83</t>
        </is>
      </c>
      <c r="D997" t="inlineStr">
        <is>
          <t>Dear liberty : Connecticut's mobilization for the Revolutionary War / Richard Buel, Jr.</t>
        </is>
      </c>
      <c r="F997" t="inlineStr">
        <is>
          <t>No</t>
        </is>
      </c>
      <c r="G997" t="inlineStr">
        <is>
          <t>1</t>
        </is>
      </c>
      <c r="H997" t="inlineStr">
        <is>
          <t>No</t>
        </is>
      </c>
      <c r="I997" t="inlineStr">
        <is>
          <t>No</t>
        </is>
      </c>
      <c r="J997" t="inlineStr">
        <is>
          <t>0</t>
        </is>
      </c>
      <c r="K997" t="inlineStr">
        <is>
          <t>Buel, Richard, 1933-</t>
        </is>
      </c>
      <c r="L997" t="inlineStr">
        <is>
          <t>Middletown, Conn. : Wesleyan University Press ; Irvington, NY : distributed by Columbia University Press, c1980.</t>
        </is>
      </c>
      <c r="M997" t="inlineStr">
        <is>
          <t>1980</t>
        </is>
      </c>
      <c r="N997" t="inlineStr">
        <is>
          <t>1st ed.</t>
        </is>
      </c>
      <c r="O997" t="inlineStr">
        <is>
          <t>eng</t>
        </is>
      </c>
      <c r="P997" t="inlineStr">
        <is>
          <t>ctu</t>
        </is>
      </c>
      <c r="R997" t="inlineStr">
        <is>
          <t xml:space="preserve">E  </t>
        </is>
      </c>
      <c r="S997" t="n">
        <v>3</v>
      </c>
      <c r="T997" t="n">
        <v>3</v>
      </c>
      <c r="U997" t="inlineStr">
        <is>
          <t>2000-03-28</t>
        </is>
      </c>
      <c r="V997" t="inlineStr">
        <is>
          <t>2000-03-28</t>
        </is>
      </c>
      <c r="W997" t="inlineStr">
        <is>
          <t>1991-03-26</t>
        </is>
      </c>
      <c r="X997" t="inlineStr">
        <is>
          <t>1991-03-26</t>
        </is>
      </c>
      <c r="Y997" t="n">
        <v>521</v>
      </c>
      <c r="Z997" t="n">
        <v>456</v>
      </c>
      <c r="AA997" t="n">
        <v>456</v>
      </c>
      <c r="AB997" t="n">
        <v>4</v>
      </c>
      <c r="AC997" t="n">
        <v>4</v>
      </c>
      <c r="AD997" t="n">
        <v>21</v>
      </c>
      <c r="AE997" t="n">
        <v>21</v>
      </c>
      <c r="AF997" t="n">
        <v>10</v>
      </c>
      <c r="AG997" t="n">
        <v>10</v>
      </c>
      <c r="AH997" t="n">
        <v>6</v>
      </c>
      <c r="AI997" t="n">
        <v>6</v>
      </c>
      <c r="AJ997" t="n">
        <v>10</v>
      </c>
      <c r="AK997" t="n">
        <v>10</v>
      </c>
      <c r="AL997" t="n">
        <v>3</v>
      </c>
      <c r="AM997" t="n">
        <v>3</v>
      </c>
      <c r="AN997" t="n">
        <v>0</v>
      </c>
      <c r="AO997" t="n">
        <v>0</v>
      </c>
      <c r="AP997" t="inlineStr">
        <is>
          <t>No</t>
        </is>
      </c>
      <c r="AQ997" t="inlineStr">
        <is>
          <t>No</t>
        </is>
      </c>
      <c r="AS997">
        <f>HYPERLINK("https://creighton-primo.hosted.exlibrisgroup.com/primo-explore/search?tab=default_tab&amp;search_scope=EVERYTHING&amp;vid=01CRU&amp;lang=en_US&amp;offset=0&amp;query=any,contains,991004952259702656","Catalog Record")</f>
        <v/>
      </c>
      <c r="AT997">
        <f>HYPERLINK("http://www.worldcat.org/oclc/6251348","WorldCat Record")</f>
        <v/>
      </c>
      <c r="AU997" t="inlineStr">
        <is>
          <t>21179563:eng</t>
        </is>
      </c>
      <c r="AV997" t="inlineStr">
        <is>
          <t>6251348</t>
        </is>
      </c>
      <c r="AW997" t="inlineStr">
        <is>
          <t>991004952259702656</t>
        </is>
      </c>
      <c r="AX997" t="inlineStr">
        <is>
          <t>991004952259702656</t>
        </is>
      </c>
      <c r="AY997" t="inlineStr">
        <is>
          <t>2262840520002656</t>
        </is>
      </c>
      <c r="AZ997" t="inlineStr">
        <is>
          <t>BOOK</t>
        </is>
      </c>
      <c r="BB997" t="inlineStr">
        <is>
          <t>9780819550477</t>
        </is>
      </c>
      <c r="BC997" t="inlineStr">
        <is>
          <t>32285000540830</t>
        </is>
      </c>
      <c r="BD997" t="inlineStr">
        <is>
          <t>893412131</t>
        </is>
      </c>
    </row>
    <row r="998">
      <c r="A998" t="inlineStr">
        <is>
          <t>No</t>
        </is>
      </c>
      <c r="B998" t="inlineStr">
        <is>
          <t>E263.M4 B57 1986</t>
        </is>
      </c>
      <c r="C998" t="inlineStr">
        <is>
          <t>0                      E  0263000M  4                  B  57          1986</t>
        </is>
      </c>
      <c r="D998" t="inlineStr">
        <is>
          <t>Red dawn at Lexington : "If they mean to have a war, let it begin here!" / Louis Birnbaum.</t>
        </is>
      </c>
      <c r="F998" t="inlineStr">
        <is>
          <t>No</t>
        </is>
      </c>
      <c r="G998" t="inlineStr">
        <is>
          <t>1</t>
        </is>
      </c>
      <c r="H998" t="inlineStr">
        <is>
          <t>No</t>
        </is>
      </c>
      <c r="I998" t="inlineStr">
        <is>
          <t>No</t>
        </is>
      </c>
      <c r="J998" t="inlineStr">
        <is>
          <t>0</t>
        </is>
      </c>
      <c r="K998" t="inlineStr">
        <is>
          <t>Birnbaum, Louis, -1983.</t>
        </is>
      </c>
      <c r="L998" t="inlineStr">
        <is>
          <t>Boston : Houghton Mifflin, 1986.</t>
        </is>
      </c>
      <c r="M998" t="inlineStr">
        <is>
          <t>1986</t>
        </is>
      </c>
      <c r="O998" t="inlineStr">
        <is>
          <t>eng</t>
        </is>
      </c>
      <c r="P998" t="inlineStr">
        <is>
          <t>mau</t>
        </is>
      </c>
      <c r="R998" t="inlineStr">
        <is>
          <t xml:space="preserve">E  </t>
        </is>
      </c>
      <c r="S998" t="n">
        <v>1</v>
      </c>
      <c r="T998" t="n">
        <v>1</v>
      </c>
      <c r="U998" t="inlineStr">
        <is>
          <t>1993-09-26</t>
        </is>
      </c>
      <c r="V998" t="inlineStr">
        <is>
          <t>1993-09-26</t>
        </is>
      </c>
      <c r="W998" t="inlineStr">
        <is>
          <t>1991-03-26</t>
        </is>
      </c>
      <c r="X998" t="inlineStr">
        <is>
          <t>1991-03-26</t>
        </is>
      </c>
      <c r="Y998" t="n">
        <v>889</v>
      </c>
      <c r="Z998" t="n">
        <v>866</v>
      </c>
      <c r="AA998" t="n">
        <v>877</v>
      </c>
      <c r="AB998" t="n">
        <v>8</v>
      </c>
      <c r="AC998" t="n">
        <v>8</v>
      </c>
      <c r="AD998" t="n">
        <v>17</v>
      </c>
      <c r="AE998" t="n">
        <v>17</v>
      </c>
      <c r="AF998" t="n">
        <v>5</v>
      </c>
      <c r="AG998" t="n">
        <v>5</v>
      </c>
      <c r="AH998" t="n">
        <v>4</v>
      </c>
      <c r="AI998" t="n">
        <v>4</v>
      </c>
      <c r="AJ998" t="n">
        <v>8</v>
      </c>
      <c r="AK998" t="n">
        <v>8</v>
      </c>
      <c r="AL998" t="n">
        <v>4</v>
      </c>
      <c r="AM998" t="n">
        <v>4</v>
      </c>
      <c r="AN998" t="n">
        <v>0</v>
      </c>
      <c r="AO998" t="n">
        <v>0</v>
      </c>
      <c r="AP998" t="inlineStr">
        <is>
          <t>No</t>
        </is>
      </c>
      <c r="AQ998" t="inlineStr">
        <is>
          <t>Yes</t>
        </is>
      </c>
      <c r="AR998">
        <f>HYPERLINK("http://catalog.hathitrust.org/Record/000622472","HathiTrust Record")</f>
        <v/>
      </c>
      <c r="AS998">
        <f>HYPERLINK("https://creighton-primo.hosted.exlibrisgroup.com/primo-explore/search?tab=default_tab&amp;search_scope=EVERYTHING&amp;vid=01CRU&amp;lang=en_US&amp;offset=0&amp;query=any,contains,991000741879702656","Catalog Record")</f>
        <v/>
      </c>
      <c r="AT998">
        <f>HYPERLINK("http://www.worldcat.org/oclc/12809143","WorldCat Record")</f>
        <v/>
      </c>
      <c r="AU998" t="inlineStr">
        <is>
          <t>5438599:eng</t>
        </is>
      </c>
      <c r="AV998" t="inlineStr">
        <is>
          <t>12809143</t>
        </is>
      </c>
      <c r="AW998" t="inlineStr">
        <is>
          <t>991000741879702656</t>
        </is>
      </c>
      <c r="AX998" t="inlineStr">
        <is>
          <t>991000741879702656</t>
        </is>
      </c>
      <c r="AY998" t="inlineStr">
        <is>
          <t>2257868010002656</t>
        </is>
      </c>
      <c r="AZ998" t="inlineStr">
        <is>
          <t>BOOK</t>
        </is>
      </c>
      <c r="BB998" t="inlineStr">
        <is>
          <t>9780395388143</t>
        </is>
      </c>
      <c r="BC998" t="inlineStr">
        <is>
          <t>32285000540855</t>
        </is>
      </c>
      <c r="BD998" t="inlineStr">
        <is>
          <t>893321302</t>
        </is>
      </c>
    </row>
    <row r="999">
      <c r="A999" t="inlineStr">
        <is>
          <t>No</t>
        </is>
      </c>
      <c r="B999" t="inlineStr">
        <is>
          <t>E263.N5 B8 1968</t>
        </is>
      </c>
      <c r="C999" t="inlineStr">
        <is>
          <t>0                      E  0263000N  5                  B  8           1968</t>
        </is>
      </c>
      <c r="D999" t="inlineStr">
        <is>
          <t>A Brief narrative of the ravages of the British and Hessians at Princeton in 1776-1777. Edited by Varnum Lansing Collins.</t>
        </is>
      </c>
      <c r="F999" t="inlineStr">
        <is>
          <t>No</t>
        </is>
      </c>
      <c r="G999" t="inlineStr">
        <is>
          <t>1</t>
        </is>
      </c>
      <c r="H999" t="inlineStr">
        <is>
          <t>No</t>
        </is>
      </c>
      <c r="I999" t="inlineStr">
        <is>
          <t>No</t>
        </is>
      </c>
      <c r="J999" t="inlineStr">
        <is>
          <t>0</t>
        </is>
      </c>
      <c r="L999" t="inlineStr">
        <is>
          <t>[New York] New York times [1968, c1906]</t>
        </is>
      </c>
      <c r="M999" t="inlineStr">
        <is>
          <t>1968</t>
        </is>
      </c>
      <c r="O999" t="inlineStr">
        <is>
          <t>eng</t>
        </is>
      </c>
      <c r="P999" t="inlineStr">
        <is>
          <t>nyu</t>
        </is>
      </c>
      <c r="Q999" t="inlineStr">
        <is>
          <t>Eyewitness accounts of the American Revolution</t>
        </is>
      </c>
      <c r="R999" t="inlineStr">
        <is>
          <t xml:space="preserve">E  </t>
        </is>
      </c>
      <c r="S999" t="n">
        <v>3</v>
      </c>
      <c r="T999" t="n">
        <v>3</v>
      </c>
      <c r="U999" t="inlineStr">
        <is>
          <t>2001-04-22</t>
        </is>
      </c>
      <c r="V999" t="inlineStr">
        <is>
          <t>2001-04-22</t>
        </is>
      </c>
      <c r="W999" t="inlineStr">
        <is>
          <t>1997-05-06</t>
        </is>
      </c>
      <c r="X999" t="inlineStr">
        <is>
          <t>1997-05-06</t>
        </is>
      </c>
      <c r="Y999" t="n">
        <v>484</v>
      </c>
      <c r="Z999" t="n">
        <v>463</v>
      </c>
      <c r="AA999" t="n">
        <v>478</v>
      </c>
      <c r="AB999" t="n">
        <v>4</v>
      </c>
      <c r="AC999" t="n">
        <v>4</v>
      </c>
      <c r="AD999" t="n">
        <v>22</v>
      </c>
      <c r="AE999" t="n">
        <v>23</v>
      </c>
      <c r="AF999" t="n">
        <v>7</v>
      </c>
      <c r="AG999" t="n">
        <v>7</v>
      </c>
      <c r="AH999" t="n">
        <v>8</v>
      </c>
      <c r="AI999" t="n">
        <v>8</v>
      </c>
      <c r="AJ999" t="n">
        <v>12</v>
      </c>
      <c r="AK999" t="n">
        <v>13</v>
      </c>
      <c r="AL999" t="n">
        <v>2</v>
      </c>
      <c r="AM999" t="n">
        <v>2</v>
      </c>
      <c r="AN999" t="n">
        <v>0</v>
      </c>
      <c r="AO999" t="n">
        <v>0</v>
      </c>
      <c r="AP999" t="inlineStr">
        <is>
          <t>No</t>
        </is>
      </c>
      <c r="AQ999" t="inlineStr">
        <is>
          <t>No</t>
        </is>
      </c>
      <c r="AS999">
        <f>HYPERLINK("https://creighton-primo.hosted.exlibrisgroup.com/primo-explore/search?tab=default_tab&amp;search_scope=EVERYTHING&amp;vid=01CRU&amp;lang=en_US&amp;offset=0&amp;query=any,contains,991003185479702656","Catalog Record")</f>
        <v/>
      </c>
      <c r="AT999">
        <f>HYPERLINK("http://www.worldcat.org/oclc/712635","WorldCat Record")</f>
        <v/>
      </c>
      <c r="AU999" t="inlineStr">
        <is>
          <t>53999490:eng</t>
        </is>
      </c>
      <c r="AV999" t="inlineStr">
        <is>
          <t>712635</t>
        </is>
      </c>
      <c r="AW999" t="inlineStr">
        <is>
          <t>991003185479702656</t>
        </is>
      </c>
      <c r="AX999" t="inlineStr">
        <is>
          <t>991003185479702656</t>
        </is>
      </c>
      <c r="AY999" t="inlineStr">
        <is>
          <t>2256616060002656</t>
        </is>
      </c>
      <c r="AZ999" t="inlineStr">
        <is>
          <t>BOOK</t>
        </is>
      </c>
      <c r="BC999" t="inlineStr">
        <is>
          <t>32285002615184</t>
        </is>
      </c>
      <c r="BD999" t="inlineStr">
        <is>
          <t>893524518</t>
        </is>
      </c>
    </row>
    <row r="1000">
      <c r="A1000" t="inlineStr">
        <is>
          <t>No</t>
        </is>
      </c>
      <c r="B1000" t="inlineStr">
        <is>
          <t>E263.P4 F575 2004</t>
        </is>
      </c>
      <c r="C1000" t="inlineStr">
        <is>
          <t>0                      E  0263000P  4                  F  575         2004</t>
        </is>
      </c>
      <c r="D1000" t="inlineStr">
        <is>
          <t>Washington's crossing / David Hackett Fischer.</t>
        </is>
      </c>
      <c r="F1000" t="inlineStr">
        <is>
          <t>No</t>
        </is>
      </c>
      <c r="G1000" t="inlineStr">
        <is>
          <t>1</t>
        </is>
      </c>
      <c r="H1000" t="inlineStr">
        <is>
          <t>No</t>
        </is>
      </c>
      <c r="I1000" t="inlineStr">
        <is>
          <t>No</t>
        </is>
      </c>
      <c r="J1000" t="inlineStr">
        <is>
          <t>0</t>
        </is>
      </c>
      <c r="K1000" t="inlineStr">
        <is>
          <t>Fischer, David Hackett, 1935-</t>
        </is>
      </c>
      <c r="L1000" t="inlineStr">
        <is>
          <t>Oxford, England ; New York : Oxford University Press, 2004.</t>
        </is>
      </c>
      <c r="M1000" t="inlineStr">
        <is>
          <t>2004</t>
        </is>
      </c>
      <c r="O1000" t="inlineStr">
        <is>
          <t>eng</t>
        </is>
      </c>
      <c r="P1000" t="inlineStr">
        <is>
          <t>enk</t>
        </is>
      </c>
      <c r="Q1000" t="inlineStr">
        <is>
          <t>Pivotal moments in American history</t>
        </is>
      </c>
      <c r="R1000" t="inlineStr">
        <is>
          <t xml:space="preserve">E  </t>
        </is>
      </c>
      <c r="S1000" t="n">
        <v>2</v>
      </c>
      <c r="T1000" t="n">
        <v>2</v>
      </c>
      <c r="U1000" t="inlineStr">
        <is>
          <t>2004-04-24</t>
        </is>
      </c>
      <c r="V1000" t="inlineStr">
        <is>
          <t>2004-04-24</t>
        </is>
      </c>
      <c r="W1000" t="inlineStr">
        <is>
          <t>2004-04-07</t>
        </is>
      </c>
      <c r="X1000" t="inlineStr">
        <is>
          <t>2004-04-07</t>
        </is>
      </c>
      <c r="Y1000" t="n">
        <v>2832</v>
      </c>
      <c r="Z1000" t="n">
        <v>2723</v>
      </c>
      <c r="AA1000" t="n">
        <v>2977</v>
      </c>
      <c r="AB1000" t="n">
        <v>30</v>
      </c>
      <c r="AC1000" t="n">
        <v>30</v>
      </c>
      <c r="AD1000" t="n">
        <v>59</v>
      </c>
      <c r="AE1000" t="n">
        <v>60</v>
      </c>
      <c r="AF1000" t="n">
        <v>27</v>
      </c>
      <c r="AG1000" t="n">
        <v>27</v>
      </c>
      <c r="AH1000" t="n">
        <v>8</v>
      </c>
      <c r="AI1000" t="n">
        <v>8</v>
      </c>
      <c r="AJ1000" t="n">
        <v>21</v>
      </c>
      <c r="AK1000" t="n">
        <v>22</v>
      </c>
      <c r="AL1000" t="n">
        <v>14</v>
      </c>
      <c r="AM1000" t="n">
        <v>14</v>
      </c>
      <c r="AN1000" t="n">
        <v>0</v>
      </c>
      <c r="AO1000" t="n">
        <v>0</v>
      </c>
      <c r="AP1000" t="inlineStr">
        <is>
          <t>No</t>
        </is>
      </c>
      <c r="AQ1000" t="inlineStr">
        <is>
          <t>No</t>
        </is>
      </c>
      <c r="AS1000">
        <f>HYPERLINK("https://creighton-primo.hosted.exlibrisgroup.com/primo-explore/search?tab=default_tab&amp;search_scope=EVERYTHING&amp;vid=01CRU&amp;lang=en_US&amp;offset=0&amp;query=any,contains,991004244429702656","Catalog Record")</f>
        <v/>
      </c>
      <c r="AT1000">
        <f>HYPERLINK("http://www.worldcat.org/oclc/53075605","WorldCat Record")</f>
        <v/>
      </c>
      <c r="AU1000" t="inlineStr">
        <is>
          <t>662776:eng</t>
        </is>
      </c>
      <c r="AV1000" t="inlineStr">
        <is>
          <t>53075605</t>
        </is>
      </c>
      <c r="AW1000" t="inlineStr">
        <is>
          <t>991004244429702656</t>
        </is>
      </c>
      <c r="AX1000" t="inlineStr">
        <is>
          <t>991004244429702656</t>
        </is>
      </c>
      <c r="AY1000" t="inlineStr">
        <is>
          <t>2269280860002656</t>
        </is>
      </c>
      <c r="AZ1000" t="inlineStr">
        <is>
          <t>BOOK</t>
        </is>
      </c>
      <c r="BB1000" t="inlineStr">
        <is>
          <t>9780195170344</t>
        </is>
      </c>
      <c r="BC1000" t="inlineStr">
        <is>
          <t>32285004898382</t>
        </is>
      </c>
      <c r="BD1000" t="inlineStr">
        <is>
          <t>893882240</t>
        </is>
      </c>
    </row>
    <row r="1001">
      <c r="A1001" t="inlineStr">
        <is>
          <t>No</t>
        </is>
      </c>
      <c r="B1001" t="inlineStr">
        <is>
          <t>E263.S7 M13</t>
        </is>
      </c>
      <c r="C1001" t="inlineStr">
        <is>
          <t>0                      E  0263000S  7                  M  13</t>
        </is>
      </c>
      <c r="D1001" t="inlineStr">
        <is>
          <t>The history of South Carolina in the Revolution, 1775-1780, by Edward McCrady ...</t>
        </is>
      </c>
      <c r="F1001" t="inlineStr">
        <is>
          <t>No</t>
        </is>
      </c>
      <c r="G1001" t="inlineStr">
        <is>
          <t>1</t>
        </is>
      </c>
      <c r="H1001" t="inlineStr">
        <is>
          <t>No</t>
        </is>
      </c>
      <c r="I1001" t="inlineStr">
        <is>
          <t>No</t>
        </is>
      </c>
      <c r="J1001" t="inlineStr">
        <is>
          <t>0</t>
        </is>
      </c>
      <c r="K1001" t="inlineStr">
        <is>
          <t>McCrady, Edward, 1833-1903.</t>
        </is>
      </c>
      <c r="L1001" t="inlineStr">
        <is>
          <t>New York, The Macmillan Company; London, Macmillan &amp; Co., ltd., 1901.</t>
        </is>
      </c>
      <c r="M1001" t="inlineStr">
        <is>
          <t>1901</t>
        </is>
      </c>
      <c r="O1001" t="inlineStr">
        <is>
          <t>eng</t>
        </is>
      </c>
      <c r="P1001" t="inlineStr">
        <is>
          <t>nyu</t>
        </is>
      </c>
      <c r="R1001" t="inlineStr">
        <is>
          <t xml:space="preserve">E  </t>
        </is>
      </c>
      <c r="S1001" t="n">
        <v>1</v>
      </c>
      <c r="T1001" t="n">
        <v>1</v>
      </c>
      <c r="U1001" t="inlineStr">
        <is>
          <t>2001-04-30</t>
        </is>
      </c>
      <c r="V1001" t="inlineStr">
        <is>
          <t>2001-04-30</t>
        </is>
      </c>
      <c r="W1001" t="inlineStr">
        <is>
          <t>1997-05-06</t>
        </is>
      </c>
      <c r="X1001" t="inlineStr">
        <is>
          <t>1997-05-06</t>
        </is>
      </c>
      <c r="Y1001" t="n">
        <v>191</v>
      </c>
      <c r="Z1001" t="n">
        <v>178</v>
      </c>
      <c r="AA1001" t="n">
        <v>377</v>
      </c>
      <c r="AB1001" t="n">
        <v>2</v>
      </c>
      <c r="AC1001" t="n">
        <v>2</v>
      </c>
      <c r="AD1001" t="n">
        <v>2</v>
      </c>
      <c r="AE1001" t="n">
        <v>10</v>
      </c>
      <c r="AF1001" t="n">
        <v>1</v>
      </c>
      <c r="AG1001" t="n">
        <v>3</v>
      </c>
      <c r="AH1001" t="n">
        <v>0</v>
      </c>
      <c r="AI1001" t="n">
        <v>2</v>
      </c>
      <c r="AJ1001" t="n">
        <v>0</v>
      </c>
      <c r="AK1001" t="n">
        <v>5</v>
      </c>
      <c r="AL1001" t="n">
        <v>1</v>
      </c>
      <c r="AM1001" t="n">
        <v>1</v>
      </c>
      <c r="AN1001" t="n">
        <v>0</v>
      </c>
      <c r="AO1001" t="n">
        <v>0</v>
      </c>
      <c r="AP1001" t="inlineStr">
        <is>
          <t>Yes</t>
        </is>
      </c>
      <c r="AQ1001" t="inlineStr">
        <is>
          <t>No</t>
        </is>
      </c>
      <c r="AR1001">
        <f>HYPERLINK("http://catalog.hathitrust.org/Record/000365153","HathiTrust Record")</f>
        <v/>
      </c>
      <c r="AS1001">
        <f>HYPERLINK("https://creighton-primo.hosted.exlibrisgroup.com/primo-explore/search?tab=default_tab&amp;search_scope=EVERYTHING&amp;vid=01CRU&amp;lang=en_US&amp;offset=0&amp;query=any,contains,991003889259702656","Catalog Record")</f>
        <v/>
      </c>
      <c r="AT1001">
        <f>HYPERLINK("http://www.worldcat.org/oclc/1748152","WorldCat Record")</f>
        <v/>
      </c>
      <c r="AU1001" t="inlineStr">
        <is>
          <t>1575505:eng</t>
        </is>
      </c>
      <c r="AV1001" t="inlineStr">
        <is>
          <t>1748152</t>
        </is>
      </c>
      <c r="AW1001" t="inlineStr">
        <is>
          <t>991003889259702656</t>
        </is>
      </c>
      <c r="AX1001" t="inlineStr">
        <is>
          <t>991003889259702656</t>
        </is>
      </c>
      <c r="AY1001" t="inlineStr">
        <is>
          <t>2263472880002656</t>
        </is>
      </c>
      <c r="AZ1001" t="inlineStr">
        <is>
          <t>BOOK</t>
        </is>
      </c>
      <c r="BC1001" t="inlineStr">
        <is>
          <t>32285002615432</t>
        </is>
      </c>
      <c r="BD1001" t="inlineStr">
        <is>
          <t>893593017</t>
        </is>
      </c>
    </row>
    <row r="1002">
      <c r="A1002" t="inlineStr">
        <is>
          <t>No</t>
        </is>
      </c>
      <c r="B1002" t="inlineStr">
        <is>
          <t>E265 .K37</t>
        </is>
      </c>
      <c r="C1002" t="inlineStr">
        <is>
          <t>0                      E  0265000K  37</t>
        </is>
      </c>
      <c r="D1002" t="inlineStr">
        <is>
          <t>The French forces in America, 1780-1783 / Lee Kennett ; foreword by Jacques Godechot.</t>
        </is>
      </c>
      <c r="F1002" t="inlineStr">
        <is>
          <t>No</t>
        </is>
      </c>
      <c r="G1002" t="inlineStr">
        <is>
          <t>1</t>
        </is>
      </c>
      <c r="H1002" t="inlineStr">
        <is>
          <t>No</t>
        </is>
      </c>
      <c r="I1002" t="inlineStr">
        <is>
          <t>No</t>
        </is>
      </c>
      <c r="J1002" t="inlineStr">
        <is>
          <t>0</t>
        </is>
      </c>
      <c r="K1002" t="inlineStr">
        <is>
          <t>Kennett, Lee B.</t>
        </is>
      </c>
      <c r="L1002" t="inlineStr">
        <is>
          <t>Westport, Conn. : Greenwood Press, 1977.</t>
        </is>
      </c>
      <c r="M1002" t="inlineStr">
        <is>
          <t>1977</t>
        </is>
      </c>
      <c r="O1002" t="inlineStr">
        <is>
          <t>eng</t>
        </is>
      </c>
      <c r="P1002" t="inlineStr">
        <is>
          <t>ctu</t>
        </is>
      </c>
      <c r="Q1002" t="inlineStr">
        <is>
          <t>Contributions in American history ; no. 65</t>
        </is>
      </c>
      <c r="R1002" t="inlineStr">
        <is>
          <t xml:space="preserve">E  </t>
        </is>
      </c>
      <c r="S1002" t="n">
        <v>1</v>
      </c>
      <c r="T1002" t="n">
        <v>1</v>
      </c>
      <c r="U1002" t="inlineStr">
        <is>
          <t>1995-11-26</t>
        </is>
      </c>
      <c r="V1002" t="inlineStr">
        <is>
          <t>1995-11-26</t>
        </is>
      </c>
      <c r="W1002" t="inlineStr">
        <is>
          <t>1990-07-27</t>
        </is>
      </c>
      <c r="X1002" t="inlineStr">
        <is>
          <t>1990-07-27</t>
        </is>
      </c>
      <c r="Y1002" t="n">
        <v>571</v>
      </c>
      <c r="Z1002" t="n">
        <v>495</v>
      </c>
      <c r="AA1002" t="n">
        <v>498</v>
      </c>
      <c r="AB1002" t="n">
        <v>4</v>
      </c>
      <c r="AC1002" t="n">
        <v>4</v>
      </c>
      <c r="AD1002" t="n">
        <v>20</v>
      </c>
      <c r="AE1002" t="n">
        <v>20</v>
      </c>
      <c r="AF1002" t="n">
        <v>8</v>
      </c>
      <c r="AG1002" t="n">
        <v>8</v>
      </c>
      <c r="AH1002" t="n">
        <v>9</v>
      </c>
      <c r="AI1002" t="n">
        <v>9</v>
      </c>
      <c r="AJ1002" t="n">
        <v>9</v>
      </c>
      <c r="AK1002" t="n">
        <v>9</v>
      </c>
      <c r="AL1002" t="n">
        <v>3</v>
      </c>
      <c r="AM1002" t="n">
        <v>3</v>
      </c>
      <c r="AN1002" t="n">
        <v>0</v>
      </c>
      <c r="AO1002" t="n">
        <v>0</v>
      </c>
      <c r="AP1002" t="inlineStr">
        <is>
          <t>No</t>
        </is>
      </c>
      <c r="AQ1002" t="inlineStr">
        <is>
          <t>Yes</t>
        </is>
      </c>
      <c r="AR1002">
        <f>HYPERLINK("http://catalog.hathitrust.org/Record/001095929","HathiTrust Record")</f>
        <v/>
      </c>
      <c r="AS1002">
        <f>HYPERLINK("https://creighton-primo.hosted.exlibrisgroup.com/primo-explore/search?tab=default_tab&amp;search_scope=EVERYTHING&amp;vid=01CRU&amp;lang=en_US&amp;offset=0&amp;query=any,contains,991004369179702656","Catalog Record")</f>
        <v/>
      </c>
      <c r="AT1002">
        <f>HYPERLINK("http://www.worldcat.org/oclc/3186038","WorldCat Record")</f>
        <v/>
      </c>
      <c r="AU1002" t="inlineStr">
        <is>
          <t>502119:eng</t>
        </is>
      </c>
      <c r="AV1002" t="inlineStr">
        <is>
          <t>3186038</t>
        </is>
      </c>
      <c r="AW1002" t="inlineStr">
        <is>
          <t>991004369179702656</t>
        </is>
      </c>
      <c r="AX1002" t="inlineStr">
        <is>
          <t>991004369179702656</t>
        </is>
      </c>
      <c r="AY1002" t="inlineStr">
        <is>
          <t>2259918490002656</t>
        </is>
      </c>
      <c r="AZ1002" t="inlineStr">
        <is>
          <t>BOOK</t>
        </is>
      </c>
      <c r="BB1002" t="inlineStr">
        <is>
          <t>9780837195445</t>
        </is>
      </c>
      <c r="BC1002" t="inlineStr">
        <is>
          <t>32285000228717</t>
        </is>
      </c>
      <c r="BD1002" t="inlineStr">
        <is>
          <t>893700152</t>
        </is>
      </c>
    </row>
    <row r="1003">
      <c r="A1003" t="inlineStr">
        <is>
          <t>No</t>
        </is>
      </c>
      <c r="B1003" t="inlineStr">
        <is>
          <t>E265 .M57 1920</t>
        </is>
      </c>
      <c r="C1003" t="inlineStr">
        <is>
          <t>0                      E  0265000M  57          1920</t>
        </is>
      </c>
      <c r="D1003" t="inlineStr">
        <is>
          <t>Soldiers and sailors of France in the American War for Independence (1776-1783) / by Captain Joachim Merlant.</t>
        </is>
      </c>
      <c r="F1003" t="inlineStr">
        <is>
          <t>No</t>
        </is>
      </c>
      <c r="G1003" t="inlineStr">
        <is>
          <t>1</t>
        </is>
      </c>
      <c r="H1003" t="inlineStr">
        <is>
          <t>No</t>
        </is>
      </c>
      <c r="I1003" t="inlineStr">
        <is>
          <t>No</t>
        </is>
      </c>
      <c r="J1003" t="inlineStr">
        <is>
          <t>0</t>
        </is>
      </c>
      <c r="K1003" t="inlineStr">
        <is>
          <t>Merlant, Joachim, 1875-1919.</t>
        </is>
      </c>
      <c r="L1003" t="inlineStr">
        <is>
          <t>New York : C. Scribner's Sons, 1920.</t>
        </is>
      </c>
      <c r="M1003" t="inlineStr">
        <is>
          <t>1920</t>
        </is>
      </c>
      <c r="N1003" t="inlineStr">
        <is>
          <t>Authorized edition : translated from the French by Mary Bushnell Coleman .</t>
        </is>
      </c>
      <c r="O1003" t="inlineStr">
        <is>
          <t>eng</t>
        </is>
      </c>
      <c r="P1003" t="inlineStr">
        <is>
          <t>nyu</t>
        </is>
      </c>
      <c r="R1003" t="inlineStr">
        <is>
          <t xml:space="preserve">E  </t>
        </is>
      </c>
      <c r="S1003" t="n">
        <v>2</v>
      </c>
      <c r="T1003" t="n">
        <v>2</v>
      </c>
      <c r="U1003" t="inlineStr">
        <is>
          <t>1995-11-26</t>
        </is>
      </c>
      <c r="V1003" t="inlineStr">
        <is>
          <t>1995-11-26</t>
        </is>
      </c>
      <c r="W1003" t="inlineStr">
        <is>
          <t>1989-11-28</t>
        </is>
      </c>
      <c r="X1003" t="inlineStr">
        <is>
          <t>1989-11-28</t>
        </is>
      </c>
      <c r="Y1003" t="n">
        <v>410</v>
      </c>
      <c r="Z1003" t="n">
        <v>371</v>
      </c>
      <c r="AA1003" t="n">
        <v>466</v>
      </c>
      <c r="AB1003" t="n">
        <v>2</v>
      </c>
      <c r="AC1003" t="n">
        <v>3</v>
      </c>
      <c r="AD1003" t="n">
        <v>11</v>
      </c>
      <c r="AE1003" t="n">
        <v>18</v>
      </c>
      <c r="AF1003" t="n">
        <v>3</v>
      </c>
      <c r="AG1003" t="n">
        <v>5</v>
      </c>
      <c r="AH1003" t="n">
        <v>3</v>
      </c>
      <c r="AI1003" t="n">
        <v>3</v>
      </c>
      <c r="AJ1003" t="n">
        <v>5</v>
      </c>
      <c r="AK1003" t="n">
        <v>5</v>
      </c>
      <c r="AL1003" t="n">
        <v>1</v>
      </c>
      <c r="AM1003" t="n">
        <v>1</v>
      </c>
      <c r="AN1003" t="n">
        <v>0</v>
      </c>
      <c r="AO1003" t="n">
        <v>5</v>
      </c>
      <c r="AP1003" t="inlineStr">
        <is>
          <t>Yes</t>
        </is>
      </c>
      <c r="AQ1003" t="inlineStr">
        <is>
          <t>No</t>
        </is>
      </c>
      <c r="AR1003">
        <f>HYPERLINK("http://catalog.hathitrust.org/Record/000364672","HathiTrust Record")</f>
        <v/>
      </c>
      <c r="AS1003">
        <f>HYPERLINK("https://creighton-primo.hosted.exlibrisgroup.com/primo-explore/search?tab=default_tab&amp;search_scope=EVERYTHING&amp;vid=01CRU&amp;lang=en_US&amp;offset=0&amp;query=any,contains,991003313779702656","Catalog Record")</f>
        <v/>
      </c>
      <c r="AT1003">
        <f>HYPERLINK("http://www.worldcat.org/oclc/838263","WorldCat Record")</f>
        <v/>
      </c>
      <c r="AU1003" t="inlineStr">
        <is>
          <t>1773254:eng</t>
        </is>
      </c>
      <c r="AV1003" t="inlineStr">
        <is>
          <t>838263</t>
        </is>
      </c>
      <c r="AW1003" t="inlineStr">
        <is>
          <t>991003313779702656</t>
        </is>
      </c>
      <c r="AX1003" t="inlineStr">
        <is>
          <t>991003313779702656</t>
        </is>
      </c>
      <c r="AY1003" t="inlineStr">
        <is>
          <t>2269096280002656</t>
        </is>
      </c>
      <c r="AZ1003" t="inlineStr">
        <is>
          <t>BOOK</t>
        </is>
      </c>
      <c r="BC1003" t="inlineStr">
        <is>
          <t>32285000020064</t>
        </is>
      </c>
      <c r="BD1003" t="inlineStr">
        <is>
          <t>893348545</t>
        </is>
      </c>
    </row>
    <row r="1004">
      <c r="A1004" t="inlineStr">
        <is>
          <t>No</t>
        </is>
      </c>
      <c r="B1004" t="inlineStr">
        <is>
          <t>E265 .R513</t>
        </is>
      </c>
      <c r="C1004" t="inlineStr">
        <is>
          <t>0                      E  0265000R  513</t>
        </is>
      </c>
      <c r="D1004" t="inlineStr">
        <is>
          <t>The American campaigns of Rochambeau's army, 1780, 1781, 1782, 1783. Translated and edited by Howard C. Rice, Jr. and Anne S. K. Brown.</t>
        </is>
      </c>
      <c r="E1004" t="inlineStr">
        <is>
          <t>V.2</t>
        </is>
      </c>
      <c r="F1004" t="inlineStr">
        <is>
          <t>Yes</t>
        </is>
      </c>
      <c r="G1004" t="inlineStr">
        <is>
          <t>1</t>
        </is>
      </c>
      <c r="H1004" t="inlineStr">
        <is>
          <t>No</t>
        </is>
      </c>
      <c r="I1004" t="inlineStr">
        <is>
          <t>No</t>
        </is>
      </c>
      <c r="J1004" t="inlineStr">
        <is>
          <t>0</t>
        </is>
      </c>
      <c r="K1004" t="inlineStr">
        <is>
          <t>Rice, Howard C. (Howard Crosby), 1904-1980, compiler.</t>
        </is>
      </c>
      <c r="L1004" t="inlineStr">
        <is>
          <t>Princeton, N.J., Princeton University Press, 1972.</t>
        </is>
      </c>
      <c r="M1004" t="inlineStr">
        <is>
          <t>1972</t>
        </is>
      </c>
      <c r="O1004" t="inlineStr">
        <is>
          <t>eng</t>
        </is>
      </c>
      <c r="P1004" t="inlineStr">
        <is>
          <t>nju</t>
        </is>
      </c>
      <c r="R1004" t="inlineStr">
        <is>
          <t xml:space="preserve">E  </t>
        </is>
      </c>
      <c r="S1004" t="n">
        <v>0</v>
      </c>
      <c r="T1004" t="n">
        <v>1</v>
      </c>
      <c r="U1004" t="inlineStr">
        <is>
          <t>2004-10-04</t>
        </is>
      </c>
      <c r="V1004" t="inlineStr">
        <is>
          <t>2004-10-04</t>
        </is>
      </c>
      <c r="W1004" t="inlineStr">
        <is>
          <t>1997-05-06</t>
        </is>
      </c>
      <c r="X1004" t="inlineStr">
        <is>
          <t>1997-05-06</t>
        </is>
      </c>
      <c r="Y1004" t="n">
        <v>620</v>
      </c>
      <c r="Z1004" t="n">
        <v>563</v>
      </c>
      <c r="AA1004" t="n">
        <v>568</v>
      </c>
      <c r="AB1004" t="n">
        <v>7</v>
      </c>
      <c r="AC1004" t="n">
        <v>7</v>
      </c>
      <c r="AD1004" t="n">
        <v>30</v>
      </c>
      <c r="AE1004" t="n">
        <v>30</v>
      </c>
      <c r="AF1004" t="n">
        <v>12</v>
      </c>
      <c r="AG1004" t="n">
        <v>12</v>
      </c>
      <c r="AH1004" t="n">
        <v>8</v>
      </c>
      <c r="AI1004" t="n">
        <v>8</v>
      </c>
      <c r="AJ1004" t="n">
        <v>14</v>
      </c>
      <c r="AK1004" t="n">
        <v>14</v>
      </c>
      <c r="AL1004" t="n">
        <v>5</v>
      </c>
      <c r="AM1004" t="n">
        <v>5</v>
      </c>
      <c r="AN1004" t="n">
        <v>0</v>
      </c>
      <c r="AO1004" t="n">
        <v>0</v>
      </c>
      <c r="AP1004" t="inlineStr">
        <is>
          <t>No</t>
        </is>
      </c>
      <c r="AQ1004" t="inlineStr">
        <is>
          <t>No</t>
        </is>
      </c>
      <c r="AS1004">
        <f>HYPERLINK("https://creighton-primo.hosted.exlibrisgroup.com/primo-explore/search?tab=default_tab&amp;search_scope=EVERYTHING&amp;vid=01CRU&amp;lang=en_US&amp;offset=0&amp;query=any,contains,991002973129702656","Catalog Record")</f>
        <v/>
      </c>
      <c r="AT1004">
        <f>HYPERLINK("http://www.worldcat.org/oclc/550535","WorldCat Record")</f>
        <v/>
      </c>
      <c r="AU1004" t="inlineStr">
        <is>
          <t>3134483888:eng</t>
        </is>
      </c>
      <c r="AV1004" t="inlineStr">
        <is>
          <t>550535</t>
        </is>
      </c>
      <c r="AW1004" t="inlineStr">
        <is>
          <t>991002973129702656</t>
        </is>
      </c>
      <c r="AX1004" t="inlineStr">
        <is>
          <t>991002973129702656</t>
        </is>
      </c>
      <c r="AY1004" t="inlineStr">
        <is>
          <t>2254891160002656</t>
        </is>
      </c>
      <c r="AZ1004" t="inlineStr">
        <is>
          <t>BOOK</t>
        </is>
      </c>
      <c r="BB1004" t="inlineStr">
        <is>
          <t>9780691046105</t>
        </is>
      </c>
      <c r="BC1004" t="inlineStr">
        <is>
          <t>32285002615549</t>
        </is>
      </c>
      <c r="BD1004" t="inlineStr">
        <is>
          <t>893233673</t>
        </is>
      </c>
    </row>
    <row r="1005">
      <c r="A1005" t="inlineStr">
        <is>
          <t>No</t>
        </is>
      </c>
      <c r="B1005" t="inlineStr">
        <is>
          <t>E265 .R513</t>
        </is>
      </c>
      <c r="C1005" t="inlineStr">
        <is>
          <t>0                      E  0265000R  513</t>
        </is>
      </c>
      <c r="D1005" t="inlineStr">
        <is>
          <t>The American campaigns of Rochambeau's army, 1780, 1781, 1782, 1783. Translated and edited by Howard C. Rice, Jr. and Anne S. K. Brown.</t>
        </is>
      </c>
      <c r="E1005" t="inlineStr">
        <is>
          <t>V.1</t>
        </is>
      </c>
      <c r="F1005" t="inlineStr">
        <is>
          <t>Yes</t>
        </is>
      </c>
      <c r="G1005" t="inlineStr">
        <is>
          <t>1</t>
        </is>
      </c>
      <c r="H1005" t="inlineStr">
        <is>
          <t>No</t>
        </is>
      </c>
      <c r="I1005" t="inlineStr">
        <is>
          <t>No</t>
        </is>
      </c>
      <c r="J1005" t="inlineStr">
        <is>
          <t>0</t>
        </is>
      </c>
      <c r="K1005" t="inlineStr">
        <is>
          <t>Rice, Howard C. (Howard Crosby), 1904-1980, compiler.</t>
        </is>
      </c>
      <c r="L1005" t="inlineStr">
        <is>
          <t>Princeton, N.J., Princeton University Press, 1972.</t>
        </is>
      </c>
      <c r="M1005" t="inlineStr">
        <is>
          <t>1972</t>
        </is>
      </c>
      <c r="O1005" t="inlineStr">
        <is>
          <t>eng</t>
        </is>
      </c>
      <c r="P1005" t="inlineStr">
        <is>
          <t>nju</t>
        </is>
      </c>
      <c r="R1005" t="inlineStr">
        <is>
          <t xml:space="preserve">E  </t>
        </is>
      </c>
      <c r="S1005" t="n">
        <v>1</v>
      </c>
      <c r="T1005" t="n">
        <v>1</v>
      </c>
      <c r="U1005" t="inlineStr">
        <is>
          <t>2004-10-04</t>
        </is>
      </c>
      <c r="V1005" t="inlineStr">
        <is>
          <t>2004-10-04</t>
        </is>
      </c>
      <c r="W1005" t="inlineStr">
        <is>
          <t>1997-05-06</t>
        </is>
      </c>
      <c r="X1005" t="inlineStr">
        <is>
          <t>1997-05-06</t>
        </is>
      </c>
      <c r="Y1005" t="n">
        <v>620</v>
      </c>
      <c r="Z1005" t="n">
        <v>563</v>
      </c>
      <c r="AA1005" t="n">
        <v>568</v>
      </c>
      <c r="AB1005" t="n">
        <v>7</v>
      </c>
      <c r="AC1005" t="n">
        <v>7</v>
      </c>
      <c r="AD1005" t="n">
        <v>30</v>
      </c>
      <c r="AE1005" t="n">
        <v>30</v>
      </c>
      <c r="AF1005" t="n">
        <v>12</v>
      </c>
      <c r="AG1005" t="n">
        <v>12</v>
      </c>
      <c r="AH1005" t="n">
        <v>8</v>
      </c>
      <c r="AI1005" t="n">
        <v>8</v>
      </c>
      <c r="AJ1005" t="n">
        <v>14</v>
      </c>
      <c r="AK1005" t="n">
        <v>14</v>
      </c>
      <c r="AL1005" t="n">
        <v>5</v>
      </c>
      <c r="AM1005" t="n">
        <v>5</v>
      </c>
      <c r="AN1005" t="n">
        <v>0</v>
      </c>
      <c r="AO1005" t="n">
        <v>0</v>
      </c>
      <c r="AP1005" t="inlineStr">
        <is>
          <t>No</t>
        </is>
      </c>
      <c r="AQ1005" t="inlineStr">
        <is>
          <t>No</t>
        </is>
      </c>
      <c r="AS1005">
        <f>HYPERLINK("https://creighton-primo.hosted.exlibrisgroup.com/primo-explore/search?tab=default_tab&amp;search_scope=EVERYTHING&amp;vid=01CRU&amp;lang=en_US&amp;offset=0&amp;query=any,contains,991002973129702656","Catalog Record")</f>
        <v/>
      </c>
      <c r="AT1005">
        <f>HYPERLINK("http://www.worldcat.org/oclc/550535","WorldCat Record")</f>
        <v/>
      </c>
      <c r="AU1005" t="inlineStr">
        <is>
          <t>3134483888:eng</t>
        </is>
      </c>
      <c r="AV1005" t="inlineStr">
        <is>
          <t>550535</t>
        </is>
      </c>
      <c r="AW1005" t="inlineStr">
        <is>
          <t>991002973129702656</t>
        </is>
      </c>
      <c r="AX1005" t="inlineStr">
        <is>
          <t>991002973129702656</t>
        </is>
      </c>
      <c r="AY1005" t="inlineStr">
        <is>
          <t>2254891160002656</t>
        </is>
      </c>
      <c r="AZ1005" t="inlineStr">
        <is>
          <t>BOOK</t>
        </is>
      </c>
      <c r="BB1005" t="inlineStr">
        <is>
          <t>9780691046105</t>
        </is>
      </c>
      <c r="BC1005" t="inlineStr">
        <is>
          <t>32285002615531</t>
        </is>
      </c>
      <c r="BD1005" t="inlineStr">
        <is>
          <t>893227520</t>
        </is>
      </c>
    </row>
    <row r="1006">
      <c r="A1006" t="inlineStr">
        <is>
          <t>No</t>
        </is>
      </c>
      <c r="B1006" t="inlineStr">
        <is>
          <t>E267 .C63</t>
        </is>
      </c>
      <c r="C1006" t="inlineStr">
        <is>
          <t>0                      E  0267000C  63</t>
        </is>
      </c>
      <c r="D1006" t="inlineStr">
        <is>
          <t>The American rebellion : Sir Henry Clinton's narrative of his campaigns, 1775-1782, with an appendix of original documents / Edited by William B. Willcox.</t>
        </is>
      </c>
      <c r="F1006" t="inlineStr">
        <is>
          <t>No</t>
        </is>
      </c>
      <c r="G1006" t="inlineStr">
        <is>
          <t>1</t>
        </is>
      </c>
      <c r="H1006" t="inlineStr">
        <is>
          <t>No</t>
        </is>
      </c>
      <c r="I1006" t="inlineStr">
        <is>
          <t>No</t>
        </is>
      </c>
      <c r="J1006" t="inlineStr">
        <is>
          <t>0</t>
        </is>
      </c>
      <c r="K1006" t="inlineStr">
        <is>
          <t>Clinton, Henry, Sir, 1738?-1795.</t>
        </is>
      </c>
      <c r="L1006" t="inlineStr">
        <is>
          <t>New Haven : Yale University Press, 1954.</t>
        </is>
      </c>
      <c r="M1006" t="inlineStr">
        <is>
          <t>1954</t>
        </is>
      </c>
      <c r="O1006" t="inlineStr">
        <is>
          <t>eng</t>
        </is>
      </c>
      <c r="P1006" t="inlineStr">
        <is>
          <t>___</t>
        </is>
      </c>
      <c r="Q1006" t="inlineStr">
        <is>
          <t>Yale historical publications. Manuscripts and edited texts ; 21</t>
        </is>
      </c>
      <c r="R1006" t="inlineStr">
        <is>
          <t xml:space="preserve">E  </t>
        </is>
      </c>
      <c r="S1006" t="n">
        <v>1</v>
      </c>
      <c r="T1006" t="n">
        <v>1</v>
      </c>
      <c r="U1006" t="inlineStr">
        <is>
          <t>1992-06-17</t>
        </is>
      </c>
      <c r="V1006" t="inlineStr">
        <is>
          <t>1992-06-17</t>
        </is>
      </c>
      <c r="W1006" t="inlineStr">
        <is>
          <t>1991-03-26</t>
        </is>
      </c>
      <c r="X1006" t="inlineStr">
        <is>
          <t>1991-03-26</t>
        </is>
      </c>
      <c r="Y1006" t="n">
        <v>772</v>
      </c>
      <c r="Z1006" t="n">
        <v>698</v>
      </c>
      <c r="AA1006" t="n">
        <v>793</v>
      </c>
      <c r="AB1006" t="n">
        <v>6</v>
      </c>
      <c r="AC1006" t="n">
        <v>7</v>
      </c>
      <c r="AD1006" t="n">
        <v>42</v>
      </c>
      <c r="AE1006" t="n">
        <v>45</v>
      </c>
      <c r="AF1006" t="n">
        <v>22</v>
      </c>
      <c r="AG1006" t="n">
        <v>23</v>
      </c>
      <c r="AH1006" t="n">
        <v>9</v>
      </c>
      <c r="AI1006" t="n">
        <v>9</v>
      </c>
      <c r="AJ1006" t="n">
        <v>17</v>
      </c>
      <c r="AK1006" t="n">
        <v>18</v>
      </c>
      <c r="AL1006" t="n">
        <v>5</v>
      </c>
      <c r="AM1006" t="n">
        <v>6</v>
      </c>
      <c r="AN1006" t="n">
        <v>1</v>
      </c>
      <c r="AO1006" t="n">
        <v>1</v>
      </c>
      <c r="AP1006" t="inlineStr">
        <is>
          <t>No</t>
        </is>
      </c>
      <c r="AQ1006" t="inlineStr">
        <is>
          <t>Yes</t>
        </is>
      </c>
      <c r="AR1006">
        <f>HYPERLINK("http://catalog.hathitrust.org/Record/000364565","HathiTrust Record")</f>
        <v/>
      </c>
      <c r="AS1006">
        <f>HYPERLINK("https://creighton-primo.hosted.exlibrisgroup.com/primo-explore/search?tab=default_tab&amp;search_scope=EVERYTHING&amp;vid=01CRU&amp;lang=en_US&amp;offset=0&amp;query=any,contains,991003680019702656","Catalog Record")</f>
        <v/>
      </c>
      <c r="AT1006">
        <f>HYPERLINK("http://www.worldcat.org/oclc/1305132","WorldCat Record")</f>
        <v/>
      </c>
      <c r="AU1006" t="inlineStr">
        <is>
          <t>1274233:eng</t>
        </is>
      </c>
      <c r="AV1006" t="inlineStr">
        <is>
          <t>1305132</t>
        </is>
      </c>
      <c r="AW1006" t="inlineStr">
        <is>
          <t>991003680019702656</t>
        </is>
      </c>
      <c r="AX1006" t="inlineStr">
        <is>
          <t>991003680019702656</t>
        </is>
      </c>
      <c r="AY1006" t="inlineStr">
        <is>
          <t>2264518850002656</t>
        </is>
      </c>
      <c r="AZ1006" t="inlineStr">
        <is>
          <t>BOOK</t>
        </is>
      </c>
      <c r="BC1006" t="inlineStr">
        <is>
          <t>32285000540897</t>
        </is>
      </c>
      <c r="BD1006" t="inlineStr">
        <is>
          <t>893499570</t>
        </is>
      </c>
    </row>
    <row r="1007">
      <c r="A1007" t="inlineStr">
        <is>
          <t>No</t>
        </is>
      </c>
      <c r="B1007" t="inlineStr">
        <is>
          <t>E267 .W48</t>
        </is>
      </c>
      <c r="C1007" t="inlineStr">
        <is>
          <t>0                      E  0267000W  48</t>
        </is>
      </c>
      <c r="D1007" t="inlineStr">
        <is>
          <t>Cornwallis / by Franklin and Mary Wickwire.</t>
        </is>
      </c>
      <c r="E1007" t="inlineStr">
        <is>
          <t>V.1</t>
        </is>
      </c>
      <c r="F1007" t="inlineStr">
        <is>
          <t>Yes</t>
        </is>
      </c>
      <c r="G1007" t="inlineStr">
        <is>
          <t>1</t>
        </is>
      </c>
      <c r="H1007" t="inlineStr">
        <is>
          <t>No</t>
        </is>
      </c>
      <c r="I1007" t="inlineStr">
        <is>
          <t>No</t>
        </is>
      </c>
      <c r="J1007" t="inlineStr">
        <is>
          <t>0</t>
        </is>
      </c>
      <c r="K1007" t="inlineStr">
        <is>
          <t>Wickwire, Franklin (Franklin B.), 1931-</t>
        </is>
      </c>
      <c r="L1007" t="inlineStr">
        <is>
          <t>Boston : Houghton Mifflin, 1970-1980.</t>
        </is>
      </c>
      <c r="M1007" t="inlineStr">
        <is>
          <t>1970</t>
        </is>
      </c>
      <c r="O1007" t="inlineStr">
        <is>
          <t>eng</t>
        </is>
      </c>
      <c r="P1007" t="inlineStr">
        <is>
          <t>mau</t>
        </is>
      </c>
      <c r="R1007" t="inlineStr">
        <is>
          <t xml:space="preserve">E  </t>
        </is>
      </c>
      <c r="S1007" t="n">
        <v>2</v>
      </c>
      <c r="T1007" t="n">
        <v>4</v>
      </c>
      <c r="U1007" t="inlineStr">
        <is>
          <t>2001-04-22</t>
        </is>
      </c>
      <c r="V1007" t="inlineStr">
        <is>
          <t>2001-04-22</t>
        </is>
      </c>
      <c r="W1007" t="inlineStr">
        <is>
          <t>1991-03-26</t>
        </is>
      </c>
      <c r="X1007" t="inlineStr">
        <is>
          <t>1991-03-26</t>
        </is>
      </c>
      <c r="Y1007" t="n">
        <v>21</v>
      </c>
      <c r="Z1007" t="n">
        <v>19</v>
      </c>
      <c r="AA1007" t="n">
        <v>19</v>
      </c>
      <c r="AB1007" t="n">
        <v>1</v>
      </c>
      <c r="AC1007" t="n">
        <v>1</v>
      </c>
      <c r="AD1007" t="n">
        <v>1</v>
      </c>
      <c r="AE1007" t="n">
        <v>1</v>
      </c>
      <c r="AF1007" t="n">
        <v>0</v>
      </c>
      <c r="AG1007" t="n">
        <v>0</v>
      </c>
      <c r="AH1007" t="n">
        <v>1</v>
      </c>
      <c r="AI1007" t="n">
        <v>1</v>
      </c>
      <c r="AJ1007" t="n">
        <v>0</v>
      </c>
      <c r="AK1007" t="n">
        <v>0</v>
      </c>
      <c r="AL1007" t="n">
        <v>0</v>
      </c>
      <c r="AM1007" t="n">
        <v>0</v>
      </c>
      <c r="AN1007" t="n">
        <v>0</v>
      </c>
      <c r="AO1007" t="n">
        <v>0</v>
      </c>
      <c r="AP1007" t="inlineStr">
        <is>
          <t>No</t>
        </is>
      </c>
      <c r="AQ1007" t="inlineStr">
        <is>
          <t>No</t>
        </is>
      </c>
      <c r="AS1007">
        <f>HYPERLINK("https://creighton-primo.hosted.exlibrisgroup.com/primo-explore/search?tab=default_tab&amp;search_scope=EVERYTHING&amp;vid=01CRU&amp;lang=en_US&amp;offset=0&amp;query=any,contains,991005047179702656","Catalog Record")</f>
        <v/>
      </c>
      <c r="AT1007">
        <f>HYPERLINK("http://www.worldcat.org/oclc/6854917","WorldCat Record")</f>
        <v/>
      </c>
      <c r="AU1007" t="inlineStr">
        <is>
          <t>3944553702:eng</t>
        </is>
      </c>
      <c r="AV1007" t="inlineStr">
        <is>
          <t>6854917</t>
        </is>
      </c>
      <c r="AW1007" t="inlineStr">
        <is>
          <t>991005047179702656</t>
        </is>
      </c>
      <c r="AX1007" t="inlineStr">
        <is>
          <t>991005047179702656</t>
        </is>
      </c>
      <c r="AY1007" t="inlineStr">
        <is>
          <t>2270612950002656</t>
        </is>
      </c>
      <c r="AZ1007" t="inlineStr">
        <is>
          <t>BOOK</t>
        </is>
      </c>
      <c r="BC1007" t="inlineStr">
        <is>
          <t>32285000540905</t>
        </is>
      </c>
      <c r="BD1007" t="inlineStr">
        <is>
          <t>893242112</t>
        </is>
      </c>
    </row>
    <row r="1008">
      <c r="A1008" t="inlineStr">
        <is>
          <t>No</t>
        </is>
      </c>
      <c r="B1008" t="inlineStr">
        <is>
          <t>E267 .W48</t>
        </is>
      </c>
      <c r="C1008" t="inlineStr">
        <is>
          <t>0                      E  0267000W  48</t>
        </is>
      </c>
      <c r="D1008" t="inlineStr">
        <is>
          <t>Cornwallis / by Franklin and Mary Wickwire.</t>
        </is>
      </c>
      <c r="E1008" t="inlineStr">
        <is>
          <t>V.2</t>
        </is>
      </c>
      <c r="F1008" t="inlineStr">
        <is>
          <t>Yes</t>
        </is>
      </c>
      <c r="G1008" t="inlineStr">
        <is>
          <t>1</t>
        </is>
      </c>
      <c r="H1008" t="inlineStr">
        <is>
          <t>No</t>
        </is>
      </c>
      <c r="I1008" t="inlineStr">
        <is>
          <t>No</t>
        </is>
      </c>
      <c r="J1008" t="inlineStr">
        <is>
          <t>0</t>
        </is>
      </c>
      <c r="K1008" t="inlineStr">
        <is>
          <t>Wickwire, Franklin (Franklin B.), 1931-</t>
        </is>
      </c>
      <c r="L1008" t="inlineStr">
        <is>
          <t>Boston : Houghton Mifflin, 1970-1980.</t>
        </is>
      </c>
      <c r="M1008" t="inlineStr">
        <is>
          <t>1970</t>
        </is>
      </c>
      <c r="O1008" t="inlineStr">
        <is>
          <t>eng</t>
        </is>
      </c>
      <c r="P1008" t="inlineStr">
        <is>
          <t>mau</t>
        </is>
      </c>
      <c r="R1008" t="inlineStr">
        <is>
          <t xml:space="preserve">E  </t>
        </is>
      </c>
      <c r="S1008" t="n">
        <v>2</v>
      </c>
      <c r="T1008" t="n">
        <v>4</v>
      </c>
      <c r="U1008" t="inlineStr">
        <is>
          <t>1993-12-29</t>
        </is>
      </c>
      <c r="V1008" t="inlineStr">
        <is>
          <t>2001-04-22</t>
        </is>
      </c>
      <c r="W1008" t="inlineStr">
        <is>
          <t>1991-03-26</t>
        </is>
      </c>
      <c r="X1008" t="inlineStr">
        <is>
          <t>1991-03-26</t>
        </is>
      </c>
      <c r="Y1008" t="n">
        <v>21</v>
      </c>
      <c r="Z1008" t="n">
        <v>19</v>
      </c>
      <c r="AA1008" t="n">
        <v>19</v>
      </c>
      <c r="AB1008" t="n">
        <v>1</v>
      </c>
      <c r="AC1008" t="n">
        <v>1</v>
      </c>
      <c r="AD1008" t="n">
        <v>1</v>
      </c>
      <c r="AE1008" t="n">
        <v>1</v>
      </c>
      <c r="AF1008" t="n">
        <v>0</v>
      </c>
      <c r="AG1008" t="n">
        <v>0</v>
      </c>
      <c r="AH1008" t="n">
        <v>1</v>
      </c>
      <c r="AI1008" t="n">
        <v>1</v>
      </c>
      <c r="AJ1008" t="n">
        <v>0</v>
      </c>
      <c r="AK1008" t="n">
        <v>0</v>
      </c>
      <c r="AL1008" t="n">
        <v>0</v>
      </c>
      <c r="AM1008" t="n">
        <v>0</v>
      </c>
      <c r="AN1008" t="n">
        <v>0</v>
      </c>
      <c r="AO1008" t="n">
        <v>0</v>
      </c>
      <c r="AP1008" t="inlineStr">
        <is>
          <t>No</t>
        </is>
      </c>
      <c r="AQ1008" t="inlineStr">
        <is>
          <t>No</t>
        </is>
      </c>
      <c r="AS1008">
        <f>HYPERLINK("https://creighton-primo.hosted.exlibrisgroup.com/primo-explore/search?tab=default_tab&amp;search_scope=EVERYTHING&amp;vid=01CRU&amp;lang=en_US&amp;offset=0&amp;query=any,contains,991005047179702656","Catalog Record")</f>
        <v/>
      </c>
      <c r="AT1008">
        <f>HYPERLINK("http://www.worldcat.org/oclc/6854917","WorldCat Record")</f>
        <v/>
      </c>
      <c r="AU1008" t="inlineStr">
        <is>
          <t>3944553702:eng</t>
        </is>
      </c>
      <c r="AV1008" t="inlineStr">
        <is>
          <t>6854917</t>
        </is>
      </c>
      <c r="AW1008" t="inlineStr">
        <is>
          <t>991005047179702656</t>
        </is>
      </c>
      <c r="AX1008" t="inlineStr">
        <is>
          <t>991005047179702656</t>
        </is>
      </c>
      <c r="AY1008" t="inlineStr">
        <is>
          <t>2270612950002656</t>
        </is>
      </c>
      <c r="AZ1008" t="inlineStr">
        <is>
          <t>BOOK</t>
        </is>
      </c>
      <c r="BC1008" t="inlineStr">
        <is>
          <t>32285000540913</t>
        </is>
      </c>
      <c r="BD1008" t="inlineStr">
        <is>
          <t>893248267</t>
        </is>
      </c>
    </row>
    <row r="1009">
      <c r="A1009" t="inlineStr">
        <is>
          <t>No</t>
        </is>
      </c>
      <c r="B1009" t="inlineStr">
        <is>
          <t>E268 .H47 1983</t>
        </is>
      </c>
      <c r="C1009" t="inlineStr">
        <is>
          <t>0                      E  0268000H  47          1983</t>
        </is>
      </c>
      <c r="D1009" t="inlineStr">
        <is>
          <t>The Hessians of Lewis Miller / text by Lion G. Miles.</t>
        </is>
      </c>
      <c r="F1009" t="inlineStr">
        <is>
          <t>No</t>
        </is>
      </c>
      <c r="G1009" t="inlineStr">
        <is>
          <t>1</t>
        </is>
      </c>
      <c r="H1009" t="inlineStr">
        <is>
          <t>No</t>
        </is>
      </c>
      <c r="I1009" t="inlineStr">
        <is>
          <t>No</t>
        </is>
      </c>
      <c r="J1009" t="inlineStr">
        <is>
          <t>0</t>
        </is>
      </c>
      <c r="L1009" t="inlineStr">
        <is>
          <t>Millville, Pa. : Precision Printers, Inc., 1983.</t>
        </is>
      </c>
      <c r="M1009" t="inlineStr">
        <is>
          <t>1983</t>
        </is>
      </c>
      <c r="O1009" t="inlineStr">
        <is>
          <t>eng</t>
        </is>
      </c>
      <c r="P1009" t="inlineStr">
        <is>
          <t>pau</t>
        </is>
      </c>
      <c r="R1009" t="inlineStr">
        <is>
          <t xml:space="preserve">E  </t>
        </is>
      </c>
      <c r="S1009" t="n">
        <v>1</v>
      </c>
      <c r="T1009" t="n">
        <v>1</v>
      </c>
      <c r="U1009" t="inlineStr">
        <is>
          <t>2005-01-24</t>
        </is>
      </c>
      <c r="V1009" t="inlineStr">
        <is>
          <t>2005-01-24</t>
        </is>
      </c>
      <c r="W1009" t="inlineStr">
        <is>
          <t>1991-04-04</t>
        </is>
      </c>
      <c r="X1009" t="inlineStr">
        <is>
          <t>1991-04-04</t>
        </is>
      </c>
      <c r="Y1009" t="n">
        <v>54</v>
      </c>
      <c r="Z1009" t="n">
        <v>50</v>
      </c>
      <c r="AA1009" t="n">
        <v>55</v>
      </c>
      <c r="AB1009" t="n">
        <v>1</v>
      </c>
      <c r="AC1009" t="n">
        <v>1</v>
      </c>
      <c r="AD1009" t="n">
        <v>0</v>
      </c>
      <c r="AE1009" t="n">
        <v>0</v>
      </c>
      <c r="AF1009" t="n">
        <v>0</v>
      </c>
      <c r="AG1009" t="n">
        <v>0</v>
      </c>
      <c r="AH1009" t="n">
        <v>0</v>
      </c>
      <c r="AI1009" t="n">
        <v>0</v>
      </c>
      <c r="AJ1009" t="n">
        <v>0</v>
      </c>
      <c r="AK1009" t="n">
        <v>0</v>
      </c>
      <c r="AL1009" t="n">
        <v>0</v>
      </c>
      <c r="AM1009" t="n">
        <v>0</v>
      </c>
      <c r="AN1009" t="n">
        <v>0</v>
      </c>
      <c r="AO1009" t="n">
        <v>0</v>
      </c>
      <c r="AP1009" t="inlineStr">
        <is>
          <t>No</t>
        </is>
      </c>
      <c r="AQ1009" t="inlineStr">
        <is>
          <t>No</t>
        </is>
      </c>
      <c r="AS1009">
        <f>HYPERLINK("https://creighton-primo.hosted.exlibrisgroup.com/primo-explore/search?tab=default_tab&amp;search_scope=EVERYTHING&amp;vid=01CRU&amp;lang=en_US&amp;offset=0&amp;query=any,contains,991000237949702656","Catalog Record")</f>
        <v/>
      </c>
      <c r="AT1009">
        <f>HYPERLINK("http://www.worldcat.org/oclc/10348611","WorldCat Record")</f>
        <v/>
      </c>
      <c r="AU1009" t="inlineStr">
        <is>
          <t>3699338:eng</t>
        </is>
      </c>
      <c r="AV1009" t="inlineStr">
        <is>
          <t>10348611</t>
        </is>
      </c>
      <c r="AW1009" t="inlineStr">
        <is>
          <t>991000237949702656</t>
        </is>
      </c>
      <c r="AX1009" t="inlineStr">
        <is>
          <t>991000237949702656</t>
        </is>
      </c>
      <c r="AY1009" t="inlineStr">
        <is>
          <t>2258986910002656</t>
        </is>
      </c>
      <c r="AZ1009" t="inlineStr">
        <is>
          <t>BOOK</t>
        </is>
      </c>
      <c r="BB1009" t="inlineStr">
        <is>
          <t>9780939016075</t>
        </is>
      </c>
      <c r="BC1009" t="inlineStr">
        <is>
          <t>32285000541523</t>
        </is>
      </c>
      <c r="BD1009" t="inlineStr">
        <is>
          <t>893695707</t>
        </is>
      </c>
    </row>
    <row r="1010">
      <c r="A1010" t="inlineStr">
        <is>
          <t>No</t>
        </is>
      </c>
      <c r="B1010" t="inlineStr">
        <is>
          <t>E269.F67 A53 1998</t>
        </is>
      </c>
      <c r="C1010" t="inlineStr">
        <is>
          <t>0                      E  0269000F  67                 A  53          1998</t>
        </is>
      </c>
      <c r="D1010" t="inlineStr">
        <is>
          <t>The rediscovery of America : transatlantic crosscurrents in an age of revolution / Stuart Andrews.</t>
        </is>
      </c>
      <c r="F1010" t="inlineStr">
        <is>
          <t>No</t>
        </is>
      </c>
      <c r="G1010" t="inlineStr">
        <is>
          <t>1</t>
        </is>
      </c>
      <c r="H1010" t="inlineStr">
        <is>
          <t>No</t>
        </is>
      </c>
      <c r="I1010" t="inlineStr">
        <is>
          <t>No</t>
        </is>
      </c>
      <c r="J1010" t="inlineStr">
        <is>
          <t>0</t>
        </is>
      </c>
      <c r="K1010" t="inlineStr">
        <is>
          <t>Andrews, Stuart.</t>
        </is>
      </c>
      <c r="L1010" t="inlineStr">
        <is>
          <t>New York : St. Martin's Press, 1998.</t>
        </is>
      </c>
      <c r="M1010" t="inlineStr">
        <is>
          <t>1998</t>
        </is>
      </c>
      <c r="O1010" t="inlineStr">
        <is>
          <t>eng</t>
        </is>
      </c>
      <c r="P1010" t="inlineStr">
        <is>
          <t>nyu</t>
        </is>
      </c>
      <c r="R1010" t="inlineStr">
        <is>
          <t xml:space="preserve">E  </t>
        </is>
      </c>
      <c r="S1010" t="n">
        <v>1</v>
      </c>
      <c r="T1010" t="n">
        <v>1</v>
      </c>
      <c r="U1010" t="inlineStr">
        <is>
          <t>2001-03-28</t>
        </is>
      </c>
      <c r="V1010" t="inlineStr">
        <is>
          <t>2001-03-28</t>
        </is>
      </c>
      <c r="W1010" t="inlineStr">
        <is>
          <t>2001-03-28</t>
        </is>
      </c>
      <c r="X1010" t="inlineStr">
        <is>
          <t>2001-03-28</t>
        </is>
      </c>
      <c r="Y1010" t="n">
        <v>209</v>
      </c>
      <c r="Z1010" t="n">
        <v>184</v>
      </c>
      <c r="AA1010" t="n">
        <v>197</v>
      </c>
      <c r="AB1010" t="n">
        <v>3</v>
      </c>
      <c r="AC1010" t="n">
        <v>3</v>
      </c>
      <c r="AD1010" t="n">
        <v>12</v>
      </c>
      <c r="AE1010" t="n">
        <v>12</v>
      </c>
      <c r="AF1010" t="n">
        <v>3</v>
      </c>
      <c r="AG1010" t="n">
        <v>3</v>
      </c>
      <c r="AH1010" t="n">
        <v>4</v>
      </c>
      <c r="AI1010" t="n">
        <v>4</v>
      </c>
      <c r="AJ1010" t="n">
        <v>6</v>
      </c>
      <c r="AK1010" t="n">
        <v>6</v>
      </c>
      <c r="AL1010" t="n">
        <v>2</v>
      </c>
      <c r="AM1010" t="n">
        <v>2</v>
      </c>
      <c r="AN1010" t="n">
        <v>0</v>
      </c>
      <c r="AO1010" t="n">
        <v>0</v>
      </c>
      <c r="AP1010" t="inlineStr">
        <is>
          <t>No</t>
        </is>
      </c>
      <c r="AQ1010" t="inlineStr">
        <is>
          <t>No</t>
        </is>
      </c>
      <c r="AS1010">
        <f>HYPERLINK("https://creighton-primo.hosted.exlibrisgroup.com/primo-explore/search?tab=default_tab&amp;search_scope=EVERYTHING&amp;vid=01CRU&amp;lang=en_US&amp;offset=0&amp;query=any,contains,991003521109702656","Catalog Record")</f>
        <v/>
      </c>
      <c r="AT1010">
        <f>HYPERLINK("http://www.worldcat.org/oclc/38147868","WorldCat Record")</f>
        <v/>
      </c>
      <c r="AU1010" t="inlineStr">
        <is>
          <t>610960:eng</t>
        </is>
      </c>
      <c r="AV1010" t="inlineStr">
        <is>
          <t>38147868</t>
        </is>
      </c>
      <c r="AW1010" t="inlineStr">
        <is>
          <t>991003521109702656</t>
        </is>
      </c>
      <c r="AX1010" t="inlineStr">
        <is>
          <t>991003521109702656</t>
        </is>
      </c>
      <c r="AY1010" t="inlineStr">
        <is>
          <t>2265969980002656</t>
        </is>
      </c>
      <c r="AZ1010" t="inlineStr">
        <is>
          <t>BOOK</t>
        </is>
      </c>
      <c r="BB1010" t="inlineStr">
        <is>
          <t>9780312214050</t>
        </is>
      </c>
      <c r="BC1010" t="inlineStr">
        <is>
          <t>32285004308267</t>
        </is>
      </c>
      <c r="BD1010" t="inlineStr">
        <is>
          <t>893246436</t>
        </is>
      </c>
    </row>
    <row r="1011">
      <c r="A1011" t="inlineStr">
        <is>
          <t>No</t>
        </is>
      </c>
      <c r="B1011" t="inlineStr">
        <is>
          <t>E269.F8 K37 1990</t>
        </is>
      </c>
      <c r="C1011" t="inlineStr">
        <is>
          <t>0                      E  0269000F  8                  K  37          1990</t>
        </is>
      </c>
      <c r="D1011" t="inlineStr">
        <is>
          <t>Conflict of conviction : a reappraisal of Quaker involvement in the American Revolution / William C. Kashatus III.</t>
        </is>
      </c>
      <c r="F1011" t="inlineStr">
        <is>
          <t>No</t>
        </is>
      </c>
      <c r="G1011" t="inlineStr">
        <is>
          <t>1</t>
        </is>
      </c>
      <c r="H1011" t="inlineStr">
        <is>
          <t>No</t>
        </is>
      </c>
      <c r="I1011" t="inlineStr">
        <is>
          <t>No</t>
        </is>
      </c>
      <c r="J1011" t="inlineStr">
        <is>
          <t>0</t>
        </is>
      </c>
      <c r="K1011" t="inlineStr">
        <is>
          <t>Kashatus, William C., 1959-</t>
        </is>
      </c>
      <c r="L1011" t="inlineStr">
        <is>
          <t>Lanham, Md. : University Press of America, c1990.</t>
        </is>
      </c>
      <c r="M1011" t="inlineStr">
        <is>
          <t>1990</t>
        </is>
      </c>
      <c r="O1011" t="inlineStr">
        <is>
          <t>eng</t>
        </is>
      </c>
      <c r="P1011" t="inlineStr">
        <is>
          <t>mdu</t>
        </is>
      </c>
      <c r="R1011" t="inlineStr">
        <is>
          <t xml:space="preserve">E  </t>
        </is>
      </c>
      <c r="S1011" t="n">
        <v>1</v>
      </c>
      <c r="T1011" t="n">
        <v>1</v>
      </c>
      <c r="U1011" t="inlineStr">
        <is>
          <t>2002-07-18</t>
        </is>
      </c>
      <c r="V1011" t="inlineStr">
        <is>
          <t>2002-07-18</t>
        </is>
      </c>
      <c r="W1011" t="inlineStr">
        <is>
          <t>1991-05-13</t>
        </is>
      </c>
      <c r="X1011" t="inlineStr">
        <is>
          <t>1991-05-13</t>
        </is>
      </c>
      <c r="Y1011" t="n">
        <v>231</v>
      </c>
      <c r="Z1011" t="n">
        <v>200</v>
      </c>
      <c r="AA1011" t="n">
        <v>202</v>
      </c>
      <c r="AB1011" t="n">
        <v>3</v>
      </c>
      <c r="AC1011" t="n">
        <v>3</v>
      </c>
      <c r="AD1011" t="n">
        <v>11</v>
      </c>
      <c r="AE1011" t="n">
        <v>11</v>
      </c>
      <c r="AF1011" t="n">
        <v>2</v>
      </c>
      <c r="AG1011" t="n">
        <v>2</v>
      </c>
      <c r="AH1011" t="n">
        <v>3</v>
      </c>
      <c r="AI1011" t="n">
        <v>3</v>
      </c>
      <c r="AJ1011" t="n">
        <v>6</v>
      </c>
      <c r="AK1011" t="n">
        <v>6</v>
      </c>
      <c r="AL1011" t="n">
        <v>2</v>
      </c>
      <c r="AM1011" t="n">
        <v>2</v>
      </c>
      <c r="AN1011" t="n">
        <v>0</v>
      </c>
      <c r="AO1011" t="n">
        <v>0</v>
      </c>
      <c r="AP1011" t="inlineStr">
        <is>
          <t>No</t>
        </is>
      </c>
      <c r="AQ1011" t="inlineStr">
        <is>
          <t>Yes</t>
        </is>
      </c>
      <c r="AR1011">
        <f>HYPERLINK("http://catalog.hathitrust.org/Record/002238410","HathiTrust Record")</f>
        <v/>
      </c>
      <c r="AS1011">
        <f>HYPERLINK("https://creighton-primo.hosted.exlibrisgroup.com/primo-explore/search?tab=default_tab&amp;search_scope=EVERYTHING&amp;vid=01CRU&amp;lang=en_US&amp;offset=0&amp;query=any,contains,991001716329702656","Catalog Record")</f>
        <v/>
      </c>
      <c r="AT1011">
        <f>HYPERLINK("http://www.worldcat.org/oclc/21678289","WorldCat Record")</f>
        <v/>
      </c>
      <c r="AU1011" t="inlineStr">
        <is>
          <t>143914854:eng</t>
        </is>
      </c>
      <c r="AV1011" t="inlineStr">
        <is>
          <t>21678289</t>
        </is>
      </c>
      <c r="AW1011" t="inlineStr">
        <is>
          <t>991001716329702656</t>
        </is>
      </c>
      <c r="AX1011" t="inlineStr">
        <is>
          <t>991001716329702656</t>
        </is>
      </c>
      <c r="AY1011" t="inlineStr">
        <is>
          <t>2258256940002656</t>
        </is>
      </c>
      <c r="AZ1011" t="inlineStr">
        <is>
          <t>BOOK</t>
        </is>
      </c>
      <c r="BB1011" t="inlineStr">
        <is>
          <t>9780819178831</t>
        </is>
      </c>
      <c r="BC1011" t="inlineStr">
        <is>
          <t>32285000572916</t>
        </is>
      </c>
      <c r="BD1011" t="inlineStr">
        <is>
          <t>893346716</t>
        </is>
      </c>
    </row>
    <row r="1012">
      <c r="A1012" t="inlineStr">
        <is>
          <t>No</t>
        </is>
      </c>
      <c r="B1012" t="inlineStr">
        <is>
          <t>E275 .S3 1972</t>
        </is>
      </c>
      <c r="C1012" t="inlineStr">
        <is>
          <t>0                      E  0275000S  3           1972</t>
        </is>
      </c>
      <c r="D1012" t="inlineStr">
        <is>
          <t>Rebels and redcoats / George F. Scheer and Hugh F. Rankin.</t>
        </is>
      </c>
      <c r="F1012" t="inlineStr">
        <is>
          <t>No</t>
        </is>
      </c>
      <c r="G1012" t="inlineStr">
        <is>
          <t>1</t>
        </is>
      </c>
      <c r="H1012" t="inlineStr">
        <is>
          <t>No</t>
        </is>
      </c>
      <c r="I1012" t="inlineStr">
        <is>
          <t>No</t>
        </is>
      </c>
      <c r="J1012" t="inlineStr">
        <is>
          <t>0</t>
        </is>
      </c>
      <c r="K1012" t="inlineStr">
        <is>
          <t>Scheer, George F.</t>
        </is>
      </c>
      <c r="L1012" t="inlineStr">
        <is>
          <t>New York : World, 1972, c1957.</t>
        </is>
      </c>
      <c r="M1012" t="inlineStr">
        <is>
          <t>1972</t>
        </is>
      </c>
      <c r="O1012" t="inlineStr">
        <is>
          <t>eng</t>
        </is>
      </c>
      <c r="P1012" t="inlineStr">
        <is>
          <t>nyu</t>
        </is>
      </c>
      <c r="R1012" t="inlineStr">
        <is>
          <t xml:space="preserve">E  </t>
        </is>
      </c>
      <c r="S1012" t="n">
        <v>4</v>
      </c>
      <c r="T1012" t="n">
        <v>4</v>
      </c>
      <c r="U1012" t="inlineStr">
        <is>
          <t>2002-09-03</t>
        </is>
      </c>
      <c r="V1012" t="inlineStr">
        <is>
          <t>2002-09-03</t>
        </is>
      </c>
      <c r="W1012" t="inlineStr">
        <is>
          <t>1997-05-06</t>
        </is>
      </c>
      <c r="X1012" t="inlineStr">
        <is>
          <t>1997-05-06</t>
        </is>
      </c>
      <c r="Y1012" t="n">
        <v>54</v>
      </c>
      <c r="Z1012" t="n">
        <v>52</v>
      </c>
      <c r="AA1012" t="n">
        <v>1446</v>
      </c>
      <c r="AB1012" t="n">
        <v>1</v>
      </c>
      <c r="AC1012" t="n">
        <v>8</v>
      </c>
      <c r="AD1012" t="n">
        <v>0</v>
      </c>
      <c r="AE1012" t="n">
        <v>41</v>
      </c>
      <c r="AF1012" t="n">
        <v>0</v>
      </c>
      <c r="AG1012" t="n">
        <v>18</v>
      </c>
      <c r="AH1012" t="n">
        <v>0</v>
      </c>
      <c r="AI1012" t="n">
        <v>10</v>
      </c>
      <c r="AJ1012" t="n">
        <v>0</v>
      </c>
      <c r="AK1012" t="n">
        <v>15</v>
      </c>
      <c r="AL1012" t="n">
        <v>0</v>
      </c>
      <c r="AM1012" t="n">
        <v>6</v>
      </c>
      <c r="AN1012" t="n">
        <v>0</v>
      </c>
      <c r="AO1012" t="n">
        <v>2</v>
      </c>
      <c r="AP1012" t="inlineStr">
        <is>
          <t>No</t>
        </is>
      </c>
      <c r="AQ1012" t="inlineStr">
        <is>
          <t>No</t>
        </is>
      </c>
      <c r="AS1012">
        <f>HYPERLINK("https://creighton-primo.hosted.exlibrisgroup.com/primo-explore/search?tab=default_tab&amp;search_scope=EVERYTHING&amp;vid=01CRU&amp;lang=en_US&amp;offset=0&amp;query=any,contains,991000544189702656","Catalog Record")</f>
        <v/>
      </c>
      <c r="AT1012">
        <f>HYPERLINK("http://www.worldcat.org/oclc/11504678","WorldCat Record")</f>
        <v/>
      </c>
      <c r="AU1012" t="inlineStr">
        <is>
          <t>2010419:eng</t>
        </is>
      </c>
      <c r="AV1012" t="inlineStr">
        <is>
          <t>11504678</t>
        </is>
      </c>
      <c r="AW1012" t="inlineStr">
        <is>
          <t>991000544189702656</t>
        </is>
      </c>
      <c r="AX1012" t="inlineStr">
        <is>
          <t>991000544189702656</t>
        </is>
      </c>
      <c r="AY1012" t="inlineStr">
        <is>
          <t>2270127050002656</t>
        </is>
      </c>
      <c r="AZ1012" t="inlineStr">
        <is>
          <t>BOOK</t>
        </is>
      </c>
      <c r="BB1012" t="inlineStr">
        <is>
          <t>9780529045607</t>
        </is>
      </c>
      <c r="BC1012" t="inlineStr">
        <is>
          <t>32285002616182</t>
        </is>
      </c>
      <c r="BD1012" t="inlineStr">
        <is>
          <t>893695928</t>
        </is>
      </c>
    </row>
    <row r="1013">
      <c r="A1013" t="inlineStr">
        <is>
          <t>No</t>
        </is>
      </c>
      <c r="B1013" t="inlineStr">
        <is>
          <t>E276 .E93</t>
        </is>
      </c>
      <c r="C1013" t="inlineStr">
        <is>
          <t>0                      E  0276000E  93</t>
        </is>
      </c>
      <c r="D1013" t="inlineStr">
        <is>
          <t>Weathering the storm : women of the American Revolution.</t>
        </is>
      </c>
      <c r="F1013" t="inlineStr">
        <is>
          <t>No</t>
        </is>
      </c>
      <c r="G1013" t="inlineStr">
        <is>
          <t>1</t>
        </is>
      </c>
      <c r="H1013" t="inlineStr">
        <is>
          <t>No</t>
        </is>
      </c>
      <c r="I1013" t="inlineStr">
        <is>
          <t>No</t>
        </is>
      </c>
      <c r="J1013" t="inlineStr">
        <is>
          <t>0</t>
        </is>
      </c>
      <c r="K1013" t="inlineStr">
        <is>
          <t>Evans, Elizabeth, 1932-</t>
        </is>
      </c>
      <c r="L1013" t="inlineStr">
        <is>
          <t>New York : Scribner, [1975]</t>
        </is>
      </c>
      <c r="M1013" t="inlineStr">
        <is>
          <t>1975</t>
        </is>
      </c>
      <c r="O1013" t="inlineStr">
        <is>
          <t>eng</t>
        </is>
      </c>
      <c r="P1013" t="inlineStr">
        <is>
          <t>nyu</t>
        </is>
      </c>
      <c r="R1013" t="inlineStr">
        <is>
          <t xml:space="preserve">E  </t>
        </is>
      </c>
      <c r="S1013" t="n">
        <v>3</v>
      </c>
      <c r="T1013" t="n">
        <v>3</v>
      </c>
      <c r="U1013" t="inlineStr">
        <is>
          <t>2005-10-17</t>
        </is>
      </c>
      <c r="V1013" t="inlineStr">
        <is>
          <t>2005-10-17</t>
        </is>
      </c>
      <c r="W1013" t="inlineStr">
        <is>
          <t>1997-05-06</t>
        </is>
      </c>
      <c r="X1013" t="inlineStr">
        <is>
          <t>1997-05-06</t>
        </is>
      </c>
      <c r="Y1013" t="n">
        <v>1603</v>
      </c>
      <c r="Z1013" t="n">
        <v>1556</v>
      </c>
      <c r="AA1013" t="n">
        <v>1705</v>
      </c>
      <c r="AB1013" t="n">
        <v>9</v>
      </c>
      <c r="AC1013" t="n">
        <v>10</v>
      </c>
      <c r="AD1013" t="n">
        <v>37</v>
      </c>
      <c r="AE1013" t="n">
        <v>41</v>
      </c>
      <c r="AF1013" t="n">
        <v>15</v>
      </c>
      <c r="AG1013" t="n">
        <v>18</v>
      </c>
      <c r="AH1013" t="n">
        <v>8</v>
      </c>
      <c r="AI1013" t="n">
        <v>8</v>
      </c>
      <c r="AJ1013" t="n">
        <v>15</v>
      </c>
      <c r="AK1013" t="n">
        <v>17</v>
      </c>
      <c r="AL1013" t="n">
        <v>6</v>
      </c>
      <c r="AM1013" t="n">
        <v>7</v>
      </c>
      <c r="AN1013" t="n">
        <v>0</v>
      </c>
      <c r="AO1013" t="n">
        <v>0</v>
      </c>
      <c r="AP1013" t="inlineStr">
        <is>
          <t>No</t>
        </is>
      </c>
      <c r="AQ1013" t="inlineStr">
        <is>
          <t>Yes</t>
        </is>
      </c>
      <c r="AR1013">
        <f>HYPERLINK("http://catalog.hathitrust.org/Record/000015277","HathiTrust Record")</f>
        <v/>
      </c>
      <c r="AS1013">
        <f>HYPERLINK("https://creighton-primo.hosted.exlibrisgroup.com/primo-explore/search?tab=default_tab&amp;search_scope=EVERYTHING&amp;vid=01CRU&amp;lang=en_US&amp;offset=0&amp;query=any,contains,991003409069702656","Catalog Record")</f>
        <v/>
      </c>
      <c r="AT1013">
        <f>HYPERLINK("http://www.worldcat.org/oclc/947940","WorldCat Record")</f>
        <v/>
      </c>
      <c r="AU1013" t="inlineStr">
        <is>
          <t>1910218:eng</t>
        </is>
      </c>
      <c r="AV1013" t="inlineStr">
        <is>
          <t>947940</t>
        </is>
      </c>
      <c r="AW1013" t="inlineStr">
        <is>
          <t>991003409069702656</t>
        </is>
      </c>
      <c r="AX1013" t="inlineStr">
        <is>
          <t>991003409069702656</t>
        </is>
      </c>
      <c r="AY1013" t="inlineStr">
        <is>
          <t>2264674090002656</t>
        </is>
      </c>
      <c r="AZ1013" t="inlineStr">
        <is>
          <t>BOOK</t>
        </is>
      </c>
      <c r="BB1013" t="inlineStr">
        <is>
          <t>9780684139531</t>
        </is>
      </c>
      <c r="BC1013" t="inlineStr">
        <is>
          <t>32285002616216</t>
        </is>
      </c>
      <c r="BD1013" t="inlineStr">
        <is>
          <t>893336467</t>
        </is>
      </c>
    </row>
    <row r="1014">
      <c r="A1014" t="inlineStr">
        <is>
          <t>No</t>
        </is>
      </c>
      <c r="B1014" t="inlineStr">
        <is>
          <t>E277 .B82</t>
        </is>
      </c>
      <c r="C1014" t="inlineStr">
        <is>
          <t>0                      E  0277000B  82</t>
        </is>
      </c>
      <c r="D1014" t="inlineStr">
        <is>
          <t>The king's friends : the composition and motives of the American loyalist claimants.</t>
        </is>
      </c>
      <c r="F1014" t="inlineStr">
        <is>
          <t>No</t>
        </is>
      </c>
      <c r="G1014" t="inlineStr">
        <is>
          <t>1</t>
        </is>
      </c>
      <c r="H1014" t="inlineStr">
        <is>
          <t>No</t>
        </is>
      </c>
      <c r="I1014" t="inlineStr">
        <is>
          <t>No</t>
        </is>
      </c>
      <c r="J1014" t="inlineStr">
        <is>
          <t>0</t>
        </is>
      </c>
      <c r="K1014" t="inlineStr">
        <is>
          <t>Brown, Wallace, 1933-</t>
        </is>
      </c>
      <c r="L1014" t="inlineStr">
        <is>
          <t>Providence : Brown University Press, 1965.</t>
        </is>
      </c>
      <c r="M1014" t="inlineStr">
        <is>
          <t>1965</t>
        </is>
      </c>
      <c r="O1014" t="inlineStr">
        <is>
          <t>eng</t>
        </is>
      </c>
      <c r="P1014" t="inlineStr">
        <is>
          <t>riu</t>
        </is>
      </c>
      <c r="R1014" t="inlineStr">
        <is>
          <t xml:space="preserve">E  </t>
        </is>
      </c>
      <c r="S1014" t="n">
        <v>1</v>
      </c>
      <c r="T1014" t="n">
        <v>1</v>
      </c>
      <c r="U1014" t="inlineStr">
        <is>
          <t>1995-12-05</t>
        </is>
      </c>
      <c r="V1014" t="inlineStr">
        <is>
          <t>1995-12-05</t>
        </is>
      </c>
      <c r="W1014" t="inlineStr">
        <is>
          <t>1991-03-08</t>
        </is>
      </c>
      <c r="X1014" t="inlineStr">
        <is>
          <t>1991-03-08</t>
        </is>
      </c>
      <c r="Y1014" t="n">
        <v>904</v>
      </c>
      <c r="Z1014" t="n">
        <v>796</v>
      </c>
      <c r="AA1014" t="n">
        <v>806</v>
      </c>
      <c r="AB1014" t="n">
        <v>8</v>
      </c>
      <c r="AC1014" t="n">
        <v>8</v>
      </c>
      <c r="AD1014" t="n">
        <v>37</v>
      </c>
      <c r="AE1014" t="n">
        <v>37</v>
      </c>
      <c r="AF1014" t="n">
        <v>16</v>
      </c>
      <c r="AG1014" t="n">
        <v>16</v>
      </c>
      <c r="AH1014" t="n">
        <v>6</v>
      </c>
      <c r="AI1014" t="n">
        <v>6</v>
      </c>
      <c r="AJ1014" t="n">
        <v>18</v>
      </c>
      <c r="AK1014" t="n">
        <v>18</v>
      </c>
      <c r="AL1014" t="n">
        <v>6</v>
      </c>
      <c r="AM1014" t="n">
        <v>6</v>
      </c>
      <c r="AN1014" t="n">
        <v>1</v>
      </c>
      <c r="AO1014" t="n">
        <v>1</v>
      </c>
      <c r="AP1014" t="inlineStr">
        <is>
          <t>No</t>
        </is>
      </c>
      <c r="AQ1014" t="inlineStr">
        <is>
          <t>Yes</t>
        </is>
      </c>
      <c r="AR1014">
        <f>HYPERLINK("http://catalog.hathitrust.org/Record/000362548","HathiTrust Record")</f>
        <v/>
      </c>
      <c r="AS1014">
        <f>HYPERLINK("https://creighton-primo.hosted.exlibrisgroup.com/primo-explore/search?tab=default_tab&amp;search_scope=EVERYTHING&amp;vid=01CRU&amp;lang=en_US&amp;offset=0&amp;query=any,contains,991002448349702656","Catalog Record")</f>
        <v/>
      </c>
      <c r="AT1014">
        <f>HYPERLINK("http://www.worldcat.org/oclc/352256","WorldCat Record")</f>
        <v/>
      </c>
      <c r="AU1014" t="inlineStr">
        <is>
          <t>515715:eng</t>
        </is>
      </c>
      <c r="AV1014" t="inlineStr">
        <is>
          <t>352256</t>
        </is>
      </c>
      <c r="AW1014" t="inlineStr">
        <is>
          <t>991002448349702656</t>
        </is>
      </c>
      <c r="AX1014" t="inlineStr">
        <is>
          <t>991002448349702656</t>
        </is>
      </c>
      <c r="AY1014" t="inlineStr">
        <is>
          <t>2265252200002656</t>
        </is>
      </c>
      <c r="AZ1014" t="inlineStr">
        <is>
          <t>BOOK</t>
        </is>
      </c>
      <c r="BC1014" t="inlineStr">
        <is>
          <t>32285000545631</t>
        </is>
      </c>
      <c r="BD1014" t="inlineStr">
        <is>
          <t>893245194</t>
        </is>
      </c>
    </row>
    <row r="1015">
      <c r="A1015" t="inlineStr">
        <is>
          <t>No</t>
        </is>
      </c>
      <c r="B1015" t="inlineStr">
        <is>
          <t>E277 .D35 1979</t>
        </is>
      </c>
      <c r="C1015" t="inlineStr">
        <is>
          <t>0                      E  0277000D  35          1979</t>
        </is>
      </c>
      <c r="D1015" t="inlineStr">
        <is>
          <t>The loyalists in North Carolina during the Revolution / by Robert O. DeMond.</t>
        </is>
      </c>
      <c r="F1015" t="inlineStr">
        <is>
          <t>No</t>
        </is>
      </c>
      <c r="G1015" t="inlineStr">
        <is>
          <t>1</t>
        </is>
      </c>
      <c r="H1015" t="inlineStr">
        <is>
          <t>No</t>
        </is>
      </c>
      <c r="I1015" t="inlineStr">
        <is>
          <t>No</t>
        </is>
      </c>
      <c r="J1015" t="inlineStr">
        <is>
          <t>0</t>
        </is>
      </c>
      <c r="K1015" t="inlineStr">
        <is>
          <t>DeMond, Robert O., 1889-1959.</t>
        </is>
      </c>
      <c r="L1015" t="inlineStr">
        <is>
          <t>Baltimore : Genealogical Pub. Co., 1979, c1940.</t>
        </is>
      </c>
      <c r="M1015" t="inlineStr">
        <is>
          <t>1979</t>
        </is>
      </c>
      <c r="O1015" t="inlineStr">
        <is>
          <t>eng</t>
        </is>
      </c>
      <c r="P1015" t="inlineStr">
        <is>
          <t>mdu</t>
        </is>
      </c>
      <c r="R1015" t="inlineStr">
        <is>
          <t xml:space="preserve">E  </t>
        </is>
      </c>
      <c r="S1015" t="n">
        <v>3</v>
      </c>
      <c r="T1015" t="n">
        <v>3</v>
      </c>
      <c r="U1015" t="inlineStr">
        <is>
          <t>1996-02-07</t>
        </is>
      </c>
      <c r="V1015" t="inlineStr">
        <is>
          <t>1996-02-07</t>
        </is>
      </c>
      <c r="W1015" t="inlineStr">
        <is>
          <t>1991-04-04</t>
        </is>
      </c>
      <c r="X1015" t="inlineStr">
        <is>
          <t>1991-04-04</t>
        </is>
      </c>
      <c r="Y1015" t="n">
        <v>200</v>
      </c>
      <c r="Z1015" t="n">
        <v>195</v>
      </c>
      <c r="AA1015" t="n">
        <v>770</v>
      </c>
      <c r="AB1015" t="n">
        <v>1</v>
      </c>
      <c r="AC1015" t="n">
        <v>4</v>
      </c>
      <c r="AD1015" t="n">
        <v>2</v>
      </c>
      <c r="AE1015" t="n">
        <v>21</v>
      </c>
      <c r="AF1015" t="n">
        <v>0</v>
      </c>
      <c r="AG1015" t="n">
        <v>7</v>
      </c>
      <c r="AH1015" t="n">
        <v>0</v>
      </c>
      <c r="AI1015" t="n">
        <v>7</v>
      </c>
      <c r="AJ1015" t="n">
        <v>2</v>
      </c>
      <c r="AK1015" t="n">
        <v>12</v>
      </c>
      <c r="AL1015" t="n">
        <v>0</v>
      </c>
      <c r="AM1015" t="n">
        <v>2</v>
      </c>
      <c r="AN1015" t="n">
        <v>0</v>
      </c>
      <c r="AO1015" t="n">
        <v>0</v>
      </c>
      <c r="AP1015" t="inlineStr">
        <is>
          <t>No</t>
        </is>
      </c>
      <c r="AQ1015" t="inlineStr">
        <is>
          <t>No</t>
        </is>
      </c>
      <c r="AS1015">
        <f>HYPERLINK("https://creighton-primo.hosted.exlibrisgroup.com/primo-explore/search?tab=default_tab&amp;search_scope=EVERYTHING&amp;vid=01CRU&amp;lang=en_US&amp;offset=0&amp;query=any,contains,991004745019702656","Catalog Record")</f>
        <v/>
      </c>
      <c r="AT1015">
        <f>HYPERLINK("http://www.worldcat.org/oclc/4907663","WorldCat Record")</f>
        <v/>
      </c>
      <c r="AU1015" t="inlineStr">
        <is>
          <t>1518934:eng</t>
        </is>
      </c>
      <c r="AV1015" t="inlineStr">
        <is>
          <t>4907663</t>
        </is>
      </c>
      <c r="AW1015" t="inlineStr">
        <is>
          <t>991004745019702656</t>
        </is>
      </c>
      <c r="AX1015" t="inlineStr">
        <is>
          <t>991004745019702656</t>
        </is>
      </c>
      <c r="AY1015" t="inlineStr">
        <is>
          <t>2258835870002656</t>
        </is>
      </c>
      <c r="AZ1015" t="inlineStr">
        <is>
          <t>BOOK</t>
        </is>
      </c>
      <c r="BC1015" t="inlineStr">
        <is>
          <t>32285000541580</t>
        </is>
      </c>
      <c r="BD1015" t="inlineStr">
        <is>
          <t>893446369</t>
        </is>
      </c>
    </row>
    <row r="1016">
      <c r="A1016" t="inlineStr">
        <is>
          <t>No</t>
        </is>
      </c>
      <c r="B1016" t="inlineStr">
        <is>
          <t>E277 .N48 1992</t>
        </is>
      </c>
      <c r="C1016" t="inlineStr">
        <is>
          <t>0                      E  0277000N  48          1992</t>
        </is>
      </c>
      <c r="D1016" t="inlineStr">
        <is>
          <t>The American Tory / by William H. Nelson.</t>
        </is>
      </c>
      <c r="F1016" t="inlineStr">
        <is>
          <t>No</t>
        </is>
      </c>
      <c r="G1016" t="inlineStr">
        <is>
          <t>1</t>
        </is>
      </c>
      <c r="H1016" t="inlineStr">
        <is>
          <t>No</t>
        </is>
      </c>
      <c r="I1016" t="inlineStr">
        <is>
          <t>Yes</t>
        </is>
      </c>
      <c r="J1016" t="inlineStr">
        <is>
          <t>0</t>
        </is>
      </c>
      <c r="K1016" t="inlineStr">
        <is>
          <t>Nelson, William H., 1923-</t>
        </is>
      </c>
      <c r="L1016" t="inlineStr">
        <is>
          <t>Boston : Northeastern University Press, 1992.</t>
        </is>
      </c>
      <c r="M1016" t="inlineStr">
        <is>
          <t>1992</t>
        </is>
      </c>
      <c r="O1016" t="inlineStr">
        <is>
          <t>eng</t>
        </is>
      </c>
      <c r="P1016" t="inlineStr">
        <is>
          <t>mau</t>
        </is>
      </c>
      <c r="R1016" t="inlineStr">
        <is>
          <t xml:space="preserve">E  </t>
        </is>
      </c>
      <c r="S1016" t="n">
        <v>2</v>
      </c>
      <c r="T1016" t="n">
        <v>2</v>
      </c>
      <c r="U1016" t="inlineStr">
        <is>
          <t>1999-09-23</t>
        </is>
      </c>
      <c r="V1016" t="inlineStr">
        <is>
          <t>1999-09-23</t>
        </is>
      </c>
      <c r="W1016" t="inlineStr">
        <is>
          <t>1995-04-07</t>
        </is>
      </c>
      <c r="X1016" t="inlineStr">
        <is>
          <t>1995-04-07</t>
        </is>
      </c>
      <c r="Y1016" t="n">
        <v>84</v>
      </c>
      <c r="Z1016" t="n">
        <v>79</v>
      </c>
      <c r="AA1016" t="n">
        <v>1081</v>
      </c>
      <c r="AB1016" t="n">
        <v>1</v>
      </c>
      <c r="AC1016" t="n">
        <v>12</v>
      </c>
      <c r="AD1016" t="n">
        <v>0</v>
      </c>
      <c r="AE1016" t="n">
        <v>49</v>
      </c>
      <c r="AF1016" t="n">
        <v>0</v>
      </c>
      <c r="AG1016" t="n">
        <v>20</v>
      </c>
      <c r="AH1016" t="n">
        <v>0</v>
      </c>
      <c r="AI1016" t="n">
        <v>9</v>
      </c>
      <c r="AJ1016" t="n">
        <v>0</v>
      </c>
      <c r="AK1016" t="n">
        <v>21</v>
      </c>
      <c r="AL1016" t="n">
        <v>0</v>
      </c>
      <c r="AM1016" t="n">
        <v>10</v>
      </c>
      <c r="AN1016" t="n">
        <v>0</v>
      </c>
      <c r="AO1016" t="n">
        <v>1</v>
      </c>
      <c r="AP1016" t="inlineStr">
        <is>
          <t>No</t>
        </is>
      </c>
      <c r="AQ1016" t="inlineStr">
        <is>
          <t>Yes</t>
        </is>
      </c>
      <c r="AR1016">
        <f>HYPERLINK("http://catalog.hathitrust.org/Record/008557640","HathiTrust Record")</f>
        <v/>
      </c>
      <c r="AS1016">
        <f>HYPERLINK("https://creighton-primo.hosted.exlibrisgroup.com/primo-explore/search?tab=default_tab&amp;search_scope=EVERYTHING&amp;vid=01CRU&amp;lang=en_US&amp;offset=0&amp;query=any,contains,991002075229702656","Catalog Record")</f>
        <v/>
      </c>
      <c r="AT1016">
        <f>HYPERLINK("http://www.worldcat.org/oclc/26590704","WorldCat Record")</f>
        <v/>
      </c>
      <c r="AU1016" t="inlineStr">
        <is>
          <t>1396803:eng</t>
        </is>
      </c>
      <c r="AV1016" t="inlineStr">
        <is>
          <t>26590704</t>
        </is>
      </c>
      <c r="AW1016" t="inlineStr">
        <is>
          <t>991002075229702656</t>
        </is>
      </c>
      <c r="AX1016" t="inlineStr">
        <is>
          <t>991002075229702656</t>
        </is>
      </c>
      <c r="AY1016" t="inlineStr">
        <is>
          <t>2271807940002656</t>
        </is>
      </c>
      <c r="AZ1016" t="inlineStr">
        <is>
          <t>BOOK</t>
        </is>
      </c>
      <c r="BB1016" t="inlineStr">
        <is>
          <t>9781555531485</t>
        </is>
      </c>
      <c r="BC1016" t="inlineStr">
        <is>
          <t>32285002017126</t>
        </is>
      </c>
      <c r="BD1016" t="inlineStr">
        <is>
          <t>893497694</t>
        </is>
      </c>
    </row>
    <row r="1017">
      <c r="A1017" t="inlineStr">
        <is>
          <t>No</t>
        </is>
      </c>
      <c r="B1017" t="inlineStr">
        <is>
          <t>E285 .B88 2001</t>
        </is>
      </c>
      <c r="C1017" t="inlineStr">
        <is>
          <t>0                      E  0285000B  88          2001</t>
        </is>
      </c>
      <c r="D1017" t="inlineStr">
        <is>
          <t>America's jubilee / Andrew Burstein.</t>
        </is>
      </c>
      <c r="F1017" t="inlineStr">
        <is>
          <t>No</t>
        </is>
      </c>
      <c r="G1017" t="inlineStr">
        <is>
          <t>1</t>
        </is>
      </c>
      <c r="H1017" t="inlineStr">
        <is>
          <t>No</t>
        </is>
      </c>
      <c r="I1017" t="inlineStr">
        <is>
          <t>No</t>
        </is>
      </c>
      <c r="J1017" t="inlineStr">
        <is>
          <t>0</t>
        </is>
      </c>
      <c r="K1017" t="inlineStr">
        <is>
          <t>Burstein, Andrew.</t>
        </is>
      </c>
      <c r="L1017" t="inlineStr">
        <is>
          <t>New York : A.A. Knopf, 2001</t>
        </is>
      </c>
      <c r="M1017" t="inlineStr">
        <is>
          <t>2001</t>
        </is>
      </c>
      <c r="N1017" t="inlineStr">
        <is>
          <t>1st ed.</t>
        </is>
      </c>
      <c r="O1017" t="inlineStr">
        <is>
          <t>eng</t>
        </is>
      </c>
      <c r="P1017" t="inlineStr">
        <is>
          <t>nyu</t>
        </is>
      </c>
      <c r="R1017" t="inlineStr">
        <is>
          <t xml:space="preserve">E  </t>
        </is>
      </c>
      <c r="S1017" t="n">
        <v>2</v>
      </c>
      <c r="T1017" t="n">
        <v>2</v>
      </c>
      <c r="U1017" t="inlineStr">
        <is>
          <t>2001-06-29</t>
        </is>
      </c>
      <c r="V1017" t="inlineStr">
        <is>
          <t>2001-06-29</t>
        </is>
      </c>
      <c r="W1017" t="inlineStr">
        <is>
          <t>2001-06-13</t>
        </is>
      </c>
      <c r="X1017" t="inlineStr">
        <is>
          <t>2001-06-13</t>
        </is>
      </c>
      <c r="Y1017" t="n">
        <v>802</v>
      </c>
      <c r="Z1017" t="n">
        <v>773</v>
      </c>
      <c r="AA1017" t="n">
        <v>842</v>
      </c>
      <c r="AB1017" t="n">
        <v>5</v>
      </c>
      <c r="AC1017" t="n">
        <v>5</v>
      </c>
      <c r="AD1017" t="n">
        <v>23</v>
      </c>
      <c r="AE1017" t="n">
        <v>23</v>
      </c>
      <c r="AF1017" t="n">
        <v>8</v>
      </c>
      <c r="AG1017" t="n">
        <v>8</v>
      </c>
      <c r="AH1017" t="n">
        <v>8</v>
      </c>
      <c r="AI1017" t="n">
        <v>8</v>
      </c>
      <c r="AJ1017" t="n">
        <v>14</v>
      </c>
      <c r="AK1017" t="n">
        <v>14</v>
      </c>
      <c r="AL1017" t="n">
        <v>2</v>
      </c>
      <c r="AM1017" t="n">
        <v>2</v>
      </c>
      <c r="AN1017" t="n">
        <v>0</v>
      </c>
      <c r="AO1017" t="n">
        <v>0</v>
      </c>
      <c r="AP1017" t="inlineStr">
        <is>
          <t>No</t>
        </is>
      </c>
      <c r="AQ1017" t="inlineStr">
        <is>
          <t>Yes</t>
        </is>
      </c>
      <c r="AR1017">
        <f>HYPERLINK("http://catalog.hathitrust.org/Record/004144197","HathiTrust Record")</f>
        <v/>
      </c>
      <c r="AS1017">
        <f>HYPERLINK("https://creighton-primo.hosted.exlibrisgroup.com/primo-explore/search?tab=default_tab&amp;search_scope=EVERYTHING&amp;vid=01CRU&amp;lang=en_US&amp;offset=0&amp;query=any,contains,991003556339702656","Catalog Record")</f>
        <v/>
      </c>
      <c r="AT1017">
        <f>HYPERLINK("http://www.worldcat.org/oclc/43333487","WorldCat Record")</f>
        <v/>
      </c>
      <c r="AU1017" t="inlineStr">
        <is>
          <t>8836910:eng</t>
        </is>
      </c>
      <c r="AV1017" t="inlineStr">
        <is>
          <t>43333487</t>
        </is>
      </c>
      <c r="AW1017" t="inlineStr">
        <is>
          <t>991003556339702656</t>
        </is>
      </c>
      <c r="AX1017" t="inlineStr">
        <is>
          <t>991003556339702656</t>
        </is>
      </c>
      <c r="AY1017" t="inlineStr">
        <is>
          <t>2269410630002656</t>
        </is>
      </c>
      <c r="AZ1017" t="inlineStr">
        <is>
          <t>BOOK</t>
        </is>
      </c>
      <c r="BB1017" t="inlineStr">
        <is>
          <t>9780375410338</t>
        </is>
      </c>
      <c r="BC1017" t="inlineStr">
        <is>
          <t>32285004327028</t>
        </is>
      </c>
      <c r="BD1017" t="inlineStr">
        <is>
          <t>893799869</t>
        </is>
      </c>
    </row>
    <row r="1018">
      <c r="A1018" t="inlineStr">
        <is>
          <t>No</t>
        </is>
      </c>
      <c r="B1018" t="inlineStr">
        <is>
          <t>E301 .B6</t>
        </is>
      </c>
      <c r="C1018" t="inlineStr">
        <is>
          <t>0                      E  0301000B  6</t>
        </is>
      </c>
      <c r="D1018" t="inlineStr">
        <is>
          <t>The Americans : the national experience / by Daniel J. Boorstin.</t>
        </is>
      </c>
      <c r="F1018" t="inlineStr">
        <is>
          <t>No</t>
        </is>
      </c>
      <c r="G1018" t="inlineStr">
        <is>
          <t>1</t>
        </is>
      </c>
      <c r="H1018" t="inlineStr">
        <is>
          <t>No</t>
        </is>
      </c>
      <c r="I1018" t="inlineStr">
        <is>
          <t>No</t>
        </is>
      </c>
      <c r="J1018" t="inlineStr">
        <is>
          <t>0</t>
        </is>
      </c>
      <c r="K1018" t="inlineStr">
        <is>
          <t>Boorstin, Daniel J. (Daniel Joseph), 1914-2004.</t>
        </is>
      </c>
      <c r="L1018" t="inlineStr">
        <is>
          <t>New York : Random House, [1965]</t>
        </is>
      </c>
      <c r="M1018" t="inlineStr">
        <is>
          <t>1965</t>
        </is>
      </c>
      <c r="O1018" t="inlineStr">
        <is>
          <t>eng</t>
        </is>
      </c>
      <c r="P1018" t="inlineStr">
        <is>
          <t>nyu</t>
        </is>
      </c>
      <c r="R1018" t="inlineStr">
        <is>
          <t xml:space="preserve">E  </t>
        </is>
      </c>
      <c r="S1018" t="n">
        <v>2</v>
      </c>
      <c r="T1018" t="n">
        <v>2</v>
      </c>
      <c r="U1018" t="inlineStr">
        <is>
          <t>1998-09-11</t>
        </is>
      </c>
      <c r="V1018" t="inlineStr">
        <is>
          <t>1998-09-11</t>
        </is>
      </c>
      <c r="W1018" t="inlineStr">
        <is>
          <t>1991-12-23</t>
        </is>
      </c>
      <c r="X1018" t="inlineStr">
        <is>
          <t>1991-12-23</t>
        </is>
      </c>
      <c r="Y1018" t="n">
        <v>2102</v>
      </c>
      <c r="Z1018" t="n">
        <v>1971</v>
      </c>
      <c r="AA1018" t="n">
        <v>2429</v>
      </c>
      <c r="AB1018" t="n">
        <v>18</v>
      </c>
      <c r="AC1018" t="n">
        <v>20</v>
      </c>
      <c r="AD1018" t="n">
        <v>57</v>
      </c>
      <c r="AE1018" t="n">
        <v>61</v>
      </c>
      <c r="AF1018" t="n">
        <v>22</v>
      </c>
      <c r="AG1018" t="n">
        <v>24</v>
      </c>
      <c r="AH1018" t="n">
        <v>9</v>
      </c>
      <c r="AI1018" t="n">
        <v>10</v>
      </c>
      <c r="AJ1018" t="n">
        <v>25</v>
      </c>
      <c r="AK1018" t="n">
        <v>27</v>
      </c>
      <c r="AL1018" t="n">
        <v>11</v>
      </c>
      <c r="AM1018" t="n">
        <v>11</v>
      </c>
      <c r="AN1018" t="n">
        <v>1</v>
      </c>
      <c r="AO1018" t="n">
        <v>2</v>
      </c>
      <c r="AP1018" t="inlineStr">
        <is>
          <t>No</t>
        </is>
      </c>
      <c r="AQ1018" t="inlineStr">
        <is>
          <t>Yes</t>
        </is>
      </c>
      <c r="AR1018">
        <f>HYPERLINK("http://catalog.hathitrust.org/Record/000365131","HathiTrust Record")</f>
        <v/>
      </c>
      <c r="AS1018">
        <f>HYPERLINK("https://creighton-primo.hosted.exlibrisgroup.com/primo-explore/search?tab=default_tab&amp;search_scope=EVERYTHING&amp;vid=01CRU&amp;lang=en_US&amp;offset=0&amp;query=any,contains,991002485199702656","Catalog Record")</f>
        <v/>
      </c>
      <c r="AT1018">
        <f>HYPERLINK("http://www.worldcat.org/oclc/360759","WorldCat Record")</f>
        <v/>
      </c>
      <c r="AU1018" t="inlineStr">
        <is>
          <t>3376944895:eng</t>
        </is>
      </c>
      <c r="AV1018" t="inlineStr">
        <is>
          <t>360759</t>
        </is>
      </c>
      <c r="AW1018" t="inlineStr">
        <is>
          <t>991002485199702656</t>
        </is>
      </c>
      <c r="AX1018" t="inlineStr">
        <is>
          <t>991002485199702656</t>
        </is>
      </c>
      <c r="AY1018" t="inlineStr">
        <is>
          <t>2263711220002656</t>
        </is>
      </c>
      <c r="AZ1018" t="inlineStr">
        <is>
          <t>BOOK</t>
        </is>
      </c>
      <c r="BC1018" t="inlineStr">
        <is>
          <t>32285000879238</t>
        </is>
      </c>
      <c r="BD1018" t="inlineStr">
        <is>
          <t>893262309</t>
        </is>
      </c>
    </row>
    <row r="1019">
      <c r="A1019" t="inlineStr">
        <is>
          <t>No</t>
        </is>
      </c>
      <c r="B1019" t="inlineStr">
        <is>
          <t>E301 .C86</t>
        </is>
      </c>
      <c r="C1019" t="inlineStr">
        <is>
          <t>0                      E  0301000C  86</t>
        </is>
      </c>
      <c r="D1019" t="inlineStr">
        <is>
          <t>Soldiers &amp; civilians; the martial spirit in America, 1775-1865.</t>
        </is>
      </c>
      <c r="F1019" t="inlineStr">
        <is>
          <t>No</t>
        </is>
      </c>
      <c r="G1019" t="inlineStr">
        <is>
          <t>1</t>
        </is>
      </c>
      <c r="H1019" t="inlineStr">
        <is>
          <t>No</t>
        </is>
      </c>
      <c r="I1019" t="inlineStr">
        <is>
          <t>Yes</t>
        </is>
      </c>
      <c r="J1019" t="inlineStr">
        <is>
          <t>0</t>
        </is>
      </c>
      <c r="K1019" t="inlineStr">
        <is>
          <t>Cunliffe, Marcus, 1922-1990.</t>
        </is>
      </c>
      <c r="L1019" t="inlineStr">
        <is>
          <t>Boston, Little, Brown [1968]</t>
        </is>
      </c>
      <c r="M1019" t="inlineStr">
        <is>
          <t>1968</t>
        </is>
      </c>
      <c r="N1019" t="inlineStr">
        <is>
          <t>[1st ed.]</t>
        </is>
      </c>
      <c r="O1019" t="inlineStr">
        <is>
          <t>eng</t>
        </is>
      </c>
      <c r="P1019" t="inlineStr">
        <is>
          <t>mau</t>
        </is>
      </c>
      <c r="R1019" t="inlineStr">
        <is>
          <t xml:space="preserve">E  </t>
        </is>
      </c>
      <c r="S1019" t="n">
        <v>2</v>
      </c>
      <c r="T1019" t="n">
        <v>2</v>
      </c>
      <c r="U1019" t="inlineStr">
        <is>
          <t>1999-07-27</t>
        </is>
      </c>
      <c r="V1019" t="inlineStr">
        <is>
          <t>1999-07-27</t>
        </is>
      </c>
      <c r="W1019" t="inlineStr">
        <is>
          <t>1997-05-07</t>
        </is>
      </c>
      <c r="X1019" t="inlineStr">
        <is>
          <t>1997-05-07</t>
        </is>
      </c>
      <c r="Y1019" t="n">
        <v>1056</v>
      </c>
      <c r="Z1019" t="n">
        <v>994</v>
      </c>
      <c r="AA1019" t="n">
        <v>1090</v>
      </c>
      <c r="AB1019" t="n">
        <v>8</v>
      </c>
      <c r="AC1019" t="n">
        <v>8</v>
      </c>
      <c r="AD1019" t="n">
        <v>36</v>
      </c>
      <c r="AE1019" t="n">
        <v>42</v>
      </c>
      <c r="AF1019" t="n">
        <v>13</v>
      </c>
      <c r="AG1019" t="n">
        <v>17</v>
      </c>
      <c r="AH1019" t="n">
        <v>7</v>
      </c>
      <c r="AI1019" t="n">
        <v>8</v>
      </c>
      <c r="AJ1019" t="n">
        <v>15</v>
      </c>
      <c r="AK1019" t="n">
        <v>19</v>
      </c>
      <c r="AL1019" t="n">
        <v>7</v>
      </c>
      <c r="AM1019" t="n">
        <v>7</v>
      </c>
      <c r="AN1019" t="n">
        <v>0</v>
      </c>
      <c r="AO1019" t="n">
        <v>0</v>
      </c>
      <c r="AP1019" t="inlineStr">
        <is>
          <t>No</t>
        </is>
      </c>
      <c r="AQ1019" t="inlineStr">
        <is>
          <t>Yes</t>
        </is>
      </c>
      <c r="AR1019">
        <f>HYPERLINK("http://catalog.hathitrust.org/Record/000362858","HathiTrust Record")</f>
        <v/>
      </c>
      <c r="AS1019">
        <f>HYPERLINK("https://creighton-primo.hosted.exlibrisgroup.com/primo-explore/search?tab=default_tab&amp;search_scope=EVERYTHING&amp;vid=01CRU&amp;lang=en_US&amp;offset=0&amp;query=any,contains,991002751959702656","Catalog Record")</f>
        <v/>
      </c>
      <c r="AT1019">
        <f>HYPERLINK("http://www.worldcat.org/oclc/425069","WorldCat Record")</f>
        <v/>
      </c>
      <c r="AU1019" t="inlineStr">
        <is>
          <t>1516806:eng</t>
        </is>
      </c>
      <c r="AV1019" t="inlineStr">
        <is>
          <t>425069</t>
        </is>
      </c>
      <c r="AW1019" t="inlineStr">
        <is>
          <t>991002751959702656</t>
        </is>
      </c>
      <c r="AX1019" t="inlineStr">
        <is>
          <t>991002751959702656</t>
        </is>
      </c>
      <c r="AY1019" t="inlineStr">
        <is>
          <t>2267905440002656</t>
        </is>
      </c>
      <c r="AZ1019" t="inlineStr">
        <is>
          <t>BOOK</t>
        </is>
      </c>
      <c r="BC1019" t="inlineStr">
        <is>
          <t>32285002616638</t>
        </is>
      </c>
      <c r="BD1019" t="inlineStr">
        <is>
          <t>893698215</t>
        </is>
      </c>
    </row>
    <row r="1020">
      <c r="A1020" t="inlineStr">
        <is>
          <t>No</t>
        </is>
      </c>
      <c r="B1020" t="inlineStr">
        <is>
          <t>E301 .M16</t>
        </is>
      </c>
      <c r="C1020" t="inlineStr">
        <is>
          <t>0                      E  0301000M  16</t>
        </is>
      </c>
      <c r="D1020" t="inlineStr">
        <is>
          <t>A history of the people of the United States : from the Revolution to the Civil War / by John Bach McMaster ...</t>
        </is>
      </c>
      <c r="E1020" t="inlineStr">
        <is>
          <t>V.4</t>
        </is>
      </c>
      <c r="F1020" t="inlineStr">
        <is>
          <t>Yes</t>
        </is>
      </c>
      <c r="G1020" t="inlineStr">
        <is>
          <t>1</t>
        </is>
      </c>
      <c r="H1020" t="inlineStr">
        <is>
          <t>No</t>
        </is>
      </c>
      <c r="I1020" t="inlineStr">
        <is>
          <t>No</t>
        </is>
      </c>
      <c r="J1020" t="inlineStr">
        <is>
          <t>0</t>
        </is>
      </c>
      <c r="K1020" t="inlineStr">
        <is>
          <t>McMaster, John Bach, 1852-1932.</t>
        </is>
      </c>
      <c r="L1020" t="inlineStr">
        <is>
          <t>New York : D. Appleton and Company, 1883-1913.</t>
        </is>
      </c>
      <c r="M1020" t="inlineStr">
        <is>
          <t>1883</t>
        </is>
      </c>
      <c r="O1020" t="inlineStr">
        <is>
          <t>eng</t>
        </is>
      </c>
      <c r="P1020" t="inlineStr">
        <is>
          <t>nyu</t>
        </is>
      </c>
      <c r="R1020" t="inlineStr">
        <is>
          <t xml:space="preserve">E  </t>
        </is>
      </c>
      <c r="S1020" t="n">
        <v>2</v>
      </c>
      <c r="T1020" t="n">
        <v>10</v>
      </c>
      <c r="V1020" t="inlineStr">
        <is>
          <t>1999-12-03</t>
        </is>
      </c>
      <c r="W1020" t="inlineStr">
        <is>
          <t>1996-08-19</t>
        </is>
      </c>
      <c r="X1020" t="inlineStr">
        <is>
          <t>1996-08-19</t>
        </is>
      </c>
      <c r="Y1020" t="n">
        <v>608</v>
      </c>
      <c r="Z1020" t="n">
        <v>583</v>
      </c>
      <c r="AA1020" t="n">
        <v>1062</v>
      </c>
      <c r="AB1020" t="n">
        <v>10</v>
      </c>
      <c r="AC1020" t="n">
        <v>14</v>
      </c>
      <c r="AD1020" t="n">
        <v>35</v>
      </c>
      <c r="AE1020" t="n">
        <v>62</v>
      </c>
      <c r="AF1020" t="n">
        <v>12</v>
      </c>
      <c r="AG1020" t="n">
        <v>21</v>
      </c>
      <c r="AH1020" t="n">
        <v>6</v>
      </c>
      <c r="AI1020" t="n">
        <v>8</v>
      </c>
      <c r="AJ1020" t="n">
        <v>18</v>
      </c>
      <c r="AK1020" t="n">
        <v>25</v>
      </c>
      <c r="AL1020" t="n">
        <v>9</v>
      </c>
      <c r="AM1020" t="n">
        <v>12</v>
      </c>
      <c r="AN1020" t="n">
        <v>0</v>
      </c>
      <c r="AO1020" t="n">
        <v>9</v>
      </c>
      <c r="AP1020" t="inlineStr">
        <is>
          <t>Yes</t>
        </is>
      </c>
      <c r="AQ1020" t="inlineStr">
        <is>
          <t>No</t>
        </is>
      </c>
      <c r="AR1020">
        <f>HYPERLINK("http://catalog.hathitrust.org/Record/000601282","HathiTrust Record")</f>
        <v/>
      </c>
      <c r="AS1020">
        <f>HYPERLINK("https://creighton-primo.hosted.exlibrisgroup.com/primo-explore/search?tab=default_tab&amp;search_scope=EVERYTHING&amp;vid=01CRU&amp;lang=en_US&amp;offset=0&amp;query=any,contains,991004389809702656","Catalog Record")</f>
        <v/>
      </c>
      <c r="AT1020">
        <f>HYPERLINK("http://www.worldcat.org/oclc/3257865","WorldCat Record")</f>
        <v/>
      </c>
      <c r="AU1020" t="inlineStr">
        <is>
          <t>3772391629:eng</t>
        </is>
      </c>
      <c r="AV1020" t="inlineStr">
        <is>
          <t>3257865</t>
        </is>
      </c>
      <c r="AW1020" t="inlineStr">
        <is>
          <t>991004389809702656</t>
        </is>
      </c>
      <c r="AX1020" t="inlineStr">
        <is>
          <t>991004389809702656</t>
        </is>
      </c>
      <c r="AY1020" t="inlineStr">
        <is>
          <t>2269878350002656</t>
        </is>
      </c>
      <c r="AZ1020" t="inlineStr">
        <is>
          <t>BOOK</t>
        </is>
      </c>
      <c r="BC1020" t="inlineStr">
        <is>
          <t>32285002281664</t>
        </is>
      </c>
      <c r="BD1020" t="inlineStr">
        <is>
          <t>893229303</t>
        </is>
      </c>
    </row>
    <row r="1021">
      <c r="A1021" t="inlineStr">
        <is>
          <t>No</t>
        </is>
      </c>
      <c r="B1021" t="inlineStr">
        <is>
          <t>E301 .M16</t>
        </is>
      </c>
      <c r="C1021" t="inlineStr">
        <is>
          <t>0                      E  0301000M  16</t>
        </is>
      </c>
      <c r="D1021" t="inlineStr">
        <is>
          <t>A history of the people of the United States : from the Revolution to the Civil War / by John Bach McMaster ...</t>
        </is>
      </c>
      <c r="E1021" t="inlineStr">
        <is>
          <t>V.7</t>
        </is>
      </c>
      <c r="F1021" t="inlineStr">
        <is>
          <t>Yes</t>
        </is>
      </c>
      <c r="G1021" t="inlineStr">
        <is>
          <t>1</t>
        </is>
      </c>
      <c r="H1021" t="inlineStr">
        <is>
          <t>No</t>
        </is>
      </c>
      <c r="I1021" t="inlineStr">
        <is>
          <t>No</t>
        </is>
      </c>
      <c r="J1021" t="inlineStr">
        <is>
          <t>0</t>
        </is>
      </c>
      <c r="K1021" t="inlineStr">
        <is>
          <t>McMaster, John Bach, 1852-1932.</t>
        </is>
      </c>
      <c r="L1021" t="inlineStr">
        <is>
          <t>New York : D. Appleton and Company, 1883-1913.</t>
        </is>
      </c>
      <c r="M1021" t="inlineStr">
        <is>
          <t>1883</t>
        </is>
      </c>
      <c r="O1021" t="inlineStr">
        <is>
          <t>eng</t>
        </is>
      </c>
      <c r="P1021" t="inlineStr">
        <is>
          <t>nyu</t>
        </is>
      </c>
      <c r="R1021" t="inlineStr">
        <is>
          <t xml:space="preserve">E  </t>
        </is>
      </c>
      <c r="S1021" t="n">
        <v>0</v>
      </c>
      <c r="T1021" t="n">
        <v>10</v>
      </c>
      <c r="V1021" t="inlineStr">
        <is>
          <t>1999-12-03</t>
        </is>
      </c>
      <c r="W1021" t="inlineStr">
        <is>
          <t>1996-08-19</t>
        </is>
      </c>
      <c r="X1021" t="inlineStr">
        <is>
          <t>1996-08-19</t>
        </is>
      </c>
      <c r="Y1021" t="n">
        <v>608</v>
      </c>
      <c r="Z1021" t="n">
        <v>583</v>
      </c>
      <c r="AA1021" t="n">
        <v>1062</v>
      </c>
      <c r="AB1021" t="n">
        <v>10</v>
      </c>
      <c r="AC1021" t="n">
        <v>14</v>
      </c>
      <c r="AD1021" t="n">
        <v>35</v>
      </c>
      <c r="AE1021" t="n">
        <v>62</v>
      </c>
      <c r="AF1021" t="n">
        <v>12</v>
      </c>
      <c r="AG1021" t="n">
        <v>21</v>
      </c>
      <c r="AH1021" t="n">
        <v>6</v>
      </c>
      <c r="AI1021" t="n">
        <v>8</v>
      </c>
      <c r="AJ1021" t="n">
        <v>18</v>
      </c>
      <c r="AK1021" t="n">
        <v>25</v>
      </c>
      <c r="AL1021" t="n">
        <v>9</v>
      </c>
      <c r="AM1021" t="n">
        <v>12</v>
      </c>
      <c r="AN1021" t="n">
        <v>0</v>
      </c>
      <c r="AO1021" t="n">
        <v>9</v>
      </c>
      <c r="AP1021" t="inlineStr">
        <is>
          <t>Yes</t>
        </is>
      </c>
      <c r="AQ1021" t="inlineStr">
        <is>
          <t>No</t>
        </is>
      </c>
      <c r="AR1021">
        <f>HYPERLINK("http://catalog.hathitrust.org/Record/000601282","HathiTrust Record")</f>
        <v/>
      </c>
      <c r="AS1021">
        <f>HYPERLINK("https://creighton-primo.hosted.exlibrisgroup.com/primo-explore/search?tab=default_tab&amp;search_scope=EVERYTHING&amp;vid=01CRU&amp;lang=en_US&amp;offset=0&amp;query=any,contains,991004389809702656","Catalog Record")</f>
        <v/>
      </c>
      <c r="AT1021">
        <f>HYPERLINK("http://www.worldcat.org/oclc/3257865","WorldCat Record")</f>
        <v/>
      </c>
      <c r="AU1021" t="inlineStr">
        <is>
          <t>3772391629:eng</t>
        </is>
      </c>
      <c r="AV1021" t="inlineStr">
        <is>
          <t>3257865</t>
        </is>
      </c>
      <c r="AW1021" t="inlineStr">
        <is>
          <t>991004389809702656</t>
        </is>
      </c>
      <c r="AX1021" t="inlineStr">
        <is>
          <t>991004389809702656</t>
        </is>
      </c>
      <c r="AY1021" t="inlineStr">
        <is>
          <t>2269878350002656</t>
        </is>
      </c>
      <c r="AZ1021" t="inlineStr">
        <is>
          <t>BOOK</t>
        </is>
      </c>
      <c r="BC1021" t="inlineStr">
        <is>
          <t>32285002281698</t>
        </is>
      </c>
      <c r="BD1021" t="inlineStr">
        <is>
          <t>893241363</t>
        </is>
      </c>
    </row>
    <row r="1022">
      <c r="A1022" t="inlineStr">
        <is>
          <t>No</t>
        </is>
      </c>
      <c r="B1022" t="inlineStr">
        <is>
          <t>E301 .M16</t>
        </is>
      </c>
      <c r="C1022" t="inlineStr">
        <is>
          <t>0                      E  0301000M  16</t>
        </is>
      </c>
      <c r="D1022" t="inlineStr">
        <is>
          <t>A history of the people of the United States : from the Revolution to the Civil War / by John Bach McMaster ...</t>
        </is>
      </c>
      <c r="E1022" t="inlineStr">
        <is>
          <t>V.3</t>
        </is>
      </c>
      <c r="F1022" t="inlineStr">
        <is>
          <t>Yes</t>
        </is>
      </c>
      <c r="G1022" t="inlineStr">
        <is>
          <t>1</t>
        </is>
      </c>
      <c r="H1022" t="inlineStr">
        <is>
          <t>No</t>
        </is>
      </c>
      <c r="I1022" t="inlineStr">
        <is>
          <t>No</t>
        </is>
      </c>
      <c r="J1022" t="inlineStr">
        <is>
          <t>0</t>
        </is>
      </c>
      <c r="K1022" t="inlineStr">
        <is>
          <t>McMaster, John Bach, 1852-1932.</t>
        </is>
      </c>
      <c r="L1022" t="inlineStr">
        <is>
          <t>New York : D. Appleton and Company, 1883-1913.</t>
        </is>
      </c>
      <c r="M1022" t="inlineStr">
        <is>
          <t>1883</t>
        </is>
      </c>
      <c r="O1022" t="inlineStr">
        <is>
          <t>eng</t>
        </is>
      </c>
      <c r="P1022" t="inlineStr">
        <is>
          <t>nyu</t>
        </is>
      </c>
      <c r="R1022" t="inlineStr">
        <is>
          <t xml:space="preserve">E  </t>
        </is>
      </c>
      <c r="S1022" t="n">
        <v>2</v>
      </c>
      <c r="T1022" t="n">
        <v>10</v>
      </c>
      <c r="V1022" t="inlineStr">
        <is>
          <t>1999-12-03</t>
        </is>
      </c>
      <c r="W1022" t="inlineStr">
        <is>
          <t>1996-08-19</t>
        </is>
      </c>
      <c r="X1022" t="inlineStr">
        <is>
          <t>1996-08-19</t>
        </is>
      </c>
      <c r="Y1022" t="n">
        <v>608</v>
      </c>
      <c r="Z1022" t="n">
        <v>583</v>
      </c>
      <c r="AA1022" t="n">
        <v>1062</v>
      </c>
      <c r="AB1022" t="n">
        <v>10</v>
      </c>
      <c r="AC1022" t="n">
        <v>14</v>
      </c>
      <c r="AD1022" t="n">
        <v>35</v>
      </c>
      <c r="AE1022" t="n">
        <v>62</v>
      </c>
      <c r="AF1022" t="n">
        <v>12</v>
      </c>
      <c r="AG1022" t="n">
        <v>21</v>
      </c>
      <c r="AH1022" t="n">
        <v>6</v>
      </c>
      <c r="AI1022" t="n">
        <v>8</v>
      </c>
      <c r="AJ1022" t="n">
        <v>18</v>
      </c>
      <c r="AK1022" t="n">
        <v>25</v>
      </c>
      <c r="AL1022" t="n">
        <v>9</v>
      </c>
      <c r="AM1022" t="n">
        <v>12</v>
      </c>
      <c r="AN1022" t="n">
        <v>0</v>
      </c>
      <c r="AO1022" t="n">
        <v>9</v>
      </c>
      <c r="AP1022" t="inlineStr">
        <is>
          <t>Yes</t>
        </is>
      </c>
      <c r="AQ1022" t="inlineStr">
        <is>
          <t>No</t>
        </is>
      </c>
      <c r="AR1022">
        <f>HYPERLINK("http://catalog.hathitrust.org/Record/000601282","HathiTrust Record")</f>
        <v/>
      </c>
      <c r="AS1022">
        <f>HYPERLINK("https://creighton-primo.hosted.exlibrisgroup.com/primo-explore/search?tab=default_tab&amp;search_scope=EVERYTHING&amp;vid=01CRU&amp;lang=en_US&amp;offset=0&amp;query=any,contains,991004389809702656","Catalog Record")</f>
        <v/>
      </c>
      <c r="AT1022">
        <f>HYPERLINK("http://www.worldcat.org/oclc/3257865","WorldCat Record")</f>
        <v/>
      </c>
      <c r="AU1022" t="inlineStr">
        <is>
          <t>3772391629:eng</t>
        </is>
      </c>
      <c r="AV1022" t="inlineStr">
        <is>
          <t>3257865</t>
        </is>
      </c>
      <c r="AW1022" t="inlineStr">
        <is>
          <t>991004389809702656</t>
        </is>
      </c>
      <c r="AX1022" t="inlineStr">
        <is>
          <t>991004389809702656</t>
        </is>
      </c>
      <c r="AY1022" t="inlineStr">
        <is>
          <t>2269878350002656</t>
        </is>
      </c>
      <c r="AZ1022" t="inlineStr">
        <is>
          <t>BOOK</t>
        </is>
      </c>
      <c r="BC1022" t="inlineStr">
        <is>
          <t>32285002281656</t>
        </is>
      </c>
      <c r="BD1022" t="inlineStr">
        <is>
          <t>893235434</t>
        </is>
      </c>
    </row>
    <row r="1023">
      <c r="A1023" t="inlineStr">
        <is>
          <t>No</t>
        </is>
      </c>
      <c r="B1023" t="inlineStr">
        <is>
          <t>E301 .M16</t>
        </is>
      </c>
      <c r="C1023" t="inlineStr">
        <is>
          <t>0                      E  0301000M  16</t>
        </is>
      </c>
      <c r="D1023" t="inlineStr">
        <is>
          <t>A history of the people of the United States : from the Revolution to the Civil War / by John Bach McMaster ...</t>
        </is>
      </c>
      <c r="E1023" t="inlineStr">
        <is>
          <t>V.6</t>
        </is>
      </c>
      <c r="F1023" t="inlineStr">
        <is>
          <t>Yes</t>
        </is>
      </c>
      <c r="G1023" t="inlineStr">
        <is>
          <t>1</t>
        </is>
      </c>
      <c r="H1023" t="inlineStr">
        <is>
          <t>No</t>
        </is>
      </c>
      <c r="I1023" t="inlineStr">
        <is>
          <t>No</t>
        </is>
      </c>
      <c r="J1023" t="inlineStr">
        <is>
          <t>0</t>
        </is>
      </c>
      <c r="K1023" t="inlineStr">
        <is>
          <t>McMaster, John Bach, 1852-1932.</t>
        </is>
      </c>
      <c r="L1023" t="inlineStr">
        <is>
          <t>New York : D. Appleton and Company, 1883-1913.</t>
        </is>
      </c>
      <c r="M1023" t="inlineStr">
        <is>
          <t>1883</t>
        </is>
      </c>
      <c r="O1023" t="inlineStr">
        <is>
          <t>eng</t>
        </is>
      </c>
      <c r="P1023" t="inlineStr">
        <is>
          <t>nyu</t>
        </is>
      </c>
      <c r="R1023" t="inlineStr">
        <is>
          <t xml:space="preserve">E  </t>
        </is>
      </c>
      <c r="S1023" t="n">
        <v>0</v>
      </c>
      <c r="T1023" t="n">
        <v>10</v>
      </c>
      <c r="V1023" t="inlineStr">
        <is>
          <t>1999-12-03</t>
        </is>
      </c>
      <c r="W1023" t="inlineStr">
        <is>
          <t>1996-08-19</t>
        </is>
      </c>
      <c r="X1023" t="inlineStr">
        <is>
          <t>1996-08-19</t>
        </is>
      </c>
      <c r="Y1023" t="n">
        <v>608</v>
      </c>
      <c r="Z1023" t="n">
        <v>583</v>
      </c>
      <c r="AA1023" t="n">
        <v>1062</v>
      </c>
      <c r="AB1023" t="n">
        <v>10</v>
      </c>
      <c r="AC1023" t="n">
        <v>14</v>
      </c>
      <c r="AD1023" t="n">
        <v>35</v>
      </c>
      <c r="AE1023" t="n">
        <v>62</v>
      </c>
      <c r="AF1023" t="n">
        <v>12</v>
      </c>
      <c r="AG1023" t="n">
        <v>21</v>
      </c>
      <c r="AH1023" t="n">
        <v>6</v>
      </c>
      <c r="AI1023" t="n">
        <v>8</v>
      </c>
      <c r="AJ1023" t="n">
        <v>18</v>
      </c>
      <c r="AK1023" t="n">
        <v>25</v>
      </c>
      <c r="AL1023" t="n">
        <v>9</v>
      </c>
      <c r="AM1023" t="n">
        <v>12</v>
      </c>
      <c r="AN1023" t="n">
        <v>0</v>
      </c>
      <c r="AO1023" t="n">
        <v>9</v>
      </c>
      <c r="AP1023" t="inlineStr">
        <is>
          <t>Yes</t>
        </is>
      </c>
      <c r="AQ1023" t="inlineStr">
        <is>
          <t>No</t>
        </is>
      </c>
      <c r="AR1023">
        <f>HYPERLINK("http://catalog.hathitrust.org/Record/000601282","HathiTrust Record")</f>
        <v/>
      </c>
      <c r="AS1023">
        <f>HYPERLINK("https://creighton-primo.hosted.exlibrisgroup.com/primo-explore/search?tab=default_tab&amp;search_scope=EVERYTHING&amp;vid=01CRU&amp;lang=en_US&amp;offset=0&amp;query=any,contains,991004389809702656","Catalog Record")</f>
        <v/>
      </c>
      <c r="AT1023">
        <f>HYPERLINK("http://www.worldcat.org/oclc/3257865","WorldCat Record")</f>
        <v/>
      </c>
      <c r="AU1023" t="inlineStr">
        <is>
          <t>3772391629:eng</t>
        </is>
      </c>
      <c r="AV1023" t="inlineStr">
        <is>
          <t>3257865</t>
        </is>
      </c>
      <c r="AW1023" t="inlineStr">
        <is>
          <t>991004389809702656</t>
        </is>
      </c>
      <c r="AX1023" t="inlineStr">
        <is>
          <t>991004389809702656</t>
        </is>
      </c>
      <c r="AY1023" t="inlineStr">
        <is>
          <t>2269878350002656</t>
        </is>
      </c>
      <c r="AZ1023" t="inlineStr">
        <is>
          <t>BOOK</t>
        </is>
      </c>
      <c r="BC1023" t="inlineStr">
        <is>
          <t>32285002281680</t>
        </is>
      </c>
      <c r="BD1023" t="inlineStr">
        <is>
          <t>893253634</t>
        </is>
      </c>
    </row>
    <row r="1024">
      <c r="A1024" t="inlineStr">
        <is>
          <t>No</t>
        </is>
      </c>
      <c r="B1024" t="inlineStr">
        <is>
          <t>E301 .M16</t>
        </is>
      </c>
      <c r="C1024" t="inlineStr">
        <is>
          <t>0                      E  0301000M  16</t>
        </is>
      </c>
      <c r="D1024" t="inlineStr">
        <is>
          <t>A history of the people of the United States : from the Revolution to the Civil War / by John Bach McMaster ...</t>
        </is>
      </c>
      <c r="E1024" t="inlineStr">
        <is>
          <t>V.8</t>
        </is>
      </c>
      <c r="F1024" t="inlineStr">
        <is>
          <t>Yes</t>
        </is>
      </c>
      <c r="G1024" t="inlineStr">
        <is>
          <t>1</t>
        </is>
      </c>
      <c r="H1024" t="inlineStr">
        <is>
          <t>No</t>
        </is>
      </c>
      <c r="I1024" t="inlineStr">
        <is>
          <t>No</t>
        </is>
      </c>
      <c r="J1024" t="inlineStr">
        <is>
          <t>0</t>
        </is>
      </c>
      <c r="K1024" t="inlineStr">
        <is>
          <t>McMaster, John Bach, 1852-1932.</t>
        </is>
      </c>
      <c r="L1024" t="inlineStr">
        <is>
          <t>New York : D. Appleton and Company, 1883-1913.</t>
        </is>
      </c>
      <c r="M1024" t="inlineStr">
        <is>
          <t>1883</t>
        </is>
      </c>
      <c r="O1024" t="inlineStr">
        <is>
          <t>eng</t>
        </is>
      </c>
      <c r="P1024" t="inlineStr">
        <is>
          <t>nyu</t>
        </is>
      </c>
      <c r="R1024" t="inlineStr">
        <is>
          <t xml:space="preserve">E  </t>
        </is>
      </c>
      <c r="S1024" t="n">
        <v>0</v>
      </c>
      <c r="T1024" t="n">
        <v>10</v>
      </c>
      <c r="V1024" t="inlineStr">
        <is>
          <t>1999-12-03</t>
        </is>
      </c>
      <c r="W1024" t="inlineStr">
        <is>
          <t>1996-08-19</t>
        </is>
      </c>
      <c r="X1024" t="inlineStr">
        <is>
          <t>1996-08-19</t>
        </is>
      </c>
      <c r="Y1024" t="n">
        <v>608</v>
      </c>
      <c r="Z1024" t="n">
        <v>583</v>
      </c>
      <c r="AA1024" t="n">
        <v>1062</v>
      </c>
      <c r="AB1024" t="n">
        <v>10</v>
      </c>
      <c r="AC1024" t="n">
        <v>14</v>
      </c>
      <c r="AD1024" t="n">
        <v>35</v>
      </c>
      <c r="AE1024" t="n">
        <v>62</v>
      </c>
      <c r="AF1024" t="n">
        <v>12</v>
      </c>
      <c r="AG1024" t="n">
        <v>21</v>
      </c>
      <c r="AH1024" t="n">
        <v>6</v>
      </c>
      <c r="AI1024" t="n">
        <v>8</v>
      </c>
      <c r="AJ1024" t="n">
        <v>18</v>
      </c>
      <c r="AK1024" t="n">
        <v>25</v>
      </c>
      <c r="AL1024" t="n">
        <v>9</v>
      </c>
      <c r="AM1024" t="n">
        <v>12</v>
      </c>
      <c r="AN1024" t="n">
        <v>0</v>
      </c>
      <c r="AO1024" t="n">
        <v>9</v>
      </c>
      <c r="AP1024" t="inlineStr">
        <is>
          <t>Yes</t>
        </is>
      </c>
      <c r="AQ1024" t="inlineStr">
        <is>
          <t>No</t>
        </is>
      </c>
      <c r="AR1024">
        <f>HYPERLINK("http://catalog.hathitrust.org/Record/000601282","HathiTrust Record")</f>
        <v/>
      </c>
      <c r="AS1024">
        <f>HYPERLINK("https://creighton-primo.hosted.exlibrisgroup.com/primo-explore/search?tab=default_tab&amp;search_scope=EVERYTHING&amp;vid=01CRU&amp;lang=en_US&amp;offset=0&amp;query=any,contains,991004389809702656","Catalog Record")</f>
        <v/>
      </c>
      <c r="AT1024">
        <f>HYPERLINK("http://www.worldcat.org/oclc/3257865","WorldCat Record")</f>
        <v/>
      </c>
      <c r="AU1024" t="inlineStr">
        <is>
          <t>3772391629:eng</t>
        </is>
      </c>
      <c r="AV1024" t="inlineStr">
        <is>
          <t>3257865</t>
        </is>
      </c>
      <c r="AW1024" t="inlineStr">
        <is>
          <t>991004389809702656</t>
        </is>
      </c>
      <c r="AX1024" t="inlineStr">
        <is>
          <t>991004389809702656</t>
        </is>
      </c>
      <c r="AY1024" t="inlineStr">
        <is>
          <t>2269878350002656</t>
        </is>
      </c>
      <c r="AZ1024" t="inlineStr">
        <is>
          <t>BOOK</t>
        </is>
      </c>
      <c r="BC1024" t="inlineStr">
        <is>
          <t>32285002281706</t>
        </is>
      </c>
      <c r="BD1024" t="inlineStr">
        <is>
          <t>893235433</t>
        </is>
      </c>
    </row>
    <row r="1025">
      <c r="A1025" t="inlineStr">
        <is>
          <t>No</t>
        </is>
      </c>
      <c r="B1025" t="inlineStr">
        <is>
          <t>E301 .M16</t>
        </is>
      </c>
      <c r="C1025" t="inlineStr">
        <is>
          <t>0                      E  0301000M  16</t>
        </is>
      </c>
      <c r="D1025" t="inlineStr">
        <is>
          <t>A history of the people of the United States : from the Revolution to the Civil War / by John Bach McMaster ...</t>
        </is>
      </c>
      <c r="E1025" t="inlineStr">
        <is>
          <t>V.1</t>
        </is>
      </c>
      <c r="F1025" t="inlineStr">
        <is>
          <t>Yes</t>
        </is>
      </c>
      <c r="G1025" t="inlineStr">
        <is>
          <t>1</t>
        </is>
      </c>
      <c r="H1025" t="inlineStr">
        <is>
          <t>No</t>
        </is>
      </c>
      <c r="I1025" t="inlineStr">
        <is>
          <t>No</t>
        </is>
      </c>
      <c r="J1025" t="inlineStr">
        <is>
          <t>0</t>
        </is>
      </c>
      <c r="K1025" t="inlineStr">
        <is>
          <t>McMaster, John Bach, 1852-1932.</t>
        </is>
      </c>
      <c r="L1025" t="inlineStr">
        <is>
          <t>New York : D. Appleton and Company, 1883-1913.</t>
        </is>
      </c>
      <c r="M1025" t="inlineStr">
        <is>
          <t>1883</t>
        </is>
      </c>
      <c r="O1025" t="inlineStr">
        <is>
          <t>eng</t>
        </is>
      </c>
      <c r="P1025" t="inlineStr">
        <is>
          <t>nyu</t>
        </is>
      </c>
      <c r="R1025" t="inlineStr">
        <is>
          <t xml:space="preserve">E  </t>
        </is>
      </c>
      <c r="S1025" t="n">
        <v>4</v>
      </c>
      <c r="T1025" t="n">
        <v>10</v>
      </c>
      <c r="U1025" t="inlineStr">
        <is>
          <t>1999-12-03</t>
        </is>
      </c>
      <c r="V1025" t="inlineStr">
        <is>
          <t>1999-12-03</t>
        </is>
      </c>
      <c r="W1025" t="inlineStr">
        <is>
          <t>1996-08-19</t>
        </is>
      </c>
      <c r="X1025" t="inlineStr">
        <is>
          <t>1996-08-19</t>
        </is>
      </c>
      <c r="Y1025" t="n">
        <v>608</v>
      </c>
      <c r="Z1025" t="n">
        <v>583</v>
      </c>
      <c r="AA1025" t="n">
        <v>1062</v>
      </c>
      <c r="AB1025" t="n">
        <v>10</v>
      </c>
      <c r="AC1025" t="n">
        <v>14</v>
      </c>
      <c r="AD1025" t="n">
        <v>35</v>
      </c>
      <c r="AE1025" t="n">
        <v>62</v>
      </c>
      <c r="AF1025" t="n">
        <v>12</v>
      </c>
      <c r="AG1025" t="n">
        <v>21</v>
      </c>
      <c r="AH1025" t="n">
        <v>6</v>
      </c>
      <c r="AI1025" t="n">
        <v>8</v>
      </c>
      <c r="AJ1025" t="n">
        <v>18</v>
      </c>
      <c r="AK1025" t="n">
        <v>25</v>
      </c>
      <c r="AL1025" t="n">
        <v>9</v>
      </c>
      <c r="AM1025" t="n">
        <v>12</v>
      </c>
      <c r="AN1025" t="n">
        <v>0</v>
      </c>
      <c r="AO1025" t="n">
        <v>9</v>
      </c>
      <c r="AP1025" t="inlineStr">
        <is>
          <t>Yes</t>
        </is>
      </c>
      <c r="AQ1025" t="inlineStr">
        <is>
          <t>No</t>
        </is>
      </c>
      <c r="AR1025">
        <f>HYPERLINK("http://catalog.hathitrust.org/Record/000601282","HathiTrust Record")</f>
        <v/>
      </c>
      <c r="AS1025">
        <f>HYPERLINK("https://creighton-primo.hosted.exlibrisgroup.com/primo-explore/search?tab=default_tab&amp;search_scope=EVERYTHING&amp;vid=01CRU&amp;lang=en_US&amp;offset=0&amp;query=any,contains,991004389809702656","Catalog Record")</f>
        <v/>
      </c>
      <c r="AT1025">
        <f>HYPERLINK("http://www.worldcat.org/oclc/3257865","WorldCat Record")</f>
        <v/>
      </c>
      <c r="AU1025" t="inlineStr">
        <is>
          <t>3772391629:eng</t>
        </is>
      </c>
      <c r="AV1025" t="inlineStr">
        <is>
          <t>3257865</t>
        </is>
      </c>
      <c r="AW1025" t="inlineStr">
        <is>
          <t>991004389809702656</t>
        </is>
      </c>
      <c r="AX1025" t="inlineStr">
        <is>
          <t>991004389809702656</t>
        </is>
      </c>
      <c r="AY1025" t="inlineStr">
        <is>
          <t>2269878350002656</t>
        </is>
      </c>
      <c r="AZ1025" t="inlineStr">
        <is>
          <t>BOOK</t>
        </is>
      </c>
      <c r="BC1025" t="inlineStr">
        <is>
          <t>32285002281649</t>
        </is>
      </c>
      <c r="BD1025" t="inlineStr">
        <is>
          <t>893235436</t>
        </is>
      </c>
    </row>
    <row r="1026">
      <c r="A1026" t="inlineStr">
        <is>
          <t>No</t>
        </is>
      </c>
      <c r="B1026" t="inlineStr">
        <is>
          <t>E301 .M16</t>
        </is>
      </c>
      <c r="C1026" t="inlineStr">
        <is>
          <t>0                      E  0301000M  16</t>
        </is>
      </c>
      <c r="D1026" t="inlineStr">
        <is>
          <t>A history of the people of the United States : from the Revolution to the Civil War / by John Bach McMaster ...</t>
        </is>
      </c>
      <c r="E1026" t="inlineStr">
        <is>
          <t>V.5</t>
        </is>
      </c>
      <c r="F1026" t="inlineStr">
        <is>
          <t>Yes</t>
        </is>
      </c>
      <c r="G1026" t="inlineStr">
        <is>
          <t>1</t>
        </is>
      </c>
      <c r="H1026" t="inlineStr">
        <is>
          <t>No</t>
        </is>
      </c>
      <c r="I1026" t="inlineStr">
        <is>
          <t>No</t>
        </is>
      </c>
      <c r="J1026" t="inlineStr">
        <is>
          <t>0</t>
        </is>
      </c>
      <c r="K1026" t="inlineStr">
        <is>
          <t>McMaster, John Bach, 1852-1932.</t>
        </is>
      </c>
      <c r="L1026" t="inlineStr">
        <is>
          <t>New York : D. Appleton and Company, 1883-1913.</t>
        </is>
      </c>
      <c r="M1026" t="inlineStr">
        <is>
          <t>1883</t>
        </is>
      </c>
      <c r="O1026" t="inlineStr">
        <is>
          <t>eng</t>
        </is>
      </c>
      <c r="P1026" t="inlineStr">
        <is>
          <t>nyu</t>
        </is>
      </c>
      <c r="R1026" t="inlineStr">
        <is>
          <t xml:space="preserve">E  </t>
        </is>
      </c>
      <c r="S1026" t="n">
        <v>2</v>
      </c>
      <c r="T1026" t="n">
        <v>10</v>
      </c>
      <c r="V1026" t="inlineStr">
        <is>
          <t>1999-12-03</t>
        </is>
      </c>
      <c r="W1026" t="inlineStr">
        <is>
          <t>1996-08-19</t>
        </is>
      </c>
      <c r="X1026" t="inlineStr">
        <is>
          <t>1996-08-19</t>
        </is>
      </c>
      <c r="Y1026" t="n">
        <v>608</v>
      </c>
      <c r="Z1026" t="n">
        <v>583</v>
      </c>
      <c r="AA1026" t="n">
        <v>1062</v>
      </c>
      <c r="AB1026" t="n">
        <v>10</v>
      </c>
      <c r="AC1026" t="n">
        <v>14</v>
      </c>
      <c r="AD1026" t="n">
        <v>35</v>
      </c>
      <c r="AE1026" t="n">
        <v>62</v>
      </c>
      <c r="AF1026" t="n">
        <v>12</v>
      </c>
      <c r="AG1026" t="n">
        <v>21</v>
      </c>
      <c r="AH1026" t="n">
        <v>6</v>
      </c>
      <c r="AI1026" t="n">
        <v>8</v>
      </c>
      <c r="AJ1026" t="n">
        <v>18</v>
      </c>
      <c r="AK1026" t="n">
        <v>25</v>
      </c>
      <c r="AL1026" t="n">
        <v>9</v>
      </c>
      <c r="AM1026" t="n">
        <v>12</v>
      </c>
      <c r="AN1026" t="n">
        <v>0</v>
      </c>
      <c r="AO1026" t="n">
        <v>9</v>
      </c>
      <c r="AP1026" t="inlineStr">
        <is>
          <t>Yes</t>
        </is>
      </c>
      <c r="AQ1026" t="inlineStr">
        <is>
          <t>No</t>
        </is>
      </c>
      <c r="AR1026">
        <f>HYPERLINK("http://catalog.hathitrust.org/Record/000601282","HathiTrust Record")</f>
        <v/>
      </c>
      <c r="AS1026">
        <f>HYPERLINK("https://creighton-primo.hosted.exlibrisgroup.com/primo-explore/search?tab=default_tab&amp;search_scope=EVERYTHING&amp;vid=01CRU&amp;lang=en_US&amp;offset=0&amp;query=any,contains,991004389809702656","Catalog Record")</f>
        <v/>
      </c>
      <c r="AT1026">
        <f>HYPERLINK("http://www.worldcat.org/oclc/3257865","WorldCat Record")</f>
        <v/>
      </c>
      <c r="AU1026" t="inlineStr">
        <is>
          <t>3772391629:eng</t>
        </is>
      </c>
      <c r="AV1026" t="inlineStr">
        <is>
          <t>3257865</t>
        </is>
      </c>
      <c r="AW1026" t="inlineStr">
        <is>
          <t>991004389809702656</t>
        </is>
      </c>
      <c r="AX1026" t="inlineStr">
        <is>
          <t>991004389809702656</t>
        </is>
      </c>
      <c r="AY1026" t="inlineStr">
        <is>
          <t>2269878350002656</t>
        </is>
      </c>
      <c r="AZ1026" t="inlineStr">
        <is>
          <t>BOOK</t>
        </is>
      </c>
      <c r="BC1026" t="inlineStr">
        <is>
          <t>32285002281672</t>
        </is>
      </c>
      <c r="BD1026" t="inlineStr">
        <is>
          <t>893235435</t>
        </is>
      </c>
    </row>
    <row r="1027">
      <c r="A1027" t="inlineStr">
        <is>
          <t>No</t>
        </is>
      </c>
      <c r="B1027" t="inlineStr">
        <is>
          <t>E301 .R8 1968</t>
        </is>
      </c>
      <c r="C1027" t="inlineStr">
        <is>
          <t>0                      E  0301000R  8           1968</t>
        </is>
      </c>
      <c r="D1027" t="inlineStr">
        <is>
          <t>The American heritage history of the making of the Nation / by the editors of American heritage. Editor in charge: Ralph K. Andrist. Narrative: Francis Russell. Pictorial commentary: Rex Lardner.</t>
        </is>
      </c>
      <c r="F1027" t="inlineStr">
        <is>
          <t>No</t>
        </is>
      </c>
      <c r="G1027" t="inlineStr">
        <is>
          <t>1</t>
        </is>
      </c>
      <c r="H1027" t="inlineStr">
        <is>
          <t>No</t>
        </is>
      </c>
      <c r="I1027" t="inlineStr">
        <is>
          <t>No</t>
        </is>
      </c>
      <c r="J1027" t="inlineStr">
        <is>
          <t>0</t>
        </is>
      </c>
      <c r="K1027" t="inlineStr">
        <is>
          <t>Russell, Francis, 1910-1989.</t>
        </is>
      </c>
      <c r="L1027" t="inlineStr">
        <is>
          <t>[New York] : American Heritage Pub. Co.; book trade distribution by Simon and Schuster, [1968]</t>
        </is>
      </c>
      <c r="M1027" t="inlineStr">
        <is>
          <t>1968</t>
        </is>
      </c>
      <c r="O1027" t="inlineStr">
        <is>
          <t>eng</t>
        </is>
      </c>
      <c r="P1027" t="inlineStr">
        <is>
          <t>nyu</t>
        </is>
      </c>
      <c r="R1027" t="inlineStr">
        <is>
          <t xml:space="preserve">E  </t>
        </is>
      </c>
      <c r="S1027" t="n">
        <v>1</v>
      </c>
      <c r="T1027" t="n">
        <v>1</v>
      </c>
      <c r="U1027" t="inlineStr">
        <is>
          <t>1992-03-21</t>
        </is>
      </c>
      <c r="V1027" t="inlineStr">
        <is>
          <t>1992-03-21</t>
        </is>
      </c>
      <c r="W1027" t="inlineStr">
        <is>
          <t>1991-04-04</t>
        </is>
      </c>
      <c r="X1027" t="inlineStr">
        <is>
          <t>1991-04-04</t>
        </is>
      </c>
      <c r="Y1027" t="n">
        <v>1343</v>
      </c>
      <c r="Z1027" t="n">
        <v>1302</v>
      </c>
      <c r="AA1027" t="n">
        <v>1650</v>
      </c>
      <c r="AB1027" t="n">
        <v>15</v>
      </c>
      <c r="AC1027" t="n">
        <v>18</v>
      </c>
      <c r="AD1027" t="n">
        <v>30</v>
      </c>
      <c r="AE1027" t="n">
        <v>31</v>
      </c>
      <c r="AF1027" t="n">
        <v>8</v>
      </c>
      <c r="AG1027" t="n">
        <v>8</v>
      </c>
      <c r="AH1027" t="n">
        <v>5</v>
      </c>
      <c r="AI1027" t="n">
        <v>5</v>
      </c>
      <c r="AJ1027" t="n">
        <v>13</v>
      </c>
      <c r="AK1027" t="n">
        <v>13</v>
      </c>
      <c r="AL1027" t="n">
        <v>8</v>
      </c>
      <c r="AM1027" t="n">
        <v>9</v>
      </c>
      <c r="AN1027" t="n">
        <v>0</v>
      </c>
      <c r="AO1027" t="n">
        <v>0</v>
      </c>
      <c r="AP1027" t="inlineStr">
        <is>
          <t>No</t>
        </is>
      </c>
      <c r="AQ1027" t="inlineStr">
        <is>
          <t>No</t>
        </is>
      </c>
      <c r="AS1027">
        <f>HYPERLINK("https://creighton-primo.hosted.exlibrisgroup.com/primo-explore/search?tab=default_tab&amp;search_scope=EVERYTHING&amp;vid=01CRU&amp;lang=en_US&amp;offset=0&amp;query=any,contains,991002802929702656","Catalog Record")</f>
        <v/>
      </c>
      <c r="AT1027">
        <f>HYPERLINK("http://www.worldcat.org/oclc/448364","WorldCat Record")</f>
        <v/>
      </c>
      <c r="AU1027" t="inlineStr">
        <is>
          <t>1587767:eng</t>
        </is>
      </c>
      <c r="AV1027" t="inlineStr">
        <is>
          <t>448364</t>
        </is>
      </c>
      <c r="AW1027" t="inlineStr">
        <is>
          <t>991002802929702656</t>
        </is>
      </c>
      <c r="AX1027" t="inlineStr">
        <is>
          <t>991002802929702656</t>
        </is>
      </c>
      <c r="AY1027" t="inlineStr">
        <is>
          <t>2266562670002656</t>
        </is>
      </c>
      <c r="AZ1027" t="inlineStr">
        <is>
          <t>BOOK</t>
        </is>
      </c>
      <c r="BC1027" t="inlineStr">
        <is>
          <t>32285000541671</t>
        </is>
      </c>
      <c r="BD1027" t="inlineStr">
        <is>
          <t>893685804</t>
        </is>
      </c>
    </row>
    <row r="1028">
      <c r="A1028" t="inlineStr">
        <is>
          <t>No</t>
        </is>
      </c>
      <c r="B1028" t="inlineStr">
        <is>
          <t>E301 .S6 1980</t>
        </is>
      </c>
      <c r="C1028" t="inlineStr">
        <is>
          <t>0                      E  0301000S  6           1980</t>
        </is>
      </c>
      <c r="D1028" t="inlineStr">
        <is>
          <t>The shaping of America : a people's history of the young Republic / Page Smith.</t>
        </is>
      </c>
      <c r="F1028" t="inlineStr">
        <is>
          <t>No</t>
        </is>
      </c>
      <c r="G1028" t="inlineStr">
        <is>
          <t>1</t>
        </is>
      </c>
      <c r="H1028" t="inlineStr">
        <is>
          <t>No</t>
        </is>
      </c>
      <c r="I1028" t="inlineStr">
        <is>
          <t>No</t>
        </is>
      </c>
      <c r="J1028" t="inlineStr">
        <is>
          <t>0</t>
        </is>
      </c>
      <c r="K1028" t="inlineStr">
        <is>
          <t>Smith, Page.</t>
        </is>
      </c>
      <c r="L1028" t="inlineStr">
        <is>
          <t>New York : McGraw-Hill, c1980.</t>
        </is>
      </c>
      <c r="M1028" t="inlineStr">
        <is>
          <t>1980</t>
        </is>
      </c>
      <c r="O1028" t="inlineStr">
        <is>
          <t>eng</t>
        </is>
      </c>
      <c r="P1028" t="inlineStr">
        <is>
          <t>nyu</t>
        </is>
      </c>
      <c r="R1028" t="inlineStr">
        <is>
          <t xml:space="preserve">E  </t>
        </is>
      </c>
      <c r="S1028" t="n">
        <v>1</v>
      </c>
      <c r="T1028" t="n">
        <v>1</v>
      </c>
      <c r="U1028" t="inlineStr">
        <is>
          <t>1993-02-06</t>
        </is>
      </c>
      <c r="V1028" t="inlineStr">
        <is>
          <t>1993-02-06</t>
        </is>
      </c>
      <c r="W1028" t="inlineStr">
        <is>
          <t>1991-04-04</t>
        </is>
      </c>
      <c r="X1028" t="inlineStr">
        <is>
          <t>1991-04-04</t>
        </is>
      </c>
      <c r="Y1028" t="n">
        <v>1767</v>
      </c>
      <c r="Z1028" t="n">
        <v>1706</v>
      </c>
      <c r="AA1028" t="n">
        <v>1804</v>
      </c>
      <c r="AB1028" t="n">
        <v>18</v>
      </c>
      <c r="AC1028" t="n">
        <v>18</v>
      </c>
      <c r="AD1028" t="n">
        <v>40</v>
      </c>
      <c r="AE1028" t="n">
        <v>41</v>
      </c>
      <c r="AF1028" t="n">
        <v>17</v>
      </c>
      <c r="AG1028" t="n">
        <v>17</v>
      </c>
      <c r="AH1028" t="n">
        <v>6</v>
      </c>
      <c r="AI1028" t="n">
        <v>7</v>
      </c>
      <c r="AJ1028" t="n">
        <v>18</v>
      </c>
      <c r="AK1028" t="n">
        <v>19</v>
      </c>
      <c r="AL1028" t="n">
        <v>7</v>
      </c>
      <c r="AM1028" t="n">
        <v>7</v>
      </c>
      <c r="AN1028" t="n">
        <v>1</v>
      </c>
      <c r="AO1028" t="n">
        <v>1</v>
      </c>
      <c r="AP1028" t="inlineStr">
        <is>
          <t>No</t>
        </is>
      </c>
      <c r="AQ1028" t="inlineStr">
        <is>
          <t>Yes</t>
        </is>
      </c>
      <c r="AR1028">
        <f>HYPERLINK("http://catalog.hathitrust.org/Record/000033320","HathiTrust Record")</f>
        <v/>
      </c>
      <c r="AS1028">
        <f>HYPERLINK("https://creighton-primo.hosted.exlibrisgroup.com/primo-explore/search?tab=default_tab&amp;search_scope=EVERYTHING&amp;vid=01CRU&amp;lang=en_US&amp;offset=0&amp;query=any,contains,991004758319702656","Catalog Record")</f>
        <v/>
      </c>
      <c r="AT1028">
        <f>HYPERLINK("http://www.worldcat.org/oclc/4983182","WorldCat Record")</f>
        <v/>
      </c>
      <c r="AU1028" t="inlineStr">
        <is>
          <t>406489:eng</t>
        </is>
      </c>
      <c r="AV1028" t="inlineStr">
        <is>
          <t>4983182</t>
        </is>
      </c>
      <c r="AW1028" t="inlineStr">
        <is>
          <t>991004758319702656</t>
        </is>
      </c>
      <c r="AX1028" t="inlineStr">
        <is>
          <t>991004758319702656</t>
        </is>
      </c>
      <c r="AY1028" t="inlineStr">
        <is>
          <t>2265899170002656</t>
        </is>
      </c>
      <c r="AZ1028" t="inlineStr">
        <is>
          <t>BOOK</t>
        </is>
      </c>
      <c r="BB1028" t="inlineStr">
        <is>
          <t>9780070590175</t>
        </is>
      </c>
      <c r="BC1028" t="inlineStr">
        <is>
          <t>32285000541689</t>
        </is>
      </c>
      <c r="BD1028" t="inlineStr">
        <is>
          <t>893532766</t>
        </is>
      </c>
    </row>
    <row r="1029">
      <c r="A1029" t="inlineStr">
        <is>
          <t>No</t>
        </is>
      </c>
      <c r="B1029" t="inlineStr">
        <is>
          <t>E302 .J443 1984b</t>
        </is>
      </c>
      <c r="C1029" t="inlineStr">
        <is>
          <t>0                      E  0302000J  443         1984b</t>
        </is>
      </c>
      <c r="D1029" t="inlineStr">
        <is>
          <t>Jefferson, magnificent populist / Martin A. Larson [editor].</t>
        </is>
      </c>
      <c r="F1029" t="inlineStr">
        <is>
          <t>No</t>
        </is>
      </c>
      <c r="G1029" t="inlineStr">
        <is>
          <t>1</t>
        </is>
      </c>
      <c r="H1029" t="inlineStr">
        <is>
          <t>No</t>
        </is>
      </c>
      <c r="I1029" t="inlineStr">
        <is>
          <t>No</t>
        </is>
      </c>
      <c r="J1029" t="inlineStr">
        <is>
          <t>0</t>
        </is>
      </c>
      <c r="K1029" t="inlineStr">
        <is>
          <t>Jefferson, Thomas, 1743-1826.</t>
        </is>
      </c>
      <c r="L1029" t="inlineStr">
        <is>
          <t>Greenwich, Conn. : Devin-Adair, c1984.</t>
        </is>
      </c>
      <c r="M1029" t="inlineStr">
        <is>
          <t>1984</t>
        </is>
      </c>
      <c r="O1029" t="inlineStr">
        <is>
          <t>eng</t>
        </is>
      </c>
      <c r="P1029" t="inlineStr">
        <is>
          <t>ctu</t>
        </is>
      </c>
      <c r="R1029" t="inlineStr">
        <is>
          <t xml:space="preserve">E  </t>
        </is>
      </c>
      <c r="S1029" t="n">
        <v>14</v>
      </c>
      <c r="T1029" t="n">
        <v>14</v>
      </c>
      <c r="U1029" t="inlineStr">
        <is>
          <t>2002-05-05</t>
        </is>
      </c>
      <c r="V1029" t="inlineStr">
        <is>
          <t>2002-05-05</t>
        </is>
      </c>
      <c r="W1029" t="inlineStr">
        <is>
          <t>1991-04-09</t>
        </is>
      </c>
      <c r="X1029" t="inlineStr">
        <is>
          <t>1991-04-09</t>
        </is>
      </c>
      <c r="Y1029" t="n">
        <v>67</v>
      </c>
      <c r="Z1029" t="n">
        <v>65</v>
      </c>
      <c r="AA1029" t="n">
        <v>112</v>
      </c>
      <c r="AB1029" t="n">
        <v>2</v>
      </c>
      <c r="AC1029" t="n">
        <v>2</v>
      </c>
      <c r="AD1029" t="n">
        <v>6</v>
      </c>
      <c r="AE1029" t="n">
        <v>7</v>
      </c>
      <c r="AF1029" t="n">
        <v>4</v>
      </c>
      <c r="AG1029" t="n">
        <v>4</v>
      </c>
      <c r="AH1029" t="n">
        <v>1</v>
      </c>
      <c r="AI1029" t="n">
        <v>2</v>
      </c>
      <c r="AJ1029" t="n">
        <v>1</v>
      </c>
      <c r="AK1029" t="n">
        <v>2</v>
      </c>
      <c r="AL1029" t="n">
        <v>1</v>
      </c>
      <c r="AM1029" t="n">
        <v>1</v>
      </c>
      <c r="AN1029" t="n">
        <v>0</v>
      </c>
      <c r="AO1029" t="n">
        <v>0</v>
      </c>
      <c r="AP1029" t="inlineStr">
        <is>
          <t>No</t>
        </is>
      </c>
      <c r="AQ1029" t="inlineStr">
        <is>
          <t>Yes</t>
        </is>
      </c>
      <c r="AR1029">
        <f>HYPERLINK("http://catalog.hathitrust.org/Record/008988833","HathiTrust Record")</f>
        <v/>
      </c>
      <c r="AS1029">
        <f>HYPERLINK("https://creighton-primo.hosted.exlibrisgroup.com/primo-explore/search?tab=default_tab&amp;search_scope=EVERYTHING&amp;vid=01CRU&amp;lang=en_US&amp;offset=0&amp;query=any,contains,991000505399702656","Catalog Record")</f>
        <v/>
      </c>
      <c r="AT1029">
        <f>HYPERLINK("http://www.worldcat.org/oclc/11210699","WorldCat Record")</f>
        <v/>
      </c>
      <c r="AU1029" t="inlineStr">
        <is>
          <t>437242140:eng</t>
        </is>
      </c>
      <c r="AV1029" t="inlineStr">
        <is>
          <t>11210699</t>
        </is>
      </c>
      <c r="AW1029" t="inlineStr">
        <is>
          <t>991000505399702656</t>
        </is>
      </c>
      <c r="AX1029" t="inlineStr">
        <is>
          <t>991000505399702656</t>
        </is>
      </c>
      <c r="AY1029" t="inlineStr">
        <is>
          <t>2256554160002656</t>
        </is>
      </c>
      <c r="AZ1029" t="inlineStr">
        <is>
          <t>BOOK</t>
        </is>
      </c>
      <c r="BB1029" t="inlineStr">
        <is>
          <t>9780815959021</t>
        </is>
      </c>
      <c r="BC1029" t="inlineStr">
        <is>
          <t>32285000542216</t>
        </is>
      </c>
      <c r="BD1029" t="inlineStr">
        <is>
          <t>893508843</t>
        </is>
      </c>
    </row>
    <row r="1030">
      <c r="A1030" t="inlineStr">
        <is>
          <t>No</t>
        </is>
      </c>
      <c r="B1030" t="inlineStr">
        <is>
          <t>E302 .J495 1946</t>
        </is>
      </c>
      <c r="C1030" t="inlineStr">
        <is>
          <t>0                      E  0302000J  495         1946</t>
        </is>
      </c>
      <c r="D1030" t="inlineStr">
        <is>
          <t>The living thoughts of Thomas Jefferson / presented by John Dewey.</t>
        </is>
      </c>
      <c r="F1030" t="inlineStr">
        <is>
          <t>No</t>
        </is>
      </c>
      <c r="G1030" t="inlineStr">
        <is>
          <t>1</t>
        </is>
      </c>
      <c r="H1030" t="inlineStr">
        <is>
          <t>No</t>
        </is>
      </c>
      <c r="I1030" t="inlineStr">
        <is>
          <t>Yes</t>
        </is>
      </c>
      <c r="J1030" t="inlineStr">
        <is>
          <t>0</t>
        </is>
      </c>
      <c r="K1030" t="inlineStr">
        <is>
          <t>Jefferson, Thomas, 1743-1826.</t>
        </is>
      </c>
      <c r="L1030" t="inlineStr">
        <is>
          <t>London : Cassell, [1946]</t>
        </is>
      </c>
      <c r="M1030" t="inlineStr">
        <is>
          <t>1946</t>
        </is>
      </c>
      <c r="N1030" t="inlineStr">
        <is>
          <t>2d ed.</t>
        </is>
      </c>
      <c r="O1030" t="inlineStr">
        <is>
          <t>eng</t>
        </is>
      </c>
      <c r="P1030" t="inlineStr">
        <is>
          <t>enk</t>
        </is>
      </c>
      <c r="Q1030" t="inlineStr">
        <is>
          <t>The living thoughts library</t>
        </is>
      </c>
      <c r="R1030" t="inlineStr">
        <is>
          <t xml:space="preserve">E  </t>
        </is>
      </c>
      <c r="S1030" t="n">
        <v>4</v>
      </c>
      <c r="T1030" t="n">
        <v>4</v>
      </c>
      <c r="U1030" t="inlineStr">
        <is>
          <t>1997-03-22</t>
        </is>
      </c>
      <c r="V1030" t="inlineStr">
        <is>
          <t>1997-03-22</t>
        </is>
      </c>
      <c r="W1030" t="inlineStr">
        <is>
          <t>1991-04-10</t>
        </is>
      </c>
      <c r="X1030" t="inlineStr">
        <is>
          <t>1991-04-10</t>
        </is>
      </c>
      <c r="Y1030" t="n">
        <v>68</v>
      </c>
      <c r="Z1030" t="n">
        <v>47</v>
      </c>
      <c r="AA1030" t="n">
        <v>694</v>
      </c>
      <c r="AB1030" t="n">
        <v>1</v>
      </c>
      <c r="AC1030" t="n">
        <v>5</v>
      </c>
      <c r="AD1030" t="n">
        <v>3</v>
      </c>
      <c r="AE1030" t="n">
        <v>21</v>
      </c>
      <c r="AF1030" t="n">
        <v>1</v>
      </c>
      <c r="AG1030" t="n">
        <v>10</v>
      </c>
      <c r="AH1030" t="n">
        <v>0</v>
      </c>
      <c r="AI1030" t="n">
        <v>6</v>
      </c>
      <c r="AJ1030" t="n">
        <v>2</v>
      </c>
      <c r="AK1030" t="n">
        <v>9</v>
      </c>
      <c r="AL1030" t="n">
        <v>0</v>
      </c>
      <c r="AM1030" t="n">
        <v>2</v>
      </c>
      <c r="AN1030" t="n">
        <v>1</v>
      </c>
      <c r="AO1030" t="n">
        <v>2</v>
      </c>
      <c r="AP1030" t="inlineStr">
        <is>
          <t>No</t>
        </is>
      </c>
      <c r="AQ1030" t="inlineStr">
        <is>
          <t>No</t>
        </is>
      </c>
      <c r="AS1030">
        <f>HYPERLINK("https://creighton-primo.hosted.exlibrisgroup.com/primo-explore/search?tab=default_tab&amp;search_scope=EVERYTHING&amp;vid=01CRU&amp;lang=en_US&amp;offset=0&amp;query=any,contains,991003895309702656","Catalog Record")</f>
        <v/>
      </c>
      <c r="AT1030">
        <f>HYPERLINK("http://www.worldcat.org/oclc/1807699","WorldCat Record")</f>
        <v/>
      </c>
      <c r="AU1030" t="inlineStr">
        <is>
          <t>3132478483:eng</t>
        </is>
      </c>
      <c r="AV1030" t="inlineStr">
        <is>
          <t>1807699</t>
        </is>
      </c>
      <c r="AW1030" t="inlineStr">
        <is>
          <t>991003895309702656</t>
        </is>
      </c>
      <c r="AX1030" t="inlineStr">
        <is>
          <t>991003895309702656</t>
        </is>
      </c>
      <c r="AY1030" t="inlineStr">
        <is>
          <t>2271473380002656</t>
        </is>
      </c>
      <c r="AZ1030" t="inlineStr">
        <is>
          <t>BOOK</t>
        </is>
      </c>
      <c r="BC1030" t="inlineStr">
        <is>
          <t>32285000542448</t>
        </is>
      </c>
      <c r="BD1030" t="inlineStr">
        <is>
          <t>893324682</t>
        </is>
      </c>
    </row>
    <row r="1031">
      <c r="A1031" t="inlineStr">
        <is>
          <t>No</t>
        </is>
      </c>
      <c r="B1031" t="inlineStr">
        <is>
          <t>E302.1 .A2538 2005</t>
        </is>
      </c>
      <c r="C1031" t="inlineStr">
        <is>
          <t>0                      E  0302100A  2538        2005</t>
        </is>
      </c>
      <c r="D1031" t="inlineStr">
        <is>
          <t>Henry Adams and the making of America / Garry Wills.</t>
        </is>
      </c>
      <c r="F1031" t="inlineStr">
        <is>
          <t>No</t>
        </is>
      </c>
      <c r="G1031" t="inlineStr">
        <is>
          <t>1</t>
        </is>
      </c>
      <c r="H1031" t="inlineStr">
        <is>
          <t>No</t>
        </is>
      </c>
      <c r="I1031" t="inlineStr">
        <is>
          <t>No</t>
        </is>
      </c>
      <c r="J1031" t="inlineStr">
        <is>
          <t>0</t>
        </is>
      </c>
      <c r="K1031" t="inlineStr">
        <is>
          <t>Wills, Garry, 1934-</t>
        </is>
      </c>
      <c r="L1031" t="inlineStr">
        <is>
          <t>Boston : Houghton Mifflin, 2005.</t>
        </is>
      </c>
      <c r="M1031" t="inlineStr">
        <is>
          <t>2005</t>
        </is>
      </c>
      <c r="O1031" t="inlineStr">
        <is>
          <t>eng</t>
        </is>
      </c>
      <c r="P1031" t="inlineStr">
        <is>
          <t>mau</t>
        </is>
      </c>
      <c r="R1031" t="inlineStr">
        <is>
          <t xml:space="preserve">E  </t>
        </is>
      </c>
      <c r="S1031" t="n">
        <v>1</v>
      </c>
      <c r="T1031" t="n">
        <v>1</v>
      </c>
      <c r="U1031" t="inlineStr">
        <is>
          <t>2005-09-20</t>
        </is>
      </c>
      <c r="V1031" t="inlineStr">
        <is>
          <t>2005-09-20</t>
        </is>
      </c>
      <c r="W1031" t="inlineStr">
        <is>
          <t>2005-09-20</t>
        </is>
      </c>
      <c r="X1031" t="inlineStr">
        <is>
          <t>2005-09-20</t>
        </is>
      </c>
      <c r="Y1031" t="n">
        <v>1387</v>
      </c>
      <c r="Z1031" t="n">
        <v>1327</v>
      </c>
      <c r="AA1031" t="n">
        <v>1367</v>
      </c>
      <c r="AB1031" t="n">
        <v>14</v>
      </c>
      <c r="AC1031" t="n">
        <v>15</v>
      </c>
      <c r="AD1031" t="n">
        <v>41</v>
      </c>
      <c r="AE1031" t="n">
        <v>43</v>
      </c>
      <c r="AF1031" t="n">
        <v>17</v>
      </c>
      <c r="AG1031" t="n">
        <v>18</v>
      </c>
      <c r="AH1031" t="n">
        <v>8</v>
      </c>
      <c r="AI1031" t="n">
        <v>9</v>
      </c>
      <c r="AJ1031" t="n">
        <v>18</v>
      </c>
      <c r="AK1031" t="n">
        <v>18</v>
      </c>
      <c r="AL1031" t="n">
        <v>9</v>
      </c>
      <c r="AM1031" t="n">
        <v>10</v>
      </c>
      <c r="AN1031" t="n">
        <v>0</v>
      </c>
      <c r="AO1031" t="n">
        <v>0</v>
      </c>
      <c r="AP1031" t="inlineStr">
        <is>
          <t>No</t>
        </is>
      </c>
      <c r="AQ1031" t="inlineStr">
        <is>
          <t>No</t>
        </is>
      </c>
      <c r="AS1031">
        <f>HYPERLINK("https://creighton-primo.hosted.exlibrisgroup.com/primo-explore/search?tab=default_tab&amp;search_scope=EVERYTHING&amp;vid=01CRU&amp;lang=en_US&amp;offset=0&amp;query=any,contains,991004628699702656","Catalog Record")</f>
        <v/>
      </c>
      <c r="AT1031">
        <f>HYPERLINK("http://www.worldcat.org/oclc/57692101","WorldCat Record")</f>
        <v/>
      </c>
      <c r="AU1031" t="inlineStr">
        <is>
          <t>24141386:eng</t>
        </is>
      </c>
      <c r="AV1031" t="inlineStr">
        <is>
          <t>57692101</t>
        </is>
      </c>
      <c r="AW1031" t="inlineStr">
        <is>
          <t>991004628699702656</t>
        </is>
      </c>
      <c r="AX1031" t="inlineStr">
        <is>
          <t>991004628699702656</t>
        </is>
      </c>
      <c r="AY1031" t="inlineStr">
        <is>
          <t>2266731720002656</t>
        </is>
      </c>
      <c r="AZ1031" t="inlineStr">
        <is>
          <t>BOOK</t>
        </is>
      </c>
      <c r="BB1031" t="inlineStr">
        <is>
          <t>9780618134304</t>
        </is>
      </c>
      <c r="BC1031" t="inlineStr">
        <is>
          <t>32285005084735</t>
        </is>
      </c>
      <c r="BD1031" t="inlineStr">
        <is>
          <t>893253910</t>
        </is>
      </c>
    </row>
    <row r="1032">
      <c r="A1032" t="inlineStr">
        <is>
          <t>No</t>
        </is>
      </c>
      <c r="B1032" t="inlineStr">
        <is>
          <t>E302.1 .B16 2003</t>
        </is>
      </c>
      <c r="C1032" t="inlineStr">
        <is>
          <t>0                      E  0302100B  16          2003</t>
        </is>
      </c>
      <c r="D1032" t="inlineStr">
        <is>
          <t>To begin the world anew : the genius and ambiguities of the American founders / by Bernard Bailyn.</t>
        </is>
      </c>
      <c r="F1032" t="inlineStr">
        <is>
          <t>No</t>
        </is>
      </c>
      <c r="G1032" t="inlineStr">
        <is>
          <t>1</t>
        </is>
      </c>
      <c r="H1032" t="inlineStr">
        <is>
          <t>No</t>
        </is>
      </c>
      <c r="I1032" t="inlineStr">
        <is>
          <t>No</t>
        </is>
      </c>
      <c r="J1032" t="inlineStr">
        <is>
          <t>0</t>
        </is>
      </c>
      <c r="K1032" t="inlineStr">
        <is>
          <t>Bailyn, Bernard.</t>
        </is>
      </c>
      <c r="L1032" t="inlineStr">
        <is>
          <t>New York : Knopf, 2003.</t>
        </is>
      </c>
      <c r="M1032" t="inlineStr">
        <is>
          <t>2003</t>
        </is>
      </c>
      <c r="N1032" t="inlineStr">
        <is>
          <t>1st ed.</t>
        </is>
      </c>
      <c r="O1032" t="inlineStr">
        <is>
          <t>eng</t>
        </is>
      </c>
      <c r="P1032" t="inlineStr">
        <is>
          <t>nyu</t>
        </is>
      </c>
      <c r="R1032" t="inlineStr">
        <is>
          <t xml:space="preserve">E  </t>
        </is>
      </c>
      <c r="S1032" t="n">
        <v>41</v>
      </c>
      <c r="T1032" t="n">
        <v>41</v>
      </c>
      <c r="U1032" t="inlineStr">
        <is>
          <t>2004-12-13</t>
        </is>
      </c>
      <c r="V1032" t="inlineStr">
        <is>
          <t>2004-12-13</t>
        </is>
      </c>
      <c r="W1032" t="inlineStr">
        <is>
          <t>2003-01-07</t>
        </is>
      </c>
      <c r="X1032" t="inlineStr">
        <is>
          <t>2003-01-07</t>
        </is>
      </c>
      <c r="Y1032" t="n">
        <v>1463</v>
      </c>
      <c r="Z1032" t="n">
        <v>1400</v>
      </c>
      <c r="AA1032" t="n">
        <v>1531</v>
      </c>
      <c r="AB1032" t="n">
        <v>10</v>
      </c>
      <c r="AC1032" t="n">
        <v>11</v>
      </c>
      <c r="AD1032" t="n">
        <v>45</v>
      </c>
      <c r="AE1032" t="n">
        <v>51</v>
      </c>
      <c r="AF1032" t="n">
        <v>19</v>
      </c>
      <c r="AG1032" t="n">
        <v>20</v>
      </c>
      <c r="AH1032" t="n">
        <v>7</v>
      </c>
      <c r="AI1032" t="n">
        <v>9</v>
      </c>
      <c r="AJ1032" t="n">
        <v>17</v>
      </c>
      <c r="AK1032" t="n">
        <v>20</v>
      </c>
      <c r="AL1032" t="n">
        <v>6</v>
      </c>
      <c r="AM1032" t="n">
        <v>7</v>
      </c>
      <c r="AN1032" t="n">
        <v>5</v>
      </c>
      <c r="AO1032" t="n">
        <v>6</v>
      </c>
      <c r="AP1032" t="inlineStr">
        <is>
          <t>No</t>
        </is>
      </c>
      <c r="AQ1032" t="inlineStr">
        <is>
          <t>Yes</t>
        </is>
      </c>
      <c r="AR1032">
        <f>HYPERLINK("http://catalog.hathitrust.org/Record/004310816","HathiTrust Record")</f>
        <v/>
      </c>
      <c r="AS1032">
        <f>HYPERLINK("https://creighton-primo.hosted.exlibrisgroup.com/primo-explore/search?tab=default_tab&amp;search_scope=EVERYTHING&amp;vid=01CRU&amp;lang=en_US&amp;offset=0&amp;query=any,contains,991003962149702656","Catalog Record")</f>
        <v/>
      </c>
      <c r="AT1032">
        <f>HYPERLINK("http://www.worldcat.org/oclc/48964980","WorldCat Record")</f>
        <v/>
      </c>
      <c r="AU1032" t="inlineStr">
        <is>
          <t>687517:eng</t>
        </is>
      </c>
      <c r="AV1032" t="inlineStr">
        <is>
          <t>48964980</t>
        </is>
      </c>
      <c r="AW1032" t="inlineStr">
        <is>
          <t>991003962149702656</t>
        </is>
      </c>
      <c r="AX1032" t="inlineStr">
        <is>
          <t>991003962149702656</t>
        </is>
      </c>
      <c r="AY1032" t="inlineStr">
        <is>
          <t>2266578230002656</t>
        </is>
      </c>
      <c r="AZ1032" t="inlineStr">
        <is>
          <t>BOOK</t>
        </is>
      </c>
      <c r="BB1032" t="inlineStr">
        <is>
          <t>9780375413773</t>
        </is>
      </c>
      <c r="BC1032" t="inlineStr">
        <is>
          <t>32285004692264</t>
        </is>
      </c>
      <c r="BD1032" t="inlineStr">
        <is>
          <t>893234877</t>
        </is>
      </c>
    </row>
    <row r="1033">
      <c r="A1033" t="inlineStr">
        <is>
          <t>No</t>
        </is>
      </c>
      <c r="B1033" t="inlineStr">
        <is>
          <t>E302.1 .B2</t>
        </is>
      </c>
      <c r="C1033" t="inlineStr">
        <is>
          <t>0                      E  0302100B  2</t>
        </is>
      </c>
      <c r="D1033" t="inlineStr">
        <is>
          <t>The Jeffersonian persuasion : evolution of a party ideology / Lance Banning.</t>
        </is>
      </c>
      <c r="F1033" t="inlineStr">
        <is>
          <t>No</t>
        </is>
      </c>
      <c r="G1033" t="inlineStr">
        <is>
          <t>1</t>
        </is>
      </c>
      <c r="H1033" t="inlineStr">
        <is>
          <t>No</t>
        </is>
      </c>
      <c r="I1033" t="inlineStr">
        <is>
          <t>No</t>
        </is>
      </c>
      <c r="J1033" t="inlineStr">
        <is>
          <t>0</t>
        </is>
      </c>
      <c r="K1033" t="inlineStr">
        <is>
          <t>Banning, Lance, 1942-2006.</t>
        </is>
      </c>
      <c r="L1033" t="inlineStr">
        <is>
          <t>Ithaca, N.Y. : Cornell University Press, 1978.</t>
        </is>
      </c>
      <c r="M1033" t="inlineStr">
        <is>
          <t>1978</t>
        </is>
      </c>
      <c r="O1033" t="inlineStr">
        <is>
          <t>eng</t>
        </is>
      </c>
      <c r="P1033" t="inlineStr">
        <is>
          <t>nyu</t>
        </is>
      </c>
      <c r="R1033" t="inlineStr">
        <is>
          <t xml:space="preserve">E  </t>
        </is>
      </c>
      <c r="S1033" t="n">
        <v>4</v>
      </c>
      <c r="T1033" t="n">
        <v>4</v>
      </c>
      <c r="U1033" t="inlineStr">
        <is>
          <t>1998-11-07</t>
        </is>
      </c>
      <c r="V1033" t="inlineStr">
        <is>
          <t>1998-11-07</t>
        </is>
      </c>
      <c r="W1033" t="inlineStr">
        <is>
          <t>1997-05-07</t>
        </is>
      </c>
      <c r="X1033" t="inlineStr">
        <is>
          <t>1997-05-07</t>
        </is>
      </c>
      <c r="Y1033" t="n">
        <v>950</v>
      </c>
      <c r="Z1033" t="n">
        <v>824</v>
      </c>
      <c r="AA1033" t="n">
        <v>882</v>
      </c>
      <c r="AB1033" t="n">
        <v>6</v>
      </c>
      <c r="AC1033" t="n">
        <v>8</v>
      </c>
      <c r="AD1033" t="n">
        <v>42</v>
      </c>
      <c r="AE1033" t="n">
        <v>45</v>
      </c>
      <c r="AF1033" t="n">
        <v>18</v>
      </c>
      <c r="AG1033" t="n">
        <v>18</v>
      </c>
      <c r="AH1033" t="n">
        <v>8</v>
      </c>
      <c r="AI1033" t="n">
        <v>8</v>
      </c>
      <c r="AJ1033" t="n">
        <v>20</v>
      </c>
      <c r="AK1033" t="n">
        <v>20</v>
      </c>
      <c r="AL1033" t="n">
        <v>5</v>
      </c>
      <c r="AM1033" t="n">
        <v>7</v>
      </c>
      <c r="AN1033" t="n">
        <v>2</v>
      </c>
      <c r="AO1033" t="n">
        <v>3</v>
      </c>
      <c r="AP1033" t="inlineStr">
        <is>
          <t>No</t>
        </is>
      </c>
      <c r="AQ1033" t="inlineStr">
        <is>
          <t>No</t>
        </is>
      </c>
      <c r="AS1033">
        <f>HYPERLINK("https://creighton-primo.hosted.exlibrisgroup.com/primo-explore/search?tab=default_tab&amp;search_scope=EVERYTHING&amp;vid=01CRU&amp;lang=en_US&amp;offset=0&amp;query=any,contains,991004425989702656","Catalog Record")</f>
        <v/>
      </c>
      <c r="AT1033">
        <f>HYPERLINK("http://www.worldcat.org/oclc/3397316","WorldCat Record")</f>
        <v/>
      </c>
      <c r="AU1033" t="inlineStr">
        <is>
          <t>450378:eng</t>
        </is>
      </c>
      <c r="AV1033" t="inlineStr">
        <is>
          <t>3397316</t>
        </is>
      </c>
      <c r="AW1033" t="inlineStr">
        <is>
          <t>991004425989702656</t>
        </is>
      </c>
      <c r="AX1033" t="inlineStr">
        <is>
          <t>991004425989702656</t>
        </is>
      </c>
      <c r="AY1033" t="inlineStr">
        <is>
          <t>2270274490002656</t>
        </is>
      </c>
      <c r="AZ1033" t="inlineStr">
        <is>
          <t>BOOK</t>
        </is>
      </c>
      <c r="BB1033" t="inlineStr">
        <is>
          <t>9780801411519</t>
        </is>
      </c>
      <c r="BC1033" t="inlineStr">
        <is>
          <t>32285002617461</t>
        </is>
      </c>
      <c r="BD1033" t="inlineStr">
        <is>
          <t>893343822</t>
        </is>
      </c>
    </row>
    <row r="1034">
      <c r="A1034" t="inlineStr">
        <is>
          <t>No</t>
        </is>
      </c>
      <c r="B1034" t="inlineStr">
        <is>
          <t>E302.1 .T57 1998</t>
        </is>
      </c>
      <c r="C1034" t="inlineStr">
        <is>
          <t>0                      E  0302100T  57          1998</t>
        </is>
      </c>
      <c r="D1034" t="inlineStr">
        <is>
          <t>The American counterrevolution : a retreat from liberty, 1783-1800 / Larry E. Tise.</t>
        </is>
      </c>
      <c r="F1034" t="inlineStr">
        <is>
          <t>No</t>
        </is>
      </c>
      <c r="G1034" t="inlineStr">
        <is>
          <t>1</t>
        </is>
      </c>
      <c r="H1034" t="inlineStr">
        <is>
          <t>No</t>
        </is>
      </c>
      <c r="I1034" t="inlineStr">
        <is>
          <t>No</t>
        </is>
      </c>
      <c r="J1034" t="inlineStr">
        <is>
          <t>0</t>
        </is>
      </c>
      <c r="K1034" t="inlineStr">
        <is>
          <t>Tise, Larry E.</t>
        </is>
      </c>
      <c r="L1034" t="inlineStr">
        <is>
          <t>Mechanicsburg, PA : Stackpole Books, c1998.</t>
        </is>
      </c>
      <c r="M1034" t="inlineStr">
        <is>
          <t>1998</t>
        </is>
      </c>
      <c r="N1034" t="inlineStr">
        <is>
          <t>1st ed.</t>
        </is>
      </c>
      <c r="O1034" t="inlineStr">
        <is>
          <t>eng</t>
        </is>
      </c>
      <c r="P1034" t="inlineStr">
        <is>
          <t>pau</t>
        </is>
      </c>
      <c r="R1034" t="inlineStr">
        <is>
          <t xml:space="preserve">E  </t>
        </is>
      </c>
      <c r="S1034" t="n">
        <v>2</v>
      </c>
      <c r="T1034" t="n">
        <v>2</v>
      </c>
      <c r="U1034" t="inlineStr">
        <is>
          <t>1999-10-25</t>
        </is>
      </c>
      <c r="V1034" t="inlineStr">
        <is>
          <t>1999-10-25</t>
        </is>
      </c>
      <c r="W1034" t="inlineStr">
        <is>
          <t>1999-10-07</t>
        </is>
      </c>
      <c r="X1034" t="inlineStr">
        <is>
          <t>1999-10-07</t>
        </is>
      </c>
      <c r="Y1034" t="n">
        <v>442</v>
      </c>
      <c r="Z1034" t="n">
        <v>408</v>
      </c>
      <c r="AA1034" t="n">
        <v>964</v>
      </c>
      <c r="AB1034" t="n">
        <v>4</v>
      </c>
      <c r="AC1034" t="n">
        <v>25</v>
      </c>
      <c r="AD1034" t="n">
        <v>19</v>
      </c>
      <c r="AE1034" t="n">
        <v>31</v>
      </c>
      <c r="AF1034" t="n">
        <v>4</v>
      </c>
      <c r="AG1034" t="n">
        <v>8</v>
      </c>
      <c r="AH1034" t="n">
        <v>6</v>
      </c>
      <c r="AI1034" t="n">
        <v>6</v>
      </c>
      <c r="AJ1034" t="n">
        <v>13</v>
      </c>
      <c r="AK1034" t="n">
        <v>15</v>
      </c>
      <c r="AL1034" t="n">
        <v>3</v>
      </c>
      <c r="AM1034" t="n">
        <v>10</v>
      </c>
      <c r="AN1034" t="n">
        <v>0</v>
      </c>
      <c r="AO1034" t="n">
        <v>0</v>
      </c>
      <c r="AP1034" t="inlineStr">
        <is>
          <t>No</t>
        </is>
      </c>
      <c r="AQ1034" t="inlineStr">
        <is>
          <t>No</t>
        </is>
      </c>
      <c r="AS1034">
        <f>HYPERLINK("https://creighton-primo.hosted.exlibrisgroup.com/primo-explore/search?tab=default_tab&amp;search_scope=EVERYTHING&amp;vid=01CRU&amp;lang=en_US&amp;offset=0&amp;query=any,contains,991002934529702656","Catalog Record")</f>
        <v/>
      </c>
      <c r="AT1034">
        <f>HYPERLINK("http://www.worldcat.org/oclc/39033390","WorldCat Record")</f>
        <v/>
      </c>
      <c r="AU1034" t="inlineStr">
        <is>
          <t>1009427:eng</t>
        </is>
      </c>
      <c r="AV1034" t="inlineStr">
        <is>
          <t>39033390</t>
        </is>
      </c>
      <c r="AW1034" t="inlineStr">
        <is>
          <t>991002934529702656</t>
        </is>
      </c>
      <c r="AX1034" t="inlineStr">
        <is>
          <t>991002934529702656</t>
        </is>
      </c>
      <c r="AY1034" t="inlineStr">
        <is>
          <t>2268960970002656</t>
        </is>
      </c>
      <c r="AZ1034" t="inlineStr">
        <is>
          <t>BOOK</t>
        </is>
      </c>
      <c r="BB1034" t="inlineStr">
        <is>
          <t>9780811701006</t>
        </is>
      </c>
      <c r="BC1034" t="inlineStr">
        <is>
          <t>32285003593901</t>
        </is>
      </c>
      <c r="BD1034" t="inlineStr">
        <is>
          <t>893245829</t>
        </is>
      </c>
    </row>
    <row r="1035">
      <c r="A1035" t="inlineStr">
        <is>
          <t>No</t>
        </is>
      </c>
      <c r="B1035" t="inlineStr">
        <is>
          <t>E302.1 .W47 1997</t>
        </is>
      </c>
      <c r="C1035" t="inlineStr">
        <is>
          <t>0                      E  0302100W  47          1997</t>
        </is>
      </c>
      <c r="D1035" t="inlineStr">
        <is>
          <t>Vindicating the founders : race, sex, class, and justice in the origins of America / Thomas G. West.</t>
        </is>
      </c>
      <c r="F1035" t="inlineStr">
        <is>
          <t>No</t>
        </is>
      </c>
      <c r="G1035" t="inlineStr">
        <is>
          <t>1</t>
        </is>
      </c>
      <c r="H1035" t="inlineStr">
        <is>
          <t>No</t>
        </is>
      </c>
      <c r="I1035" t="inlineStr">
        <is>
          <t>No</t>
        </is>
      </c>
      <c r="J1035" t="inlineStr">
        <is>
          <t>0</t>
        </is>
      </c>
      <c r="K1035" t="inlineStr">
        <is>
          <t>West, Thomas G., 1945-</t>
        </is>
      </c>
      <c r="L1035" t="inlineStr">
        <is>
          <t>Lanham, Md. : Rowman &amp; Littlefield Publishers, c1997.</t>
        </is>
      </c>
      <c r="M1035" t="inlineStr">
        <is>
          <t>1997</t>
        </is>
      </c>
      <c r="O1035" t="inlineStr">
        <is>
          <t>eng</t>
        </is>
      </c>
      <c r="P1035" t="inlineStr">
        <is>
          <t>mdu</t>
        </is>
      </c>
      <c r="R1035" t="inlineStr">
        <is>
          <t xml:space="preserve">E  </t>
        </is>
      </c>
      <c r="S1035" t="n">
        <v>1</v>
      </c>
      <c r="T1035" t="n">
        <v>1</v>
      </c>
      <c r="U1035" t="inlineStr">
        <is>
          <t>2005-02-03</t>
        </is>
      </c>
      <c r="V1035" t="inlineStr">
        <is>
          <t>2005-02-03</t>
        </is>
      </c>
      <c r="W1035" t="inlineStr">
        <is>
          <t>1997-11-14</t>
        </is>
      </c>
      <c r="X1035" t="inlineStr">
        <is>
          <t>1997-11-14</t>
        </is>
      </c>
      <c r="Y1035" t="n">
        <v>1042</v>
      </c>
      <c r="Z1035" t="n">
        <v>986</v>
      </c>
      <c r="AA1035" t="n">
        <v>1060</v>
      </c>
      <c r="AB1035" t="n">
        <v>8</v>
      </c>
      <c r="AC1035" t="n">
        <v>8</v>
      </c>
      <c r="AD1035" t="n">
        <v>45</v>
      </c>
      <c r="AE1035" t="n">
        <v>47</v>
      </c>
      <c r="AF1035" t="n">
        <v>14</v>
      </c>
      <c r="AG1035" t="n">
        <v>16</v>
      </c>
      <c r="AH1035" t="n">
        <v>10</v>
      </c>
      <c r="AI1035" t="n">
        <v>10</v>
      </c>
      <c r="AJ1035" t="n">
        <v>20</v>
      </c>
      <c r="AK1035" t="n">
        <v>20</v>
      </c>
      <c r="AL1035" t="n">
        <v>5</v>
      </c>
      <c r="AM1035" t="n">
        <v>5</v>
      </c>
      <c r="AN1035" t="n">
        <v>7</v>
      </c>
      <c r="AO1035" t="n">
        <v>7</v>
      </c>
      <c r="AP1035" t="inlineStr">
        <is>
          <t>No</t>
        </is>
      </c>
      <c r="AQ1035" t="inlineStr">
        <is>
          <t>Yes</t>
        </is>
      </c>
      <c r="AR1035">
        <f>HYPERLINK("http://catalog.hathitrust.org/Record/003964370","HathiTrust Record")</f>
        <v/>
      </c>
      <c r="AS1035">
        <f>HYPERLINK("https://creighton-primo.hosted.exlibrisgroup.com/primo-explore/search?tab=default_tab&amp;search_scope=EVERYTHING&amp;vid=01CRU&amp;lang=en_US&amp;offset=0&amp;query=any,contains,991002801539702656","Catalog Record")</f>
        <v/>
      </c>
      <c r="AT1035">
        <f>HYPERLINK("http://www.worldcat.org/oclc/36800619","WorldCat Record")</f>
        <v/>
      </c>
      <c r="AU1035" t="inlineStr">
        <is>
          <t>634558:eng</t>
        </is>
      </c>
      <c r="AV1035" t="inlineStr">
        <is>
          <t>36800619</t>
        </is>
      </c>
      <c r="AW1035" t="inlineStr">
        <is>
          <t>991002801539702656</t>
        </is>
      </c>
      <c r="AX1035" t="inlineStr">
        <is>
          <t>991002801539702656</t>
        </is>
      </c>
      <c r="AY1035" t="inlineStr">
        <is>
          <t>2256453210002656</t>
        </is>
      </c>
      <c r="AZ1035" t="inlineStr">
        <is>
          <t>BOOK</t>
        </is>
      </c>
      <c r="BB1035" t="inlineStr">
        <is>
          <t>9780847685165</t>
        </is>
      </c>
      <c r="BC1035" t="inlineStr">
        <is>
          <t>32285003279923</t>
        </is>
      </c>
      <c r="BD1035" t="inlineStr">
        <is>
          <t>893335730</t>
        </is>
      </c>
    </row>
    <row r="1036">
      <c r="A1036" t="inlineStr">
        <is>
          <t>No</t>
        </is>
      </c>
      <c r="B1036" t="inlineStr">
        <is>
          <t>E302.5 .F46 2000</t>
        </is>
      </c>
      <c r="C1036" t="inlineStr">
        <is>
          <t>0                      E  0302500F  46          2000</t>
        </is>
      </c>
      <c r="D1036" t="inlineStr">
        <is>
          <t>Setting the world ablaze : Washington, Adams, Jefferson, and the American Revolution / John Ferling.</t>
        </is>
      </c>
      <c r="F1036" t="inlineStr">
        <is>
          <t>No</t>
        </is>
      </c>
      <c r="G1036" t="inlineStr">
        <is>
          <t>1</t>
        </is>
      </c>
      <c r="H1036" t="inlineStr">
        <is>
          <t>No</t>
        </is>
      </c>
      <c r="I1036" t="inlineStr">
        <is>
          <t>No</t>
        </is>
      </c>
      <c r="J1036" t="inlineStr">
        <is>
          <t>0</t>
        </is>
      </c>
      <c r="K1036" t="inlineStr">
        <is>
          <t>Ferling, John E.</t>
        </is>
      </c>
      <c r="L1036" t="inlineStr">
        <is>
          <t>Oxford ; New York : Oxford University Press, 2000.</t>
        </is>
      </c>
      <c r="M1036" t="inlineStr">
        <is>
          <t>2000</t>
        </is>
      </c>
      <c r="O1036" t="inlineStr">
        <is>
          <t>eng</t>
        </is>
      </c>
      <c r="P1036" t="inlineStr">
        <is>
          <t>enk</t>
        </is>
      </c>
      <c r="R1036" t="inlineStr">
        <is>
          <t xml:space="preserve">E  </t>
        </is>
      </c>
      <c r="S1036" t="n">
        <v>8</v>
      </c>
      <c r="T1036" t="n">
        <v>8</v>
      </c>
      <c r="U1036" t="inlineStr">
        <is>
          <t>2003-01-28</t>
        </is>
      </c>
      <c r="V1036" t="inlineStr">
        <is>
          <t>2003-01-28</t>
        </is>
      </c>
      <c r="W1036" t="inlineStr">
        <is>
          <t>2000-08-22</t>
        </is>
      </c>
      <c r="X1036" t="inlineStr">
        <is>
          <t>2000-08-22</t>
        </is>
      </c>
      <c r="Y1036" t="n">
        <v>1207</v>
      </c>
      <c r="Z1036" t="n">
        <v>1121</v>
      </c>
      <c r="AA1036" t="n">
        <v>1289</v>
      </c>
      <c r="AB1036" t="n">
        <v>8</v>
      </c>
      <c r="AC1036" t="n">
        <v>10</v>
      </c>
      <c r="AD1036" t="n">
        <v>43</v>
      </c>
      <c r="AE1036" t="n">
        <v>46</v>
      </c>
      <c r="AF1036" t="n">
        <v>18</v>
      </c>
      <c r="AG1036" t="n">
        <v>19</v>
      </c>
      <c r="AH1036" t="n">
        <v>8</v>
      </c>
      <c r="AI1036" t="n">
        <v>9</v>
      </c>
      <c r="AJ1036" t="n">
        <v>21</v>
      </c>
      <c r="AK1036" t="n">
        <v>22</v>
      </c>
      <c r="AL1036" t="n">
        <v>7</v>
      </c>
      <c r="AM1036" t="n">
        <v>8</v>
      </c>
      <c r="AN1036" t="n">
        <v>0</v>
      </c>
      <c r="AO1036" t="n">
        <v>0</v>
      </c>
      <c r="AP1036" t="inlineStr">
        <is>
          <t>No</t>
        </is>
      </c>
      <c r="AQ1036" t="inlineStr">
        <is>
          <t>No</t>
        </is>
      </c>
      <c r="AS1036">
        <f>HYPERLINK("https://creighton-primo.hosted.exlibrisgroup.com/primo-explore/search?tab=default_tab&amp;search_scope=EVERYTHING&amp;vid=01CRU&amp;lang=en_US&amp;offset=0&amp;query=any,contains,991003233049702656","Catalog Record")</f>
        <v/>
      </c>
      <c r="AT1036">
        <f>HYPERLINK("http://www.worldcat.org/oclc/43118302","WorldCat Record")</f>
        <v/>
      </c>
      <c r="AU1036" t="inlineStr">
        <is>
          <t>27873765:eng</t>
        </is>
      </c>
      <c r="AV1036" t="inlineStr">
        <is>
          <t>43118302</t>
        </is>
      </c>
      <c r="AW1036" t="inlineStr">
        <is>
          <t>991003233049702656</t>
        </is>
      </c>
      <c r="AX1036" t="inlineStr">
        <is>
          <t>991003233049702656</t>
        </is>
      </c>
      <c r="AY1036" t="inlineStr">
        <is>
          <t>2266395340002656</t>
        </is>
      </c>
      <c r="AZ1036" t="inlineStr">
        <is>
          <t>BOOK</t>
        </is>
      </c>
      <c r="BB1036" t="inlineStr">
        <is>
          <t>9780195134094</t>
        </is>
      </c>
      <c r="BC1036" t="inlineStr">
        <is>
          <t>32285003758330</t>
        </is>
      </c>
      <c r="BD1036" t="inlineStr">
        <is>
          <t>893604567</t>
        </is>
      </c>
    </row>
    <row r="1037">
      <c r="A1037" t="inlineStr">
        <is>
          <t>No</t>
        </is>
      </c>
      <c r="B1037" t="inlineStr">
        <is>
          <t>E302.5 .M23 1980</t>
        </is>
      </c>
      <c r="C1037" t="inlineStr">
        <is>
          <t>0                      E  0302500M  23          1980</t>
        </is>
      </c>
      <c r="D1037" t="inlineStr">
        <is>
          <t>The old revolutionaries : political lives in the age of Samuel Adams / by Pauline Maier.</t>
        </is>
      </c>
      <c r="F1037" t="inlineStr">
        <is>
          <t>No</t>
        </is>
      </c>
      <c r="G1037" t="inlineStr">
        <is>
          <t>1</t>
        </is>
      </c>
      <c r="H1037" t="inlineStr">
        <is>
          <t>No</t>
        </is>
      </c>
      <c r="I1037" t="inlineStr">
        <is>
          <t>No</t>
        </is>
      </c>
      <c r="J1037" t="inlineStr">
        <is>
          <t>0</t>
        </is>
      </c>
      <c r="K1037" t="inlineStr">
        <is>
          <t>Maier, Pauline, 1938-2013.</t>
        </is>
      </c>
      <c r="L1037" t="inlineStr">
        <is>
          <t>New York : Knopf : distributed by Random House, 1980.</t>
        </is>
      </c>
      <c r="M1037" t="inlineStr">
        <is>
          <t>1980</t>
        </is>
      </c>
      <c r="N1037" t="inlineStr">
        <is>
          <t>1st ed.</t>
        </is>
      </c>
      <c r="O1037" t="inlineStr">
        <is>
          <t>eng</t>
        </is>
      </c>
      <c r="P1037" t="inlineStr">
        <is>
          <t>nyu</t>
        </is>
      </c>
      <c r="R1037" t="inlineStr">
        <is>
          <t xml:space="preserve">E  </t>
        </is>
      </c>
      <c r="S1037" t="n">
        <v>1</v>
      </c>
      <c r="T1037" t="n">
        <v>1</v>
      </c>
      <c r="U1037" t="inlineStr">
        <is>
          <t>1992-10-11</t>
        </is>
      </c>
      <c r="V1037" t="inlineStr">
        <is>
          <t>1992-10-11</t>
        </is>
      </c>
      <c r="W1037" t="inlineStr">
        <is>
          <t>1991-04-10</t>
        </is>
      </c>
      <c r="X1037" t="inlineStr">
        <is>
          <t>1991-04-10</t>
        </is>
      </c>
      <c r="Y1037" t="n">
        <v>1096</v>
      </c>
      <c r="Z1037" t="n">
        <v>1013</v>
      </c>
      <c r="AA1037" t="n">
        <v>1035</v>
      </c>
      <c r="AB1037" t="n">
        <v>9</v>
      </c>
      <c r="AC1037" t="n">
        <v>10</v>
      </c>
      <c r="AD1037" t="n">
        <v>39</v>
      </c>
      <c r="AE1037" t="n">
        <v>40</v>
      </c>
      <c r="AF1037" t="n">
        <v>16</v>
      </c>
      <c r="AG1037" t="n">
        <v>16</v>
      </c>
      <c r="AH1037" t="n">
        <v>9</v>
      </c>
      <c r="AI1037" t="n">
        <v>9</v>
      </c>
      <c r="AJ1037" t="n">
        <v>17</v>
      </c>
      <c r="AK1037" t="n">
        <v>17</v>
      </c>
      <c r="AL1037" t="n">
        <v>7</v>
      </c>
      <c r="AM1037" t="n">
        <v>8</v>
      </c>
      <c r="AN1037" t="n">
        <v>0</v>
      </c>
      <c r="AO1037" t="n">
        <v>0</v>
      </c>
      <c r="AP1037" t="inlineStr">
        <is>
          <t>No</t>
        </is>
      </c>
      <c r="AQ1037" t="inlineStr">
        <is>
          <t>Yes</t>
        </is>
      </c>
      <c r="AR1037">
        <f>HYPERLINK("http://catalog.hathitrust.org/Record/000083155","HathiTrust Record")</f>
        <v/>
      </c>
      <c r="AS1037">
        <f>HYPERLINK("https://creighton-primo.hosted.exlibrisgroup.com/primo-explore/search?tab=default_tab&amp;search_scope=EVERYTHING&amp;vid=01CRU&amp;lang=en_US&amp;offset=0&amp;query=any,contains,991004951249702656","Catalog Record")</f>
        <v/>
      </c>
      <c r="AT1037">
        <f>HYPERLINK("http://www.worldcat.org/oclc/6250167","WorldCat Record")</f>
        <v/>
      </c>
      <c r="AU1037" t="inlineStr">
        <is>
          <t>10673817038:eng</t>
        </is>
      </c>
      <c r="AV1037" t="inlineStr">
        <is>
          <t>6250167</t>
        </is>
      </c>
      <c r="AW1037" t="inlineStr">
        <is>
          <t>991004951249702656</t>
        </is>
      </c>
      <c r="AX1037" t="inlineStr">
        <is>
          <t>991004951249702656</t>
        </is>
      </c>
      <c r="AY1037" t="inlineStr">
        <is>
          <t>2264968130002656</t>
        </is>
      </c>
      <c r="AZ1037" t="inlineStr">
        <is>
          <t>BOOK</t>
        </is>
      </c>
      <c r="BB1037" t="inlineStr">
        <is>
          <t>9780394510965</t>
        </is>
      </c>
      <c r="BC1037" t="inlineStr">
        <is>
          <t>32285000542562</t>
        </is>
      </c>
      <c r="BD1037" t="inlineStr">
        <is>
          <t>893332209</t>
        </is>
      </c>
    </row>
    <row r="1038">
      <c r="A1038" t="inlineStr">
        <is>
          <t>No</t>
        </is>
      </c>
      <c r="B1038" t="inlineStr">
        <is>
          <t>E302.5 .M67</t>
        </is>
      </c>
      <c r="C1038" t="inlineStr">
        <is>
          <t>0                      E  0302500M  67</t>
        </is>
      </c>
      <c r="D1038" t="inlineStr">
        <is>
          <t>Seven who shaped our destiny; the Founding Fathers as revolutionaries [by] Richard B. Morris.</t>
        </is>
      </c>
      <c r="F1038" t="inlineStr">
        <is>
          <t>No</t>
        </is>
      </c>
      <c r="G1038" t="inlineStr">
        <is>
          <t>1</t>
        </is>
      </c>
      <c r="H1038" t="inlineStr">
        <is>
          <t>No</t>
        </is>
      </c>
      <c r="I1038" t="inlineStr">
        <is>
          <t>No</t>
        </is>
      </c>
      <c r="J1038" t="inlineStr">
        <is>
          <t>0</t>
        </is>
      </c>
      <c r="K1038" t="inlineStr">
        <is>
          <t>Morris, Richard B. (Richard Brandon), 1904-1989.</t>
        </is>
      </c>
      <c r="L1038" t="inlineStr">
        <is>
          <t>New York, Harper &amp; Row [1973]</t>
        </is>
      </c>
      <c r="M1038" t="inlineStr">
        <is>
          <t>1973</t>
        </is>
      </c>
      <c r="N1038" t="inlineStr">
        <is>
          <t>[1st ed.]</t>
        </is>
      </c>
      <c r="O1038" t="inlineStr">
        <is>
          <t>eng</t>
        </is>
      </c>
      <c r="P1038" t="inlineStr">
        <is>
          <t>nyu</t>
        </is>
      </c>
      <c r="Q1038" t="inlineStr">
        <is>
          <t>A Cass Canfield book</t>
        </is>
      </c>
      <c r="R1038" t="inlineStr">
        <is>
          <t xml:space="preserve">E  </t>
        </is>
      </c>
      <c r="S1038" t="n">
        <v>3</v>
      </c>
      <c r="T1038" t="n">
        <v>3</v>
      </c>
      <c r="U1038" t="inlineStr">
        <is>
          <t>1999-02-20</t>
        </is>
      </c>
      <c r="V1038" t="inlineStr">
        <is>
          <t>1999-02-20</t>
        </is>
      </c>
      <c r="W1038" t="inlineStr">
        <is>
          <t>1997-05-07</t>
        </is>
      </c>
      <c r="X1038" t="inlineStr">
        <is>
          <t>1997-05-07</t>
        </is>
      </c>
      <c r="Y1038" t="n">
        <v>1672</v>
      </c>
      <c r="Z1038" t="n">
        <v>1579</v>
      </c>
      <c r="AA1038" t="n">
        <v>1626</v>
      </c>
      <c r="AB1038" t="n">
        <v>17</v>
      </c>
      <c r="AC1038" t="n">
        <v>17</v>
      </c>
      <c r="AD1038" t="n">
        <v>52</v>
      </c>
      <c r="AE1038" t="n">
        <v>54</v>
      </c>
      <c r="AF1038" t="n">
        <v>20</v>
      </c>
      <c r="AG1038" t="n">
        <v>20</v>
      </c>
      <c r="AH1038" t="n">
        <v>9</v>
      </c>
      <c r="AI1038" t="n">
        <v>9</v>
      </c>
      <c r="AJ1038" t="n">
        <v>21</v>
      </c>
      <c r="AK1038" t="n">
        <v>22</v>
      </c>
      <c r="AL1038" t="n">
        <v>10</v>
      </c>
      <c r="AM1038" t="n">
        <v>10</v>
      </c>
      <c r="AN1038" t="n">
        <v>3</v>
      </c>
      <c r="AO1038" t="n">
        <v>4</v>
      </c>
      <c r="AP1038" t="inlineStr">
        <is>
          <t>No</t>
        </is>
      </c>
      <c r="AQ1038" t="inlineStr">
        <is>
          <t>Yes</t>
        </is>
      </c>
      <c r="AR1038">
        <f>HYPERLINK("http://catalog.hathitrust.org/Record/000365712","HathiTrust Record")</f>
        <v/>
      </c>
      <c r="AS1038">
        <f>HYPERLINK("https://creighton-primo.hosted.exlibrisgroup.com/primo-explore/search?tab=default_tab&amp;search_scope=EVERYTHING&amp;vid=01CRU&amp;lang=en_US&amp;offset=0&amp;query=any,contains,991003061359702656","Catalog Record")</f>
        <v/>
      </c>
      <c r="AT1038">
        <f>HYPERLINK("http://www.worldcat.org/oclc/618363","WorldCat Record")</f>
        <v/>
      </c>
      <c r="AU1038" t="inlineStr">
        <is>
          <t>196636121:eng</t>
        </is>
      </c>
      <c r="AV1038" t="inlineStr">
        <is>
          <t>618363</t>
        </is>
      </c>
      <c r="AW1038" t="inlineStr">
        <is>
          <t>991003061359702656</t>
        </is>
      </c>
      <c r="AX1038" t="inlineStr">
        <is>
          <t>991003061359702656</t>
        </is>
      </c>
      <c r="AY1038" t="inlineStr">
        <is>
          <t>2272204790002656</t>
        </is>
      </c>
      <c r="AZ1038" t="inlineStr">
        <is>
          <t>BOOK</t>
        </is>
      </c>
      <c r="BB1038" t="inlineStr">
        <is>
          <t>9780060130787</t>
        </is>
      </c>
      <c r="BC1038" t="inlineStr">
        <is>
          <t>32285002617545</t>
        </is>
      </c>
      <c r="BD1038" t="inlineStr">
        <is>
          <t>893518100</t>
        </is>
      </c>
    </row>
    <row r="1039">
      <c r="A1039" t="inlineStr">
        <is>
          <t>No</t>
        </is>
      </c>
      <c r="B1039" t="inlineStr">
        <is>
          <t>E302.5 .U55 1969</t>
        </is>
      </c>
      <c r="C1039" t="inlineStr">
        <is>
          <t>0                      E  0302500U  55          1969</t>
        </is>
      </c>
      <c r="D1039" t="inlineStr">
        <is>
          <t>Founding fathers; man who shaped our tradition, by Kenneth Umbreit.</t>
        </is>
      </c>
      <c r="F1039" t="inlineStr">
        <is>
          <t>No</t>
        </is>
      </c>
      <c r="G1039" t="inlineStr">
        <is>
          <t>1</t>
        </is>
      </c>
      <c r="H1039" t="inlineStr">
        <is>
          <t>No</t>
        </is>
      </c>
      <c r="I1039" t="inlineStr">
        <is>
          <t>No</t>
        </is>
      </c>
      <c r="J1039" t="inlineStr">
        <is>
          <t>0</t>
        </is>
      </c>
      <c r="K1039" t="inlineStr">
        <is>
          <t>Umbreit, Kenneth Bernard.</t>
        </is>
      </c>
      <c r="L1039" t="inlineStr">
        <is>
          <t>Port Washington, N.Y., Kennikat Press [1969, c1941]</t>
        </is>
      </c>
      <c r="M1039" t="inlineStr">
        <is>
          <t>1969</t>
        </is>
      </c>
      <c r="O1039" t="inlineStr">
        <is>
          <t>eng</t>
        </is>
      </c>
      <c r="P1039" t="inlineStr">
        <is>
          <t>nyu</t>
        </is>
      </c>
      <c r="Q1039" t="inlineStr">
        <is>
          <t>Essay and general literature index reprint series</t>
        </is>
      </c>
      <c r="R1039" t="inlineStr">
        <is>
          <t xml:space="preserve">E  </t>
        </is>
      </c>
      <c r="S1039" t="n">
        <v>4</v>
      </c>
      <c r="T1039" t="n">
        <v>4</v>
      </c>
      <c r="U1039" t="inlineStr">
        <is>
          <t>1999-01-27</t>
        </is>
      </c>
      <c r="V1039" t="inlineStr">
        <is>
          <t>1999-01-27</t>
        </is>
      </c>
      <c r="W1039" t="inlineStr">
        <is>
          <t>1997-05-07</t>
        </is>
      </c>
      <c r="X1039" t="inlineStr">
        <is>
          <t>1997-05-07</t>
        </is>
      </c>
      <c r="Y1039" t="n">
        <v>273</v>
      </c>
      <c r="Z1039" t="n">
        <v>256</v>
      </c>
      <c r="AA1039" t="n">
        <v>423</v>
      </c>
      <c r="AB1039" t="n">
        <v>4</v>
      </c>
      <c r="AC1039" t="n">
        <v>5</v>
      </c>
      <c r="AD1039" t="n">
        <v>7</v>
      </c>
      <c r="AE1039" t="n">
        <v>13</v>
      </c>
      <c r="AF1039" t="n">
        <v>1</v>
      </c>
      <c r="AG1039" t="n">
        <v>2</v>
      </c>
      <c r="AH1039" t="n">
        <v>3</v>
      </c>
      <c r="AI1039" t="n">
        <v>4</v>
      </c>
      <c r="AJ1039" t="n">
        <v>3</v>
      </c>
      <c r="AK1039" t="n">
        <v>5</v>
      </c>
      <c r="AL1039" t="n">
        <v>2</v>
      </c>
      <c r="AM1039" t="n">
        <v>3</v>
      </c>
      <c r="AN1039" t="n">
        <v>0</v>
      </c>
      <c r="AO1039" t="n">
        <v>1</v>
      </c>
      <c r="AP1039" t="inlineStr">
        <is>
          <t>No</t>
        </is>
      </c>
      <c r="AQ1039" t="inlineStr">
        <is>
          <t>Yes</t>
        </is>
      </c>
      <c r="AR1039">
        <f>HYPERLINK("http://catalog.hathitrust.org/Record/006001105","HathiTrust Record")</f>
        <v/>
      </c>
      <c r="AS1039">
        <f>HYPERLINK("https://creighton-primo.hosted.exlibrisgroup.com/primo-explore/search?tab=default_tab&amp;search_scope=EVERYTHING&amp;vid=01CRU&amp;lang=en_US&amp;offset=0&amp;query=any,contains,991005432999702656","Catalog Record")</f>
        <v/>
      </c>
      <c r="AT1039">
        <f>HYPERLINK("http://www.worldcat.org/oclc/1573","WorldCat Record")</f>
        <v/>
      </c>
      <c r="AU1039" t="inlineStr">
        <is>
          <t>3566852:eng</t>
        </is>
      </c>
      <c r="AV1039" t="inlineStr">
        <is>
          <t>1573</t>
        </is>
      </c>
      <c r="AW1039" t="inlineStr">
        <is>
          <t>991005432999702656</t>
        </is>
      </c>
      <c r="AX1039" t="inlineStr">
        <is>
          <t>991005432999702656</t>
        </is>
      </c>
      <c r="AY1039" t="inlineStr">
        <is>
          <t>2271131270002656</t>
        </is>
      </c>
      <c r="AZ1039" t="inlineStr">
        <is>
          <t>BOOK</t>
        </is>
      </c>
      <c r="BC1039" t="inlineStr">
        <is>
          <t>32285002617578</t>
        </is>
      </c>
      <c r="BD1039" t="inlineStr">
        <is>
          <t>893320632</t>
        </is>
      </c>
    </row>
    <row r="1040">
      <c r="A1040" t="inlineStr">
        <is>
          <t>No</t>
        </is>
      </c>
      <c r="B1040" t="inlineStr">
        <is>
          <t>E302.6.B9 L7 1979</t>
        </is>
      </c>
      <c r="C1040" t="inlineStr">
        <is>
          <t>0                      E  0302600B  9                  L  7           1979</t>
        </is>
      </c>
      <c r="D1040" t="inlineStr">
        <is>
          <t>Aaron Burr / Milton Lomask.</t>
        </is>
      </c>
      <c r="E1040" t="inlineStr">
        <is>
          <t>V. 1</t>
        </is>
      </c>
      <c r="F1040" t="inlineStr">
        <is>
          <t>Yes</t>
        </is>
      </c>
      <c r="G1040" t="inlineStr">
        <is>
          <t>1</t>
        </is>
      </c>
      <c r="H1040" t="inlineStr">
        <is>
          <t>No</t>
        </is>
      </c>
      <c r="I1040" t="inlineStr">
        <is>
          <t>No</t>
        </is>
      </c>
      <c r="J1040" t="inlineStr">
        <is>
          <t>0</t>
        </is>
      </c>
      <c r="K1040" t="inlineStr">
        <is>
          <t>Lomask, Milton.</t>
        </is>
      </c>
      <c r="L1040" t="inlineStr">
        <is>
          <t>New York : Farrar, Straus &amp; Giroux, c1979-c1982.</t>
        </is>
      </c>
      <c r="M1040" t="inlineStr">
        <is>
          <t>1979</t>
        </is>
      </c>
      <c r="O1040" t="inlineStr">
        <is>
          <t>eng</t>
        </is>
      </c>
      <c r="P1040" t="inlineStr">
        <is>
          <t>nyu</t>
        </is>
      </c>
      <c r="R1040" t="inlineStr">
        <is>
          <t xml:space="preserve">E  </t>
        </is>
      </c>
      <c r="S1040" t="n">
        <v>6</v>
      </c>
      <c r="T1040" t="n">
        <v>7</v>
      </c>
      <c r="U1040" t="inlineStr">
        <is>
          <t>2003-03-08</t>
        </is>
      </c>
      <c r="V1040" t="inlineStr">
        <is>
          <t>2003-03-08</t>
        </is>
      </c>
      <c r="W1040" t="inlineStr">
        <is>
          <t>1991-04-10</t>
        </is>
      </c>
      <c r="X1040" t="inlineStr">
        <is>
          <t>1991-04-10</t>
        </is>
      </c>
      <c r="Y1040" t="n">
        <v>1367</v>
      </c>
      <c r="Z1040" t="n">
        <v>1315</v>
      </c>
      <c r="AA1040" t="n">
        <v>1317</v>
      </c>
      <c r="AB1040" t="n">
        <v>10</v>
      </c>
      <c r="AC1040" t="n">
        <v>10</v>
      </c>
      <c r="AD1040" t="n">
        <v>45</v>
      </c>
      <c r="AE1040" t="n">
        <v>45</v>
      </c>
      <c r="AF1040" t="n">
        <v>19</v>
      </c>
      <c r="AG1040" t="n">
        <v>19</v>
      </c>
      <c r="AH1040" t="n">
        <v>8</v>
      </c>
      <c r="AI1040" t="n">
        <v>8</v>
      </c>
      <c r="AJ1040" t="n">
        <v>20</v>
      </c>
      <c r="AK1040" t="n">
        <v>20</v>
      </c>
      <c r="AL1040" t="n">
        <v>7</v>
      </c>
      <c r="AM1040" t="n">
        <v>7</v>
      </c>
      <c r="AN1040" t="n">
        <v>1</v>
      </c>
      <c r="AO1040" t="n">
        <v>1</v>
      </c>
      <c r="AP1040" t="inlineStr">
        <is>
          <t>No</t>
        </is>
      </c>
      <c r="AQ1040" t="inlineStr">
        <is>
          <t>Yes</t>
        </is>
      </c>
      <c r="AR1040">
        <f>HYPERLINK("http://catalog.hathitrust.org/Record/000231279","HathiTrust Record")</f>
        <v/>
      </c>
      <c r="AS1040">
        <f>HYPERLINK("https://creighton-primo.hosted.exlibrisgroup.com/primo-explore/search?tab=default_tab&amp;search_scope=EVERYTHING&amp;vid=01CRU&amp;lang=en_US&amp;offset=0&amp;query=any,contains,991004678569702656","Catalog Record")</f>
        <v/>
      </c>
      <c r="AT1040">
        <f>HYPERLINK("http://www.worldcat.org/oclc/4549695","WorldCat Record")</f>
        <v/>
      </c>
      <c r="AU1040" t="inlineStr">
        <is>
          <t>5613142883:eng</t>
        </is>
      </c>
      <c r="AV1040" t="inlineStr">
        <is>
          <t>4549695</t>
        </is>
      </c>
      <c r="AW1040" t="inlineStr">
        <is>
          <t>991004678569702656</t>
        </is>
      </c>
      <c r="AX1040" t="inlineStr">
        <is>
          <t>991004678569702656</t>
        </is>
      </c>
      <c r="AY1040" t="inlineStr">
        <is>
          <t>2272683840002656</t>
        </is>
      </c>
      <c r="AZ1040" t="inlineStr">
        <is>
          <t>BOOK</t>
        </is>
      </c>
      <c r="BB1040" t="inlineStr">
        <is>
          <t>9780374100162</t>
        </is>
      </c>
      <c r="BC1040" t="inlineStr">
        <is>
          <t>32285000542620</t>
        </is>
      </c>
      <c r="BD1040" t="inlineStr">
        <is>
          <t>893782525</t>
        </is>
      </c>
    </row>
    <row r="1041">
      <c r="A1041" t="inlineStr">
        <is>
          <t>No</t>
        </is>
      </c>
      <c r="B1041" t="inlineStr">
        <is>
          <t>E302.6.B9 L7 1979</t>
        </is>
      </c>
      <c r="C1041" t="inlineStr">
        <is>
          <t>0                      E  0302600B  9                  L  7           1979</t>
        </is>
      </c>
      <c r="D1041" t="inlineStr">
        <is>
          <t>Aaron Burr / Milton Lomask.</t>
        </is>
      </c>
      <c r="E1041" t="inlineStr">
        <is>
          <t>V. 2</t>
        </is>
      </c>
      <c r="F1041" t="inlineStr">
        <is>
          <t>Yes</t>
        </is>
      </c>
      <c r="G1041" t="inlineStr">
        <is>
          <t>1</t>
        </is>
      </c>
      <c r="H1041" t="inlineStr">
        <is>
          <t>No</t>
        </is>
      </c>
      <c r="I1041" t="inlineStr">
        <is>
          <t>No</t>
        </is>
      </c>
      <c r="J1041" t="inlineStr">
        <is>
          <t>0</t>
        </is>
      </c>
      <c r="K1041" t="inlineStr">
        <is>
          <t>Lomask, Milton.</t>
        </is>
      </c>
      <c r="L1041" t="inlineStr">
        <is>
          <t>New York : Farrar, Straus &amp; Giroux, c1979-c1982.</t>
        </is>
      </c>
      <c r="M1041" t="inlineStr">
        <is>
          <t>1979</t>
        </is>
      </c>
      <c r="O1041" t="inlineStr">
        <is>
          <t>eng</t>
        </is>
      </c>
      <c r="P1041" t="inlineStr">
        <is>
          <t>nyu</t>
        </is>
      </c>
      <c r="R1041" t="inlineStr">
        <is>
          <t xml:space="preserve">E  </t>
        </is>
      </c>
      <c r="S1041" t="n">
        <v>1</v>
      </c>
      <c r="T1041" t="n">
        <v>7</v>
      </c>
      <c r="U1041" t="inlineStr">
        <is>
          <t>1992-09-15</t>
        </is>
      </c>
      <c r="V1041" t="inlineStr">
        <is>
          <t>2003-03-08</t>
        </is>
      </c>
      <c r="W1041" t="inlineStr">
        <is>
          <t>1991-04-10</t>
        </is>
      </c>
      <c r="X1041" t="inlineStr">
        <is>
          <t>1991-04-10</t>
        </is>
      </c>
      <c r="Y1041" t="n">
        <v>1367</v>
      </c>
      <c r="Z1041" t="n">
        <v>1315</v>
      </c>
      <c r="AA1041" t="n">
        <v>1317</v>
      </c>
      <c r="AB1041" t="n">
        <v>10</v>
      </c>
      <c r="AC1041" t="n">
        <v>10</v>
      </c>
      <c r="AD1041" t="n">
        <v>45</v>
      </c>
      <c r="AE1041" t="n">
        <v>45</v>
      </c>
      <c r="AF1041" t="n">
        <v>19</v>
      </c>
      <c r="AG1041" t="n">
        <v>19</v>
      </c>
      <c r="AH1041" t="n">
        <v>8</v>
      </c>
      <c r="AI1041" t="n">
        <v>8</v>
      </c>
      <c r="AJ1041" t="n">
        <v>20</v>
      </c>
      <c r="AK1041" t="n">
        <v>20</v>
      </c>
      <c r="AL1041" t="n">
        <v>7</v>
      </c>
      <c r="AM1041" t="n">
        <v>7</v>
      </c>
      <c r="AN1041" t="n">
        <v>1</v>
      </c>
      <c r="AO1041" t="n">
        <v>1</v>
      </c>
      <c r="AP1041" t="inlineStr">
        <is>
          <t>No</t>
        </is>
      </c>
      <c r="AQ1041" t="inlineStr">
        <is>
          <t>Yes</t>
        </is>
      </c>
      <c r="AR1041">
        <f>HYPERLINK("http://catalog.hathitrust.org/Record/000231279","HathiTrust Record")</f>
        <v/>
      </c>
      <c r="AS1041">
        <f>HYPERLINK("https://creighton-primo.hosted.exlibrisgroup.com/primo-explore/search?tab=default_tab&amp;search_scope=EVERYTHING&amp;vid=01CRU&amp;lang=en_US&amp;offset=0&amp;query=any,contains,991004678569702656","Catalog Record")</f>
        <v/>
      </c>
      <c r="AT1041">
        <f>HYPERLINK("http://www.worldcat.org/oclc/4549695","WorldCat Record")</f>
        <v/>
      </c>
      <c r="AU1041" t="inlineStr">
        <is>
          <t>5613142883:eng</t>
        </is>
      </c>
      <c r="AV1041" t="inlineStr">
        <is>
          <t>4549695</t>
        </is>
      </c>
      <c r="AW1041" t="inlineStr">
        <is>
          <t>991004678569702656</t>
        </is>
      </c>
      <c r="AX1041" t="inlineStr">
        <is>
          <t>991004678569702656</t>
        </is>
      </c>
      <c r="AY1041" t="inlineStr">
        <is>
          <t>2272683840002656</t>
        </is>
      </c>
      <c r="AZ1041" t="inlineStr">
        <is>
          <t>BOOK</t>
        </is>
      </c>
      <c r="BB1041" t="inlineStr">
        <is>
          <t>9780374100162</t>
        </is>
      </c>
      <c r="BC1041" t="inlineStr">
        <is>
          <t>32285000542638</t>
        </is>
      </c>
      <c r="BD1041" t="inlineStr">
        <is>
          <t>893795147</t>
        </is>
      </c>
    </row>
    <row r="1042">
      <c r="A1042" t="inlineStr">
        <is>
          <t>No</t>
        </is>
      </c>
      <c r="B1042" t="inlineStr">
        <is>
          <t>E302.6.C4 S8 1980</t>
        </is>
      </c>
      <c r="C1042" t="inlineStr">
        <is>
          <t>0                      E  0302600C  4                  S  8           1980</t>
        </is>
      </c>
      <c r="D1042" t="inlineStr">
        <is>
          <t>Stormy patriot : the life of Samuel Chase / James Haw ... [et al.].</t>
        </is>
      </c>
      <c r="F1042" t="inlineStr">
        <is>
          <t>No</t>
        </is>
      </c>
      <c r="G1042" t="inlineStr">
        <is>
          <t>1</t>
        </is>
      </c>
      <c r="H1042" t="inlineStr">
        <is>
          <t>No</t>
        </is>
      </c>
      <c r="I1042" t="inlineStr">
        <is>
          <t>No</t>
        </is>
      </c>
      <c r="J1042" t="inlineStr">
        <is>
          <t>0</t>
        </is>
      </c>
      <c r="L1042" t="inlineStr">
        <is>
          <t>Baltimore : Maryland Historical Society, c1980.</t>
        </is>
      </c>
      <c r="M1042" t="inlineStr">
        <is>
          <t>1980</t>
        </is>
      </c>
      <c r="O1042" t="inlineStr">
        <is>
          <t>eng</t>
        </is>
      </c>
      <c r="P1042" t="inlineStr">
        <is>
          <t>mdu</t>
        </is>
      </c>
      <c r="R1042" t="inlineStr">
        <is>
          <t xml:space="preserve">E  </t>
        </is>
      </c>
      <c r="S1042" t="n">
        <v>0</v>
      </c>
      <c r="T1042" t="n">
        <v>0</v>
      </c>
      <c r="U1042" t="inlineStr">
        <is>
          <t>2003-12-11</t>
        </is>
      </c>
      <c r="V1042" t="inlineStr">
        <is>
          <t>2003-12-11</t>
        </is>
      </c>
      <c r="W1042" t="inlineStr">
        <is>
          <t>1991-10-24</t>
        </is>
      </c>
      <c r="X1042" t="inlineStr">
        <is>
          <t>1991-10-24</t>
        </is>
      </c>
      <c r="Y1042" t="n">
        <v>176</v>
      </c>
      <c r="Z1042" t="n">
        <v>165</v>
      </c>
      <c r="AA1042" t="n">
        <v>166</v>
      </c>
      <c r="AB1042" t="n">
        <v>2</v>
      </c>
      <c r="AC1042" t="n">
        <v>2</v>
      </c>
      <c r="AD1042" t="n">
        <v>10</v>
      </c>
      <c r="AE1042" t="n">
        <v>10</v>
      </c>
      <c r="AF1042" t="n">
        <v>3</v>
      </c>
      <c r="AG1042" t="n">
        <v>3</v>
      </c>
      <c r="AH1042" t="n">
        <v>6</v>
      </c>
      <c r="AI1042" t="n">
        <v>6</v>
      </c>
      <c r="AJ1042" t="n">
        <v>4</v>
      </c>
      <c r="AK1042" t="n">
        <v>4</v>
      </c>
      <c r="AL1042" t="n">
        <v>1</v>
      </c>
      <c r="AM1042" t="n">
        <v>1</v>
      </c>
      <c r="AN1042" t="n">
        <v>1</v>
      </c>
      <c r="AO1042" t="n">
        <v>1</v>
      </c>
      <c r="AP1042" t="inlineStr">
        <is>
          <t>No</t>
        </is>
      </c>
      <c r="AQ1042" t="inlineStr">
        <is>
          <t>No</t>
        </is>
      </c>
      <c r="AS1042">
        <f>HYPERLINK("https://creighton-primo.hosted.exlibrisgroup.com/primo-explore/search?tab=default_tab&amp;search_scope=EVERYTHING&amp;vid=01CRU&amp;lang=en_US&amp;offset=0&amp;query=any,contains,991005084759702656","Catalog Record")</f>
        <v/>
      </c>
      <c r="AT1042">
        <f>HYPERLINK("http://www.worldcat.org/oclc/7182055","WorldCat Record")</f>
        <v/>
      </c>
      <c r="AU1042" t="inlineStr">
        <is>
          <t>26345504:eng</t>
        </is>
      </c>
      <c r="AV1042" t="inlineStr">
        <is>
          <t>7182055</t>
        </is>
      </c>
      <c r="AW1042" t="inlineStr">
        <is>
          <t>991005084759702656</t>
        </is>
      </c>
      <c r="AX1042" t="inlineStr">
        <is>
          <t>991005084759702656</t>
        </is>
      </c>
      <c r="AY1042" t="inlineStr">
        <is>
          <t>2256473610002656</t>
        </is>
      </c>
      <c r="AZ1042" t="inlineStr">
        <is>
          <t>BOOK</t>
        </is>
      </c>
      <c r="BB1042" t="inlineStr">
        <is>
          <t>9780938420002</t>
        </is>
      </c>
      <c r="BC1042" t="inlineStr">
        <is>
          <t>32285000789411</t>
        </is>
      </c>
      <c r="BD1042" t="inlineStr">
        <is>
          <t>893412290</t>
        </is>
      </c>
    </row>
    <row r="1043">
      <c r="A1043" t="inlineStr">
        <is>
          <t>No</t>
        </is>
      </c>
      <c r="B1043" t="inlineStr">
        <is>
          <t>E302.6.F7 A23 1972</t>
        </is>
      </c>
      <c r="C1043" t="inlineStr">
        <is>
          <t>0                      E  0302600F  7                  A  23          1972</t>
        </is>
      </c>
      <c r="D1043" t="inlineStr">
        <is>
          <t>Benjamin Franklin : a biography in his own words / edited by Thomas Fleming. With an introd. by Whitfield J. Bell, Jr. Joan Paterson Kerr, picture editor.</t>
        </is>
      </c>
      <c r="F1043" t="inlineStr">
        <is>
          <t>No</t>
        </is>
      </c>
      <c r="G1043" t="inlineStr">
        <is>
          <t>1</t>
        </is>
      </c>
      <c r="H1043" t="inlineStr">
        <is>
          <t>No</t>
        </is>
      </c>
      <c r="I1043" t="inlineStr">
        <is>
          <t>No</t>
        </is>
      </c>
      <c r="J1043" t="inlineStr">
        <is>
          <t>0</t>
        </is>
      </c>
      <c r="K1043" t="inlineStr">
        <is>
          <t>Franklin, Benjamin, 1706-1790.</t>
        </is>
      </c>
      <c r="L1043" t="inlineStr">
        <is>
          <t>New York : Newsweek ; distributed by Harper &amp; Row, [1972]</t>
        </is>
      </c>
      <c r="M1043" t="inlineStr">
        <is>
          <t>1972</t>
        </is>
      </c>
      <c r="O1043" t="inlineStr">
        <is>
          <t>eng</t>
        </is>
      </c>
      <c r="P1043" t="inlineStr">
        <is>
          <t>nyu</t>
        </is>
      </c>
      <c r="Q1043" t="inlineStr">
        <is>
          <t>The Founding fathers</t>
        </is>
      </c>
      <c r="R1043" t="inlineStr">
        <is>
          <t xml:space="preserve">E  </t>
        </is>
      </c>
      <c r="S1043" t="n">
        <v>6</v>
      </c>
      <c r="T1043" t="n">
        <v>6</v>
      </c>
      <c r="U1043" t="inlineStr">
        <is>
          <t>1999-12-15</t>
        </is>
      </c>
      <c r="V1043" t="inlineStr">
        <is>
          <t>1999-12-15</t>
        </is>
      </c>
      <c r="W1043" t="inlineStr">
        <is>
          <t>1993-05-11</t>
        </is>
      </c>
      <c r="X1043" t="inlineStr">
        <is>
          <t>1993-05-11</t>
        </is>
      </c>
      <c r="Y1043" t="n">
        <v>1323</v>
      </c>
      <c r="Z1043" t="n">
        <v>1269</v>
      </c>
      <c r="AA1043" t="n">
        <v>1618</v>
      </c>
      <c r="AB1043" t="n">
        <v>11</v>
      </c>
      <c r="AC1043" t="n">
        <v>11</v>
      </c>
      <c r="AD1043" t="n">
        <v>27</v>
      </c>
      <c r="AE1043" t="n">
        <v>35</v>
      </c>
      <c r="AF1043" t="n">
        <v>13</v>
      </c>
      <c r="AG1043" t="n">
        <v>15</v>
      </c>
      <c r="AH1043" t="n">
        <v>9</v>
      </c>
      <c r="AI1043" t="n">
        <v>10</v>
      </c>
      <c r="AJ1043" t="n">
        <v>12</v>
      </c>
      <c r="AK1043" t="n">
        <v>17</v>
      </c>
      <c r="AL1043" t="n">
        <v>4</v>
      </c>
      <c r="AM1043" t="n">
        <v>4</v>
      </c>
      <c r="AN1043" t="n">
        <v>0</v>
      </c>
      <c r="AO1043" t="n">
        <v>0</v>
      </c>
      <c r="AP1043" t="inlineStr">
        <is>
          <t>No</t>
        </is>
      </c>
      <c r="AQ1043" t="inlineStr">
        <is>
          <t>Yes</t>
        </is>
      </c>
      <c r="AR1043">
        <f>HYPERLINK("http://catalog.hathitrust.org/Record/008317586","HathiTrust Record")</f>
        <v/>
      </c>
      <c r="AS1043">
        <f>HYPERLINK("https://creighton-primo.hosted.exlibrisgroup.com/primo-explore/search?tab=default_tab&amp;search_scope=EVERYTHING&amp;vid=01CRU&amp;lang=en_US&amp;offset=0&amp;query=any,contains,991002841759702656","Catalog Record")</f>
        <v/>
      </c>
      <c r="AT1043">
        <f>HYPERLINK("http://www.worldcat.org/oclc/482533","WorldCat Record")</f>
        <v/>
      </c>
      <c r="AU1043" t="inlineStr">
        <is>
          <t>3770269255:eng</t>
        </is>
      </c>
      <c r="AV1043" t="inlineStr">
        <is>
          <t>482533</t>
        </is>
      </c>
      <c r="AW1043" t="inlineStr">
        <is>
          <t>991002841759702656</t>
        </is>
      </c>
      <c r="AX1043" t="inlineStr">
        <is>
          <t>991002841759702656</t>
        </is>
      </c>
      <c r="AY1043" t="inlineStr">
        <is>
          <t>2258771380002656</t>
        </is>
      </c>
      <c r="AZ1043" t="inlineStr">
        <is>
          <t>BOOK</t>
        </is>
      </c>
      <c r="BB1043" t="inlineStr">
        <is>
          <t>9780060112868</t>
        </is>
      </c>
      <c r="BC1043" t="inlineStr">
        <is>
          <t>32285001653426</t>
        </is>
      </c>
      <c r="BD1043" t="inlineStr">
        <is>
          <t>893805117</t>
        </is>
      </c>
    </row>
    <row r="1044">
      <c r="A1044" t="inlineStr">
        <is>
          <t>No</t>
        </is>
      </c>
      <c r="B1044" t="inlineStr">
        <is>
          <t>E302.6.F8 A46</t>
        </is>
      </c>
      <c r="C1044" t="inlineStr">
        <is>
          <t>0                      E  0302600F  8                  A  46</t>
        </is>
      </c>
      <c r="D1044" t="inlineStr">
        <is>
          <t>Benjamin Franklin, philosopher &amp; man.</t>
        </is>
      </c>
      <c r="F1044" t="inlineStr">
        <is>
          <t>No</t>
        </is>
      </c>
      <c r="G1044" t="inlineStr">
        <is>
          <t>1</t>
        </is>
      </c>
      <c r="H1044" t="inlineStr">
        <is>
          <t>No</t>
        </is>
      </c>
      <c r="I1044" t="inlineStr">
        <is>
          <t>No</t>
        </is>
      </c>
      <c r="J1044" t="inlineStr">
        <is>
          <t>0</t>
        </is>
      </c>
      <c r="K1044" t="inlineStr">
        <is>
          <t>Aldridge, Alfred Owen, 1915-2005.</t>
        </is>
      </c>
      <c r="L1044" t="inlineStr">
        <is>
          <t>Philadelphia : Lippincott, [1965]</t>
        </is>
      </c>
      <c r="M1044" t="inlineStr">
        <is>
          <t>1965</t>
        </is>
      </c>
      <c r="N1044" t="inlineStr">
        <is>
          <t>[1st ed.]</t>
        </is>
      </c>
      <c r="O1044" t="inlineStr">
        <is>
          <t>eng</t>
        </is>
      </c>
      <c r="P1044" t="inlineStr">
        <is>
          <t>pau</t>
        </is>
      </c>
      <c r="R1044" t="inlineStr">
        <is>
          <t xml:space="preserve">E  </t>
        </is>
      </c>
      <c r="S1044" t="n">
        <v>5</v>
      </c>
      <c r="T1044" t="n">
        <v>5</v>
      </c>
      <c r="U1044" t="inlineStr">
        <is>
          <t>2001-09-19</t>
        </is>
      </c>
      <c r="V1044" t="inlineStr">
        <is>
          <t>2001-09-19</t>
        </is>
      </c>
      <c r="W1044" t="inlineStr">
        <is>
          <t>1992-04-20</t>
        </is>
      </c>
      <c r="X1044" t="inlineStr">
        <is>
          <t>1992-04-20</t>
        </is>
      </c>
      <c r="Y1044" t="n">
        <v>1046</v>
      </c>
      <c r="Z1044" t="n">
        <v>977</v>
      </c>
      <c r="AA1044" t="n">
        <v>985</v>
      </c>
      <c r="AB1044" t="n">
        <v>9</v>
      </c>
      <c r="AC1044" t="n">
        <v>9</v>
      </c>
      <c r="AD1044" t="n">
        <v>33</v>
      </c>
      <c r="AE1044" t="n">
        <v>33</v>
      </c>
      <c r="AF1044" t="n">
        <v>9</v>
      </c>
      <c r="AG1044" t="n">
        <v>9</v>
      </c>
      <c r="AH1044" t="n">
        <v>7</v>
      </c>
      <c r="AI1044" t="n">
        <v>7</v>
      </c>
      <c r="AJ1044" t="n">
        <v>17</v>
      </c>
      <c r="AK1044" t="n">
        <v>17</v>
      </c>
      <c r="AL1044" t="n">
        <v>7</v>
      </c>
      <c r="AM1044" t="n">
        <v>7</v>
      </c>
      <c r="AN1044" t="n">
        <v>0</v>
      </c>
      <c r="AO1044" t="n">
        <v>0</v>
      </c>
      <c r="AP1044" t="inlineStr">
        <is>
          <t>No</t>
        </is>
      </c>
      <c r="AQ1044" t="inlineStr">
        <is>
          <t>Yes</t>
        </is>
      </c>
      <c r="AR1044">
        <f>HYPERLINK("http://catalog.hathitrust.org/Record/000363191","HathiTrust Record")</f>
        <v/>
      </c>
      <c r="AS1044">
        <f>HYPERLINK("https://creighton-primo.hosted.exlibrisgroup.com/primo-explore/search?tab=default_tab&amp;search_scope=EVERYTHING&amp;vid=01CRU&amp;lang=en_US&amp;offset=0&amp;query=any,contains,991002858219702656","Catalog Record")</f>
        <v/>
      </c>
      <c r="AT1044">
        <f>HYPERLINK("http://www.worldcat.org/oclc/491560","WorldCat Record")</f>
        <v/>
      </c>
      <c r="AU1044" t="inlineStr">
        <is>
          <t>1583035:eng</t>
        </is>
      </c>
      <c r="AV1044" t="inlineStr">
        <is>
          <t>491560</t>
        </is>
      </c>
      <c r="AW1044" t="inlineStr">
        <is>
          <t>991002858219702656</t>
        </is>
      </c>
      <c r="AX1044" t="inlineStr">
        <is>
          <t>991002858219702656</t>
        </is>
      </c>
      <c r="AY1044" t="inlineStr">
        <is>
          <t>2259616500002656</t>
        </is>
      </c>
      <c r="AZ1044" t="inlineStr">
        <is>
          <t>BOOK</t>
        </is>
      </c>
      <c r="BC1044" t="inlineStr">
        <is>
          <t>32285001063238</t>
        </is>
      </c>
      <c r="BD1044" t="inlineStr">
        <is>
          <t>893498631</t>
        </is>
      </c>
    </row>
    <row r="1045">
      <c r="A1045" t="inlineStr">
        <is>
          <t>No</t>
        </is>
      </c>
      <c r="B1045" t="inlineStr">
        <is>
          <t>E302.6.F8 B79</t>
        </is>
      </c>
      <c r="C1045" t="inlineStr">
        <is>
          <t>0                      E  0302600F  8                  B  79</t>
        </is>
      </c>
      <c r="D1045" t="inlineStr">
        <is>
          <t>The most dangerous man in America : scenes from the life of Benjamin Franklin.</t>
        </is>
      </c>
      <c r="F1045" t="inlineStr">
        <is>
          <t>No</t>
        </is>
      </c>
      <c r="G1045" t="inlineStr">
        <is>
          <t>1</t>
        </is>
      </c>
      <c r="H1045" t="inlineStr">
        <is>
          <t>No</t>
        </is>
      </c>
      <c r="I1045" t="inlineStr">
        <is>
          <t>No</t>
        </is>
      </c>
      <c r="J1045" t="inlineStr">
        <is>
          <t>0</t>
        </is>
      </c>
      <c r="K1045" t="inlineStr">
        <is>
          <t>Bowen, Catherine Drinker, 1897-1973.</t>
        </is>
      </c>
      <c r="L1045" t="inlineStr">
        <is>
          <t>Boston : Little, Brown, [1974]</t>
        </is>
      </c>
      <c r="M1045" t="inlineStr">
        <is>
          <t>1974</t>
        </is>
      </c>
      <c r="N1045" t="inlineStr">
        <is>
          <t>[1st ed.]</t>
        </is>
      </c>
      <c r="O1045" t="inlineStr">
        <is>
          <t>eng</t>
        </is>
      </c>
      <c r="P1045" t="inlineStr">
        <is>
          <t>mau</t>
        </is>
      </c>
      <c r="R1045" t="inlineStr">
        <is>
          <t xml:space="preserve">E  </t>
        </is>
      </c>
      <c r="S1045" t="n">
        <v>1</v>
      </c>
      <c r="T1045" t="n">
        <v>1</v>
      </c>
      <c r="U1045" t="inlineStr">
        <is>
          <t>1995-03-24</t>
        </is>
      </c>
      <c r="V1045" t="inlineStr">
        <is>
          <t>1995-03-24</t>
        </is>
      </c>
      <c r="W1045" t="inlineStr">
        <is>
          <t>1992-12-02</t>
        </is>
      </c>
      <c r="X1045" t="inlineStr">
        <is>
          <t>1992-12-02</t>
        </is>
      </c>
      <c r="Y1045" t="n">
        <v>1962</v>
      </c>
      <c r="Z1045" t="n">
        <v>1886</v>
      </c>
      <c r="AA1045" t="n">
        <v>1924</v>
      </c>
      <c r="AB1045" t="n">
        <v>20</v>
      </c>
      <c r="AC1045" t="n">
        <v>20</v>
      </c>
      <c r="AD1045" t="n">
        <v>58</v>
      </c>
      <c r="AE1045" t="n">
        <v>58</v>
      </c>
      <c r="AF1045" t="n">
        <v>22</v>
      </c>
      <c r="AG1045" t="n">
        <v>22</v>
      </c>
      <c r="AH1045" t="n">
        <v>9</v>
      </c>
      <c r="AI1045" t="n">
        <v>9</v>
      </c>
      <c r="AJ1045" t="n">
        <v>23</v>
      </c>
      <c r="AK1045" t="n">
        <v>23</v>
      </c>
      <c r="AL1045" t="n">
        <v>13</v>
      </c>
      <c r="AM1045" t="n">
        <v>13</v>
      </c>
      <c r="AN1045" t="n">
        <v>4</v>
      </c>
      <c r="AO1045" t="n">
        <v>4</v>
      </c>
      <c r="AP1045" t="inlineStr">
        <is>
          <t>No</t>
        </is>
      </c>
      <c r="AQ1045" t="inlineStr">
        <is>
          <t>No</t>
        </is>
      </c>
      <c r="AS1045">
        <f>HYPERLINK("https://creighton-primo.hosted.exlibrisgroup.com/primo-explore/search?tab=default_tab&amp;search_scope=EVERYTHING&amp;vid=01CRU&amp;lang=en_US&amp;offset=0&amp;query=any,contains,991003386699702656","Catalog Record")</f>
        <v/>
      </c>
      <c r="AT1045">
        <f>HYPERLINK("http://www.worldcat.org/oclc/922916","WorldCat Record")</f>
        <v/>
      </c>
      <c r="AU1045" t="inlineStr">
        <is>
          <t>52610685:eng</t>
        </is>
      </c>
      <c r="AV1045" t="inlineStr">
        <is>
          <t>922916</t>
        </is>
      </c>
      <c r="AW1045" t="inlineStr">
        <is>
          <t>991003386699702656</t>
        </is>
      </c>
      <c r="AX1045" t="inlineStr">
        <is>
          <t>991003386699702656</t>
        </is>
      </c>
      <c r="AY1045" t="inlineStr">
        <is>
          <t>2264735480002656</t>
        </is>
      </c>
      <c r="AZ1045" t="inlineStr">
        <is>
          <t>BOOK</t>
        </is>
      </c>
      <c r="BB1045" t="inlineStr">
        <is>
          <t>9780316103961</t>
        </is>
      </c>
      <c r="BC1045" t="inlineStr">
        <is>
          <t>32285001411452</t>
        </is>
      </c>
      <c r="BD1045" t="inlineStr">
        <is>
          <t>893342520</t>
        </is>
      </c>
    </row>
    <row r="1046">
      <c r="A1046" t="inlineStr">
        <is>
          <t>No</t>
        </is>
      </c>
      <c r="B1046" t="inlineStr">
        <is>
          <t>E302.6.F8 B94</t>
        </is>
      </c>
      <c r="C1046" t="inlineStr">
        <is>
          <t>0                      E  0302600F  8                  B  94</t>
        </is>
      </c>
      <c r="D1046" t="inlineStr">
        <is>
          <t>Benjamin Franklin and the zealous Presbyterians [by] Melvin H. Buxbaum.</t>
        </is>
      </c>
      <c r="F1046" t="inlineStr">
        <is>
          <t>No</t>
        </is>
      </c>
      <c r="G1046" t="inlineStr">
        <is>
          <t>1</t>
        </is>
      </c>
      <c r="H1046" t="inlineStr">
        <is>
          <t>No</t>
        </is>
      </c>
      <c r="I1046" t="inlineStr">
        <is>
          <t>No</t>
        </is>
      </c>
      <c r="J1046" t="inlineStr">
        <is>
          <t>0</t>
        </is>
      </c>
      <c r="K1046" t="inlineStr">
        <is>
          <t>Buxbaum, Melvin H.</t>
        </is>
      </c>
      <c r="L1046" t="inlineStr">
        <is>
          <t>University Park, Pennsylvania State University Press [1975]</t>
        </is>
      </c>
      <c r="M1046" t="inlineStr">
        <is>
          <t>1975</t>
        </is>
      </c>
      <c r="O1046" t="inlineStr">
        <is>
          <t>eng</t>
        </is>
      </c>
      <c r="P1046" t="inlineStr">
        <is>
          <t>pau</t>
        </is>
      </c>
      <c r="R1046" t="inlineStr">
        <is>
          <t xml:space="preserve">E  </t>
        </is>
      </c>
      <c r="S1046" t="n">
        <v>2</v>
      </c>
      <c r="T1046" t="n">
        <v>2</v>
      </c>
      <c r="U1046" t="inlineStr">
        <is>
          <t>2001-09-19</t>
        </is>
      </c>
      <c r="V1046" t="inlineStr">
        <is>
          <t>2001-09-19</t>
        </is>
      </c>
      <c r="W1046" t="inlineStr">
        <is>
          <t>1997-05-07</t>
        </is>
      </c>
      <c r="X1046" t="inlineStr">
        <is>
          <t>1997-05-07</t>
        </is>
      </c>
      <c r="Y1046" t="n">
        <v>551</v>
      </c>
      <c r="Z1046" t="n">
        <v>497</v>
      </c>
      <c r="AA1046" t="n">
        <v>506</v>
      </c>
      <c r="AB1046" t="n">
        <v>4</v>
      </c>
      <c r="AC1046" t="n">
        <v>4</v>
      </c>
      <c r="AD1046" t="n">
        <v>17</v>
      </c>
      <c r="AE1046" t="n">
        <v>17</v>
      </c>
      <c r="AF1046" t="n">
        <v>4</v>
      </c>
      <c r="AG1046" t="n">
        <v>4</v>
      </c>
      <c r="AH1046" t="n">
        <v>5</v>
      </c>
      <c r="AI1046" t="n">
        <v>5</v>
      </c>
      <c r="AJ1046" t="n">
        <v>11</v>
      </c>
      <c r="AK1046" t="n">
        <v>11</v>
      </c>
      <c r="AL1046" t="n">
        <v>3</v>
      </c>
      <c r="AM1046" t="n">
        <v>3</v>
      </c>
      <c r="AN1046" t="n">
        <v>0</v>
      </c>
      <c r="AO1046" t="n">
        <v>0</v>
      </c>
      <c r="AP1046" t="inlineStr">
        <is>
          <t>No</t>
        </is>
      </c>
      <c r="AQ1046" t="inlineStr">
        <is>
          <t>Yes</t>
        </is>
      </c>
      <c r="AR1046">
        <f>HYPERLINK("http://catalog.hathitrust.org/Record/000016506","HathiTrust Record")</f>
        <v/>
      </c>
      <c r="AS1046">
        <f>HYPERLINK("https://creighton-primo.hosted.exlibrisgroup.com/primo-explore/search?tab=default_tab&amp;search_scope=EVERYTHING&amp;vid=01CRU&amp;lang=en_US&amp;offset=0&amp;query=any,contains,991003466679702656","Catalog Record")</f>
        <v/>
      </c>
      <c r="AT1046">
        <f>HYPERLINK("http://www.worldcat.org/oclc/1008230","WorldCat Record")</f>
        <v/>
      </c>
      <c r="AU1046" t="inlineStr">
        <is>
          <t>431034:eng</t>
        </is>
      </c>
      <c r="AV1046" t="inlineStr">
        <is>
          <t>1008230</t>
        </is>
      </c>
      <c r="AW1046" t="inlineStr">
        <is>
          <t>991003466679702656</t>
        </is>
      </c>
      <c r="AX1046" t="inlineStr">
        <is>
          <t>991003466679702656</t>
        </is>
      </c>
      <c r="AY1046" t="inlineStr">
        <is>
          <t>2263198680002656</t>
        </is>
      </c>
      <c r="AZ1046" t="inlineStr">
        <is>
          <t>BOOK</t>
        </is>
      </c>
      <c r="BB1046" t="inlineStr">
        <is>
          <t>9780271011769</t>
        </is>
      </c>
      <c r="BC1046" t="inlineStr">
        <is>
          <t>32285002617818</t>
        </is>
      </c>
      <c r="BD1046" t="inlineStr">
        <is>
          <t>893874775</t>
        </is>
      </c>
    </row>
    <row r="1047">
      <c r="A1047" t="inlineStr">
        <is>
          <t>No</t>
        </is>
      </c>
      <c r="B1047" t="inlineStr">
        <is>
          <t>E302.6.F8 C28</t>
        </is>
      </c>
      <c r="C1047" t="inlineStr">
        <is>
          <t>0                      E  0302600F  8                  C  28</t>
        </is>
      </c>
      <c r="D1047" t="inlineStr">
        <is>
          <t>Franklin's economic views / by Lewis J. Carey.</t>
        </is>
      </c>
      <c r="F1047" t="inlineStr">
        <is>
          <t>No</t>
        </is>
      </c>
      <c r="G1047" t="inlineStr">
        <is>
          <t>1</t>
        </is>
      </c>
      <c r="H1047" t="inlineStr">
        <is>
          <t>No</t>
        </is>
      </c>
      <c r="I1047" t="inlineStr">
        <is>
          <t>No</t>
        </is>
      </c>
      <c r="J1047" t="inlineStr">
        <is>
          <t>0</t>
        </is>
      </c>
      <c r="K1047" t="inlineStr">
        <is>
          <t>Carey, Lewis J. (Lewis James)</t>
        </is>
      </c>
      <c r="L1047" t="inlineStr">
        <is>
          <t>Garden City, N.Y. : Doubleday, Doran &amp; Co., inc., 1928.</t>
        </is>
      </c>
      <c r="M1047" t="inlineStr">
        <is>
          <t>1928</t>
        </is>
      </c>
      <c r="N1047" t="inlineStr">
        <is>
          <t>[1st ed.]</t>
        </is>
      </c>
      <c r="O1047" t="inlineStr">
        <is>
          <t>eng</t>
        </is>
      </c>
      <c r="P1047" t="inlineStr">
        <is>
          <t>nyu</t>
        </is>
      </c>
      <c r="Q1047" t="inlineStr">
        <is>
          <t>Franklin monographs</t>
        </is>
      </c>
      <c r="R1047" t="inlineStr">
        <is>
          <t xml:space="preserve">E  </t>
        </is>
      </c>
      <c r="S1047" t="n">
        <v>4</v>
      </c>
      <c r="T1047" t="n">
        <v>4</v>
      </c>
      <c r="U1047" t="inlineStr">
        <is>
          <t>1993-10-13</t>
        </is>
      </c>
      <c r="V1047" t="inlineStr">
        <is>
          <t>1993-10-13</t>
        </is>
      </c>
      <c r="W1047" t="inlineStr">
        <is>
          <t>1992-02-19</t>
        </is>
      </c>
      <c r="X1047" t="inlineStr">
        <is>
          <t>1992-02-19</t>
        </is>
      </c>
      <c r="Y1047" t="n">
        <v>177</v>
      </c>
      <c r="Z1047" t="n">
        <v>168</v>
      </c>
      <c r="AA1047" t="n">
        <v>173</v>
      </c>
      <c r="AB1047" t="n">
        <v>3</v>
      </c>
      <c r="AC1047" t="n">
        <v>3</v>
      </c>
      <c r="AD1047" t="n">
        <v>13</v>
      </c>
      <c r="AE1047" t="n">
        <v>13</v>
      </c>
      <c r="AF1047" t="n">
        <v>2</v>
      </c>
      <c r="AG1047" t="n">
        <v>2</v>
      </c>
      <c r="AH1047" t="n">
        <v>3</v>
      </c>
      <c r="AI1047" t="n">
        <v>3</v>
      </c>
      <c r="AJ1047" t="n">
        <v>9</v>
      </c>
      <c r="AK1047" t="n">
        <v>9</v>
      </c>
      <c r="AL1047" t="n">
        <v>2</v>
      </c>
      <c r="AM1047" t="n">
        <v>2</v>
      </c>
      <c r="AN1047" t="n">
        <v>0</v>
      </c>
      <c r="AO1047" t="n">
        <v>0</v>
      </c>
      <c r="AP1047" t="inlineStr">
        <is>
          <t>Yes</t>
        </is>
      </c>
      <c r="AQ1047" t="inlineStr">
        <is>
          <t>No</t>
        </is>
      </c>
      <c r="AR1047">
        <f>HYPERLINK("http://catalog.hathitrust.org/Record/000366257","HathiTrust Record")</f>
        <v/>
      </c>
      <c r="AS1047">
        <f>HYPERLINK("https://creighton-primo.hosted.exlibrisgroup.com/primo-explore/search?tab=default_tab&amp;search_scope=EVERYTHING&amp;vid=01CRU&amp;lang=en_US&amp;offset=0&amp;query=any,contains,991004531989702656","Catalog Record")</f>
        <v/>
      </c>
      <c r="AT1047">
        <f>HYPERLINK("http://www.worldcat.org/oclc/3852668","WorldCat Record")</f>
        <v/>
      </c>
      <c r="AU1047" t="inlineStr">
        <is>
          <t>12436470:eng</t>
        </is>
      </c>
      <c r="AV1047" t="inlineStr">
        <is>
          <t>3852668</t>
        </is>
      </c>
      <c r="AW1047" t="inlineStr">
        <is>
          <t>991004531989702656</t>
        </is>
      </c>
      <c r="AX1047" t="inlineStr">
        <is>
          <t>991004531989702656</t>
        </is>
      </c>
      <c r="AY1047" t="inlineStr">
        <is>
          <t>2267693180002656</t>
        </is>
      </c>
      <c r="AZ1047" t="inlineStr">
        <is>
          <t>BOOK</t>
        </is>
      </c>
      <c r="BC1047" t="inlineStr">
        <is>
          <t>32285000971316</t>
        </is>
      </c>
      <c r="BD1047" t="inlineStr">
        <is>
          <t>893869819</t>
        </is>
      </c>
    </row>
    <row r="1048">
      <c r="A1048" t="inlineStr">
        <is>
          <t>No</t>
        </is>
      </c>
      <c r="B1048" t="inlineStr">
        <is>
          <t>E302.6.F8 C54 1983</t>
        </is>
      </c>
      <c r="C1048" t="inlineStr">
        <is>
          <t>0                      E  0302600F  8                  C  54          1983</t>
        </is>
      </c>
      <c r="D1048" t="inlineStr">
        <is>
          <t>Benjamin Franklin : a biography / Ronald W. Clark.</t>
        </is>
      </c>
      <c r="F1048" t="inlineStr">
        <is>
          <t>No</t>
        </is>
      </c>
      <c r="G1048" t="inlineStr">
        <is>
          <t>1</t>
        </is>
      </c>
      <c r="H1048" t="inlineStr">
        <is>
          <t>No</t>
        </is>
      </c>
      <c r="I1048" t="inlineStr">
        <is>
          <t>No</t>
        </is>
      </c>
      <c r="J1048" t="inlineStr">
        <is>
          <t>0</t>
        </is>
      </c>
      <c r="K1048" t="inlineStr">
        <is>
          <t>Clark, Ronald (Ronald William), 1916-1987.</t>
        </is>
      </c>
      <c r="L1048" t="inlineStr">
        <is>
          <t>New York : Random House, c1983.</t>
        </is>
      </c>
      <c r="M1048" t="inlineStr">
        <is>
          <t>1983</t>
        </is>
      </c>
      <c r="O1048" t="inlineStr">
        <is>
          <t>eng</t>
        </is>
      </c>
      <c r="P1048" t="inlineStr">
        <is>
          <t>nyu</t>
        </is>
      </c>
      <c r="R1048" t="inlineStr">
        <is>
          <t xml:space="preserve">E  </t>
        </is>
      </c>
      <c r="S1048" t="n">
        <v>6</v>
      </c>
      <c r="T1048" t="n">
        <v>6</v>
      </c>
      <c r="U1048" t="inlineStr">
        <is>
          <t>1993-11-10</t>
        </is>
      </c>
      <c r="V1048" t="inlineStr">
        <is>
          <t>1993-11-10</t>
        </is>
      </c>
      <c r="W1048" t="inlineStr">
        <is>
          <t>1991-04-10</t>
        </is>
      </c>
      <c r="X1048" t="inlineStr">
        <is>
          <t>1991-04-10</t>
        </is>
      </c>
      <c r="Y1048" t="n">
        <v>1715</v>
      </c>
      <c r="Z1048" t="n">
        <v>1634</v>
      </c>
      <c r="AA1048" t="n">
        <v>1818</v>
      </c>
      <c r="AB1048" t="n">
        <v>10</v>
      </c>
      <c r="AC1048" t="n">
        <v>12</v>
      </c>
      <c r="AD1048" t="n">
        <v>45</v>
      </c>
      <c r="AE1048" t="n">
        <v>47</v>
      </c>
      <c r="AF1048" t="n">
        <v>20</v>
      </c>
      <c r="AG1048" t="n">
        <v>20</v>
      </c>
      <c r="AH1048" t="n">
        <v>8</v>
      </c>
      <c r="AI1048" t="n">
        <v>8</v>
      </c>
      <c r="AJ1048" t="n">
        <v>23</v>
      </c>
      <c r="AK1048" t="n">
        <v>25</v>
      </c>
      <c r="AL1048" t="n">
        <v>6</v>
      </c>
      <c r="AM1048" t="n">
        <v>6</v>
      </c>
      <c r="AN1048" t="n">
        <v>0</v>
      </c>
      <c r="AO1048" t="n">
        <v>0</v>
      </c>
      <c r="AP1048" t="inlineStr">
        <is>
          <t>No</t>
        </is>
      </c>
      <c r="AQ1048" t="inlineStr">
        <is>
          <t>Yes</t>
        </is>
      </c>
      <c r="AR1048">
        <f>HYPERLINK("http://catalog.hathitrust.org/Record/000770139","HathiTrust Record")</f>
        <v/>
      </c>
      <c r="AS1048">
        <f>HYPERLINK("https://creighton-primo.hosted.exlibrisgroup.com/primo-explore/search?tab=default_tab&amp;search_scope=EVERYTHING&amp;vid=01CRU&amp;lang=en_US&amp;offset=0&amp;query=any,contains,991005250869702656","Catalog Record")</f>
        <v/>
      </c>
      <c r="AT1048">
        <f>HYPERLINK("http://www.worldcat.org/oclc/8493148","WorldCat Record")</f>
        <v/>
      </c>
      <c r="AU1048" t="inlineStr">
        <is>
          <t>462736:eng</t>
        </is>
      </c>
      <c r="AV1048" t="inlineStr">
        <is>
          <t>8493148</t>
        </is>
      </c>
      <c r="AW1048" t="inlineStr">
        <is>
          <t>991005250869702656</t>
        </is>
      </c>
      <c r="AX1048" t="inlineStr">
        <is>
          <t>991005250869702656</t>
        </is>
      </c>
      <c r="AY1048" t="inlineStr">
        <is>
          <t>2261662610002656</t>
        </is>
      </c>
      <c r="AZ1048" t="inlineStr">
        <is>
          <t>BOOK</t>
        </is>
      </c>
      <c r="BB1048" t="inlineStr">
        <is>
          <t>9780394502229</t>
        </is>
      </c>
      <c r="BC1048" t="inlineStr">
        <is>
          <t>32285000542687</t>
        </is>
      </c>
      <c r="BD1048" t="inlineStr">
        <is>
          <t>893607078</t>
        </is>
      </c>
    </row>
    <row r="1049">
      <c r="A1049" t="inlineStr">
        <is>
          <t>No</t>
        </is>
      </c>
      <c r="B1049" t="inlineStr">
        <is>
          <t>E302.6.F8 C72 1980</t>
        </is>
      </c>
      <c r="C1049" t="inlineStr">
        <is>
          <t>0                      E  0302600F  8                  C  72          1980</t>
        </is>
      </c>
      <c r="D1049" t="inlineStr">
        <is>
          <t>Poor Richard's politicks : Benjamin Franklin and his new American order / Paul W. Conner.</t>
        </is>
      </c>
      <c r="F1049" t="inlineStr">
        <is>
          <t>No</t>
        </is>
      </c>
      <c r="G1049" t="inlineStr">
        <is>
          <t>1</t>
        </is>
      </c>
      <c r="H1049" t="inlineStr">
        <is>
          <t>No</t>
        </is>
      </c>
      <c r="I1049" t="inlineStr">
        <is>
          <t>Yes</t>
        </is>
      </c>
      <c r="J1049" t="inlineStr">
        <is>
          <t>0</t>
        </is>
      </c>
      <c r="K1049" t="inlineStr">
        <is>
          <t>Conner, Paul W.</t>
        </is>
      </c>
      <c r="L1049" t="inlineStr">
        <is>
          <t>Westport, Conn. : Greenwood Press, 1980, c1965.</t>
        </is>
      </c>
      <c r="M1049" t="inlineStr">
        <is>
          <t>1980</t>
        </is>
      </c>
      <c r="O1049" t="inlineStr">
        <is>
          <t>eng</t>
        </is>
      </c>
      <c r="P1049" t="inlineStr">
        <is>
          <t>ctu</t>
        </is>
      </c>
      <c r="R1049" t="inlineStr">
        <is>
          <t xml:space="preserve">E  </t>
        </is>
      </c>
      <c r="S1049" t="n">
        <v>2</v>
      </c>
      <c r="T1049" t="n">
        <v>2</v>
      </c>
      <c r="U1049" t="inlineStr">
        <is>
          <t>1993-11-05</t>
        </is>
      </c>
      <c r="V1049" t="inlineStr">
        <is>
          <t>1993-11-05</t>
        </is>
      </c>
      <c r="W1049" t="inlineStr">
        <is>
          <t>1991-04-10</t>
        </is>
      </c>
      <c r="X1049" t="inlineStr">
        <is>
          <t>1991-04-10</t>
        </is>
      </c>
      <c r="Y1049" t="n">
        <v>74</v>
      </c>
      <c r="Z1049" t="n">
        <v>71</v>
      </c>
      <c r="AA1049" t="n">
        <v>939</v>
      </c>
      <c r="AB1049" t="n">
        <v>1</v>
      </c>
      <c r="AC1049" t="n">
        <v>5</v>
      </c>
      <c r="AD1049" t="n">
        <v>3</v>
      </c>
      <c r="AE1049" t="n">
        <v>40</v>
      </c>
      <c r="AF1049" t="n">
        <v>3</v>
      </c>
      <c r="AG1049" t="n">
        <v>18</v>
      </c>
      <c r="AH1049" t="n">
        <v>1</v>
      </c>
      <c r="AI1049" t="n">
        <v>8</v>
      </c>
      <c r="AJ1049" t="n">
        <v>0</v>
      </c>
      <c r="AK1049" t="n">
        <v>20</v>
      </c>
      <c r="AL1049" t="n">
        <v>0</v>
      </c>
      <c r="AM1049" t="n">
        <v>4</v>
      </c>
      <c r="AN1049" t="n">
        <v>0</v>
      </c>
      <c r="AO1049" t="n">
        <v>2</v>
      </c>
      <c r="AP1049" t="inlineStr">
        <is>
          <t>No</t>
        </is>
      </c>
      <c r="AQ1049" t="inlineStr">
        <is>
          <t>Yes</t>
        </is>
      </c>
      <c r="AR1049">
        <f>HYPERLINK("http://catalog.hathitrust.org/Record/007073919","HathiTrust Record")</f>
        <v/>
      </c>
      <c r="AS1049">
        <f>HYPERLINK("https://creighton-primo.hosted.exlibrisgroup.com/primo-explore/search?tab=default_tab&amp;search_scope=EVERYTHING&amp;vid=01CRU&amp;lang=en_US&amp;offset=0&amp;query=any,contains,991005027479702656","Catalog Record")</f>
        <v/>
      </c>
      <c r="AT1049">
        <f>HYPERLINK("http://www.worldcat.org/oclc/6707427","WorldCat Record")</f>
        <v/>
      </c>
      <c r="AU1049" t="inlineStr">
        <is>
          <t>446528:eng</t>
        </is>
      </c>
      <c r="AV1049" t="inlineStr">
        <is>
          <t>6707427</t>
        </is>
      </c>
      <c r="AW1049" t="inlineStr">
        <is>
          <t>991005027479702656</t>
        </is>
      </c>
      <c r="AX1049" t="inlineStr">
        <is>
          <t>991005027479702656</t>
        </is>
      </c>
      <c r="AY1049" t="inlineStr">
        <is>
          <t>2257619760002656</t>
        </is>
      </c>
      <c r="AZ1049" t="inlineStr">
        <is>
          <t>BOOK</t>
        </is>
      </c>
      <c r="BB1049" t="inlineStr">
        <is>
          <t>9780313226953</t>
        </is>
      </c>
      <c r="BC1049" t="inlineStr">
        <is>
          <t>32285000542695</t>
        </is>
      </c>
      <c r="BD1049" t="inlineStr">
        <is>
          <t>893242090</t>
        </is>
      </c>
    </row>
    <row r="1050">
      <c r="A1050" t="inlineStr">
        <is>
          <t>No</t>
        </is>
      </c>
      <c r="B1050" t="inlineStr">
        <is>
          <t>E302.6.F8 C8 1978</t>
        </is>
      </c>
      <c r="C1050" t="inlineStr">
        <is>
          <t>0                      E  0302600F  8                  C  8           1978</t>
        </is>
      </c>
      <c r="D1050" t="inlineStr">
        <is>
          <t>Road to revolution : Benjamin Franklin in England, 1765-1775 / Cecil B. Currey.</t>
        </is>
      </c>
      <c r="F1050" t="inlineStr">
        <is>
          <t>No</t>
        </is>
      </c>
      <c r="G1050" t="inlineStr">
        <is>
          <t>1</t>
        </is>
      </c>
      <c r="H1050" t="inlineStr">
        <is>
          <t>No</t>
        </is>
      </c>
      <c r="I1050" t="inlineStr">
        <is>
          <t>Yes</t>
        </is>
      </c>
      <c r="J1050" t="inlineStr">
        <is>
          <t>0</t>
        </is>
      </c>
      <c r="K1050" t="inlineStr">
        <is>
          <t>Currey, Cecil B.</t>
        </is>
      </c>
      <c r="L1050" t="inlineStr">
        <is>
          <t>Gloucester, Mass. : Peter Smith, 1978.</t>
        </is>
      </c>
      <c r="M1050" t="inlineStr">
        <is>
          <t>1978</t>
        </is>
      </c>
      <c r="N1050" t="inlineStr">
        <is>
          <t>2d ed.</t>
        </is>
      </c>
      <c r="O1050" t="inlineStr">
        <is>
          <t>eng</t>
        </is>
      </c>
      <c r="P1050" t="inlineStr">
        <is>
          <t>mau</t>
        </is>
      </c>
      <c r="R1050" t="inlineStr">
        <is>
          <t xml:space="preserve">E  </t>
        </is>
      </c>
      <c r="S1050" t="n">
        <v>2</v>
      </c>
      <c r="T1050" t="n">
        <v>2</v>
      </c>
      <c r="U1050" t="inlineStr">
        <is>
          <t>1992-03-28</t>
        </is>
      </c>
      <c r="V1050" t="inlineStr">
        <is>
          <t>1992-03-28</t>
        </is>
      </c>
      <c r="W1050" t="inlineStr">
        <is>
          <t>1991-05-29</t>
        </is>
      </c>
      <c r="X1050" t="inlineStr">
        <is>
          <t>1991-05-29</t>
        </is>
      </c>
      <c r="Y1050" t="n">
        <v>107</v>
      </c>
      <c r="Z1050" t="n">
        <v>101</v>
      </c>
      <c r="AA1050" t="n">
        <v>504</v>
      </c>
      <c r="AB1050" t="n">
        <v>1</v>
      </c>
      <c r="AC1050" t="n">
        <v>5</v>
      </c>
      <c r="AD1050" t="n">
        <v>5</v>
      </c>
      <c r="AE1050" t="n">
        <v>25</v>
      </c>
      <c r="AF1050" t="n">
        <v>1</v>
      </c>
      <c r="AG1050" t="n">
        <v>9</v>
      </c>
      <c r="AH1050" t="n">
        <v>3</v>
      </c>
      <c r="AI1050" t="n">
        <v>6</v>
      </c>
      <c r="AJ1050" t="n">
        <v>2</v>
      </c>
      <c r="AK1050" t="n">
        <v>13</v>
      </c>
      <c r="AL1050" t="n">
        <v>0</v>
      </c>
      <c r="AM1050" t="n">
        <v>3</v>
      </c>
      <c r="AN1050" t="n">
        <v>0</v>
      </c>
      <c r="AO1050" t="n">
        <v>0</v>
      </c>
      <c r="AP1050" t="inlineStr">
        <is>
          <t>No</t>
        </is>
      </c>
      <c r="AQ1050" t="inlineStr">
        <is>
          <t>Yes</t>
        </is>
      </c>
      <c r="AR1050">
        <f>HYPERLINK("http://catalog.hathitrust.org/Record/003443563","HathiTrust Record")</f>
        <v/>
      </c>
      <c r="AS1050">
        <f>HYPERLINK("https://creighton-primo.hosted.exlibrisgroup.com/primo-explore/search?tab=default_tab&amp;search_scope=EVERYTHING&amp;vid=01CRU&amp;lang=en_US&amp;offset=0&amp;query=any,contains,991004697419702656","Catalog Record")</f>
        <v/>
      </c>
      <c r="AT1050">
        <f>HYPERLINK("http://www.worldcat.org/oclc/4645543","WorldCat Record")</f>
        <v/>
      </c>
      <c r="AU1050" t="inlineStr">
        <is>
          <t>581768:eng</t>
        </is>
      </c>
      <c r="AV1050" t="inlineStr">
        <is>
          <t>4645543</t>
        </is>
      </c>
      <c r="AW1050" t="inlineStr">
        <is>
          <t>991004697419702656</t>
        </is>
      </c>
      <c r="AX1050" t="inlineStr">
        <is>
          <t>991004697419702656</t>
        </is>
      </c>
      <c r="AY1050" t="inlineStr">
        <is>
          <t>2258972300002656</t>
        </is>
      </c>
      <c r="AZ1050" t="inlineStr">
        <is>
          <t>BOOK</t>
        </is>
      </c>
      <c r="BC1050" t="inlineStr">
        <is>
          <t>32285000590207</t>
        </is>
      </c>
      <c r="BD1050" t="inlineStr">
        <is>
          <t>893612663</t>
        </is>
      </c>
    </row>
    <row r="1051">
      <c r="A1051" t="inlineStr">
        <is>
          <t>No</t>
        </is>
      </c>
      <c r="B1051" t="inlineStr">
        <is>
          <t>E302.6.F8 L82 1975</t>
        </is>
      </c>
      <c r="C1051" t="inlineStr">
        <is>
          <t>0                      E  0302600F  8                  L  82          1975</t>
        </is>
      </c>
      <c r="D1051" t="inlineStr">
        <is>
          <t>The private Franklin : the man and his family / by Claude-Anne Lopez and Eugenia W. Herbert.</t>
        </is>
      </c>
      <c r="F1051" t="inlineStr">
        <is>
          <t>No</t>
        </is>
      </c>
      <c r="G1051" t="inlineStr">
        <is>
          <t>1</t>
        </is>
      </c>
      <c r="H1051" t="inlineStr">
        <is>
          <t>No</t>
        </is>
      </c>
      <c r="I1051" t="inlineStr">
        <is>
          <t>No</t>
        </is>
      </c>
      <c r="J1051" t="inlineStr">
        <is>
          <t>0</t>
        </is>
      </c>
      <c r="K1051" t="inlineStr">
        <is>
          <t>Lopez, Claude-Anne, 1920-2012.</t>
        </is>
      </c>
      <c r="L1051" t="inlineStr">
        <is>
          <t>New York : Norton, [1975]</t>
        </is>
      </c>
      <c r="M1051" t="inlineStr">
        <is>
          <t>1975</t>
        </is>
      </c>
      <c r="N1051" t="inlineStr">
        <is>
          <t>1st ed.</t>
        </is>
      </c>
      <c r="O1051" t="inlineStr">
        <is>
          <t>eng</t>
        </is>
      </c>
      <c r="P1051" t="inlineStr">
        <is>
          <t>nyu</t>
        </is>
      </c>
      <c r="R1051" t="inlineStr">
        <is>
          <t xml:space="preserve">E  </t>
        </is>
      </c>
      <c r="S1051" t="n">
        <v>2</v>
      </c>
      <c r="T1051" t="n">
        <v>2</v>
      </c>
      <c r="U1051" t="inlineStr">
        <is>
          <t>2001-09-19</t>
        </is>
      </c>
      <c r="V1051" t="inlineStr">
        <is>
          <t>2001-09-19</t>
        </is>
      </c>
      <c r="W1051" t="inlineStr">
        <is>
          <t>1991-10-07</t>
        </is>
      </c>
      <c r="X1051" t="inlineStr">
        <is>
          <t>1991-10-07</t>
        </is>
      </c>
      <c r="Y1051" t="n">
        <v>1379</v>
      </c>
      <c r="Z1051" t="n">
        <v>1313</v>
      </c>
      <c r="AA1051" t="n">
        <v>1416</v>
      </c>
      <c r="AB1051" t="n">
        <v>8</v>
      </c>
      <c r="AC1051" t="n">
        <v>8</v>
      </c>
      <c r="AD1051" t="n">
        <v>33</v>
      </c>
      <c r="AE1051" t="n">
        <v>37</v>
      </c>
      <c r="AF1051" t="n">
        <v>12</v>
      </c>
      <c r="AG1051" t="n">
        <v>15</v>
      </c>
      <c r="AH1051" t="n">
        <v>10</v>
      </c>
      <c r="AI1051" t="n">
        <v>11</v>
      </c>
      <c r="AJ1051" t="n">
        <v>13</v>
      </c>
      <c r="AK1051" t="n">
        <v>16</v>
      </c>
      <c r="AL1051" t="n">
        <v>6</v>
      </c>
      <c r="AM1051" t="n">
        <v>6</v>
      </c>
      <c r="AN1051" t="n">
        <v>0</v>
      </c>
      <c r="AO1051" t="n">
        <v>0</v>
      </c>
      <c r="AP1051" t="inlineStr">
        <is>
          <t>No</t>
        </is>
      </c>
      <c r="AQ1051" t="inlineStr">
        <is>
          <t>No</t>
        </is>
      </c>
      <c r="AS1051">
        <f>HYPERLINK("https://creighton-primo.hosted.exlibrisgroup.com/primo-explore/search?tab=default_tab&amp;search_scope=EVERYTHING&amp;vid=01CRU&amp;lang=en_US&amp;offset=0&amp;query=any,contains,991003786459702656","Catalog Record")</f>
        <v/>
      </c>
      <c r="AT1051">
        <f>HYPERLINK("http://www.worldcat.org/oclc/1502331","WorldCat Record")</f>
        <v/>
      </c>
      <c r="AU1051" t="inlineStr">
        <is>
          <t>796370714:eng</t>
        </is>
      </c>
      <c r="AV1051" t="inlineStr">
        <is>
          <t>1502331</t>
        </is>
      </c>
      <c r="AW1051" t="inlineStr">
        <is>
          <t>991003786459702656</t>
        </is>
      </c>
      <c r="AX1051" t="inlineStr">
        <is>
          <t>991003786459702656</t>
        </is>
      </c>
      <c r="AY1051" t="inlineStr">
        <is>
          <t>2263404180002656</t>
        </is>
      </c>
      <c r="AZ1051" t="inlineStr">
        <is>
          <t>BOOK</t>
        </is>
      </c>
      <c r="BB1051" t="inlineStr">
        <is>
          <t>9780393074963</t>
        </is>
      </c>
      <c r="BC1051" t="inlineStr">
        <is>
          <t>32285000772417</t>
        </is>
      </c>
      <c r="BD1051" t="inlineStr">
        <is>
          <t>893705633</t>
        </is>
      </c>
    </row>
    <row r="1052">
      <c r="A1052" t="inlineStr">
        <is>
          <t>No</t>
        </is>
      </c>
      <c r="B1052" t="inlineStr">
        <is>
          <t>E302.6.F8 R9</t>
        </is>
      </c>
      <c r="C1052" t="inlineStr">
        <is>
          <t>0                      E  0302600F  8                  R  9</t>
        </is>
      </c>
      <c r="D1052" t="inlineStr">
        <is>
          <t>Benjamin Franklin, the first civilized American / [by] Phillips Russell.</t>
        </is>
      </c>
      <c r="F1052" t="inlineStr">
        <is>
          <t>No</t>
        </is>
      </c>
      <c r="G1052" t="inlineStr">
        <is>
          <t>1</t>
        </is>
      </c>
      <c r="H1052" t="inlineStr">
        <is>
          <t>No</t>
        </is>
      </c>
      <c r="I1052" t="inlineStr">
        <is>
          <t>No</t>
        </is>
      </c>
      <c r="J1052" t="inlineStr">
        <is>
          <t>0</t>
        </is>
      </c>
      <c r="K1052" t="inlineStr">
        <is>
          <t>Russell, Phillips, 1884-1974.</t>
        </is>
      </c>
      <c r="L1052" t="inlineStr">
        <is>
          <t>New York : Brentano's, 1926.</t>
        </is>
      </c>
      <c r="M1052" t="inlineStr">
        <is>
          <t>1926</t>
        </is>
      </c>
      <c r="O1052" t="inlineStr">
        <is>
          <t>eng</t>
        </is>
      </c>
      <c r="P1052" t="inlineStr">
        <is>
          <t>nyu</t>
        </is>
      </c>
      <c r="R1052" t="inlineStr">
        <is>
          <t xml:space="preserve">E  </t>
        </is>
      </c>
      <c r="S1052" t="n">
        <v>3</v>
      </c>
      <c r="T1052" t="n">
        <v>3</v>
      </c>
      <c r="U1052" t="inlineStr">
        <is>
          <t>1993-11-10</t>
        </is>
      </c>
      <c r="V1052" t="inlineStr">
        <is>
          <t>1993-11-10</t>
        </is>
      </c>
      <c r="W1052" t="inlineStr">
        <is>
          <t>1993-05-11</t>
        </is>
      </c>
      <c r="X1052" t="inlineStr">
        <is>
          <t>1993-05-11</t>
        </is>
      </c>
      <c r="Y1052" t="n">
        <v>553</v>
      </c>
      <c r="Z1052" t="n">
        <v>532</v>
      </c>
      <c r="AA1052" t="n">
        <v>947</v>
      </c>
      <c r="AB1052" t="n">
        <v>2</v>
      </c>
      <c r="AC1052" t="n">
        <v>6</v>
      </c>
      <c r="AD1052" t="n">
        <v>24</v>
      </c>
      <c r="AE1052" t="n">
        <v>41</v>
      </c>
      <c r="AF1052" t="n">
        <v>10</v>
      </c>
      <c r="AG1052" t="n">
        <v>19</v>
      </c>
      <c r="AH1052" t="n">
        <v>7</v>
      </c>
      <c r="AI1052" t="n">
        <v>8</v>
      </c>
      <c r="AJ1052" t="n">
        <v>11</v>
      </c>
      <c r="AK1052" t="n">
        <v>20</v>
      </c>
      <c r="AL1052" t="n">
        <v>1</v>
      </c>
      <c r="AM1052" t="n">
        <v>4</v>
      </c>
      <c r="AN1052" t="n">
        <v>1</v>
      </c>
      <c r="AO1052" t="n">
        <v>1</v>
      </c>
      <c r="AP1052" t="inlineStr">
        <is>
          <t>Yes</t>
        </is>
      </c>
      <c r="AQ1052" t="inlineStr">
        <is>
          <t>No</t>
        </is>
      </c>
      <c r="AR1052">
        <f>HYPERLINK("http://catalog.hathitrust.org/Record/000365662","HathiTrust Record")</f>
        <v/>
      </c>
      <c r="AS1052">
        <f>HYPERLINK("https://creighton-primo.hosted.exlibrisgroup.com/primo-explore/search?tab=default_tab&amp;search_scope=EVERYTHING&amp;vid=01CRU&amp;lang=en_US&amp;offset=0&amp;query=any,contains,991003317459702656","Catalog Record")</f>
        <v/>
      </c>
      <c r="AT1052">
        <f>HYPERLINK("http://www.worldcat.org/oclc/843011","WorldCat Record")</f>
        <v/>
      </c>
      <c r="AU1052" t="inlineStr">
        <is>
          <t>1516064:eng</t>
        </is>
      </c>
      <c r="AV1052" t="inlineStr">
        <is>
          <t>843011</t>
        </is>
      </c>
      <c r="AW1052" t="inlineStr">
        <is>
          <t>991003317459702656</t>
        </is>
      </c>
      <c r="AX1052" t="inlineStr">
        <is>
          <t>991003317459702656</t>
        </is>
      </c>
      <c r="AY1052" t="inlineStr">
        <is>
          <t>2265730850002656</t>
        </is>
      </c>
      <c r="AZ1052" t="inlineStr">
        <is>
          <t>BOOK</t>
        </is>
      </c>
      <c r="BC1052" t="inlineStr">
        <is>
          <t>32285001653418</t>
        </is>
      </c>
      <c r="BD1052" t="inlineStr">
        <is>
          <t>893258309</t>
        </is>
      </c>
    </row>
    <row r="1053">
      <c r="A1053" t="inlineStr">
        <is>
          <t>No</t>
        </is>
      </c>
      <c r="B1053" t="inlineStr">
        <is>
          <t>E302.6.F8 S38 1976</t>
        </is>
      </c>
      <c r="C1053" t="inlineStr">
        <is>
          <t>0                      E  0302600F  8                  S  38          1976</t>
        </is>
      </c>
      <c r="D1053" t="inlineStr">
        <is>
          <t>Triumph in Paris : the exploits of Benjamin Franklin / David Schoenbrun.</t>
        </is>
      </c>
      <c r="F1053" t="inlineStr">
        <is>
          <t>No</t>
        </is>
      </c>
      <c r="G1053" t="inlineStr">
        <is>
          <t>1</t>
        </is>
      </c>
      <c r="H1053" t="inlineStr">
        <is>
          <t>No</t>
        </is>
      </c>
      <c r="I1053" t="inlineStr">
        <is>
          <t>No</t>
        </is>
      </c>
      <c r="J1053" t="inlineStr">
        <is>
          <t>0</t>
        </is>
      </c>
      <c r="K1053" t="inlineStr">
        <is>
          <t>Schoenbrun, David.</t>
        </is>
      </c>
      <c r="L1053" t="inlineStr">
        <is>
          <t>New York : Harper &amp; Row, c1976.</t>
        </is>
      </c>
      <c r="M1053" t="inlineStr">
        <is>
          <t>1976</t>
        </is>
      </c>
      <c r="N1053" t="inlineStr">
        <is>
          <t>1st ed.</t>
        </is>
      </c>
      <c r="O1053" t="inlineStr">
        <is>
          <t>eng</t>
        </is>
      </c>
      <c r="P1053" t="inlineStr">
        <is>
          <t>nyu</t>
        </is>
      </c>
      <c r="R1053" t="inlineStr">
        <is>
          <t xml:space="preserve">E  </t>
        </is>
      </c>
      <c r="S1053" t="n">
        <v>2</v>
      </c>
      <c r="T1053" t="n">
        <v>2</v>
      </c>
      <c r="U1053" t="inlineStr">
        <is>
          <t>1993-04-01</t>
        </is>
      </c>
      <c r="V1053" t="inlineStr">
        <is>
          <t>1993-04-01</t>
        </is>
      </c>
      <c r="W1053" t="inlineStr">
        <is>
          <t>1992-04-15</t>
        </is>
      </c>
      <c r="X1053" t="inlineStr">
        <is>
          <t>1992-04-15</t>
        </is>
      </c>
      <c r="Y1053" t="n">
        <v>1159</v>
      </c>
      <c r="Z1053" t="n">
        <v>1097</v>
      </c>
      <c r="AA1053" t="n">
        <v>1099</v>
      </c>
      <c r="AB1053" t="n">
        <v>11</v>
      </c>
      <c r="AC1053" t="n">
        <v>11</v>
      </c>
      <c r="AD1053" t="n">
        <v>34</v>
      </c>
      <c r="AE1053" t="n">
        <v>34</v>
      </c>
      <c r="AF1053" t="n">
        <v>11</v>
      </c>
      <c r="AG1053" t="n">
        <v>11</v>
      </c>
      <c r="AH1053" t="n">
        <v>9</v>
      </c>
      <c r="AI1053" t="n">
        <v>9</v>
      </c>
      <c r="AJ1053" t="n">
        <v>18</v>
      </c>
      <c r="AK1053" t="n">
        <v>18</v>
      </c>
      <c r="AL1053" t="n">
        <v>6</v>
      </c>
      <c r="AM1053" t="n">
        <v>6</v>
      </c>
      <c r="AN1053" t="n">
        <v>1</v>
      </c>
      <c r="AO1053" t="n">
        <v>1</v>
      </c>
      <c r="AP1053" t="inlineStr">
        <is>
          <t>No</t>
        </is>
      </c>
      <c r="AQ1053" t="inlineStr">
        <is>
          <t>Yes</t>
        </is>
      </c>
      <c r="AR1053">
        <f>HYPERLINK("http://catalog.hathitrust.org/Record/000728973","HathiTrust Record")</f>
        <v/>
      </c>
      <c r="AS1053">
        <f>HYPERLINK("https://creighton-primo.hosted.exlibrisgroup.com/primo-explore/search?tab=default_tab&amp;search_scope=EVERYTHING&amp;vid=01CRU&amp;lang=en_US&amp;offset=0&amp;query=any,contains,991004075389702656","Catalog Record")</f>
        <v/>
      </c>
      <c r="AT1053">
        <f>HYPERLINK("http://www.worldcat.org/oclc/2317933","WorldCat Record")</f>
        <v/>
      </c>
      <c r="AU1053" t="inlineStr">
        <is>
          <t>196644411:eng</t>
        </is>
      </c>
      <c r="AV1053" t="inlineStr">
        <is>
          <t>2317933</t>
        </is>
      </c>
      <c r="AW1053" t="inlineStr">
        <is>
          <t>991004075389702656</t>
        </is>
      </c>
      <c r="AX1053" t="inlineStr">
        <is>
          <t>991004075389702656</t>
        </is>
      </c>
      <c r="AY1053" t="inlineStr">
        <is>
          <t>2264218610002656</t>
        </is>
      </c>
      <c r="AZ1053" t="inlineStr">
        <is>
          <t>BOOK</t>
        </is>
      </c>
      <c r="BB1053" t="inlineStr">
        <is>
          <t>9780060138547</t>
        </is>
      </c>
      <c r="BC1053" t="inlineStr">
        <is>
          <t>32285001062131</t>
        </is>
      </c>
      <c r="BD1053" t="inlineStr">
        <is>
          <t>893888282</t>
        </is>
      </c>
    </row>
    <row r="1054">
      <c r="A1054" t="inlineStr">
        <is>
          <t>No</t>
        </is>
      </c>
      <c r="B1054" t="inlineStr">
        <is>
          <t>E302.6.F8 V36 1973</t>
        </is>
      </c>
      <c r="C1054" t="inlineStr">
        <is>
          <t>0                      E  0302600F  8                  V  36          1973</t>
        </is>
      </c>
      <c r="D1054" t="inlineStr">
        <is>
          <t>Benjamin Franklin / by Carl Van Doren.</t>
        </is>
      </c>
      <c r="F1054" t="inlineStr">
        <is>
          <t>No</t>
        </is>
      </c>
      <c r="G1054" t="inlineStr">
        <is>
          <t>1</t>
        </is>
      </c>
      <c r="H1054" t="inlineStr">
        <is>
          <t>No</t>
        </is>
      </c>
      <c r="I1054" t="inlineStr">
        <is>
          <t>No</t>
        </is>
      </c>
      <c r="J1054" t="inlineStr">
        <is>
          <t>0</t>
        </is>
      </c>
      <c r="K1054" t="inlineStr">
        <is>
          <t>Van Doren, Carl, 1885-1950.</t>
        </is>
      </c>
      <c r="L1054" t="inlineStr">
        <is>
          <t>Westport, Conn. : Greenwood Press, 1973, c1938.</t>
        </is>
      </c>
      <c r="M1054" t="inlineStr">
        <is>
          <t>1973</t>
        </is>
      </c>
      <c r="O1054" t="inlineStr">
        <is>
          <t>eng</t>
        </is>
      </c>
      <c r="P1054" t="inlineStr">
        <is>
          <t>ctu</t>
        </is>
      </c>
      <c r="R1054" t="inlineStr">
        <is>
          <t xml:space="preserve">E  </t>
        </is>
      </c>
      <c r="S1054" t="n">
        <v>6</v>
      </c>
      <c r="T1054" t="n">
        <v>6</v>
      </c>
      <c r="U1054" t="inlineStr">
        <is>
          <t>1995-03-24</t>
        </is>
      </c>
      <c r="V1054" t="inlineStr">
        <is>
          <t>1995-03-24</t>
        </is>
      </c>
      <c r="W1054" t="inlineStr">
        <is>
          <t>1991-04-10</t>
        </is>
      </c>
      <c r="X1054" t="inlineStr">
        <is>
          <t>1991-04-10</t>
        </is>
      </c>
      <c r="Y1054" t="n">
        <v>140</v>
      </c>
      <c r="Z1054" t="n">
        <v>131</v>
      </c>
      <c r="AA1054" t="n">
        <v>2734</v>
      </c>
      <c r="AB1054" t="n">
        <v>4</v>
      </c>
      <c r="AC1054" t="n">
        <v>29</v>
      </c>
      <c r="AD1054" t="n">
        <v>0</v>
      </c>
      <c r="AE1054" t="n">
        <v>71</v>
      </c>
      <c r="AF1054" t="n">
        <v>0</v>
      </c>
      <c r="AG1054" t="n">
        <v>25</v>
      </c>
      <c r="AH1054" t="n">
        <v>0</v>
      </c>
      <c r="AI1054" t="n">
        <v>11</v>
      </c>
      <c r="AJ1054" t="n">
        <v>0</v>
      </c>
      <c r="AK1054" t="n">
        <v>24</v>
      </c>
      <c r="AL1054" t="n">
        <v>0</v>
      </c>
      <c r="AM1054" t="n">
        <v>16</v>
      </c>
      <c r="AN1054" t="n">
        <v>0</v>
      </c>
      <c r="AO1054" t="n">
        <v>6</v>
      </c>
      <c r="AP1054" t="inlineStr">
        <is>
          <t>No</t>
        </is>
      </c>
      <c r="AQ1054" t="inlineStr">
        <is>
          <t>Yes</t>
        </is>
      </c>
      <c r="AR1054">
        <f>HYPERLINK("http://catalog.hathitrust.org/Record/009810622","HathiTrust Record")</f>
        <v/>
      </c>
      <c r="AS1054">
        <f>HYPERLINK("https://creighton-primo.hosted.exlibrisgroup.com/primo-explore/search?tab=default_tab&amp;search_scope=EVERYTHING&amp;vid=01CRU&amp;lang=en_US&amp;offset=0&amp;query=any,contains,991003436109702656","Catalog Record")</f>
        <v/>
      </c>
      <c r="AT1054">
        <f>HYPERLINK("http://www.worldcat.org/oclc/971565","WorldCat Record")</f>
        <v/>
      </c>
      <c r="AU1054" t="inlineStr">
        <is>
          <t>1424605:eng</t>
        </is>
      </c>
      <c r="AV1054" t="inlineStr">
        <is>
          <t>971565</t>
        </is>
      </c>
      <c r="AW1054" t="inlineStr">
        <is>
          <t>991003436109702656</t>
        </is>
      </c>
      <c r="AX1054" t="inlineStr">
        <is>
          <t>991003436109702656</t>
        </is>
      </c>
      <c r="AY1054" t="inlineStr">
        <is>
          <t>2259221500002656</t>
        </is>
      </c>
      <c r="AZ1054" t="inlineStr">
        <is>
          <t>BOOK</t>
        </is>
      </c>
      <c r="BB1054" t="inlineStr">
        <is>
          <t>9780837169644</t>
        </is>
      </c>
      <c r="BC1054" t="inlineStr">
        <is>
          <t>32285000542711</t>
        </is>
      </c>
      <c r="BD1054" t="inlineStr">
        <is>
          <t>893434987</t>
        </is>
      </c>
    </row>
    <row r="1055">
      <c r="A1055" t="inlineStr">
        <is>
          <t>No</t>
        </is>
      </c>
      <c r="B1055" t="inlineStr">
        <is>
          <t>E302.6.F8 W56</t>
        </is>
      </c>
      <c r="C1055" t="inlineStr">
        <is>
          <t>0                      E  0302600F  8                  W  56</t>
        </is>
      </c>
      <c r="D1055" t="inlineStr">
        <is>
          <t>Benjamin Franklin &amp; the politics of liberty : a biography with readings.</t>
        </is>
      </c>
      <c r="F1055" t="inlineStr">
        <is>
          <t>No</t>
        </is>
      </c>
      <c r="G1055" t="inlineStr">
        <is>
          <t>1</t>
        </is>
      </c>
      <c r="H1055" t="inlineStr">
        <is>
          <t>No</t>
        </is>
      </c>
      <c r="I1055" t="inlineStr">
        <is>
          <t>No</t>
        </is>
      </c>
      <c r="J1055" t="inlineStr">
        <is>
          <t>0</t>
        </is>
      </c>
      <c r="K1055" t="inlineStr">
        <is>
          <t>Wendel, Thomas, 1924-</t>
        </is>
      </c>
      <c r="L1055" t="inlineStr">
        <is>
          <t>Woodbury, N.Y. : Barron's Educational Series, inc., [1974]</t>
        </is>
      </c>
      <c r="M1055" t="inlineStr">
        <is>
          <t>1974</t>
        </is>
      </c>
      <c r="O1055" t="inlineStr">
        <is>
          <t>eng</t>
        </is>
      </c>
      <c r="P1055" t="inlineStr">
        <is>
          <t>nyu</t>
        </is>
      </c>
      <c r="Q1055" t="inlineStr">
        <is>
          <t>Shapers of history series</t>
        </is>
      </c>
      <c r="R1055" t="inlineStr">
        <is>
          <t xml:space="preserve">E  </t>
        </is>
      </c>
      <c r="S1055" t="n">
        <v>4</v>
      </c>
      <c r="T1055" t="n">
        <v>4</v>
      </c>
      <c r="U1055" t="inlineStr">
        <is>
          <t>1993-11-09</t>
        </is>
      </c>
      <c r="V1055" t="inlineStr">
        <is>
          <t>1993-11-09</t>
        </is>
      </c>
      <c r="W1055" t="inlineStr">
        <is>
          <t>1993-05-04</t>
        </is>
      </c>
      <c r="X1055" t="inlineStr">
        <is>
          <t>1993-05-04</t>
        </is>
      </c>
      <c r="Y1055" t="n">
        <v>223</v>
      </c>
      <c r="Z1055" t="n">
        <v>211</v>
      </c>
      <c r="AA1055" t="n">
        <v>213</v>
      </c>
      <c r="AB1055" t="n">
        <v>2</v>
      </c>
      <c r="AC1055" t="n">
        <v>2</v>
      </c>
      <c r="AD1055" t="n">
        <v>9</v>
      </c>
      <c r="AE1055" t="n">
        <v>9</v>
      </c>
      <c r="AF1055" t="n">
        <v>3</v>
      </c>
      <c r="AG1055" t="n">
        <v>3</v>
      </c>
      <c r="AH1055" t="n">
        <v>2</v>
      </c>
      <c r="AI1055" t="n">
        <v>2</v>
      </c>
      <c r="AJ1055" t="n">
        <v>6</v>
      </c>
      <c r="AK1055" t="n">
        <v>6</v>
      </c>
      <c r="AL1055" t="n">
        <v>1</v>
      </c>
      <c r="AM1055" t="n">
        <v>1</v>
      </c>
      <c r="AN1055" t="n">
        <v>1</v>
      </c>
      <c r="AO1055" t="n">
        <v>1</v>
      </c>
      <c r="AP1055" t="inlineStr">
        <is>
          <t>No</t>
        </is>
      </c>
      <c r="AQ1055" t="inlineStr">
        <is>
          <t>Yes</t>
        </is>
      </c>
      <c r="AR1055">
        <f>HYPERLINK("http://catalog.hathitrust.org/Record/008988877","HathiTrust Record")</f>
        <v/>
      </c>
      <c r="AS1055">
        <f>HYPERLINK("https://creighton-primo.hosted.exlibrisgroup.com/primo-explore/search?tab=default_tab&amp;search_scope=EVERYTHING&amp;vid=01CRU&amp;lang=en_US&amp;offset=0&amp;query=any,contains,991003398789702656","Catalog Record")</f>
        <v/>
      </c>
      <c r="AT1055">
        <f>HYPERLINK("http://www.worldcat.org/oclc/938234","WorldCat Record")</f>
        <v/>
      </c>
      <c r="AU1055" t="inlineStr">
        <is>
          <t>350780707:eng</t>
        </is>
      </c>
      <c r="AV1055" t="inlineStr">
        <is>
          <t>938234</t>
        </is>
      </c>
      <c r="AW1055" t="inlineStr">
        <is>
          <t>991003398789702656</t>
        </is>
      </c>
      <c r="AX1055" t="inlineStr">
        <is>
          <t>991003398789702656</t>
        </is>
      </c>
      <c r="AY1055" t="inlineStr">
        <is>
          <t>2262999630002656</t>
        </is>
      </c>
      <c r="AZ1055" t="inlineStr">
        <is>
          <t>BOOK</t>
        </is>
      </c>
      <c r="BB1055" t="inlineStr">
        <is>
          <t>9780812004595</t>
        </is>
      </c>
      <c r="BC1055" t="inlineStr">
        <is>
          <t>32285001581635</t>
        </is>
      </c>
      <c r="BD1055" t="inlineStr">
        <is>
          <t>893234138</t>
        </is>
      </c>
    </row>
    <row r="1056">
      <c r="A1056" t="inlineStr">
        <is>
          <t>No</t>
        </is>
      </c>
      <c r="B1056" t="inlineStr">
        <is>
          <t>E302.6.H2 L84 1910</t>
        </is>
      </c>
      <c r="C1056" t="inlineStr">
        <is>
          <t>0                      E  0302600H  2                  L  84          1910</t>
        </is>
      </c>
      <c r="D1056" t="inlineStr">
        <is>
          <t>Alexander Hamilton / Henry Cabot Lodge.</t>
        </is>
      </c>
      <c r="F1056" t="inlineStr">
        <is>
          <t>No</t>
        </is>
      </c>
      <c r="G1056" t="inlineStr">
        <is>
          <t>1</t>
        </is>
      </c>
      <c r="H1056" t="inlineStr">
        <is>
          <t>No</t>
        </is>
      </c>
      <c r="I1056" t="inlineStr">
        <is>
          <t>No</t>
        </is>
      </c>
      <c r="J1056" t="inlineStr">
        <is>
          <t>0</t>
        </is>
      </c>
      <c r="K1056" t="inlineStr">
        <is>
          <t>Lodge, Henry Cabot, 1850-1924.</t>
        </is>
      </c>
      <c r="L1056" t="inlineStr">
        <is>
          <t>Boston ; New York : Houghton Mifflin company, [1910]</t>
        </is>
      </c>
      <c r="M1056" t="inlineStr">
        <is>
          <t>1910</t>
        </is>
      </c>
      <c r="O1056" t="inlineStr">
        <is>
          <t>eng</t>
        </is>
      </c>
      <c r="P1056" t="inlineStr">
        <is>
          <t>nyu</t>
        </is>
      </c>
      <c r="Q1056" t="inlineStr">
        <is>
          <t>American statemen, ed. by J. T. Morse, Jr. [v. 7]</t>
        </is>
      </c>
      <c r="R1056" t="inlineStr">
        <is>
          <t xml:space="preserve">E  </t>
        </is>
      </c>
      <c r="S1056" t="n">
        <v>1</v>
      </c>
      <c r="T1056" t="n">
        <v>1</v>
      </c>
      <c r="U1056" t="inlineStr">
        <is>
          <t>1992-10-05</t>
        </is>
      </c>
      <c r="V1056" t="inlineStr">
        <is>
          <t>1992-10-05</t>
        </is>
      </c>
      <c r="W1056" t="inlineStr">
        <is>
          <t>1992-01-07</t>
        </is>
      </c>
      <c r="X1056" t="inlineStr">
        <is>
          <t>1992-01-07</t>
        </is>
      </c>
      <c r="Y1056" t="n">
        <v>55</v>
      </c>
      <c r="Z1056" t="n">
        <v>53</v>
      </c>
      <c r="AA1056" t="n">
        <v>60</v>
      </c>
      <c r="AB1056" t="n">
        <v>1</v>
      </c>
      <c r="AC1056" t="n">
        <v>1</v>
      </c>
      <c r="AD1056" t="n">
        <v>2</v>
      </c>
      <c r="AE1056" t="n">
        <v>2</v>
      </c>
      <c r="AF1056" t="n">
        <v>1</v>
      </c>
      <c r="AG1056" t="n">
        <v>1</v>
      </c>
      <c r="AH1056" t="n">
        <v>0</v>
      </c>
      <c r="AI1056" t="n">
        <v>0</v>
      </c>
      <c r="AJ1056" t="n">
        <v>0</v>
      </c>
      <c r="AK1056" t="n">
        <v>0</v>
      </c>
      <c r="AL1056" t="n">
        <v>0</v>
      </c>
      <c r="AM1056" t="n">
        <v>0</v>
      </c>
      <c r="AN1056" t="n">
        <v>1</v>
      </c>
      <c r="AO1056" t="n">
        <v>1</v>
      </c>
      <c r="AP1056" t="inlineStr">
        <is>
          <t>Yes</t>
        </is>
      </c>
      <c r="AQ1056" t="inlineStr">
        <is>
          <t>No</t>
        </is>
      </c>
      <c r="AR1056">
        <f>HYPERLINK("http://catalog.hathitrust.org/Record/012476886","HathiTrust Record")</f>
        <v/>
      </c>
      <c r="AS1056">
        <f>HYPERLINK("https://creighton-primo.hosted.exlibrisgroup.com/primo-explore/search?tab=default_tab&amp;search_scope=EVERYTHING&amp;vid=01CRU&amp;lang=en_US&amp;offset=0&amp;query=any,contains,991005066339702656","Catalog Record")</f>
        <v/>
      </c>
      <c r="AT1056">
        <f>HYPERLINK("http://www.worldcat.org/oclc/6968891","WorldCat Record")</f>
        <v/>
      </c>
      <c r="AU1056" t="inlineStr">
        <is>
          <t>5577800086:eng</t>
        </is>
      </c>
      <c r="AV1056" t="inlineStr">
        <is>
          <t>6968891</t>
        </is>
      </c>
      <c r="AW1056" t="inlineStr">
        <is>
          <t>991005066339702656</t>
        </is>
      </c>
      <c r="AX1056" t="inlineStr">
        <is>
          <t>991005066339702656</t>
        </is>
      </c>
      <c r="AY1056" t="inlineStr">
        <is>
          <t>2261389960002656</t>
        </is>
      </c>
      <c r="AZ1056" t="inlineStr">
        <is>
          <t>BOOK</t>
        </is>
      </c>
      <c r="BC1056" t="inlineStr">
        <is>
          <t>32285000883354</t>
        </is>
      </c>
      <c r="BD1056" t="inlineStr">
        <is>
          <t>893801666</t>
        </is>
      </c>
    </row>
    <row r="1057">
      <c r="A1057" t="inlineStr">
        <is>
          <t>No</t>
        </is>
      </c>
      <c r="B1057" t="inlineStr">
        <is>
          <t>E302.6.H2 M63</t>
        </is>
      </c>
      <c r="C1057" t="inlineStr">
        <is>
          <t>0                      E  0302600H  2                  M  63</t>
        </is>
      </c>
      <c r="D1057" t="inlineStr">
        <is>
          <t>Heritage from Hamilton.</t>
        </is>
      </c>
      <c r="F1057" t="inlineStr">
        <is>
          <t>No</t>
        </is>
      </c>
      <c r="G1057" t="inlineStr">
        <is>
          <t>1</t>
        </is>
      </c>
      <c r="H1057" t="inlineStr">
        <is>
          <t>No</t>
        </is>
      </c>
      <c r="I1057" t="inlineStr">
        <is>
          <t>No</t>
        </is>
      </c>
      <c r="J1057" t="inlineStr">
        <is>
          <t>0</t>
        </is>
      </c>
      <c r="K1057" t="inlineStr">
        <is>
          <t>Mitchell, Broadus, 1892-1988.</t>
        </is>
      </c>
      <c r="L1057" t="inlineStr">
        <is>
          <t>New York : Columbia University Press, 1957.</t>
        </is>
      </c>
      <c r="M1057" t="inlineStr">
        <is>
          <t>1957</t>
        </is>
      </c>
      <c r="O1057" t="inlineStr">
        <is>
          <t>eng</t>
        </is>
      </c>
      <c r="P1057" t="inlineStr">
        <is>
          <t>nyu</t>
        </is>
      </c>
      <c r="R1057" t="inlineStr">
        <is>
          <t xml:space="preserve">E  </t>
        </is>
      </c>
      <c r="S1057" t="n">
        <v>2</v>
      </c>
      <c r="T1057" t="n">
        <v>2</v>
      </c>
      <c r="U1057" t="inlineStr">
        <is>
          <t>1993-10-26</t>
        </is>
      </c>
      <c r="V1057" t="inlineStr">
        <is>
          <t>1993-10-26</t>
        </is>
      </c>
      <c r="W1057" t="inlineStr">
        <is>
          <t>1990-03-08</t>
        </is>
      </c>
      <c r="X1057" t="inlineStr">
        <is>
          <t>1990-03-08</t>
        </is>
      </c>
      <c r="Y1057" t="n">
        <v>780</v>
      </c>
      <c r="Z1057" t="n">
        <v>732</v>
      </c>
      <c r="AA1057" t="n">
        <v>760</v>
      </c>
      <c r="AB1057" t="n">
        <v>6</v>
      </c>
      <c r="AC1057" t="n">
        <v>6</v>
      </c>
      <c r="AD1057" t="n">
        <v>32</v>
      </c>
      <c r="AE1057" t="n">
        <v>34</v>
      </c>
      <c r="AF1057" t="n">
        <v>14</v>
      </c>
      <c r="AG1057" t="n">
        <v>14</v>
      </c>
      <c r="AH1057" t="n">
        <v>6</v>
      </c>
      <c r="AI1057" t="n">
        <v>8</v>
      </c>
      <c r="AJ1057" t="n">
        <v>15</v>
      </c>
      <c r="AK1057" t="n">
        <v>16</v>
      </c>
      <c r="AL1057" t="n">
        <v>5</v>
      </c>
      <c r="AM1057" t="n">
        <v>5</v>
      </c>
      <c r="AN1057" t="n">
        <v>0</v>
      </c>
      <c r="AO1057" t="n">
        <v>0</v>
      </c>
      <c r="AP1057" t="inlineStr">
        <is>
          <t>No</t>
        </is>
      </c>
      <c r="AQ1057" t="inlineStr">
        <is>
          <t>Yes</t>
        </is>
      </c>
      <c r="AR1057">
        <f>HYPERLINK("http://catalog.hathitrust.org/Record/000366358","HathiTrust Record")</f>
        <v/>
      </c>
      <c r="AS1057">
        <f>HYPERLINK("https://creighton-primo.hosted.exlibrisgroup.com/primo-explore/search?tab=default_tab&amp;search_scope=EVERYTHING&amp;vid=01CRU&amp;lang=en_US&amp;offset=0&amp;query=any,contains,991002751739702656","Catalog Record")</f>
        <v/>
      </c>
      <c r="AT1057">
        <f>HYPERLINK("http://www.worldcat.org/oclc/424886","WorldCat Record")</f>
        <v/>
      </c>
      <c r="AU1057" t="inlineStr">
        <is>
          <t>68948445:eng</t>
        </is>
      </c>
      <c r="AV1057" t="inlineStr">
        <is>
          <t>424886</t>
        </is>
      </c>
      <c r="AW1057" t="inlineStr">
        <is>
          <t>991002751739702656</t>
        </is>
      </c>
      <c r="AX1057" t="inlineStr">
        <is>
          <t>991002751739702656</t>
        </is>
      </c>
      <c r="AY1057" t="inlineStr">
        <is>
          <t>2268384790002656</t>
        </is>
      </c>
      <c r="AZ1057" t="inlineStr">
        <is>
          <t>BOOK</t>
        </is>
      </c>
      <c r="BC1057" t="inlineStr">
        <is>
          <t>32285000080787</t>
        </is>
      </c>
      <c r="BD1057" t="inlineStr">
        <is>
          <t>893233373</t>
        </is>
      </c>
    </row>
    <row r="1058">
      <c r="A1058" t="inlineStr">
        <is>
          <t>No</t>
        </is>
      </c>
      <c r="B1058" t="inlineStr">
        <is>
          <t>E302.6.H2 O32 1921</t>
        </is>
      </c>
      <c r="C1058" t="inlineStr">
        <is>
          <t>0                      E  0302600H  2                  O  32          1921</t>
        </is>
      </c>
      <c r="D1058" t="inlineStr">
        <is>
          <t>Alexander Hamilton : an essay on American union / by Frederick Scott Oliver.</t>
        </is>
      </c>
      <c r="F1058" t="inlineStr">
        <is>
          <t>No</t>
        </is>
      </c>
      <c r="G1058" t="inlineStr">
        <is>
          <t>1</t>
        </is>
      </c>
      <c r="H1058" t="inlineStr">
        <is>
          <t>No</t>
        </is>
      </c>
      <c r="I1058" t="inlineStr">
        <is>
          <t>Yes</t>
        </is>
      </c>
      <c r="J1058" t="inlineStr">
        <is>
          <t>0</t>
        </is>
      </c>
      <c r="K1058" t="inlineStr">
        <is>
          <t>Oliver, Frederick Scott, 1864-1934.</t>
        </is>
      </c>
      <c r="L1058" t="inlineStr">
        <is>
          <t>New York : G. P. Putnam's Sons, 1921.</t>
        </is>
      </c>
      <c r="M1058" t="inlineStr">
        <is>
          <t>1921</t>
        </is>
      </c>
      <c r="N1058" t="inlineStr">
        <is>
          <t>New ed. with frontispiece and a map.</t>
        </is>
      </c>
      <c r="O1058" t="inlineStr">
        <is>
          <t>eng</t>
        </is>
      </c>
      <c r="P1058" t="inlineStr">
        <is>
          <t>nyu</t>
        </is>
      </c>
      <c r="R1058" t="inlineStr">
        <is>
          <t xml:space="preserve">E  </t>
        </is>
      </c>
      <c r="S1058" t="n">
        <v>1</v>
      </c>
      <c r="T1058" t="n">
        <v>1</v>
      </c>
      <c r="U1058" t="inlineStr">
        <is>
          <t>1992-10-05</t>
        </is>
      </c>
      <c r="V1058" t="inlineStr">
        <is>
          <t>1992-10-05</t>
        </is>
      </c>
      <c r="W1058" t="inlineStr">
        <is>
          <t>1992-02-04</t>
        </is>
      </c>
      <c r="X1058" t="inlineStr">
        <is>
          <t>1992-02-04</t>
        </is>
      </c>
      <c r="Y1058" t="n">
        <v>136</v>
      </c>
      <c r="Z1058" t="n">
        <v>134</v>
      </c>
      <c r="AA1058" t="n">
        <v>776</v>
      </c>
      <c r="AB1058" t="n">
        <v>1</v>
      </c>
      <c r="AC1058" t="n">
        <v>7</v>
      </c>
      <c r="AD1058" t="n">
        <v>8</v>
      </c>
      <c r="AE1058" t="n">
        <v>53</v>
      </c>
      <c r="AF1058" t="n">
        <v>3</v>
      </c>
      <c r="AG1058" t="n">
        <v>11</v>
      </c>
      <c r="AH1058" t="n">
        <v>1</v>
      </c>
      <c r="AI1058" t="n">
        <v>8</v>
      </c>
      <c r="AJ1058" t="n">
        <v>5</v>
      </c>
      <c r="AK1058" t="n">
        <v>16</v>
      </c>
      <c r="AL1058" t="n">
        <v>0</v>
      </c>
      <c r="AM1058" t="n">
        <v>4</v>
      </c>
      <c r="AN1058" t="n">
        <v>1</v>
      </c>
      <c r="AO1058" t="n">
        <v>20</v>
      </c>
      <c r="AP1058" t="inlineStr">
        <is>
          <t>Yes</t>
        </is>
      </c>
      <c r="AQ1058" t="inlineStr">
        <is>
          <t>No</t>
        </is>
      </c>
      <c r="AR1058">
        <f>HYPERLINK("http://catalog.hathitrust.org/Record/008638790","HathiTrust Record")</f>
        <v/>
      </c>
      <c r="AS1058">
        <f>HYPERLINK("https://creighton-primo.hosted.exlibrisgroup.com/primo-explore/search?tab=default_tab&amp;search_scope=EVERYTHING&amp;vid=01CRU&amp;lang=en_US&amp;offset=0&amp;query=any,contains,991003880699702656","Catalog Record")</f>
        <v/>
      </c>
      <c r="AT1058">
        <f>HYPERLINK("http://www.worldcat.org/oclc/1724333","WorldCat Record")</f>
        <v/>
      </c>
      <c r="AU1058" t="inlineStr">
        <is>
          <t>2774442:eng</t>
        </is>
      </c>
      <c r="AV1058" t="inlineStr">
        <is>
          <t>1724333</t>
        </is>
      </c>
      <c r="AW1058" t="inlineStr">
        <is>
          <t>991003880699702656</t>
        </is>
      </c>
      <c r="AX1058" t="inlineStr">
        <is>
          <t>991003880699702656</t>
        </is>
      </c>
      <c r="AY1058" t="inlineStr">
        <is>
          <t>2272030400002656</t>
        </is>
      </c>
      <c r="AZ1058" t="inlineStr">
        <is>
          <t>BOOK</t>
        </is>
      </c>
      <c r="BC1058" t="inlineStr">
        <is>
          <t>32285000934579</t>
        </is>
      </c>
      <c r="BD1058" t="inlineStr">
        <is>
          <t>893617908</t>
        </is>
      </c>
    </row>
    <row r="1059">
      <c r="A1059" t="inlineStr">
        <is>
          <t>No</t>
        </is>
      </c>
      <c r="B1059" t="inlineStr">
        <is>
          <t>E302.6.H2 R64 1998</t>
        </is>
      </c>
      <c r="C1059" t="inlineStr">
        <is>
          <t>0                      E  0302600H  2                  R  64          1998</t>
        </is>
      </c>
      <c r="D1059" t="inlineStr">
        <is>
          <t>A fatal friendship : Alexander Hamilton and Aaron Burr / Arnold A. Rogow.</t>
        </is>
      </c>
      <c r="F1059" t="inlineStr">
        <is>
          <t>No</t>
        </is>
      </c>
      <c r="G1059" t="inlineStr">
        <is>
          <t>1</t>
        </is>
      </c>
      <c r="H1059" t="inlineStr">
        <is>
          <t>No</t>
        </is>
      </c>
      <c r="I1059" t="inlineStr">
        <is>
          <t>No</t>
        </is>
      </c>
      <c r="J1059" t="inlineStr">
        <is>
          <t>0</t>
        </is>
      </c>
      <c r="K1059" t="inlineStr">
        <is>
          <t>Rogow, Arnold A.</t>
        </is>
      </c>
      <c r="L1059" t="inlineStr">
        <is>
          <t>New York : Hill and Wang, 1998.</t>
        </is>
      </c>
      <c r="M1059" t="inlineStr">
        <is>
          <t>1998</t>
        </is>
      </c>
      <c r="N1059" t="inlineStr">
        <is>
          <t>1st ed.</t>
        </is>
      </c>
      <c r="O1059" t="inlineStr">
        <is>
          <t>eng</t>
        </is>
      </c>
      <c r="P1059" t="inlineStr">
        <is>
          <t>nyu</t>
        </is>
      </c>
      <c r="R1059" t="inlineStr">
        <is>
          <t xml:space="preserve">E  </t>
        </is>
      </c>
      <c r="S1059" t="n">
        <v>1</v>
      </c>
      <c r="T1059" t="n">
        <v>1</v>
      </c>
      <c r="U1059" t="inlineStr">
        <is>
          <t>2005-11-15</t>
        </is>
      </c>
      <c r="V1059" t="inlineStr">
        <is>
          <t>2005-11-15</t>
        </is>
      </c>
      <c r="W1059" t="inlineStr">
        <is>
          <t>1999-05-05</t>
        </is>
      </c>
      <c r="X1059" t="inlineStr">
        <is>
          <t>1999-05-05</t>
        </is>
      </c>
      <c r="Y1059" t="n">
        <v>898</v>
      </c>
      <c r="Z1059" t="n">
        <v>869</v>
      </c>
      <c r="AA1059" t="n">
        <v>919</v>
      </c>
      <c r="AB1059" t="n">
        <v>5</v>
      </c>
      <c r="AC1059" t="n">
        <v>5</v>
      </c>
      <c r="AD1059" t="n">
        <v>27</v>
      </c>
      <c r="AE1059" t="n">
        <v>27</v>
      </c>
      <c r="AF1059" t="n">
        <v>11</v>
      </c>
      <c r="AG1059" t="n">
        <v>11</v>
      </c>
      <c r="AH1059" t="n">
        <v>6</v>
      </c>
      <c r="AI1059" t="n">
        <v>6</v>
      </c>
      <c r="AJ1059" t="n">
        <v>16</v>
      </c>
      <c r="AK1059" t="n">
        <v>16</v>
      </c>
      <c r="AL1059" t="n">
        <v>2</v>
      </c>
      <c r="AM1059" t="n">
        <v>2</v>
      </c>
      <c r="AN1059" t="n">
        <v>0</v>
      </c>
      <c r="AO1059" t="n">
        <v>0</v>
      </c>
      <c r="AP1059" t="inlineStr">
        <is>
          <t>No</t>
        </is>
      </c>
      <c r="AQ1059" t="inlineStr">
        <is>
          <t>No</t>
        </is>
      </c>
      <c r="AS1059">
        <f>HYPERLINK("https://creighton-primo.hosted.exlibrisgroup.com/primo-explore/search?tab=default_tab&amp;search_scope=EVERYTHING&amp;vid=01CRU&amp;lang=en_US&amp;offset=0&amp;query=any,contains,991002945999702656","Catalog Record")</f>
        <v/>
      </c>
      <c r="AT1059">
        <f>HYPERLINK("http://www.worldcat.org/oclc/39226222","WorldCat Record")</f>
        <v/>
      </c>
      <c r="AU1059" t="inlineStr">
        <is>
          <t>616833:eng</t>
        </is>
      </c>
      <c r="AV1059" t="inlineStr">
        <is>
          <t>39226222</t>
        </is>
      </c>
      <c r="AW1059" t="inlineStr">
        <is>
          <t>991002945999702656</t>
        </is>
      </c>
      <c r="AX1059" t="inlineStr">
        <is>
          <t>991002945999702656</t>
        </is>
      </c>
      <c r="AY1059" t="inlineStr">
        <is>
          <t>2267422580002656</t>
        </is>
      </c>
      <c r="AZ1059" t="inlineStr">
        <is>
          <t>BOOK</t>
        </is>
      </c>
      <c r="BB1059" t="inlineStr">
        <is>
          <t>9780809047536</t>
        </is>
      </c>
      <c r="BC1059" t="inlineStr">
        <is>
          <t>32285003558938</t>
        </is>
      </c>
      <c r="BD1059" t="inlineStr">
        <is>
          <t>893535269</t>
        </is>
      </c>
    </row>
    <row r="1060">
      <c r="A1060" t="inlineStr">
        <is>
          <t>No</t>
        </is>
      </c>
      <c r="B1060" t="inlineStr">
        <is>
          <t>E302.6.H2 S8</t>
        </is>
      </c>
      <c r="C1060" t="inlineStr">
        <is>
          <t>0                      E  0302600H  2                  S  8</t>
        </is>
      </c>
      <c r="D1060" t="inlineStr">
        <is>
          <t>Alexander Hamilton and the idea of republican government.</t>
        </is>
      </c>
      <c r="F1060" t="inlineStr">
        <is>
          <t>No</t>
        </is>
      </c>
      <c r="G1060" t="inlineStr">
        <is>
          <t>1</t>
        </is>
      </c>
      <c r="H1060" t="inlineStr">
        <is>
          <t>No</t>
        </is>
      </c>
      <c r="I1060" t="inlineStr">
        <is>
          <t>No</t>
        </is>
      </c>
      <c r="J1060" t="inlineStr">
        <is>
          <t>0</t>
        </is>
      </c>
      <c r="K1060" t="inlineStr">
        <is>
          <t>Stourzh, Gerald.</t>
        </is>
      </c>
      <c r="L1060" t="inlineStr">
        <is>
          <t>Stanford : Stanford University Press, 1970.</t>
        </is>
      </c>
      <c r="M1060" t="inlineStr">
        <is>
          <t>1970</t>
        </is>
      </c>
      <c r="O1060" t="inlineStr">
        <is>
          <t>eng</t>
        </is>
      </c>
      <c r="P1060" t="inlineStr">
        <is>
          <t>cau</t>
        </is>
      </c>
      <c r="R1060" t="inlineStr">
        <is>
          <t xml:space="preserve">E  </t>
        </is>
      </c>
      <c r="S1060" t="n">
        <v>2</v>
      </c>
      <c r="T1060" t="n">
        <v>2</v>
      </c>
      <c r="U1060" t="inlineStr">
        <is>
          <t>1993-10-26</t>
        </is>
      </c>
      <c r="V1060" t="inlineStr">
        <is>
          <t>1993-10-26</t>
        </is>
      </c>
      <c r="W1060" t="inlineStr">
        <is>
          <t>1990-03-07</t>
        </is>
      </c>
      <c r="X1060" t="inlineStr">
        <is>
          <t>1990-03-07</t>
        </is>
      </c>
      <c r="Y1060" t="n">
        <v>1074</v>
      </c>
      <c r="Z1060" t="n">
        <v>938</v>
      </c>
      <c r="AA1060" t="n">
        <v>946</v>
      </c>
      <c r="AB1060" t="n">
        <v>10</v>
      </c>
      <c r="AC1060" t="n">
        <v>10</v>
      </c>
      <c r="AD1060" t="n">
        <v>52</v>
      </c>
      <c r="AE1060" t="n">
        <v>52</v>
      </c>
      <c r="AF1060" t="n">
        <v>18</v>
      </c>
      <c r="AG1060" t="n">
        <v>18</v>
      </c>
      <c r="AH1060" t="n">
        <v>11</v>
      </c>
      <c r="AI1060" t="n">
        <v>11</v>
      </c>
      <c r="AJ1060" t="n">
        <v>21</v>
      </c>
      <c r="AK1060" t="n">
        <v>21</v>
      </c>
      <c r="AL1060" t="n">
        <v>9</v>
      </c>
      <c r="AM1060" t="n">
        <v>9</v>
      </c>
      <c r="AN1060" t="n">
        <v>4</v>
      </c>
      <c r="AO1060" t="n">
        <v>4</v>
      </c>
      <c r="AP1060" t="inlineStr">
        <is>
          <t>No</t>
        </is>
      </c>
      <c r="AQ1060" t="inlineStr">
        <is>
          <t>No</t>
        </is>
      </c>
      <c r="AS1060">
        <f>HYPERLINK("https://creighton-primo.hosted.exlibrisgroup.com/primo-explore/search?tab=default_tab&amp;search_scope=EVERYTHING&amp;vid=01CRU&amp;lang=en_US&amp;offset=0&amp;query=any,contains,991000432089702656","Catalog Record")</f>
        <v/>
      </c>
      <c r="AT1060">
        <f>HYPERLINK("http://www.worldcat.org/oclc/75886","WorldCat Record")</f>
        <v/>
      </c>
      <c r="AU1060" t="inlineStr">
        <is>
          <t>459417:eng</t>
        </is>
      </c>
      <c r="AV1060" t="inlineStr">
        <is>
          <t>75886</t>
        </is>
      </c>
      <c r="AW1060" t="inlineStr">
        <is>
          <t>991000432089702656</t>
        </is>
      </c>
      <c r="AX1060" t="inlineStr">
        <is>
          <t>991000432089702656</t>
        </is>
      </c>
      <c r="AY1060" t="inlineStr">
        <is>
          <t>2255782160002656</t>
        </is>
      </c>
      <c r="AZ1060" t="inlineStr">
        <is>
          <t>BOOK</t>
        </is>
      </c>
      <c r="BB1060" t="inlineStr">
        <is>
          <t>9780804707244</t>
        </is>
      </c>
      <c r="BC1060" t="inlineStr">
        <is>
          <t>32285000080050</t>
        </is>
      </c>
      <c r="BD1060" t="inlineStr">
        <is>
          <t>893224978</t>
        </is>
      </c>
    </row>
    <row r="1061">
      <c r="A1061" t="inlineStr">
        <is>
          <t>No</t>
        </is>
      </c>
      <c r="B1061" t="inlineStr">
        <is>
          <t>E302.6.H2 W32 1931</t>
        </is>
      </c>
      <c r="C1061" t="inlineStr">
        <is>
          <t>0                      E  0302600H  2                  W  32          1931</t>
        </is>
      </c>
      <c r="D1061" t="inlineStr">
        <is>
          <t>Alexander Hamilton, first American businessman, by Robert Irving Warshow.</t>
        </is>
      </c>
      <c r="F1061" t="inlineStr">
        <is>
          <t>No</t>
        </is>
      </c>
      <c r="G1061" t="inlineStr">
        <is>
          <t>1</t>
        </is>
      </c>
      <c r="H1061" t="inlineStr">
        <is>
          <t>No</t>
        </is>
      </c>
      <c r="I1061" t="inlineStr">
        <is>
          <t>No</t>
        </is>
      </c>
      <c r="J1061" t="inlineStr">
        <is>
          <t>0</t>
        </is>
      </c>
      <c r="K1061" t="inlineStr">
        <is>
          <t>Warshow, Robert Irving, 1898-1938.</t>
        </is>
      </c>
      <c r="L1061" t="inlineStr">
        <is>
          <t>New York, Garden City Publishing Co., [c1931]</t>
        </is>
      </c>
      <c r="M1061" t="inlineStr">
        <is>
          <t>1931</t>
        </is>
      </c>
      <c r="O1061" t="inlineStr">
        <is>
          <t>eng</t>
        </is>
      </c>
      <c r="P1061" t="inlineStr">
        <is>
          <t>nyu</t>
        </is>
      </c>
      <c r="R1061" t="inlineStr">
        <is>
          <t xml:space="preserve">E  </t>
        </is>
      </c>
      <c r="S1061" t="n">
        <v>2</v>
      </c>
      <c r="T1061" t="n">
        <v>2</v>
      </c>
      <c r="U1061" t="inlineStr">
        <is>
          <t>1993-10-26</t>
        </is>
      </c>
      <c r="V1061" t="inlineStr">
        <is>
          <t>1993-10-26</t>
        </is>
      </c>
      <c r="W1061" t="inlineStr">
        <is>
          <t>1991-04-10</t>
        </is>
      </c>
      <c r="X1061" t="inlineStr">
        <is>
          <t>1991-04-10</t>
        </is>
      </c>
      <c r="Y1061" t="n">
        <v>212</v>
      </c>
      <c r="Z1061" t="n">
        <v>199</v>
      </c>
      <c r="AA1061" t="n">
        <v>480</v>
      </c>
      <c r="AB1061" t="n">
        <v>1</v>
      </c>
      <c r="AC1061" t="n">
        <v>2</v>
      </c>
      <c r="AD1061" t="n">
        <v>9</v>
      </c>
      <c r="AE1061" t="n">
        <v>22</v>
      </c>
      <c r="AF1061" t="n">
        <v>5</v>
      </c>
      <c r="AG1061" t="n">
        <v>9</v>
      </c>
      <c r="AH1061" t="n">
        <v>2</v>
      </c>
      <c r="AI1061" t="n">
        <v>5</v>
      </c>
      <c r="AJ1061" t="n">
        <v>6</v>
      </c>
      <c r="AK1061" t="n">
        <v>15</v>
      </c>
      <c r="AL1061" t="n">
        <v>0</v>
      </c>
      <c r="AM1061" t="n">
        <v>1</v>
      </c>
      <c r="AN1061" t="n">
        <v>0</v>
      </c>
      <c r="AO1061" t="n">
        <v>0</v>
      </c>
      <c r="AP1061" t="inlineStr">
        <is>
          <t>No</t>
        </is>
      </c>
      <c r="AQ1061" t="inlineStr">
        <is>
          <t>No</t>
        </is>
      </c>
      <c r="AS1061">
        <f>HYPERLINK("https://creighton-primo.hosted.exlibrisgroup.com/primo-explore/search?tab=default_tab&amp;search_scope=EVERYTHING&amp;vid=01CRU&amp;lang=en_US&amp;offset=0&amp;query=any,contains,991003876909702656","Catalog Record")</f>
        <v/>
      </c>
      <c r="AT1061">
        <f>HYPERLINK("http://www.worldcat.org/oclc/1709146","WorldCat Record")</f>
        <v/>
      </c>
      <c r="AU1061" t="inlineStr">
        <is>
          <t>2556296:eng</t>
        </is>
      </c>
      <c r="AV1061" t="inlineStr">
        <is>
          <t>1709146</t>
        </is>
      </c>
      <c r="AW1061" t="inlineStr">
        <is>
          <t>991003876909702656</t>
        </is>
      </c>
      <c r="AX1061" t="inlineStr">
        <is>
          <t>991003876909702656</t>
        </is>
      </c>
      <c r="AY1061" t="inlineStr">
        <is>
          <t>2267883830002656</t>
        </is>
      </c>
      <c r="AZ1061" t="inlineStr">
        <is>
          <t>BOOK</t>
        </is>
      </c>
      <c r="BC1061" t="inlineStr">
        <is>
          <t>32285000542802</t>
        </is>
      </c>
      <c r="BD1061" t="inlineStr">
        <is>
          <t>893900483</t>
        </is>
      </c>
    </row>
    <row r="1062">
      <c r="A1062" t="inlineStr">
        <is>
          <t>No</t>
        </is>
      </c>
      <c r="B1062" t="inlineStr">
        <is>
          <t>E302.6.H23 A4</t>
        </is>
      </c>
      <c r="C1062" t="inlineStr">
        <is>
          <t>0                      E  0302600H  23                 A  4</t>
        </is>
      </c>
      <c r="D1062" t="inlineStr">
        <is>
          <t>John Hancock, patriot in purple.</t>
        </is>
      </c>
      <c r="F1062" t="inlineStr">
        <is>
          <t>No</t>
        </is>
      </c>
      <c r="G1062" t="inlineStr">
        <is>
          <t>1</t>
        </is>
      </c>
      <c r="H1062" t="inlineStr">
        <is>
          <t>No</t>
        </is>
      </c>
      <c r="I1062" t="inlineStr">
        <is>
          <t>No</t>
        </is>
      </c>
      <c r="J1062" t="inlineStr">
        <is>
          <t>0</t>
        </is>
      </c>
      <c r="K1062" t="inlineStr">
        <is>
          <t>Allan, Herbert S. (Herbert Sanford), 1896-1982.</t>
        </is>
      </c>
      <c r="L1062" t="inlineStr">
        <is>
          <t>New York, Macmillan Co., 1948.</t>
        </is>
      </c>
      <c r="M1062" t="inlineStr">
        <is>
          <t>1948</t>
        </is>
      </c>
      <c r="O1062" t="inlineStr">
        <is>
          <t>eng</t>
        </is>
      </c>
      <c r="P1062" t="inlineStr">
        <is>
          <t>nyu</t>
        </is>
      </c>
      <c r="R1062" t="inlineStr">
        <is>
          <t xml:space="preserve">E  </t>
        </is>
      </c>
      <c r="S1062" t="n">
        <v>2</v>
      </c>
      <c r="T1062" t="n">
        <v>2</v>
      </c>
      <c r="U1062" t="inlineStr">
        <is>
          <t>1999-01-27</t>
        </is>
      </c>
      <c r="V1062" t="inlineStr">
        <is>
          <t>1999-01-27</t>
        </is>
      </c>
      <c r="W1062" t="inlineStr">
        <is>
          <t>1997-05-07</t>
        </is>
      </c>
      <c r="X1062" t="inlineStr">
        <is>
          <t>1997-05-07</t>
        </is>
      </c>
      <c r="Y1062" t="n">
        <v>673</v>
      </c>
      <c r="Z1062" t="n">
        <v>657</v>
      </c>
      <c r="AA1062" t="n">
        <v>971</v>
      </c>
      <c r="AB1062" t="n">
        <v>9</v>
      </c>
      <c r="AC1062" t="n">
        <v>9</v>
      </c>
      <c r="AD1062" t="n">
        <v>33</v>
      </c>
      <c r="AE1062" t="n">
        <v>43</v>
      </c>
      <c r="AF1062" t="n">
        <v>9</v>
      </c>
      <c r="AG1062" t="n">
        <v>15</v>
      </c>
      <c r="AH1062" t="n">
        <v>5</v>
      </c>
      <c r="AI1062" t="n">
        <v>8</v>
      </c>
      <c r="AJ1062" t="n">
        <v>15</v>
      </c>
      <c r="AK1062" t="n">
        <v>18</v>
      </c>
      <c r="AL1062" t="n">
        <v>8</v>
      </c>
      <c r="AM1062" t="n">
        <v>8</v>
      </c>
      <c r="AN1062" t="n">
        <v>4</v>
      </c>
      <c r="AO1062" t="n">
        <v>4</v>
      </c>
      <c r="AP1062" t="inlineStr">
        <is>
          <t>Yes</t>
        </is>
      </c>
      <c r="AQ1062" t="inlineStr">
        <is>
          <t>No</t>
        </is>
      </c>
      <c r="AR1062">
        <f>HYPERLINK("http://catalog.hathitrust.org/Record/000363403","HathiTrust Record")</f>
        <v/>
      </c>
      <c r="AS1062">
        <f>HYPERLINK("https://creighton-primo.hosted.exlibrisgroup.com/primo-explore/search?tab=default_tab&amp;search_scope=EVERYTHING&amp;vid=01CRU&amp;lang=en_US&amp;offset=0&amp;query=any,contains,991002751649702656","Catalog Record")</f>
        <v/>
      </c>
      <c r="AT1062">
        <f>HYPERLINK("http://www.worldcat.org/oclc/424881","WorldCat Record")</f>
        <v/>
      </c>
      <c r="AU1062" t="inlineStr">
        <is>
          <t>1516403:eng</t>
        </is>
      </c>
      <c r="AV1062" t="inlineStr">
        <is>
          <t>424881</t>
        </is>
      </c>
      <c r="AW1062" t="inlineStr">
        <is>
          <t>991002751649702656</t>
        </is>
      </c>
      <c r="AX1062" t="inlineStr">
        <is>
          <t>991002751649702656</t>
        </is>
      </c>
      <c r="AY1062" t="inlineStr">
        <is>
          <t>2268385070002656</t>
        </is>
      </c>
      <c r="AZ1062" t="inlineStr">
        <is>
          <t>BOOK</t>
        </is>
      </c>
      <c r="BC1062" t="inlineStr">
        <is>
          <t>32285002617974</t>
        </is>
      </c>
      <c r="BD1062" t="inlineStr">
        <is>
          <t>893873934</t>
        </is>
      </c>
    </row>
    <row r="1063">
      <c r="A1063" t="inlineStr">
        <is>
          <t>No</t>
        </is>
      </c>
      <c r="B1063" t="inlineStr">
        <is>
          <t>E302.6.H5 B44</t>
        </is>
      </c>
      <c r="C1063" t="inlineStr">
        <is>
          <t>0                      E  0302600H  5                  B  44</t>
        </is>
      </c>
      <c r="D1063" t="inlineStr">
        <is>
          <t>Patrick Henry : a biography / [by] Richard R. Beeman.</t>
        </is>
      </c>
      <c r="F1063" t="inlineStr">
        <is>
          <t>No</t>
        </is>
      </c>
      <c r="G1063" t="inlineStr">
        <is>
          <t>1</t>
        </is>
      </c>
      <c r="H1063" t="inlineStr">
        <is>
          <t>No</t>
        </is>
      </c>
      <c r="I1063" t="inlineStr">
        <is>
          <t>No</t>
        </is>
      </c>
      <c r="J1063" t="inlineStr">
        <is>
          <t>0</t>
        </is>
      </c>
      <c r="K1063" t="inlineStr">
        <is>
          <t>Beeman, Richard R.</t>
        </is>
      </c>
      <c r="L1063" t="inlineStr">
        <is>
          <t>New York : McGraw-Hill, [1974]</t>
        </is>
      </c>
      <c r="M1063" t="inlineStr">
        <is>
          <t>1974</t>
        </is>
      </c>
      <c r="O1063" t="inlineStr">
        <is>
          <t>eng</t>
        </is>
      </c>
      <c r="P1063" t="inlineStr">
        <is>
          <t>nyu</t>
        </is>
      </c>
      <c r="R1063" t="inlineStr">
        <is>
          <t xml:space="preserve">E  </t>
        </is>
      </c>
      <c r="S1063" t="n">
        <v>7</v>
      </c>
      <c r="T1063" t="n">
        <v>7</v>
      </c>
      <c r="U1063" t="inlineStr">
        <is>
          <t>1996-10-20</t>
        </is>
      </c>
      <c r="V1063" t="inlineStr">
        <is>
          <t>1996-10-20</t>
        </is>
      </c>
      <c r="W1063" t="inlineStr">
        <is>
          <t>1992-01-02</t>
        </is>
      </c>
      <c r="X1063" t="inlineStr">
        <is>
          <t>1992-01-02</t>
        </is>
      </c>
      <c r="Y1063" t="n">
        <v>1052</v>
      </c>
      <c r="Z1063" t="n">
        <v>1001</v>
      </c>
      <c r="AA1063" t="n">
        <v>1008</v>
      </c>
      <c r="AB1063" t="n">
        <v>9</v>
      </c>
      <c r="AC1063" t="n">
        <v>9</v>
      </c>
      <c r="AD1063" t="n">
        <v>33</v>
      </c>
      <c r="AE1063" t="n">
        <v>33</v>
      </c>
      <c r="AF1063" t="n">
        <v>12</v>
      </c>
      <c r="AG1063" t="n">
        <v>12</v>
      </c>
      <c r="AH1063" t="n">
        <v>9</v>
      </c>
      <c r="AI1063" t="n">
        <v>9</v>
      </c>
      <c r="AJ1063" t="n">
        <v>14</v>
      </c>
      <c r="AK1063" t="n">
        <v>14</v>
      </c>
      <c r="AL1063" t="n">
        <v>6</v>
      </c>
      <c r="AM1063" t="n">
        <v>6</v>
      </c>
      <c r="AN1063" t="n">
        <v>1</v>
      </c>
      <c r="AO1063" t="n">
        <v>1</v>
      </c>
      <c r="AP1063" t="inlineStr">
        <is>
          <t>No</t>
        </is>
      </c>
      <c r="AQ1063" t="inlineStr">
        <is>
          <t>Yes</t>
        </is>
      </c>
      <c r="AR1063">
        <f>HYPERLINK("http://catalog.hathitrust.org/Record/000363411","HathiTrust Record")</f>
        <v/>
      </c>
      <c r="AS1063">
        <f>HYPERLINK("https://creighton-primo.hosted.exlibrisgroup.com/primo-explore/search?tab=default_tab&amp;search_scope=EVERYTHING&amp;vid=01CRU&amp;lang=en_US&amp;offset=0&amp;query=any,contains,991003419189702656","Catalog Record")</f>
        <v/>
      </c>
      <c r="AT1063">
        <f>HYPERLINK("http://www.worldcat.org/oclc/960156","WorldCat Record")</f>
        <v/>
      </c>
      <c r="AU1063" t="inlineStr">
        <is>
          <t>3901390749:eng</t>
        </is>
      </c>
      <c r="AV1063" t="inlineStr">
        <is>
          <t>960156</t>
        </is>
      </c>
      <c r="AW1063" t="inlineStr">
        <is>
          <t>991003419189702656</t>
        </is>
      </c>
      <c r="AX1063" t="inlineStr">
        <is>
          <t>991003419189702656</t>
        </is>
      </c>
      <c r="AY1063" t="inlineStr">
        <is>
          <t>2259077760002656</t>
        </is>
      </c>
      <c r="AZ1063" t="inlineStr">
        <is>
          <t>BOOK</t>
        </is>
      </c>
      <c r="BB1063" t="inlineStr">
        <is>
          <t>9780070042803</t>
        </is>
      </c>
      <c r="BC1063" t="inlineStr">
        <is>
          <t>32285000882059</t>
        </is>
      </c>
      <c r="BD1063" t="inlineStr">
        <is>
          <t>893352821</t>
        </is>
      </c>
    </row>
    <row r="1064">
      <c r="A1064" t="inlineStr">
        <is>
          <t>No</t>
        </is>
      </c>
      <c r="B1064" t="inlineStr">
        <is>
          <t>E302.6.H5 M35 1986</t>
        </is>
      </c>
      <c r="C1064" t="inlineStr">
        <is>
          <t>0                      E  0302600H  5                  M  35          1986</t>
        </is>
      </c>
      <c r="D1064" t="inlineStr">
        <is>
          <t>A son of thunder : Patrick Henry and the American republic / Henry Mayer.</t>
        </is>
      </c>
      <c r="F1064" t="inlineStr">
        <is>
          <t>No</t>
        </is>
      </c>
      <c r="G1064" t="inlineStr">
        <is>
          <t>1</t>
        </is>
      </c>
      <c r="H1064" t="inlineStr">
        <is>
          <t>No</t>
        </is>
      </c>
      <c r="I1064" t="inlineStr">
        <is>
          <t>No</t>
        </is>
      </c>
      <c r="J1064" t="inlineStr">
        <is>
          <t>0</t>
        </is>
      </c>
      <c r="K1064" t="inlineStr">
        <is>
          <t>Mayer, Henry, 1941-2000.</t>
        </is>
      </c>
      <c r="L1064" t="inlineStr">
        <is>
          <t>New York : F. Watts, 1986.</t>
        </is>
      </c>
      <c r="M1064" t="inlineStr">
        <is>
          <t>1986</t>
        </is>
      </c>
      <c r="O1064" t="inlineStr">
        <is>
          <t>eng</t>
        </is>
      </c>
      <c r="P1064" t="inlineStr">
        <is>
          <t>nyu</t>
        </is>
      </c>
      <c r="R1064" t="inlineStr">
        <is>
          <t xml:space="preserve">E  </t>
        </is>
      </c>
      <c r="S1064" t="n">
        <v>5</v>
      </c>
      <c r="T1064" t="n">
        <v>5</v>
      </c>
      <c r="U1064" t="inlineStr">
        <is>
          <t>1994-12-07</t>
        </is>
      </c>
      <c r="V1064" t="inlineStr">
        <is>
          <t>1994-12-07</t>
        </is>
      </c>
      <c r="W1064" t="inlineStr">
        <is>
          <t>1990-05-01</t>
        </is>
      </c>
      <c r="X1064" t="inlineStr">
        <is>
          <t>1990-05-01</t>
        </is>
      </c>
      <c r="Y1064" t="n">
        <v>1233</v>
      </c>
      <c r="Z1064" t="n">
        <v>1200</v>
      </c>
      <c r="AA1064" t="n">
        <v>1433</v>
      </c>
      <c r="AB1064" t="n">
        <v>7</v>
      </c>
      <c r="AC1064" t="n">
        <v>7</v>
      </c>
      <c r="AD1064" t="n">
        <v>20</v>
      </c>
      <c r="AE1064" t="n">
        <v>31</v>
      </c>
      <c r="AF1064" t="n">
        <v>6</v>
      </c>
      <c r="AG1064" t="n">
        <v>11</v>
      </c>
      <c r="AH1064" t="n">
        <v>7</v>
      </c>
      <c r="AI1064" t="n">
        <v>9</v>
      </c>
      <c r="AJ1064" t="n">
        <v>12</v>
      </c>
      <c r="AK1064" t="n">
        <v>17</v>
      </c>
      <c r="AL1064" t="n">
        <v>2</v>
      </c>
      <c r="AM1064" t="n">
        <v>2</v>
      </c>
      <c r="AN1064" t="n">
        <v>0</v>
      </c>
      <c r="AO1064" t="n">
        <v>1</v>
      </c>
      <c r="AP1064" t="inlineStr">
        <is>
          <t>No</t>
        </is>
      </c>
      <c r="AQ1064" t="inlineStr">
        <is>
          <t>No</t>
        </is>
      </c>
      <c r="AS1064">
        <f>HYPERLINK("https://creighton-primo.hosted.exlibrisgroup.com/primo-explore/search?tab=default_tab&amp;search_scope=EVERYTHING&amp;vid=01CRU&amp;lang=en_US&amp;offset=0&amp;query=any,contains,991000788219702656","Catalog Record")</f>
        <v/>
      </c>
      <c r="AT1064">
        <f>HYPERLINK("http://www.worldcat.org/oclc/13126455","WorldCat Record")</f>
        <v/>
      </c>
      <c r="AU1064" t="inlineStr">
        <is>
          <t>365744830:eng</t>
        </is>
      </c>
      <c r="AV1064" t="inlineStr">
        <is>
          <t>13126455</t>
        </is>
      </c>
      <c r="AW1064" t="inlineStr">
        <is>
          <t>991000788219702656</t>
        </is>
      </c>
      <c r="AX1064" t="inlineStr">
        <is>
          <t>991000788219702656</t>
        </is>
      </c>
      <c r="AY1064" t="inlineStr">
        <is>
          <t>2257961670002656</t>
        </is>
      </c>
      <c r="AZ1064" t="inlineStr">
        <is>
          <t>BOOK</t>
        </is>
      </c>
      <c r="BB1064" t="inlineStr">
        <is>
          <t>9780531150092</t>
        </is>
      </c>
      <c r="BC1064" t="inlineStr">
        <is>
          <t>32285000146109</t>
        </is>
      </c>
      <c r="BD1064" t="inlineStr">
        <is>
          <t>893702434</t>
        </is>
      </c>
    </row>
    <row r="1065">
      <c r="A1065" t="inlineStr">
        <is>
          <t>No</t>
        </is>
      </c>
      <c r="B1065" t="inlineStr">
        <is>
          <t>E302.6.H5 T92</t>
        </is>
      </c>
      <c r="C1065" t="inlineStr">
        <is>
          <t>0                      E  0302600H  5                  T  92</t>
        </is>
      </c>
      <c r="D1065" t="inlineStr">
        <is>
          <t>Patrick Henry / by Moses Coit Tyler.</t>
        </is>
      </c>
      <c r="F1065" t="inlineStr">
        <is>
          <t>No</t>
        </is>
      </c>
      <c r="G1065" t="inlineStr">
        <is>
          <t>1</t>
        </is>
      </c>
      <c r="H1065" t="inlineStr">
        <is>
          <t>No</t>
        </is>
      </c>
      <c r="I1065" t="inlineStr">
        <is>
          <t>No</t>
        </is>
      </c>
      <c r="J1065" t="inlineStr">
        <is>
          <t>0</t>
        </is>
      </c>
      <c r="K1065" t="inlineStr">
        <is>
          <t>Tyler, Moses Coit, 1835-1900.</t>
        </is>
      </c>
      <c r="L1065" t="inlineStr">
        <is>
          <t>Boston ; New York : Houghton, Mifflin and Co., [c1887]</t>
        </is>
      </c>
      <c r="M1065" t="inlineStr">
        <is>
          <t>1887</t>
        </is>
      </c>
      <c r="O1065" t="inlineStr">
        <is>
          <t>eng</t>
        </is>
      </c>
      <c r="P1065" t="inlineStr">
        <is>
          <t>mau</t>
        </is>
      </c>
      <c r="Q1065" t="inlineStr">
        <is>
          <t>American statesmen ; v. 3</t>
        </is>
      </c>
      <c r="R1065" t="inlineStr">
        <is>
          <t xml:space="preserve">E  </t>
        </is>
      </c>
      <c r="S1065" t="n">
        <v>3</v>
      </c>
      <c r="T1065" t="n">
        <v>3</v>
      </c>
      <c r="U1065" t="inlineStr">
        <is>
          <t>1994-12-07</t>
        </is>
      </c>
      <c r="V1065" t="inlineStr">
        <is>
          <t>1994-12-07</t>
        </is>
      </c>
      <c r="W1065" t="inlineStr">
        <is>
          <t>1994-08-12</t>
        </is>
      </c>
      <c r="X1065" t="inlineStr">
        <is>
          <t>1994-08-12</t>
        </is>
      </c>
      <c r="Y1065" t="n">
        <v>278</v>
      </c>
      <c r="Z1065" t="n">
        <v>264</v>
      </c>
      <c r="AA1065" t="n">
        <v>1702</v>
      </c>
      <c r="AB1065" t="n">
        <v>3</v>
      </c>
      <c r="AC1065" t="n">
        <v>16</v>
      </c>
      <c r="AD1065" t="n">
        <v>11</v>
      </c>
      <c r="AE1065" t="n">
        <v>73</v>
      </c>
      <c r="AF1065" t="n">
        <v>4</v>
      </c>
      <c r="AG1065" t="n">
        <v>25</v>
      </c>
      <c r="AH1065" t="n">
        <v>2</v>
      </c>
      <c r="AI1065" t="n">
        <v>9</v>
      </c>
      <c r="AJ1065" t="n">
        <v>5</v>
      </c>
      <c r="AK1065" t="n">
        <v>24</v>
      </c>
      <c r="AL1065" t="n">
        <v>2</v>
      </c>
      <c r="AM1065" t="n">
        <v>11</v>
      </c>
      <c r="AN1065" t="n">
        <v>0</v>
      </c>
      <c r="AO1065" t="n">
        <v>16</v>
      </c>
      <c r="AP1065" t="inlineStr">
        <is>
          <t>Yes</t>
        </is>
      </c>
      <c r="AQ1065" t="inlineStr">
        <is>
          <t>No</t>
        </is>
      </c>
      <c r="AR1065">
        <f>HYPERLINK("http://catalog.hathitrust.org/Record/000405861","HathiTrust Record")</f>
        <v/>
      </c>
      <c r="AS1065">
        <f>HYPERLINK("https://creighton-primo.hosted.exlibrisgroup.com/primo-explore/search?tab=default_tab&amp;search_scope=EVERYTHING&amp;vid=01CRU&amp;lang=en_US&amp;offset=0&amp;query=any,contains,991003236669702656","Catalog Record")</f>
        <v/>
      </c>
      <c r="AT1065">
        <f>HYPERLINK("http://www.worldcat.org/oclc/761122","WorldCat Record")</f>
        <v/>
      </c>
      <c r="AU1065" t="inlineStr">
        <is>
          <t>437983574:eng</t>
        </is>
      </c>
      <c r="AV1065" t="inlineStr">
        <is>
          <t>761122</t>
        </is>
      </c>
      <c r="AW1065" t="inlineStr">
        <is>
          <t>991003236669702656</t>
        </is>
      </c>
      <c r="AX1065" t="inlineStr">
        <is>
          <t>991003236669702656</t>
        </is>
      </c>
      <c r="AY1065" t="inlineStr">
        <is>
          <t>2267840870002656</t>
        </is>
      </c>
      <c r="AZ1065" t="inlineStr">
        <is>
          <t>BOOK</t>
        </is>
      </c>
      <c r="BC1065" t="inlineStr">
        <is>
          <t>32285001938058</t>
        </is>
      </c>
      <c r="BD1065" t="inlineStr">
        <is>
          <t>893428584</t>
        </is>
      </c>
    </row>
    <row r="1066">
      <c r="A1066" t="inlineStr">
        <is>
          <t>No</t>
        </is>
      </c>
      <c r="B1066" t="inlineStr">
        <is>
          <t>E302.6.J4 M6</t>
        </is>
      </c>
      <c r="C1066" t="inlineStr">
        <is>
          <t>0                      E  0302600J  4                  M  6</t>
        </is>
      </c>
      <c r="D1066" t="inlineStr">
        <is>
          <t>John Jay, defender of liberty against kings &amp; peoples, author of the Constitution &amp; governor of New York, president of the Continental Congress, co-author of the Federalist, negotiator of the Peace of 1783 &amp; the Jay Treaty of 1794, first chief justice of the United States, by Frank Monaghan.</t>
        </is>
      </c>
      <c r="F1066" t="inlineStr">
        <is>
          <t>No</t>
        </is>
      </c>
      <c r="G1066" t="inlineStr">
        <is>
          <t>1</t>
        </is>
      </c>
      <c r="H1066" t="inlineStr">
        <is>
          <t>No</t>
        </is>
      </c>
      <c r="I1066" t="inlineStr">
        <is>
          <t>No</t>
        </is>
      </c>
      <c r="J1066" t="inlineStr">
        <is>
          <t>0</t>
        </is>
      </c>
      <c r="K1066" t="inlineStr">
        <is>
          <t>Monaghan, Frank, 1904-1969.</t>
        </is>
      </c>
      <c r="L1066" t="inlineStr">
        <is>
          <t>New York, Indianapolis, The Bobbs-Merrill Company, 1935.</t>
        </is>
      </c>
      <c r="M1066" t="inlineStr">
        <is>
          <t>1935</t>
        </is>
      </c>
      <c r="O1066" t="inlineStr">
        <is>
          <t>eng</t>
        </is>
      </c>
      <c r="P1066" t="inlineStr">
        <is>
          <t>nyu</t>
        </is>
      </c>
      <c r="R1066" t="inlineStr">
        <is>
          <t xml:space="preserve">E  </t>
        </is>
      </c>
      <c r="S1066" t="n">
        <v>2</v>
      </c>
      <c r="T1066" t="n">
        <v>2</v>
      </c>
      <c r="U1066" t="inlineStr">
        <is>
          <t>1998-12-15</t>
        </is>
      </c>
      <c r="V1066" t="inlineStr">
        <is>
          <t>1998-12-15</t>
        </is>
      </c>
      <c r="W1066" t="inlineStr">
        <is>
          <t>1997-05-07</t>
        </is>
      </c>
      <c r="X1066" t="inlineStr">
        <is>
          <t>1997-05-07</t>
        </is>
      </c>
      <c r="Y1066" t="n">
        <v>560</v>
      </c>
      <c r="Z1066" t="n">
        <v>538</v>
      </c>
      <c r="AA1066" t="n">
        <v>738</v>
      </c>
      <c r="AB1066" t="n">
        <v>5</v>
      </c>
      <c r="AC1066" t="n">
        <v>5</v>
      </c>
      <c r="AD1066" t="n">
        <v>38</v>
      </c>
      <c r="AE1066" t="n">
        <v>48</v>
      </c>
      <c r="AF1066" t="n">
        <v>15</v>
      </c>
      <c r="AG1066" t="n">
        <v>17</v>
      </c>
      <c r="AH1066" t="n">
        <v>3</v>
      </c>
      <c r="AI1066" t="n">
        <v>4</v>
      </c>
      <c r="AJ1066" t="n">
        <v>12</v>
      </c>
      <c r="AK1066" t="n">
        <v>17</v>
      </c>
      <c r="AL1066" t="n">
        <v>3</v>
      </c>
      <c r="AM1066" t="n">
        <v>3</v>
      </c>
      <c r="AN1066" t="n">
        <v>13</v>
      </c>
      <c r="AO1066" t="n">
        <v>16</v>
      </c>
      <c r="AP1066" t="inlineStr">
        <is>
          <t>No</t>
        </is>
      </c>
      <c r="AQ1066" t="inlineStr">
        <is>
          <t>Yes</t>
        </is>
      </c>
      <c r="AR1066">
        <f>HYPERLINK("http://catalog.hathitrust.org/Record/000366209","HathiTrust Record")</f>
        <v/>
      </c>
      <c r="AS1066">
        <f>HYPERLINK("https://creighton-primo.hosted.exlibrisgroup.com/primo-explore/search?tab=default_tab&amp;search_scope=EVERYTHING&amp;vid=01CRU&amp;lang=en_US&amp;offset=0&amp;query=any,contains,991002751709702656","Catalog Record")</f>
        <v/>
      </c>
      <c r="AT1066">
        <f>HYPERLINK("http://www.worldcat.org/oclc/424884","WorldCat Record")</f>
        <v/>
      </c>
      <c r="AU1066" t="inlineStr">
        <is>
          <t>474712:eng</t>
        </is>
      </c>
      <c r="AV1066" t="inlineStr">
        <is>
          <t>424884</t>
        </is>
      </c>
      <c r="AW1066" t="inlineStr">
        <is>
          <t>991002751709702656</t>
        </is>
      </c>
      <c r="AX1066" t="inlineStr">
        <is>
          <t>991002751709702656</t>
        </is>
      </c>
      <c r="AY1066" t="inlineStr">
        <is>
          <t>2268384660002656</t>
        </is>
      </c>
      <c r="AZ1066" t="inlineStr">
        <is>
          <t>BOOK</t>
        </is>
      </c>
      <c r="BC1066" t="inlineStr">
        <is>
          <t>32285002618063</t>
        </is>
      </c>
      <c r="BD1066" t="inlineStr">
        <is>
          <t>893421757</t>
        </is>
      </c>
    </row>
    <row r="1067">
      <c r="A1067" t="inlineStr">
        <is>
          <t>No</t>
        </is>
      </c>
      <c r="B1067" t="inlineStr">
        <is>
          <t>E302.6.J4 P3</t>
        </is>
      </c>
      <c r="C1067" t="inlineStr">
        <is>
          <t>0                      E  0302600J  4                  P  3</t>
        </is>
      </c>
      <c r="D1067" t="inlineStr">
        <is>
          <t>John Jay, by George Pellew.</t>
        </is>
      </c>
      <c r="F1067" t="inlineStr">
        <is>
          <t>No</t>
        </is>
      </c>
      <c r="G1067" t="inlineStr">
        <is>
          <t>1</t>
        </is>
      </c>
      <c r="H1067" t="inlineStr">
        <is>
          <t>No</t>
        </is>
      </c>
      <c r="I1067" t="inlineStr">
        <is>
          <t>No</t>
        </is>
      </c>
      <c r="J1067" t="inlineStr">
        <is>
          <t>0</t>
        </is>
      </c>
      <c r="K1067" t="inlineStr">
        <is>
          <t>Pellew, George, 1859-1892.</t>
        </is>
      </c>
      <c r="L1067" t="inlineStr">
        <is>
          <t>Boston, New York, Houghton, Mifflin and Company, 1890.</t>
        </is>
      </c>
      <c r="M1067" t="inlineStr">
        <is>
          <t>1890</t>
        </is>
      </c>
      <c r="O1067" t="inlineStr">
        <is>
          <t>eng</t>
        </is>
      </c>
      <c r="P1067" t="inlineStr">
        <is>
          <t>mau</t>
        </is>
      </c>
      <c r="Q1067" t="inlineStr">
        <is>
          <t>American statesmen ; v. 9</t>
        </is>
      </c>
      <c r="R1067" t="inlineStr">
        <is>
          <t xml:space="preserve">E  </t>
        </is>
      </c>
      <c r="S1067" t="n">
        <v>2</v>
      </c>
      <c r="T1067" t="n">
        <v>2</v>
      </c>
      <c r="U1067" t="inlineStr">
        <is>
          <t>1998-12-15</t>
        </is>
      </c>
      <c r="V1067" t="inlineStr">
        <is>
          <t>1998-12-15</t>
        </is>
      </c>
      <c r="W1067" t="inlineStr">
        <is>
          <t>1997-05-07</t>
        </is>
      </c>
      <c r="X1067" t="inlineStr">
        <is>
          <t>1997-05-07</t>
        </is>
      </c>
      <c r="Y1067" t="n">
        <v>462</v>
      </c>
      <c r="Z1067" t="n">
        <v>433</v>
      </c>
      <c r="AA1067" t="n">
        <v>1307</v>
      </c>
      <c r="AB1067" t="n">
        <v>3</v>
      </c>
      <c r="AC1067" t="n">
        <v>10</v>
      </c>
      <c r="AD1067" t="n">
        <v>16</v>
      </c>
      <c r="AE1067" t="n">
        <v>69</v>
      </c>
      <c r="AF1067" t="n">
        <v>5</v>
      </c>
      <c r="AG1067" t="n">
        <v>22</v>
      </c>
      <c r="AH1067" t="n">
        <v>4</v>
      </c>
      <c r="AI1067" t="n">
        <v>8</v>
      </c>
      <c r="AJ1067" t="n">
        <v>8</v>
      </c>
      <c r="AK1067" t="n">
        <v>22</v>
      </c>
      <c r="AL1067" t="n">
        <v>2</v>
      </c>
      <c r="AM1067" t="n">
        <v>7</v>
      </c>
      <c r="AN1067" t="n">
        <v>1</v>
      </c>
      <c r="AO1067" t="n">
        <v>20</v>
      </c>
      <c r="AP1067" t="inlineStr">
        <is>
          <t>Yes</t>
        </is>
      </c>
      <c r="AQ1067" t="inlineStr">
        <is>
          <t>No</t>
        </is>
      </c>
      <c r="AR1067">
        <f>HYPERLINK("http://catalog.hathitrust.org/Record/000366667","HathiTrust Record")</f>
        <v/>
      </c>
      <c r="AS1067">
        <f>HYPERLINK("https://creighton-primo.hosted.exlibrisgroup.com/primo-explore/search?tab=default_tab&amp;search_scope=EVERYTHING&amp;vid=01CRU&amp;lang=en_US&amp;offset=0&amp;query=any,contains,991002533559702656","Catalog Record")</f>
        <v/>
      </c>
      <c r="AT1067">
        <f>HYPERLINK("http://www.worldcat.org/oclc/367294","WorldCat Record")</f>
        <v/>
      </c>
      <c r="AU1067" t="inlineStr">
        <is>
          <t>536366:eng</t>
        </is>
      </c>
      <c r="AV1067" t="inlineStr">
        <is>
          <t>367294</t>
        </is>
      </c>
      <c r="AW1067" t="inlineStr">
        <is>
          <t>991002533559702656</t>
        </is>
      </c>
      <c r="AX1067" t="inlineStr">
        <is>
          <t>991002533559702656</t>
        </is>
      </c>
      <c r="AY1067" t="inlineStr">
        <is>
          <t>2265022370002656</t>
        </is>
      </c>
      <c r="AZ1067" t="inlineStr">
        <is>
          <t>BOOK</t>
        </is>
      </c>
      <c r="BC1067" t="inlineStr">
        <is>
          <t>32285002618071</t>
        </is>
      </c>
      <c r="BD1067" t="inlineStr">
        <is>
          <t>893792578</t>
        </is>
      </c>
    </row>
    <row r="1068">
      <c r="A1068" t="inlineStr">
        <is>
          <t>No</t>
        </is>
      </c>
      <c r="B1068" t="inlineStr">
        <is>
          <t>E302.6.J4 S6</t>
        </is>
      </c>
      <c r="C1068" t="inlineStr">
        <is>
          <t>0                      E  0302600J  4                  S  6</t>
        </is>
      </c>
      <c r="D1068" t="inlineStr">
        <is>
          <t>John Jay; founder of a state and nation [by] Donald L. Smith.</t>
        </is>
      </c>
      <c r="F1068" t="inlineStr">
        <is>
          <t>No</t>
        </is>
      </c>
      <c r="G1068" t="inlineStr">
        <is>
          <t>1</t>
        </is>
      </c>
      <c r="H1068" t="inlineStr">
        <is>
          <t>No</t>
        </is>
      </c>
      <c r="I1068" t="inlineStr">
        <is>
          <t>No</t>
        </is>
      </c>
      <c r="J1068" t="inlineStr">
        <is>
          <t>0</t>
        </is>
      </c>
      <c r="K1068" t="inlineStr">
        <is>
          <t>Smith, Donald L. (Donald Lewis)</t>
        </is>
      </c>
      <c r="L1068" t="inlineStr">
        <is>
          <t>New York, Teachers College Press, Columbia University [1968]</t>
        </is>
      </c>
      <c r="M1068" t="inlineStr">
        <is>
          <t>1968</t>
        </is>
      </c>
      <c r="O1068" t="inlineStr">
        <is>
          <t>eng</t>
        </is>
      </c>
      <c r="P1068" t="inlineStr">
        <is>
          <t>nyu</t>
        </is>
      </c>
      <c r="Q1068" t="inlineStr">
        <is>
          <t>Social studies sources</t>
        </is>
      </c>
      <c r="R1068" t="inlineStr">
        <is>
          <t xml:space="preserve">E  </t>
        </is>
      </c>
      <c r="S1068" t="n">
        <v>2</v>
      </c>
      <c r="T1068" t="n">
        <v>2</v>
      </c>
      <c r="U1068" t="inlineStr">
        <is>
          <t>1998-12-15</t>
        </is>
      </c>
      <c r="V1068" t="inlineStr">
        <is>
          <t>1998-12-15</t>
        </is>
      </c>
      <c r="W1068" t="inlineStr">
        <is>
          <t>1991-12-18</t>
        </is>
      </c>
      <c r="X1068" t="inlineStr">
        <is>
          <t>1991-12-18</t>
        </is>
      </c>
      <c r="Y1068" t="n">
        <v>455</v>
      </c>
      <c r="Z1068" t="n">
        <v>428</v>
      </c>
      <c r="AA1068" t="n">
        <v>434</v>
      </c>
      <c r="AB1068" t="n">
        <v>8</v>
      </c>
      <c r="AC1068" t="n">
        <v>8</v>
      </c>
      <c r="AD1068" t="n">
        <v>21</v>
      </c>
      <c r="AE1068" t="n">
        <v>21</v>
      </c>
      <c r="AF1068" t="n">
        <v>5</v>
      </c>
      <c r="AG1068" t="n">
        <v>5</v>
      </c>
      <c r="AH1068" t="n">
        <v>5</v>
      </c>
      <c r="AI1068" t="n">
        <v>5</v>
      </c>
      <c r="AJ1068" t="n">
        <v>9</v>
      </c>
      <c r="AK1068" t="n">
        <v>9</v>
      </c>
      <c r="AL1068" t="n">
        <v>5</v>
      </c>
      <c r="AM1068" t="n">
        <v>5</v>
      </c>
      <c r="AN1068" t="n">
        <v>1</v>
      </c>
      <c r="AO1068" t="n">
        <v>1</v>
      </c>
      <c r="AP1068" t="inlineStr">
        <is>
          <t>No</t>
        </is>
      </c>
      <c r="AQ1068" t="inlineStr">
        <is>
          <t>No</t>
        </is>
      </c>
      <c r="AS1068">
        <f>HYPERLINK("https://creighton-primo.hosted.exlibrisgroup.com/primo-explore/search?tab=default_tab&amp;search_scope=EVERYTHING&amp;vid=01CRU&amp;lang=en_US&amp;offset=0&amp;query=any,contains,991002810099702656","Catalog Record")</f>
        <v/>
      </c>
      <c r="AT1068">
        <f>HYPERLINK("http://www.worldcat.org/oclc/452031","WorldCat Record")</f>
        <v/>
      </c>
      <c r="AU1068" t="inlineStr">
        <is>
          <t>1439588:eng</t>
        </is>
      </c>
      <c r="AV1068" t="inlineStr">
        <is>
          <t>452031</t>
        </is>
      </c>
      <c r="AW1068" t="inlineStr">
        <is>
          <t>991002810099702656</t>
        </is>
      </c>
      <c r="AX1068" t="inlineStr">
        <is>
          <t>991002810099702656</t>
        </is>
      </c>
      <c r="AY1068" t="inlineStr">
        <is>
          <t>2258287710002656</t>
        </is>
      </c>
      <c r="AZ1068" t="inlineStr">
        <is>
          <t>BOOK</t>
        </is>
      </c>
      <c r="BC1068" t="inlineStr">
        <is>
          <t>32285000896224</t>
        </is>
      </c>
      <c r="BD1068" t="inlineStr">
        <is>
          <t>893323406</t>
        </is>
      </c>
    </row>
    <row r="1069">
      <c r="A1069" t="inlineStr">
        <is>
          <t>No</t>
        </is>
      </c>
      <c r="B1069" t="inlineStr">
        <is>
          <t>E302.6.L9 A95</t>
        </is>
      </c>
      <c r="C1069" t="inlineStr">
        <is>
          <t>0                      E  0302600L  9                  A  95</t>
        </is>
      </c>
      <c r="D1069" t="inlineStr">
        <is>
          <t>Matthew Lyon, "new man" of the democratic revolution, 1749-1822 / Aleine Austin ; foreword by Richard B. Morris.</t>
        </is>
      </c>
      <c r="F1069" t="inlineStr">
        <is>
          <t>No</t>
        </is>
      </c>
      <c r="G1069" t="inlineStr">
        <is>
          <t>1</t>
        </is>
      </c>
      <c r="H1069" t="inlineStr">
        <is>
          <t>No</t>
        </is>
      </c>
      <c r="I1069" t="inlineStr">
        <is>
          <t>No</t>
        </is>
      </c>
      <c r="J1069" t="inlineStr">
        <is>
          <t>0</t>
        </is>
      </c>
      <c r="K1069" t="inlineStr">
        <is>
          <t>Austin, Aleine.</t>
        </is>
      </c>
      <c r="L1069" t="inlineStr">
        <is>
          <t>University Park : Pennsylvania State University Press, 1981.</t>
        </is>
      </c>
      <c r="M1069" t="inlineStr">
        <is>
          <t>1980</t>
        </is>
      </c>
      <c r="O1069" t="inlineStr">
        <is>
          <t>eng</t>
        </is>
      </c>
      <c r="P1069" t="inlineStr">
        <is>
          <t>pau</t>
        </is>
      </c>
      <c r="R1069" t="inlineStr">
        <is>
          <t xml:space="preserve">E  </t>
        </is>
      </c>
      <c r="S1069" t="n">
        <v>3</v>
      </c>
      <c r="T1069" t="n">
        <v>3</v>
      </c>
      <c r="U1069" t="inlineStr">
        <is>
          <t>2004-09-13</t>
        </is>
      </c>
      <c r="V1069" t="inlineStr">
        <is>
          <t>2004-09-13</t>
        </is>
      </c>
      <c r="W1069" t="inlineStr">
        <is>
          <t>1991-04-16</t>
        </is>
      </c>
      <c r="X1069" t="inlineStr">
        <is>
          <t>1991-04-16</t>
        </is>
      </c>
      <c r="Y1069" t="n">
        <v>399</v>
      </c>
      <c r="Z1069" t="n">
        <v>359</v>
      </c>
      <c r="AA1069" t="n">
        <v>369</v>
      </c>
      <c r="AB1069" t="n">
        <v>2</v>
      </c>
      <c r="AC1069" t="n">
        <v>2</v>
      </c>
      <c r="AD1069" t="n">
        <v>18</v>
      </c>
      <c r="AE1069" t="n">
        <v>19</v>
      </c>
      <c r="AF1069" t="n">
        <v>5</v>
      </c>
      <c r="AG1069" t="n">
        <v>5</v>
      </c>
      <c r="AH1069" t="n">
        <v>6</v>
      </c>
      <c r="AI1069" t="n">
        <v>7</v>
      </c>
      <c r="AJ1069" t="n">
        <v>9</v>
      </c>
      <c r="AK1069" t="n">
        <v>10</v>
      </c>
      <c r="AL1069" t="n">
        <v>1</v>
      </c>
      <c r="AM1069" t="n">
        <v>1</v>
      </c>
      <c r="AN1069" t="n">
        <v>1</v>
      </c>
      <c r="AO1069" t="n">
        <v>1</v>
      </c>
      <c r="AP1069" t="inlineStr">
        <is>
          <t>No</t>
        </is>
      </c>
      <c r="AQ1069" t="inlineStr">
        <is>
          <t>Yes</t>
        </is>
      </c>
      <c r="AR1069">
        <f>HYPERLINK("http://catalog.hathitrust.org/Record/000739265","HathiTrust Record")</f>
        <v/>
      </c>
      <c r="AS1069">
        <f>HYPERLINK("https://creighton-primo.hosted.exlibrisgroup.com/primo-explore/search?tab=default_tab&amp;search_scope=EVERYTHING&amp;vid=01CRU&amp;lang=en_US&amp;offset=0&amp;query=any,contains,991004905479702656","Catalog Record")</f>
        <v/>
      </c>
      <c r="AT1069">
        <f>HYPERLINK("http://www.worldcat.org/oclc/5946509","WorldCat Record")</f>
        <v/>
      </c>
      <c r="AU1069" t="inlineStr">
        <is>
          <t>430868:eng</t>
        </is>
      </c>
      <c r="AV1069" t="inlineStr">
        <is>
          <t>5946509</t>
        </is>
      </c>
      <c r="AW1069" t="inlineStr">
        <is>
          <t>991004905479702656</t>
        </is>
      </c>
      <c r="AX1069" t="inlineStr">
        <is>
          <t>991004905479702656</t>
        </is>
      </c>
      <c r="AY1069" t="inlineStr">
        <is>
          <t>2257603080002656</t>
        </is>
      </c>
      <c r="AZ1069" t="inlineStr">
        <is>
          <t>BOOK</t>
        </is>
      </c>
      <c r="BB1069" t="inlineStr">
        <is>
          <t>9780271002620</t>
        </is>
      </c>
      <c r="BC1069" t="inlineStr">
        <is>
          <t>32285000542836</t>
        </is>
      </c>
      <c r="BD1069" t="inlineStr">
        <is>
          <t>893883092</t>
        </is>
      </c>
    </row>
    <row r="1070">
      <c r="A1070" t="inlineStr">
        <is>
          <t>No</t>
        </is>
      </c>
      <c r="B1070" t="inlineStr">
        <is>
          <t>E302.6.M45 M53</t>
        </is>
      </c>
      <c r="C1070" t="inlineStr">
        <is>
          <t>0                      E  0302600M  45                 M  53</t>
        </is>
      </c>
      <c r="D1070" t="inlineStr">
        <is>
          <t>George Mason, gentleman revolutionary / by Helen Hill Miller.</t>
        </is>
      </c>
      <c r="F1070" t="inlineStr">
        <is>
          <t>No</t>
        </is>
      </c>
      <c r="G1070" t="inlineStr">
        <is>
          <t>1</t>
        </is>
      </c>
      <c r="H1070" t="inlineStr">
        <is>
          <t>No</t>
        </is>
      </c>
      <c r="I1070" t="inlineStr">
        <is>
          <t>No</t>
        </is>
      </c>
      <c r="J1070" t="inlineStr">
        <is>
          <t>0</t>
        </is>
      </c>
      <c r="K1070" t="inlineStr">
        <is>
          <t>Miller, Helen Hill, 1899-1995.</t>
        </is>
      </c>
      <c r="L1070" t="inlineStr">
        <is>
          <t>Chapel Hill : University of North Carolina Press, [1975]</t>
        </is>
      </c>
      <c r="M1070" t="inlineStr">
        <is>
          <t>1975</t>
        </is>
      </c>
      <c r="O1070" t="inlineStr">
        <is>
          <t>eng</t>
        </is>
      </c>
      <c r="P1070" t="inlineStr">
        <is>
          <t>ncu</t>
        </is>
      </c>
      <c r="R1070" t="inlineStr">
        <is>
          <t xml:space="preserve">E  </t>
        </is>
      </c>
      <c r="S1070" t="n">
        <v>2</v>
      </c>
      <c r="T1070" t="n">
        <v>2</v>
      </c>
      <c r="U1070" t="inlineStr">
        <is>
          <t>2003-06-09</t>
        </is>
      </c>
      <c r="V1070" t="inlineStr">
        <is>
          <t>2003-06-09</t>
        </is>
      </c>
      <c r="W1070" t="inlineStr">
        <is>
          <t>1997-05-07</t>
        </is>
      </c>
      <c r="X1070" t="inlineStr">
        <is>
          <t>1997-05-07</t>
        </is>
      </c>
      <c r="Y1070" t="n">
        <v>786</v>
      </c>
      <c r="Z1070" t="n">
        <v>720</v>
      </c>
      <c r="AA1070" t="n">
        <v>727</v>
      </c>
      <c r="AB1070" t="n">
        <v>6</v>
      </c>
      <c r="AC1070" t="n">
        <v>6</v>
      </c>
      <c r="AD1070" t="n">
        <v>30</v>
      </c>
      <c r="AE1070" t="n">
        <v>30</v>
      </c>
      <c r="AF1070" t="n">
        <v>10</v>
      </c>
      <c r="AG1070" t="n">
        <v>10</v>
      </c>
      <c r="AH1070" t="n">
        <v>6</v>
      </c>
      <c r="AI1070" t="n">
        <v>6</v>
      </c>
      <c r="AJ1070" t="n">
        <v>14</v>
      </c>
      <c r="AK1070" t="n">
        <v>14</v>
      </c>
      <c r="AL1070" t="n">
        <v>5</v>
      </c>
      <c r="AM1070" t="n">
        <v>5</v>
      </c>
      <c r="AN1070" t="n">
        <v>1</v>
      </c>
      <c r="AO1070" t="n">
        <v>1</v>
      </c>
      <c r="AP1070" t="inlineStr">
        <is>
          <t>No</t>
        </is>
      </c>
      <c r="AQ1070" t="inlineStr">
        <is>
          <t>Yes</t>
        </is>
      </c>
      <c r="AR1070">
        <f>HYPERLINK("http://catalog.hathitrust.org/Record/000042253","HathiTrust Record")</f>
        <v/>
      </c>
      <c r="AS1070">
        <f>HYPERLINK("https://creighton-primo.hosted.exlibrisgroup.com/primo-explore/search?tab=default_tab&amp;search_scope=EVERYTHING&amp;vid=01CRU&amp;lang=en_US&amp;offset=0&amp;query=any,contains,991003598809702656","Catalog Record")</f>
        <v/>
      </c>
      <c r="AT1070">
        <f>HYPERLINK("http://www.worldcat.org/oclc/1176771","WorldCat Record")</f>
        <v/>
      </c>
      <c r="AU1070" t="inlineStr">
        <is>
          <t>465171:eng</t>
        </is>
      </c>
      <c r="AV1070" t="inlineStr">
        <is>
          <t>1176771</t>
        </is>
      </c>
      <c r="AW1070" t="inlineStr">
        <is>
          <t>991003598809702656</t>
        </is>
      </c>
      <c r="AX1070" t="inlineStr">
        <is>
          <t>991003598809702656</t>
        </is>
      </c>
      <c r="AY1070" t="inlineStr">
        <is>
          <t>2269571670002656</t>
        </is>
      </c>
      <c r="AZ1070" t="inlineStr">
        <is>
          <t>BOOK</t>
        </is>
      </c>
      <c r="BB1070" t="inlineStr">
        <is>
          <t>9780807812501</t>
        </is>
      </c>
      <c r="BC1070" t="inlineStr">
        <is>
          <t>32285002618220</t>
        </is>
      </c>
      <c r="BD1070" t="inlineStr">
        <is>
          <t>893330536</t>
        </is>
      </c>
    </row>
    <row r="1071">
      <c r="A1071" t="inlineStr">
        <is>
          <t>No</t>
        </is>
      </c>
      <c r="B1071" t="inlineStr">
        <is>
          <t>E302.6.P55 Z3</t>
        </is>
      </c>
      <c r="C1071" t="inlineStr">
        <is>
          <t>0                      E  0302600P  55                 Z  3</t>
        </is>
      </c>
      <c r="D1071" t="inlineStr">
        <is>
          <t>Charles Cotesworth Pinckney, founding father, by Marvin R. Zahniser.</t>
        </is>
      </c>
      <c r="F1071" t="inlineStr">
        <is>
          <t>No</t>
        </is>
      </c>
      <c r="G1071" t="inlineStr">
        <is>
          <t>1</t>
        </is>
      </c>
      <c r="H1071" t="inlineStr">
        <is>
          <t>No</t>
        </is>
      </c>
      <c r="I1071" t="inlineStr">
        <is>
          <t>No</t>
        </is>
      </c>
      <c r="J1071" t="inlineStr">
        <is>
          <t>0</t>
        </is>
      </c>
      <c r="K1071" t="inlineStr">
        <is>
          <t>Zahniser, Marvin R.</t>
        </is>
      </c>
      <c r="L1071" t="inlineStr">
        <is>
          <t>Chapel Hill, Published for the Institute of Early American History and culture, Williamsburg, Va., by the University of North Carolina Press [1967]</t>
        </is>
      </c>
      <c r="M1071" t="inlineStr">
        <is>
          <t>1967</t>
        </is>
      </c>
      <c r="O1071" t="inlineStr">
        <is>
          <t>eng</t>
        </is>
      </c>
      <c r="P1071" t="inlineStr">
        <is>
          <t>ncu</t>
        </is>
      </c>
      <c r="R1071" t="inlineStr">
        <is>
          <t xml:space="preserve">E  </t>
        </is>
      </c>
      <c r="S1071" t="n">
        <v>4</v>
      </c>
      <c r="T1071" t="n">
        <v>4</v>
      </c>
      <c r="U1071" t="inlineStr">
        <is>
          <t>2004-10-02</t>
        </is>
      </c>
      <c r="V1071" t="inlineStr">
        <is>
          <t>2004-10-02</t>
        </is>
      </c>
      <c r="W1071" t="inlineStr">
        <is>
          <t>1997-04-10</t>
        </is>
      </c>
      <c r="X1071" t="inlineStr">
        <is>
          <t>1997-04-10</t>
        </is>
      </c>
      <c r="Y1071" t="n">
        <v>838</v>
      </c>
      <c r="Z1071" t="n">
        <v>784</v>
      </c>
      <c r="AA1071" t="n">
        <v>1043</v>
      </c>
      <c r="AB1071" t="n">
        <v>7</v>
      </c>
      <c r="AC1071" t="n">
        <v>9</v>
      </c>
      <c r="AD1071" t="n">
        <v>39</v>
      </c>
      <c r="AE1071" t="n">
        <v>50</v>
      </c>
      <c r="AF1071" t="n">
        <v>14</v>
      </c>
      <c r="AG1071" t="n">
        <v>21</v>
      </c>
      <c r="AH1071" t="n">
        <v>6</v>
      </c>
      <c r="AI1071" t="n">
        <v>9</v>
      </c>
      <c r="AJ1071" t="n">
        <v>17</v>
      </c>
      <c r="AK1071" t="n">
        <v>20</v>
      </c>
      <c r="AL1071" t="n">
        <v>6</v>
      </c>
      <c r="AM1071" t="n">
        <v>7</v>
      </c>
      <c r="AN1071" t="n">
        <v>3</v>
      </c>
      <c r="AO1071" t="n">
        <v>3</v>
      </c>
      <c r="AP1071" t="inlineStr">
        <is>
          <t>No</t>
        </is>
      </c>
      <c r="AQ1071" t="inlineStr">
        <is>
          <t>Yes</t>
        </is>
      </c>
      <c r="AR1071">
        <f>HYPERLINK("http://catalog.hathitrust.org/Record/000363841","HathiTrust Record")</f>
        <v/>
      </c>
      <c r="AS1071">
        <f>HYPERLINK("https://creighton-primo.hosted.exlibrisgroup.com/primo-explore/search?tab=default_tab&amp;search_scope=EVERYTHING&amp;vid=01CRU&amp;lang=en_US&amp;offset=0&amp;query=any,contains,991003961929702656","Catalog Record")</f>
        <v/>
      </c>
      <c r="AT1071">
        <f>HYPERLINK("http://www.worldcat.org/oclc/1975836","WorldCat Record")</f>
        <v/>
      </c>
      <c r="AU1071" t="inlineStr">
        <is>
          <t>465134:eng</t>
        </is>
      </c>
      <c r="AV1071" t="inlineStr">
        <is>
          <t>1975836</t>
        </is>
      </c>
      <c r="AW1071" t="inlineStr">
        <is>
          <t>991003961929702656</t>
        </is>
      </c>
      <c r="AX1071" t="inlineStr">
        <is>
          <t>991003961929702656</t>
        </is>
      </c>
      <c r="AY1071" t="inlineStr">
        <is>
          <t>2266828200002656</t>
        </is>
      </c>
      <c r="AZ1071" t="inlineStr">
        <is>
          <t>BOOK</t>
        </is>
      </c>
      <c r="BC1071" t="inlineStr">
        <is>
          <t>32285002530706</t>
        </is>
      </c>
      <c r="BD1071" t="inlineStr">
        <is>
          <t>893869124</t>
        </is>
      </c>
    </row>
    <row r="1072">
      <c r="A1072" t="inlineStr">
        <is>
          <t>No</t>
        </is>
      </c>
      <c r="B1072" t="inlineStr">
        <is>
          <t>E302.6.R2 G25 1969b</t>
        </is>
      </c>
      <c r="C1072" t="inlineStr">
        <is>
          <t>0                      E  0302600R  2                  G  25          1969b</t>
        </is>
      </c>
      <c r="D1072" t="inlineStr">
        <is>
          <t>The life of John Randolph of Roanoke.</t>
        </is>
      </c>
      <c r="F1072" t="inlineStr">
        <is>
          <t>No</t>
        </is>
      </c>
      <c r="G1072" t="inlineStr">
        <is>
          <t>1</t>
        </is>
      </c>
      <c r="H1072" t="inlineStr">
        <is>
          <t>No</t>
        </is>
      </c>
      <c r="I1072" t="inlineStr">
        <is>
          <t>No</t>
        </is>
      </c>
      <c r="J1072" t="inlineStr">
        <is>
          <t>0</t>
        </is>
      </c>
      <c r="K1072" t="inlineStr">
        <is>
          <t>Garland, Hugh A., 1805-1854.</t>
        </is>
      </c>
      <c r="L1072" t="inlineStr">
        <is>
          <t>New York, Greenwood Press [1969]</t>
        </is>
      </c>
      <c r="M1072" t="inlineStr">
        <is>
          <t>1969</t>
        </is>
      </c>
      <c r="N1072" t="inlineStr">
        <is>
          <t>12th ed.</t>
        </is>
      </c>
      <c r="O1072" t="inlineStr">
        <is>
          <t>eng</t>
        </is>
      </c>
      <c r="P1072" t="inlineStr">
        <is>
          <t>nyu</t>
        </is>
      </c>
      <c r="R1072" t="inlineStr">
        <is>
          <t xml:space="preserve">E  </t>
        </is>
      </c>
      <c r="S1072" t="n">
        <v>1</v>
      </c>
      <c r="T1072" t="n">
        <v>1</v>
      </c>
      <c r="U1072" t="inlineStr">
        <is>
          <t>1998-03-02</t>
        </is>
      </c>
      <c r="V1072" t="inlineStr">
        <is>
          <t>1998-03-02</t>
        </is>
      </c>
      <c r="W1072" t="inlineStr">
        <is>
          <t>1997-04-10</t>
        </is>
      </c>
      <c r="X1072" t="inlineStr">
        <is>
          <t>1997-04-10</t>
        </is>
      </c>
      <c r="Y1072" t="n">
        <v>158</v>
      </c>
      <c r="Z1072" t="n">
        <v>147</v>
      </c>
      <c r="AA1072" t="n">
        <v>149</v>
      </c>
      <c r="AB1072" t="n">
        <v>1</v>
      </c>
      <c r="AC1072" t="n">
        <v>1</v>
      </c>
      <c r="AD1072" t="n">
        <v>7</v>
      </c>
      <c r="AE1072" t="n">
        <v>7</v>
      </c>
      <c r="AF1072" t="n">
        <v>2</v>
      </c>
      <c r="AG1072" t="n">
        <v>2</v>
      </c>
      <c r="AH1072" t="n">
        <v>3</v>
      </c>
      <c r="AI1072" t="n">
        <v>3</v>
      </c>
      <c r="AJ1072" t="n">
        <v>4</v>
      </c>
      <c r="AK1072" t="n">
        <v>4</v>
      </c>
      <c r="AL1072" t="n">
        <v>0</v>
      </c>
      <c r="AM1072" t="n">
        <v>0</v>
      </c>
      <c r="AN1072" t="n">
        <v>0</v>
      </c>
      <c r="AO1072" t="n">
        <v>0</v>
      </c>
      <c r="AP1072" t="inlineStr">
        <is>
          <t>No</t>
        </is>
      </c>
      <c r="AQ1072" t="inlineStr">
        <is>
          <t>Yes</t>
        </is>
      </c>
      <c r="AR1072">
        <f>HYPERLINK("http://catalog.hathitrust.org/Record/009809845","HathiTrust Record")</f>
        <v/>
      </c>
      <c r="AS1072">
        <f>HYPERLINK("https://creighton-primo.hosted.exlibrisgroup.com/primo-explore/search?tab=default_tab&amp;search_scope=EVERYTHING&amp;vid=01CRU&amp;lang=en_US&amp;offset=0&amp;query=any,contains,991000042259702656","Catalog Record")</f>
        <v/>
      </c>
      <c r="AT1072">
        <f>HYPERLINK("http://www.worldcat.org/oclc/21963","WorldCat Record")</f>
        <v/>
      </c>
      <c r="AU1072" t="inlineStr">
        <is>
          <t>5610122880:eng</t>
        </is>
      </c>
      <c r="AV1072" t="inlineStr">
        <is>
          <t>21963</t>
        </is>
      </c>
      <c r="AW1072" t="inlineStr">
        <is>
          <t>991000042259702656</t>
        </is>
      </c>
      <c r="AX1072" t="inlineStr">
        <is>
          <t>991000042259702656</t>
        </is>
      </c>
      <c r="AY1072" t="inlineStr">
        <is>
          <t>2261362380002656</t>
        </is>
      </c>
      <c r="AZ1072" t="inlineStr">
        <is>
          <t>BOOK</t>
        </is>
      </c>
      <c r="BB1072" t="inlineStr">
        <is>
          <t>9780837119717</t>
        </is>
      </c>
      <c r="BC1072" t="inlineStr">
        <is>
          <t>32285002530748</t>
        </is>
      </c>
      <c r="BD1072" t="inlineStr">
        <is>
          <t>893783897</t>
        </is>
      </c>
    </row>
    <row r="1073">
      <c r="A1073" t="inlineStr">
        <is>
          <t>No</t>
        </is>
      </c>
      <c r="B1073" t="inlineStr">
        <is>
          <t>E303 .B47 2002</t>
        </is>
      </c>
      <c r="C1073" t="inlineStr">
        <is>
          <t>0                      E  0303000B  47          2002</t>
        </is>
      </c>
      <c r="D1073" t="inlineStr">
        <is>
          <t>A brilliant solution : inventing the American Constitution / Carol Berkin.</t>
        </is>
      </c>
      <c r="F1073" t="inlineStr">
        <is>
          <t>No</t>
        </is>
      </c>
      <c r="G1073" t="inlineStr">
        <is>
          <t>1</t>
        </is>
      </c>
      <c r="H1073" t="inlineStr">
        <is>
          <t>No</t>
        </is>
      </c>
      <c r="I1073" t="inlineStr">
        <is>
          <t>No</t>
        </is>
      </c>
      <c r="J1073" t="inlineStr">
        <is>
          <t>0</t>
        </is>
      </c>
      <c r="K1073" t="inlineStr">
        <is>
          <t>Berkin, Carol.</t>
        </is>
      </c>
      <c r="L1073" t="inlineStr">
        <is>
          <t>New York : Harcourt, c2002.</t>
        </is>
      </c>
      <c r="M1073" t="inlineStr">
        <is>
          <t>2002</t>
        </is>
      </c>
      <c r="N1073" t="inlineStr">
        <is>
          <t>1st ed.</t>
        </is>
      </c>
      <c r="O1073" t="inlineStr">
        <is>
          <t>eng</t>
        </is>
      </c>
      <c r="P1073" t="inlineStr">
        <is>
          <t>nyu</t>
        </is>
      </c>
      <c r="R1073" t="inlineStr">
        <is>
          <t xml:space="preserve">E  </t>
        </is>
      </c>
      <c r="S1073" t="n">
        <v>2</v>
      </c>
      <c r="T1073" t="n">
        <v>2</v>
      </c>
      <c r="U1073" t="inlineStr">
        <is>
          <t>2004-09-26</t>
        </is>
      </c>
      <c r="V1073" t="inlineStr">
        <is>
          <t>2004-09-26</t>
        </is>
      </c>
      <c r="W1073" t="inlineStr">
        <is>
          <t>2002-09-30</t>
        </is>
      </c>
      <c r="X1073" t="inlineStr">
        <is>
          <t>2002-09-30</t>
        </is>
      </c>
      <c r="Y1073" t="n">
        <v>1628</v>
      </c>
      <c r="Z1073" t="n">
        <v>1581</v>
      </c>
      <c r="AA1073" t="n">
        <v>1782</v>
      </c>
      <c r="AB1073" t="n">
        <v>12</v>
      </c>
      <c r="AC1073" t="n">
        <v>14</v>
      </c>
      <c r="AD1073" t="n">
        <v>48</v>
      </c>
      <c r="AE1073" t="n">
        <v>53</v>
      </c>
      <c r="AF1073" t="n">
        <v>20</v>
      </c>
      <c r="AG1073" t="n">
        <v>23</v>
      </c>
      <c r="AH1073" t="n">
        <v>9</v>
      </c>
      <c r="AI1073" t="n">
        <v>9</v>
      </c>
      <c r="AJ1073" t="n">
        <v>15</v>
      </c>
      <c r="AK1073" t="n">
        <v>16</v>
      </c>
      <c r="AL1073" t="n">
        <v>8</v>
      </c>
      <c r="AM1073" t="n">
        <v>10</v>
      </c>
      <c r="AN1073" t="n">
        <v>7</v>
      </c>
      <c r="AO1073" t="n">
        <v>7</v>
      </c>
      <c r="AP1073" t="inlineStr">
        <is>
          <t>No</t>
        </is>
      </c>
      <c r="AQ1073" t="inlineStr">
        <is>
          <t>Yes</t>
        </is>
      </c>
      <c r="AR1073">
        <f>HYPERLINK("http://catalog.hathitrust.org/Record/004276869","HathiTrust Record")</f>
        <v/>
      </c>
      <c r="AS1073">
        <f>HYPERLINK("https://creighton-primo.hosted.exlibrisgroup.com/primo-explore/search?tab=default_tab&amp;search_scope=EVERYTHING&amp;vid=01CRU&amp;lang=en_US&amp;offset=0&amp;query=any,contains,991003839939702656","Catalog Record")</f>
        <v/>
      </c>
      <c r="AT1073">
        <f>HYPERLINK("http://www.worldcat.org/oclc/49663906","WorldCat Record")</f>
        <v/>
      </c>
      <c r="AU1073" t="inlineStr">
        <is>
          <t>660533:eng</t>
        </is>
      </c>
      <c r="AV1073" t="inlineStr">
        <is>
          <t>49663906</t>
        </is>
      </c>
      <c r="AW1073" t="inlineStr">
        <is>
          <t>991003839939702656</t>
        </is>
      </c>
      <c r="AX1073" t="inlineStr">
        <is>
          <t>991003839939702656</t>
        </is>
      </c>
      <c r="AY1073" t="inlineStr">
        <is>
          <t>2263716780002656</t>
        </is>
      </c>
      <c r="AZ1073" t="inlineStr">
        <is>
          <t>BOOK</t>
        </is>
      </c>
      <c r="BB1073" t="inlineStr">
        <is>
          <t>9780151009480</t>
        </is>
      </c>
      <c r="BC1073" t="inlineStr">
        <is>
          <t>32285004649991</t>
        </is>
      </c>
      <c r="BD1073" t="inlineStr">
        <is>
          <t>893611521</t>
        </is>
      </c>
    </row>
    <row r="1074">
      <c r="A1074" t="inlineStr">
        <is>
          <t>No</t>
        </is>
      </c>
      <c r="B1074" t="inlineStr">
        <is>
          <t>E303 .D38</t>
        </is>
      </c>
      <c r="C1074" t="inlineStr">
        <is>
          <t>0                      E  0303000D  38</t>
        </is>
      </c>
      <c r="D1074" t="inlineStr">
        <is>
          <t>Sectionalism in American politics, 1774-1787 / Joseph L. Davis.</t>
        </is>
      </c>
      <c r="F1074" t="inlineStr">
        <is>
          <t>No</t>
        </is>
      </c>
      <c r="G1074" t="inlineStr">
        <is>
          <t>1</t>
        </is>
      </c>
      <c r="H1074" t="inlineStr">
        <is>
          <t>No</t>
        </is>
      </c>
      <c r="I1074" t="inlineStr">
        <is>
          <t>No</t>
        </is>
      </c>
      <c r="J1074" t="inlineStr">
        <is>
          <t>0</t>
        </is>
      </c>
      <c r="K1074" t="inlineStr">
        <is>
          <t>Davis, Joseph L., 1946-</t>
        </is>
      </c>
      <c r="L1074" t="inlineStr">
        <is>
          <t>Madison : University of Wisconsin Press, 1977.</t>
        </is>
      </c>
      <c r="M1074" t="inlineStr">
        <is>
          <t>1977</t>
        </is>
      </c>
      <c r="O1074" t="inlineStr">
        <is>
          <t>eng</t>
        </is>
      </c>
      <c r="P1074" t="inlineStr">
        <is>
          <t>wiu</t>
        </is>
      </c>
      <c r="R1074" t="inlineStr">
        <is>
          <t xml:space="preserve">E  </t>
        </is>
      </c>
      <c r="S1074" t="n">
        <v>3</v>
      </c>
      <c r="T1074" t="n">
        <v>3</v>
      </c>
      <c r="U1074" t="inlineStr">
        <is>
          <t>1998-03-05</t>
        </is>
      </c>
      <c r="V1074" t="inlineStr">
        <is>
          <t>1998-03-05</t>
        </is>
      </c>
      <c r="W1074" t="inlineStr">
        <is>
          <t>1997-04-10</t>
        </is>
      </c>
      <c r="X1074" t="inlineStr">
        <is>
          <t>1997-04-10</t>
        </is>
      </c>
      <c r="Y1074" t="n">
        <v>650</v>
      </c>
      <c r="Z1074" t="n">
        <v>570</v>
      </c>
      <c r="AA1074" t="n">
        <v>574</v>
      </c>
      <c r="AB1074" t="n">
        <v>6</v>
      </c>
      <c r="AC1074" t="n">
        <v>6</v>
      </c>
      <c r="AD1074" t="n">
        <v>26</v>
      </c>
      <c r="AE1074" t="n">
        <v>27</v>
      </c>
      <c r="AF1074" t="n">
        <v>8</v>
      </c>
      <c r="AG1074" t="n">
        <v>8</v>
      </c>
      <c r="AH1074" t="n">
        <v>6</v>
      </c>
      <c r="AI1074" t="n">
        <v>7</v>
      </c>
      <c r="AJ1074" t="n">
        <v>13</v>
      </c>
      <c r="AK1074" t="n">
        <v>14</v>
      </c>
      <c r="AL1074" t="n">
        <v>5</v>
      </c>
      <c r="AM1074" t="n">
        <v>5</v>
      </c>
      <c r="AN1074" t="n">
        <v>0</v>
      </c>
      <c r="AO1074" t="n">
        <v>0</v>
      </c>
      <c r="AP1074" t="inlineStr">
        <is>
          <t>No</t>
        </is>
      </c>
      <c r="AQ1074" t="inlineStr">
        <is>
          <t>Yes</t>
        </is>
      </c>
      <c r="AR1074">
        <f>HYPERLINK("http://catalog.hathitrust.org/Record/000724325","HathiTrust Record")</f>
        <v/>
      </c>
      <c r="AS1074">
        <f>HYPERLINK("https://creighton-primo.hosted.exlibrisgroup.com/primo-explore/search?tab=default_tab&amp;search_scope=EVERYTHING&amp;vid=01CRU&amp;lang=en_US&amp;offset=0&amp;query=any,contains,991004090899702656","Catalog Record")</f>
        <v/>
      </c>
      <c r="AT1074">
        <f>HYPERLINK("http://www.worldcat.org/oclc/2345609","WorldCat Record")</f>
        <v/>
      </c>
      <c r="AU1074" t="inlineStr">
        <is>
          <t>434230:eng</t>
        </is>
      </c>
      <c r="AV1074" t="inlineStr">
        <is>
          <t>2345609</t>
        </is>
      </c>
      <c r="AW1074" t="inlineStr">
        <is>
          <t>991004090899702656</t>
        </is>
      </c>
      <c r="AX1074" t="inlineStr">
        <is>
          <t>991004090899702656</t>
        </is>
      </c>
      <c r="AY1074" t="inlineStr">
        <is>
          <t>2262032750002656</t>
        </is>
      </c>
      <c r="AZ1074" t="inlineStr">
        <is>
          <t>BOOK</t>
        </is>
      </c>
      <c r="BB1074" t="inlineStr">
        <is>
          <t>9780299070205</t>
        </is>
      </c>
      <c r="BC1074" t="inlineStr">
        <is>
          <t>32285002530821</t>
        </is>
      </c>
      <c r="BD1074" t="inlineStr">
        <is>
          <t>893712147</t>
        </is>
      </c>
    </row>
    <row r="1075">
      <c r="A1075" t="inlineStr">
        <is>
          <t>No</t>
        </is>
      </c>
      <c r="B1075" t="inlineStr">
        <is>
          <t>E303 .F58</t>
        </is>
      </c>
      <c r="C1075" t="inlineStr">
        <is>
          <t>0                      E  0303000F  58</t>
        </is>
      </c>
      <c r="D1075" t="inlineStr">
        <is>
          <t>The critical period of American history, 1783-1789 / by John Fiske.</t>
        </is>
      </c>
      <c r="F1075" t="inlineStr">
        <is>
          <t>No</t>
        </is>
      </c>
      <c r="G1075" t="inlineStr">
        <is>
          <t>1</t>
        </is>
      </c>
      <c r="H1075" t="inlineStr">
        <is>
          <t>No</t>
        </is>
      </c>
      <c r="I1075" t="inlineStr">
        <is>
          <t>No</t>
        </is>
      </c>
      <c r="J1075" t="inlineStr">
        <is>
          <t>0</t>
        </is>
      </c>
      <c r="K1075" t="inlineStr">
        <is>
          <t>Fiske, John, 1842-1901.</t>
        </is>
      </c>
      <c r="L1075" t="inlineStr">
        <is>
          <t>Boston : Houghton Mifflin, [c1888]</t>
        </is>
      </c>
      <c r="M1075" t="inlineStr">
        <is>
          <t>1888</t>
        </is>
      </c>
      <c r="O1075" t="inlineStr">
        <is>
          <t>eng</t>
        </is>
      </c>
      <c r="P1075" t="inlineStr">
        <is>
          <t xml:space="preserve">vp </t>
        </is>
      </c>
      <c r="R1075" t="inlineStr">
        <is>
          <t xml:space="preserve">E  </t>
        </is>
      </c>
      <c r="S1075" t="n">
        <v>3</v>
      </c>
      <c r="T1075" t="n">
        <v>3</v>
      </c>
      <c r="U1075" t="inlineStr">
        <is>
          <t>1997-01-10</t>
        </is>
      </c>
      <c r="V1075" t="inlineStr">
        <is>
          <t>1997-01-10</t>
        </is>
      </c>
      <c r="W1075" t="inlineStr">
        <is>
          <t>1990-04-10</t>
        </is>
      </c>
      <c r="X1075" t="inlineStr">
        <is>
          <t>1990-04-10</t>
        </is>
      </c>
      <c r="Y1075" t="n">
        <v>386</v>
      </c>
      <c r="Z1075" t="n">
        <v>355</v>
      </c>
      <c r="AA1075" t="n">
        <v>1538</v>
      </c>
      <c r="AB1075" t="n">
        <v>2</v>
      </c>
      <c r="AC1075" t="n">
        <v>16</v>
      </c>
      <c r="AD1075" t="n">
        <v>14</v>
      </c>
      <c r="AE1075" t="n">
        <v>67</v>
      </c>
      <c r="AF1075" t="n">
        <v>6</v>
      </c>
      <c r="AG1075" t="n">
        <v>24</v>
      </c>
      <c r="AH1075" t="n">
        <v>1</v>
      </c>
      <c r="AI1075" t="n">
        <v>8</v>
      </c>
      <c r="AJ1075" t="n">
        <v>8</v>
      </c>
      <c r="AK1075" t="n">
        <v>24</v>
      </c>
      <c r="AL1075" t="n">
        <v>0</v>
      </c>
      <c r="AM1075" t="n">
        <v>9</v>
      </c>
      <c r="AN1075" t="n">
        <v>0</v>
      </c>
      <c r="AO1075" t="n">
        <v>13</v>
      </c>
      <c r="AP1075" t="inlineStr">
        <is>
          <t>Yes</t>
        </is>
      </c>
      <c r="AQ1075" t="inlineStr">
        <is>
          <t>No</t>
        </is>
      </c>
      <c r="AR1075">
        <f>HYPERLINK("http://catalog.hathitrust.org/Record/008009902","HathiTrust Record")</f>
        <v/>
      </c>
      <c r="AS1075">
        <f>HYPERLINK("https://creighton-primo.hosted.exlibrisgroup.com/primo-explore/search?tab=default_tab&amp;search_scope=EVERYTHING&amp;vid=01CRU&amp;lang=en_US&amp;offset=0&amp;query=any,contains,991003869739702656","Catalog Record")</f>
        <v/>
      </c>
      <c r="AT1075">
        <f>HYPERLINK("http://www.worldcat.org/oclc/1689906","WorldCat Record")</f>
        <v/>
      </c>
      <c r="AU1075" t="inlineStr">
        <is>
          <t>4917523671:eng</t>
        </is>
      </c>
      <c r="AV1075" t="inlineStr">
        <is>
          <t>1689906</t>
        </is>
      </c>
      <c r="AW1075" t="inlineStr">
        <is>
          <t>991003869739702656</t>
        </is>
      </c>
      <c r="AX1075" t="inlineStr">
        <is>
          <t>991003869739702656</t>
        </is>
      </c>
      <c r="AY1075" t="inlineStr">
        <is>
          <t>2270766070002656</t>
        </is>
      </c>
      <c r="AZ1075" t="inlineStr">
        <is>
          <t>BOOK</t>
        </is>
      </c>
      <c r="BC1075" t="inlineStr">
        <is>
          <t>32285000104892</t>
        </is>
      </c>
      <c r="BD1075" t="inlineStr">
        <is>
          <t>893904566</t>
        </is>
      </c>
    </row>
    <row r="1076">
      <c r="A1076" t="inlineStr">
        <is>
          <t>No</t>
        </is>
      </c>
      <c r="B1076" t="inlineStr">
        <is>
          <t>E303 .J45 1981</t>
        </is>
      </c>
      <c r="C1076" t="inlineStr">
        <is>
          <t>0                      E  0303000J  45          1981</t>
        </is>
      </c>
      <c r="D1076" t="inlineStr">
        <is>
          <t>The new nation : a history of the United States during the Confederation, 1781-1789 / by Merrill Jensen ; with a foreword by Richard B. Morris.</t>
        </is>
      </c>
      <c r="F1076" t="inlineStr">
        <is>
          <t>No</t>
        </is>
      </c>
      <c r="G1076" t="inlineStr">
        <is>
          <t>1</t>
        </is>
      </c>
      <c r="H1076" t="inlineStr">
        <is>
          <t>No</t>
        </is>
      </c>
      <c r="I1076" t="inlineStr">
        <is>
          <t>Yes</t>
        </is>
      </c>
      <c r="J1076" t="inlineStr">
        <is>
          <t>0</t>
        </is>
      </c>
      <c r="K1076" t="inlineStr">
        <is>
          <t>Jensen, Merrill.</t>
        </is>
      </c>
      <c r="L1076" t="inlineStr">
        <is>
          <t>Boston : Northeastern University Press, 1981, c1950.</t>
        </is>
      </c>
      <c r="M1076" t="inlineStr">
        <is>
          <t>1981</t>
        </is>
      </c>
      <c r="N1076" t="inlineStr">
        <is>
          <t>Northeastern classics ed.</t>
        </is>
      </c>
      <c r="O1076" t="inlineStr">
        <is>
          <t>eng</t>
        </is>
      </c>
      <c r="P1076" t="inlineStr">
        <is>
          <t>mau</t>
        </is>
      </c>
      <c r="R1076" t="inlineStr">
        <is>
          <t xml:space="preserve">E  </t>
        </is>
      </c>
      <c r="S1076" t="n">
        <v>2</v>
      </c>
      <c r="T1076" t="n">
        <v>2</v>
      </c>
      <c r="U1076" t="inlineStr">
        <is>
          <t>1999-03-17</t>
        </is>
      </c>
      <c r="V1076" t="inlineStr">
        <is>
          <t>1999-03-17</t>
        </is>
      </c>
      <c r="W1076" t="inlineStr">
        <is>
          <t>1991-04-16</t>
        </is>
      </c>
      <c r="X1076" t="inlineStr">
        <is>
          <t>1991-04-16</t>
        </is>
      </c>
      <c r="Y1076" t="n">
        <v>235</v>
      </c>
      <c r="Z1076" t="n">
        <v>222</v>
      </c>
      <c r="AA1076" t="n">
        <v>1744</v>
      </c>
      <c r="AB1076" t="n">
        <v>2</v>
      </c>
      <c r="AC1076" t="n">
        <v>18</v>
      </c>
      <c r="AD1076" t="n">
        <v>5</v>
      </c>
      <c r="AE1076" t="n">
        <v>70</v>
      </c>
      <c r="AF1076" t="n">
        <v>1</v>
      </c>
      <c r="AG1076" t="n">
        <v>25</v>
      </c>
      <c r="AH1076" t="n">
        <v>1</v>
      </c>
      <c r="AI1076" t="n">
        <v>11</v>
      </c>
      <c r="AJ1076" t="n">
        <v>2</v>
      </c>
      <c r="AK1076" t="n">
        <v>25</v>
      </c>
      <c r="AL1076" t="n">
        <v>0</v>
      </c>
      <c r="AM1076" t="n">
        <v>15</v>
      </c>
      <c r="AN1076" t="n">
        <v>2</v>
      </c>
      <c r="AO1076" t="n">
        <v>7</v>
      </c>
      <c r="AP1076" t="inlineStr">
        <is>
          <t>No</t>
        </is>
      </c>
      <c r="AQ1076" t="inlineStr">
        <is>
          <t>Yes</t>
        </is>
      </c>
      <c r="AR1076">
        <f>HYPERLINK("http://catalog.hathitrust.org/Record/008317590","HathiTrust Record")</f>
        <v/>
      </c>
      <c r="AS1076">
        <f>HYPERLINK("https://creighton-primo.hosted.exlibrisgroup.com/primo-explore/search?tab=default_tab&amp;search_scope=EVERYTHING&amp;vid=01CRU&amp;lang=en_US&amp;offset=0&amp;query=any,contains,991005081659702656","Catalog Record")</f>
        <v/>
      </c>
      <c r="AT1076">
        <f>HYPERLINK("http://www.worldcat.org/oclc/7172910","WorldCat Record")</f>
        <v/>
      </c>
      <c r="AU1076" t="inlineStr">
        <is>
          <t>1083442370:eng</t>
        </is>
      </c>
      <c r="AV1076" t="inlineStr">
        <is>
          <t>7172910</t>
        </is>
      </c>
      <c r="AW1076" t="inlineStr">
        <is>
          <t>991005081659702656</t>
        </is>
      </c>
      <c r="AX1076" t="inlineStr">
        <is>
          <t>991005081659702656</t>
        </is>
      </c>
      <c r="AY1076" t="inlineStr">
        <is>
          <t>2255921720002656</t>
        </is>
      </c>
      <c r="AZ1076" t="inlineStr">
        <is>
          <t>BOOK</t>
        </is>
      </c>
      <c r="BB1076" t="inlineStr">
        <is>
          <t>9780930350147</t>
        </is>
      </c>
      <c r="BC1076" t="inlineStr">
        <is>
          <t>32285000542927</t>
        </is>
      </c>
      <c r="BD1076" t="inlineStr">
        <is>
          <t>893418342</t>
        </is>
      </c>
    </row>
    <row r="1077">
      <c r="A1077" t="inlineStr">
        <is>
          <t>No</t>
        </is>
      </c>
      <c r="B1077" t="inlineStr">
        <is>
          <t>E303 .M887 1985</t>
        </is>
      </c>
      <c r="C1077" t="inlineStr">
        <is>
          <t>0                      E  0303000M  887         1985</t>
        </is>
      </c>
      <c r="D1077" t="inlineStr">
        <is>
          <t>Witnesses at the creation : Hamilton, Madison, Jay, and the Constitution / by Richard B. Morris.</t>
        </is>
      </c>
      <c r="F1077" t="inlineStr">
        <is>
          <t>No</t>
        </is>
      </c>
      <c r="G1077" t="inlineStr">
        <is>
          <t>1</t>
        </is>
      </c>
      <c r="H1077" t="inlineStr">
        <is>
          <t>No</t>
        </is>
      </c>
      <c r="I1077" t="inlineStr">
        <is>
          <t>No</t>
        </is>
      </c>
      <c r="J1077" t="inlineStr">
        <is>
          <t>0</t>
        </is>
      </c>
      <c r="K1077" t="inlineStr">
        <is>
          <t>Morris, Richard B. (Richard Brandon), 1904-1989.</t>
        </is>
      </c>
      <c r="L1077" t="inlineStr">
        <is>
          <t>New York, N.Y. : Holt, Rinehart, &amp; Winston, c1985.</t>
        </is>
      </c>
      <c r="M1077" t="inlineStr">
        <is>
          <t>1985</t>
        </is>
      </c>
      <c r="N1077" t="inlineStr">
        <is>
          <t>1st ed.</t>
        </is>
      </c>
      <c r="O1077" t="inlineStr">
        <is>
          <t>eng</t>
        </is>
      </c>
      <c r="P1077" t="inlineStr">
        <is>
          <t>nyu</t>
        </is>
      </c>
      <c r="R1077" t="inlineStr">
        <is>
          <t xml:space="preserve">E  </t>
        </is>
      </c>
      <c r="S1077" t="n">
        <v>3</v>
      </c>
      <c r="T1077" t="n">
        <v>3</v>
      </c>
      <c r="U1077" t="inlineStr">
        <is>
          <t>2004-09-26</t>
        </is>
      </c>
      <c r="V1077" t="inlineStr">
        <is>
          <t>2004-09-26</t>
        </is>
      </c>
      <c r="W1077" t="inlineStr">
        <is>
          <t>1990-06-21</t>
        </is>
      </c>
      <c r="X1077" t="inlineStr">
        <is>
          <t>1990-06-21</t>
        </is>
      </c>
      <c r="Y1077" t="n">
        <v>1686</v>
      </c>
      <c r="Z1077" t="n">
        <v>1620</v>
      </c>
      <c r="AA1077" t="n">
        <v>1892</v>
      </c>
      <c r="AB1077" t="n">
        <v>13</v>
      </c>
      <c r="AC1077" t="n">
        <v>17</v>
      </c>
      <c r="AD1077" t="n">
        <v>35</v>
      </c>
      <c r="AE1077" t="n">
        <v>55</v>
      </c>
      <c r="AF1077" t="n">
        <v>10</v>
      </c>
      <c r="AG1077" t="n">
        <v>16</v>
      </c>
      <c r="AH1077" t="n">
        <v>5</v>
      </c>
      <c r="AI1077" t="n">
        <v>9</v>
      </c>
      <c r="AJ1077" t="n">
        <v>11</v>
      </c>
      <c r="AK1077" t="n">
        <v>22</v>
      </c>
      <c r="AL1077" t="n">
        <v>5</v>
      </c>
      <c r="AM1077" t="n">
        <v>8</v>
      </c>
      <c r="AN1077" t="n">
        <v>10</v>
      </c>
      <c r="AO1077" t="n">
        <v>13</v>
      </c>
      <c r="AP1077" t="inlineStr">
        <is>
          <t>No</t>
        </is>
      </c>
      <c r="AQ1077" t="inlineStr">
        <is>
          <t>No</t>
        </is>
      </c>
      <c r="AS1077">
        <f>HYPERLINK("https://creighton-primo.hosted.exlibrisgroup.com/primo-explore/search?tab=default_tab&amp;search_scope=EVERYTHING&amp;vid=01CRU&amp;lang=en_US&amp;offset=0&amp;query=any,contains,991000574859702656","Catalog Record")</f>
        <v/>
      </c>
      <c r="AT1077">
        <f>HYPERLINK("http://www.worldcat.org/oclc/11677013","WorldCat Record")</f>
        <v/>
      </c>
      <c r="AU1077" t="inlineStr">
        <is>
          <t>285562133:eng</t>
        </is>
      </c>
      <c r="AV1077" t="inlineStr">
        <is>
          <t>11677013</t>
        </is>
      </c>
      <c r="AW1077" t="inlineStr">
        <is>
          <t>991000574859702656</t>
        </is>
      </c>
      <c r="AX1077" t="inlineStr">
        <is>
          <t>991000574859702656</t>
        </is>
      </c>
      <c r="AY1077" t="inlineStr">
        <is>
          <t>2255333380002656</t>
        </is>
      </c>
      <c r="AZ1077" t="inlineStr">
        <is>
          <t>BOOK</t>
        </is>
      </c>
      <c r="BB1077" t="inlineStr">
        <is>
          <t>9780030629563</t>
        </is>
      </c>
      <c r="BC1077" t="inlineStr">
        <is>
          <t>32285000210855</t>
        </is>
      </c>
      <c r="BD1077" t="inlineStr">
        <is>
          <t>893714707</t>
        </is>
      </c>
    </row>
    <row r="1078">
      <c r="A1078" t="inlineStr">
        <is>
          <t>No</t>
        </is>
      </c>
      <c r="B1078" t="inlineStr">
        <is>
          <t>E303 .S79 1992</t>
        </is>
      </c>
      <c r="C1078" t="inlineStr">
        <is>
          <t>0                      E  0303000S  79          1992</t>
        </is>
      </c>
      <c r="D1078" t="inlineStr">
        <is>
          <t>Forge of union, anvil of liberty : a correspondent's report on the first federal elections, the first federal Congress, and the Bill of Rights / Jeffrey St. John ; foreword by Warren E. Burger.</t>
        </is>
      </c>
      <c r="F1078" t="inlineStr">
        <is>
          <t>No</t>
        </is>
      </c>
      <c r="G1078" t="inlineStr">
        <is>
          <t>1</t>
        </is>
      </c>
      <c r="H1078" t="inlineStr">
        <is>
          <t>No</t>
        </is>
      </c>
      <c r="I1078" t="inlineStr">
        <is>
          <t>No</t>
        </is>
      </c>
      <c r="J1078" t="inlineStr">
        <is>
          <t>0</t>
        </is>
      </c>
      <c r="K1078" t="inlineStr">
        <is>
          <t>St. John, Jeffrey.</t>
        </is>
      </c>
      <c r="L1078" t="inlineStr">
        <is>
          <t>Ottawa, Ill. : Jameson Books, c1992.</t>
        </is>
      </c>
      <c r="M1078" t="inlineStr">
        <is>
          <t>1992</t>
        </is>
      </c>
      <c r="O1078" t="inlineStr">
        <is>
          <t>eng</t>
        </is>
      </c>
      <c r="P1078" t="inlineStr">
        <is>
          <t>ilu</t>
        </is>
      </c>
      <c r="R1078" t="inlineStr">
        <is>
          <t xml:space="preserve">E  </t>
        </is>
      </c>
      <c r="S1078" t="n">
        <v>1</v>
      </c>
      <c r="T1078" t="n">
        <v>1</v>
      </c>
      <c r="U1078" t="inlineStr">
        <is>
          <t>1993-03-20</t>
        </is>
      </c>
      <c r="V1078" t="inlineStr">
        <is>
          <t>1993-03-20</t>
        </is>
      </c>
      <c r="W1078" t="inlineStr">
        <is>
          <t>1992-07-22</t>
        </is>
      </c>
      <c r="X1078" t="inlineStr">
        <is>
          <t>1992-07-22</t>
        </is>
      </c>
      <c r="Y1078" t="n">
        <v>2563</v>
      </c>
      <c r="Z1078" t="n">
        <v>2551</v>
      </c>
      <c r="AA1078" t="n">
        <v>2566</v>
      </c>
      <c r="AB1078" t="n">
        <v>19</v>
      </c>
      <c r="AC1078" t="n">
        <v>19</v>
      </c>
      <c r="AD1078" t="n">
        <v>74</v>
      </c>
      <c r="AE1078" t="n">
        <v>74</v>
      </c>
      <c r="AF1078" t="n">
        <v>22</v>
      </c>
      <c r="AG1078" t="n">
        <v>22</v>
      </c>
      <c r="AH1078" t="n">
        <v>10</v>
      </c>
      <c r="AI1078" t="n">
        <v>10</v>
      </c>
      <c r="AJ1078" t="n">
        <v>23</v>
      </c>
      <c r="AK1078" t="n">
        <v>23</v>
      </c>
      <c r="AL1078" t="n">
        <v>11</v>
      </c>
      <c r="AM1078" t="n">
        <v>11</v>
      </c>
      <c r="AN1078" t="n">
        <v>18</v>
      </c>
      <c r="AO1078" t="n">
        <v>18</v>
      </c>
      <c r="AP1078" t="inlineStr">
        <is>
          <t>No</t>
        </is>
      </c>
      <c r="AQ1078" t="inlineStr">
        <is>
          <t>Yes</t>
        </is>
      </c>
      <c r="AR1078">
        <f>HYPERLINK("http://catalog.hathitrust.org/Record/002561093","HathiTrust Record")</f>
        <v/>
      </c>
      <c r="AS1078">
        <f>HYPERLINK("https://creighton-primo.hosted.exlibrisgroup.com/primo-explore/search?tab=default_tab&amp;search_scope=EVERYTHING&amp;vid=01CRU&amp;lang=en_US&amp;offset=0&amp;query=any,contains,991002001449702656","Catalog Record")</f>
        <v/>
      </c>
      <c r="AT1078">
        <f>HYPERLINK("http://www.worldcat.org/oclc/25412502","WorldCat Record")</f>
        <v/>
      </c>
      <c r="AU1078" t="inlineStr">
        <is>
          <t>292027312:eng</t>
        </is>
      </c>
      <c r="AV1078" t="inlineStr">
        <is>
          <t>25412502</t>
        </is>
      </c>
      <c r="AW1078" t="inlineStr">
        <is>
          <t>991002001449702656</t>
        </is>
      </c>
      <c r="AX1078" t="inlineStr">
        <is>
          <t>991002001449702656</t>
        </is>
      </c>
      <c r="AY1078" t="inlineStr">
        <is>
          <t>2256990600002656</t>
        </is>
      </c>
      <c r="AZ1078" t="inlineStr">
        <is>
          <t>BOOK</t>
        </is>
      </c>
      <c r="BB1078" t="inlineStr">
        <is>
          <t>9780915463626</t>
        </is>
      </c>
      <c r="BC1078" t="inlineStr">
        <is>
          <t>32285001189678</t>
        </is>
      </c>
      <c r="BD1078" t="inlineStr">
        <is>
          <t>893226337</t>
        </is>
      </c>
    </row>
    <row r="1079">
      <c r="A1079" t="inlineStr">
        <is>
          <t>No</t>
        </is>
      </c>
      <c r="B1079" t="inlineStr">
        <is>
          <t>E303 .W27 2005</t>
        </is>
      </c>
      <c r="C1079" t="inlineStr">
        <is>
          <t>0                      E  0303000W  27          2005</t>
        </is>
      </c>
      <c r="D1079" t="inlineStr">
        <is>
          <t>The disposition of the people : George Washington and the ratification of the constitution / with an introduction by James C. Rees.</t>
        </is>
      </c>
      <c r="F1079" t="inlineStr">
        <is>
          <t>No</t>
        </is>
      </c>
      <c r="G1079" t="inlineStr">
        <is>
          <t>1</t>
        </is>
      </c>
      <c r="H1079" t="inlineStr">
        <is>
          <t>No</t>
        </is>
      </c>
      <c r="I1079" t="inlineStr">
        <is>
          <t>No</t>
        </is>
      </c>
      <c r="J1079" t="inlineStr">
        <is>
          <t>0</t>
        </is>
      </c>
      <c r="K1079" t="inlineStr">
        <is>
          <t>Washington, George, 1732-1799.</t>
        </is>
      </c>
      <c r="L1079" t="inlineStr">
        <is>
          <t>New York : Gilder Lehrman Institue of American History, 2005.</t>
        </is>
      </c>
      <c r="M1079" t="inlineStr">
        <is>
          <t>2005</t>
        </is>
      </c>
      <c r="O1079" t="inlineStr">
        <is>
          <t>eng</t>
        </is>
      </c>
      <c r="P1079" t="inlineStr">
        <is>
          <t>nyu</t>
        </is>
      </c>
      <c r="R1079" t="inlineStr">
        <is>
          <t xml:space="preserve">E  </t>
        </is>
      </c>
      <c r="S1079" t="n">
        <v>1</v>
      </c>
      <c r="T1079" t="n">
        <v>1</v>
      </c>
      <c r="U1079" t="inlineStr">
        <is>
          <t>2005-07-20</t>
        </is>
      </c>
      <c r="V1079" t="inlineStr">
        <is>
          <t>2005-07-20</t>
        </is>
      </c>
      <c r="W1079" t="inlineStr">
        <is>
          <t>2005-07-20</t>
        </is>
      </c>
      <c r="X1079" t="inlineStr">
        <is>
          <t>2005-07-20</t>
        </is>
      </c>
      <c r="Y1079" t="n">
        <v>107</v>
      </c>
      <c r="Z1079" t="n">
        <v>106</v>
      </c>
      <c r="AA1079" t="n">
        <v>109</v>
      </c>
      <c r="AB1079" t="n">
        <v>1</v>
      </c>
      <c r="AC1079" t="n">
        <v>1</v>
      </c>
      <c r="AD1079" t="n">
        <v>9</v>
      </c>
      <c r="AE1079" t="n">
        <v>10</v>
      </c>
      <c r="AF1079" t="n">
        <v>1</v>
      </c>
      <c r="AG1079" t="n">
        <v>2</v>
      </c>
      <c r="AH1079" t="n">
        <v>1</v>
      </c>
      <c r="AI1079" t="n">
        <v>1</v>
      </c>
      <c r="AJ1079" t="n">
        <v>4</v>
      </c>
      <c r="AK1079" t="n">
        <v>4</v>
      </c>
      <c r="AL1079" t="n">
        <v>0</v>
      </c>
      <c r="AM1079" t="n">
        <v>0</v>
      </c>
      <c r="AN1079" t="n">
        <v>4</v>
      </c>
      <c r="AO1079" t="n">
        <v>4</v>
      </c>
      <c r="AP1079" t="inlineStr">
        <is>
          <t>No</t>
        </is>
      </c>
      <c r="AQ1079" t="inlineStr">
        <is>
          <t>No</t>
        </is>
      </c>
      <c r="AS1079">
        <f>HYPERLINK("https://creighton-primo.hosted.exlibrisgroup.com/primo-explore/search?tab=default_tab&amp;search_scope=EVERYTHING&amp;vid=01CRU&amp;lang=en_US&amp;offset=0&amp;query=any,contains,991004615939702656","Catalog Record")</f>
        <v/>
      </c>
      <c r="AT1079">
        <f>HYPERLINK("http://www.worldcat.org/oclc/60662012","WorldCat Record")</f>
        <v/>
      </c>
      <c r="AU1079" t="inlineStr">
        <is>
          <t>3952152946:eng</t>
        </is>
      </c>
      <c r="AV1079" t="inlineStr">
        <is>
          <t>60662012</t>
        </is>
      </c>
      <c r="AW1079" t="inlineStr">
        <is>
          <t>991004615939702656</t>
        </is>
      </c>
      <c r="AX1079" t="inlineStr">
        <is>
          <t>991004615939702656</t>
        </is>
      </c>
      <c r="AY1079" t="inlineStr">
        <is>
          <t>2265765540002656</t>
        </is>
      </c>
      <c r="AZ1079" t="inlineStr">
        <is>
          <t>BOOK</t>
        </is>
      </c>
      <c r="BB1079" t="inlineStr">
        <is>
          <t>9781932821222</t>
        </is>
      </c>
      <c r="BC1079" t="inlineStr">
        <is>
          <t>32285005097216</t>
        </is>
      </c>
      <c r="BD1079" t="inlineStr">
        <is>
          <t>893526293</t>
        </is>
      </c>
    </row>
    <row r="1080">
      <c r="A1080" t="inlineStr">
        <is>
          <t>No</t>
        </is>
      </c>
      <c r="B1080" t="inlineStr">
        <is>
          <t>E310 .B23 1995</t>
        </is>
      </c>
      <c r="C1080" t="inlineStr">
        <is>
          <t>0                      E  0310000B  23          1995</t>
        </is>
      </c>
      <c r="D1080" t="inlineStr">
        <is>
          <t>Jefferson and Madison : three conversations from the Founding / Lance Banning.</t>
        </is>
      </c>
      <c r="F1080" t="inlineStr">
        <is>
          <t>No</t>
        </is>
      </c>
      <c r="G1080" t="inlineStr">
        <is>
          <t>1</t>
        </is>
      </c>
      <c r="H1080" t="inlineStr">
        <is>
          <t>No</t>
        </is>
      </c>
      <c r="I1080" t="inlineStr">
        <is>
          <t>No</t>
        </is>
      </c>
      <c r="J1080" t="inlineStr">
        <is>
          <t>0</t>
        </is>
      </c>
      <c r="K1080" t="inlineStr">
        <is>
          <t>Banning, Lance, 1942-2006.</t>
        </is>
      </c>
      <c r="L1080" t="inlineStr">
        <is>
          <t>Madison : Madison House, 1995.</t>
        </is>
      </c>
      <c r="M1080" t="inlineStr">
        <is>
          <t>1995</t>
        </is>
      </c>
      <c r="O1080" t="inlineStr">
        <is>
          <t>eng</t>
        </is>
      </c>
      <c r="P1080" t="inlineStr">
        <is>
          <t>wiu</t>
        </is>
      </c>
      <c r="Q1080" t="inlineStr">
        <is>
          <t>The Merrill Jensen lectures in constitutional studies</t>
        </is>
      </c>
      <c r="R1080" t="inlineStr">
        <is>
          <t xml:space="preserve">E  </t>
        </is>
      </c>
      <c r="S1080" t="n">
        <v>2</v>
      </c>
      <c r="T1080" t="n">
        <v>2</v>
      </c>
      <c r="U1080" t="inlineStr">
        <is>
          <t>2004-10-30</t>
        </is>
      </c>
      <c r="V1080" t="inlineStr">
        <is>
          <t>2004-10-30</t>
        </is>
      </c>
      <c r="W1080" t="inlineStr">
        <is>
          <t>1997-11-20</t>
        </is>
      </c>
      <c r="X1080" t="inlineStr">
        <is>
          <t>1997-11-20</t>
        </is>
      </c>
      <c r="Y1080" t="n">
        <v>530</v>
      </c>
      <c r="Z1080" t="n">
        <v>498</v>
      </c>
      <c r="AA1080" t="n">
        <v>526</v>
      </c>
      <c r="AB1080" t="n">
        <v>4</v>
      </c>
      <c r="AC1080" t="n">
        <v>4</v>
      </c>
      <c r="AD1080" t="n">
        <v>29</v>
      </c>
      <c r="AE1080" t="n">
        <v>30</v>
      </c>
      <c r="AF1080" t="n">
        <v>8</v>
      </c>
      <c r="AG1080" t="n">
        <v>9</v>
      </c>
      <c r="AH1080" t="n">
        <v>4</v>
      </c>
      <c r="AI1080" t="n">
        <v>4</v>
      </c>
      <c r="AJ1080" t="n">
        <v>12</v>
      </c>
      <c r="AK1080" t="n">
        <v>12</v>
      </c>
      <c r="AL1080" t="n">
        <v>3</v>
      </c>
      <c r="AM1080" t="n">
        <v>3</v>
      </c>
      <c r="AN1080" t="n">
        <v>8</v>
      </c>
      <c r="AO1080" t="n">
        <v>8</v>
      </c>
      <c r="AP1080" t="inlineStr">
        <is>
          <t>No</t>
        </is>
      </c>
      <c r="AQ1080" t="inlineStr">
        <is>
          <t>No</t>
        </is>
      </c>
      <c r="AS1080">
        <f>HYPERLINK("https://creighton-primo.hosted.exlibrisgroup.com/primo-explore/search?tab=default_tab&amp;search_scope=EVERYTHING&amp;vid=01CRU&amp;lang=en_US&amp;offset=0&amp;query=any,contains,991002408029702656","Catalog Record")</f>
        <v/>
      </c>
      <c r="AT1080">
        <f>HYPERLINK("http://www.worldcat.org/oclc/31329619","WorldCat Record")</f>
        <v/>
      </c>
      <c r="AU1080" t="inlineStr">
        <is>
          <t>660035:eng</t>
        </is>
      </c>
      <c r="AV1080" t="inlineStr">
        <is>
          <t>31329619</t>
        </is>
      </c>
      <c r="AW1080" t="inlineStr">
        <is>
          <t>991002408029702656</t>
        </is>
      </c>
      <c r="AX1080" t="inlineStr">
        <is>
          <t>991002408029702656</t>
        </is>
      </c>
      <c r="AY1080" t="inlineStr">
        <is>
          <t>2255632550002656</t>
        </is>
      </c>
      <c r="AZ1080" t="inlineStr">
        <is>
          <t>BOOK</t>
        </is>
      </c>
      <c r="BB1080" t="inlineStr">
        <is>
          <t>9780945612421</t>
        </is>
      </c>
      <c r="BC1080" t="inlineStr">
        <is>
          <t>32285003272233</t>
        </is>
      </c>
      <c r="BD1080" t="inlineStr">
        <is>
          <t>893529946</t>
        </is>
      </c>
    </row>
    <row r="1081">
      <c r="A1081" t="inlineStr">
        <is>
          <t>No</t>
        </is>
      </c>
      <c r="B1081" t="inlineStr">
        <is>
          <t>E310 .B65 1967</t>
        </is>
      </c>
      <c r="C1081" t="inlineStr">
        <is>
          <t>0                      E  0310000B  65          1967</t>
        </is>
      </c>
      <c r="D1081" t="inlineStr">
        <is>
          <t>Parties and politics in the early Republic, 1789-1815 / Morton Borden.</t>
        </is>
      </c>
      <c r="F1081" t="inlineStr">
        <is>
          <t>No</t>
        </is>
      </c>
      <c r="G1081" t="inlineStr">
        <is>
          <t>1</t>
        </is>
      </c>
      <c r="H1081" t="inlineStr">
        <is>
          <t>No</t>
        </is>
      </c>
      <c r="I1081" t="inlineStr">
        <is>
          <t>No</t>
        </is>
      </c>
      <c r="J1081" t="inlineStr">
        <is>
          <t>0</t>
        </is>
      </c>
      <c r="K1081" t="inlineStr">
        <is>
          <t>Borden, Morton.</t>
        </is>
      </c>
      <c r="L1081" t="inlineStr">
        <is>
          <t>Arlington Heights, Ill. : AHM Publishing Corp. ; 1967.</t>
        </is>
      </c>
      <c r="M1081" t="inlineStr">
        <is>
          <t>1967</t>
        </is>
      </c>
      <c r="O1081" t="inlineStr">
        <is>
          <t>eng</t>
        </is>
      </c>
      <c r="P1081" t="inlineStr">
        <is>
          <t>ilu</t>
        </is>
      </c>
      <c r="Q1081" t="inlineStr">
        <is>
          <t>AHM American history series</t>
        </is>
      </c>
      <c r="R1081" t="inlineStr">
        <is>
          <t xml:space="preserve">E  </t>
        </is>
      </c>
      <c r="S1081" t="n">
        <v>2</v>
      </c>
      <c r="T1081" t="n">
        <v>2</v>
      </c>
      <c r="U1081" t="inlineStr">
        <is>
          <t>1994-10-13</t>
        </is>
      </c>
      <c r="V1081" t="inlineStr">
        <is>
          <t>1994-10-13</t>
        </is>
      </c>
      <c r="W1081" t="inlineStr">
        <is>
          <t>1991-04-16</t>
        </is>
      </c>
      <c r="X1081" t="inlineStr">
        <is>
          <t>1991-04-16</t>
        </is>
      </c>
      <c r="Y1081" t="n">
        <v>78</v>
      </c>
      <c r="Z1081" t="n">
        <v>72</v>
      </c>
      <c r="AA1081" t="n">
        <v>793</v>
      </c>
      <c r="AB1081" t="n">
        <v>1</v>
      </c>
      <c r="AC1081" t="n">
        <v>7</v>
      </c>
      <c r="AD1081" t="n">
        <v>6</v>
      </c>
      <c r="AE1081" t="n">
        <v>34</v>
      </c>
      <c r="AF1081" t="n">
        <v>2</v>
      </c>
      <c r="AG1081" t="n">
        <v>16</v>
      </c>
      <c r="AH1081" t="n">
        <v>1</v>
      </c>
      <c r="AI1081" t="n">
        <v>6</v>
      </c>
      <c r="AJ1081" t="n">
        <v>5</v>
      </c>
      <c r="AK1081" t="n">
        <v>16</v>
      </c>
      <c r="AL1081" t="n">
        <v>0</v>
      </c>
      <c r="AM1081" t="n">
        <v>5</v>
      </c>
      <c r="AN1081" t="n">
        <v>0</v>
      </c>
      <c r="AO1081" t="n">
        <v>0</v>
      </c>
      <c r="AP1081" t="inlineStr">
        <is>
          <t>No</t>
        </is>
      </c>
      <c r="AQ1081" t="inlineStr">
        <is>
          <t>No</t>
        </is>
      </c>
      <c r="AS1081">
        <f>HYPERLINK("https://creighton-primo.hosted.exlibrisgroup.com/primo-explore/search?tab=default_tab&amp;search_scope=EVERYTHING&amp;vid=01CRU&amp;lang=en_US&amp;offset=0&amp;query=any,contains,991004431339702656","Catalog Record")</f>
        <v/>
      </c>
      <c r="AT1081">
        <f>HYPERLINK("http://www.worldcat.org/oclc/3422608","WorldCat Record")</f>
        <v/>
      </c>
      <c r="AU1081" t="inlineStr">
        <is>
          <t>543026:eng</t>
        </is>
      </c>
      <c r="AV1081" t="inlineStr">
        <is>
          <t>3422608</t>
        </is>
      </c>
      <c r="AW1081" t="inlineStr">
        <is>
          <t>991004431339702656</t>
        </is>
      </c>
      <c r="AX1081" t="inlineStr">
        <is>
          <t>991004431339702656</t>
        </is>
      </c>
      <c r="AY1081" t="inlineStr">
        <is>
          <t>2266625710002656</t>
        </is>
      </c>
      <c r="AZ1081" t="inlineStr">
        <is>
          <t>BOOK</t>
        </is>
      </c>
      <c r="BB1081" t="inlineStr">
        <is>
          <t>9780882957043</t>
        </is>
      </c>
      <c r="BC1081" t="inlineStr">
        <is>
          <t>32285000542968</t>
        </is>
      </c>
      <c r="BD1081" t="inlineStr">
        <is>
          <t>893241427</t>
        </is>
      </c>
    </row>
    <row r="1082">
      <c r="A1082" t="inlineStr">
        <is>
          <t>No</t>
        </is>
      </c>
      <c r="B1082" t="inlineStr">
        <is>
          <t>E310 .C86 2000</t>
        </is>
      </c>
      <c r="C1082" t="inlineStr">
        <is>
          <t>0                      E  0310000C  86          2000</t>
        </is>
      </c>
      <c r="D1082" t="inlineStr">
        <is>
          <t>Jefferson vs. Hamilton : confrontations that shaped a nation / Noble E. Cunningham, Jr.</t>
        </is>
      </c>
      <c r="F1082" t="inlineStr">
        <is>
          <t>No</t>
        </is>
      </c>
      <c r="G1082" t="inlineStr">
        <is>
          <t>1</t>
        </is>
      </c>
      <c r="H1082" t="inlineStr">
        <is>
          <t>No</t>
        </is>
      </c>
      <c r="I1082" t="inlineStr">
        <is>
          <t>No</t>
        </is>
      </c>
      <c r="J1082" t="inlineStr">
        <is>
          <t>0</t>
        </is>
      </c>
      <c r="K1082" t="inlineStr">
        <is>
          <t>Cunningham, Noble E., 1926-2007.</t>
        </is>
      </c>
      <c r="L1082" t="inlineStr">
        <is>
          <t>Boston : Bedford/St. Martin's, c2000.</t>
        </is>
      </c>
      <c r="M1082" t="inlineStr">
        <is>
          <t>2000</t>
        </is>
      </c>
      <c r="O1082" t="inlineStr">
        <is>
          <t>eng</t>
        </is>
      </c>
      <c r="P1082" t="inlineStr">
        <is>
          <t>mau</t>
        </is>
      </c>
      <c r="Q1082" t="inlineStr">
        <is>
          <t>Bedford series in history and culture</t>
        </is>
      </c>
      <c r="R1082" t="inlineStr">
        <is>
          <t xml:space="preserve">E  </t>
        </is>
      </c>
      <c r="S1082" t="n">
        <v>3</v>
      </c>
      <c r="T1082" t="n">
        <v>3</v>
      </c>
      <c r="U1082" t="inlineStr">
        <is>
          <t>2001-08-21</t>
        </is>
      </c>
      <c r="V1082" t="inlineStr">
        <is>
          <t>2001-08-21</t>
        </is>
      </c>
      <c r="W1082" t="inlineStr">
        <is>
          <t>2001-08-20</t>
        </is>
      </c>
      <c r="X1082" t="inlineStr">
        <is>
          <t>2001-08-20</t>
        </is>
      </c>
      <c r="Y1082" t="n">
        <v>846</v>
      </c>
      <c r="Z1082" t="n">
        <v>802</v>
      </c>
      <c r="AA1082" t="n">
        <v>807</v>
      </c>
      <c r="AB1082" t="n">
        <v>5</v>
      </c>
      <c r="AC1082" t="n">
        <v>5</v>
      </c>
      <c r="AD1082" t="n">
        <v>35</v>
      </c>
      <c r="AE1082" t="n">
        <v>35</v>
      </c>
      <c r="AF1082" t="n">
        <v>18</v>
      </c>
      <c r="AG1082" t="n">
        <v>18</v>
      </c>
      <c r="AH1082" t="n">
        <v>8</v>
      </c>
      <c r="AI1082" t="n">
        <v>8</v>
      </c>
      <c r="AJ1082" t="n">
        <v>15</v>
      </c>
      <c r="AK1082" t="n">
        <v>15</v>
      </c>
      <c r="AL1082" t="n">
        <v>3</v>
      </c>
      <c r="AM1082" t="n">
        <v>3</v>
      </c>
      <c r="AN1082" t="n">
        <v>1</v>
      </c>
      <c r="AO1082" t="n">
        <v>1</v>
      </c>
      <c r="AP1082" t="inlineStr">
        <is>
          <t>No</t>
        </is>
      </c>
      <c r="AQ1082" t="inlineStr">
        <is>
          <t>No</t>
        </is>
      </c>
      <c r="AS1082">
        <f>HYPERLINK("https://creighton-primo.hosted.exlibrisgroup.com/primo-explore/search?tab=default_tab&amp;search_scope=EVERYTHING&amp;vid=01CRU&amp;lang=en_US&amp;offset=0&amp;query=any,contains,991003574499702656","Catalog Record")</f>
        <v/>
      </c>
      <c r="AT1082">
        <f>HYPERLINK("http://www.worldcat.org/oclc/44677683","WorldCat Record")</f>
        <v/>
      </c>
      <c r="AU1082" t="inlineStr">
        <is>
          <t>905888209:eng</t>
        </is>
      </c>
      <c r="AV1082" t="inlineStr">
        <is>
          <t>44677683</t>
        </is>
      </c>
      <c r="AW1082" t="inlineStr">
        <is>
          <t>991003574499702656</t>
        </is>
      </c>
      <c r="AX1082" t="inlineStr">
        <is>
          <t>991003574499702656</t>
        </is>
      </c>
      <c r="AY1082" t="inlineStr">
        <is>
          <t>2271892200002656</t>
        </is>
      </c>
      <c r="AZ1082" t="inlineStr">
        <is>
          <t>BOOK</t>
        </is>
      </c>
      <c r="BB1082" t="inlineStr">
        <is>
          <t>9780312085858</t>
        </is>
      </c>
      <c r="BC1082" t="inlineStr">
        <is>
          <t>32285004378567</t>
        </is>
      </c>
      <c r="BD1082" t="inlineStr">
        <is>
          <t>893592640</t>
        </is>
      </c>
    </row>
    <row r="1083">
      <c r="A1083" t="inlineStr">
        <is>
          <t>No</t>
        </is>
      </c>
      <c r="B1083" t="inlineStr">
        <is>
          <t>E310 .M44</t>
        </is>
      </c>
      <c r="C1083" t="inlineStr">
        <is>
          <t>0                      E  0310000M  44</t>
        </is>
      </c>
      <c r="D1083" t="inlineStr">
        <is>
          <t>The presidential game : the origins of American presidential politics / Richard P. McCormick.</t>
        </is>
      </c>
      <c r="F1083" t="inlineStr">
        <is>
          <t>No</t>
        </is>
      </c>
      <c r="G1083" t="inlineStr">
        <is>
          <t>1</t>
        </is>
      </c>
      <c r="H1083" t="inlineStr">
        <is>
          <t>No</t>
        </is>
      </c>
      <c r="I1083" t="inlineStr">
        <is>
          <t>No</t>
        </is>
      </c>
      <c r="J1083" t="inlineStr">
        <is>
          <t>0</t>
        </is>
      </c>
      <c r="K1083" t="inlineStr">
        <is>
          <t>McCormick, Richard Patrick, 1916-2006.</t>
        </is>
      </c>
      <c r="L1083" t="inlineStr">
        <is>
          <t>New York : Oxford University Press, 1982.</t>
        </is>
      </c>
      <c r="M1083" t="inlineStr">
        <is>
          <t>1982</t>
        </is>
      </c>
      <c r="O1083" t="inlineStr">
        <is>
          <t>eng</t>
        </is>
      </c>
      <c r="P1083" t="inlineStr">
        <is>
          <t>nyu</t>
        </is>
      </c>
      <c r="R1083" t="inlineStr">
        <is>
          <t xml:space="preserve">E  </t>
        </is>
      </c>
      <c r="S1083" t="n">
        <v>1</v>
      </c>
      <c r="T1083" t="n">
        <v>1</v>
      </c>
      <c r="U1083" t="inlineStr">
        <is>
          <t>1994-10-13</t>
        </is>
      </c>
      <c r="V1083" t="inlineStr">
        <is>
          <t>1994-10-13</t>
        </is>
      </c>
      <c r="W1083" t="inlineStr">
        <is>
          <t>1991-04-16</t>
        </is>
      </c>
      <c r="X1083" t="inlineStr">
        <is>
          <t>1991-04-16</t>
        </is>
      </c>
      <c r="Y1083" t="n">
        <v>1006</v>
      </c>
      <c r="Z1083" t="n">
        <v>879</v>
      </c>
      <c r="AA1083" t="n">
        <v>884</v>
      </c>
      <c r="AB1083" t="n">
        <v>4</v>
      </c>
      <c r="AC1083" t="n">
        <v>4</v>
      </c>
      <c r="AD1083" t="n">
        <v>35</v>
      </c>
      <c r="AE1083" t="n">
        <v>35</v>
      </c>
      <c r="AF1083" t="n">
        <v>12</v>
      </c>
      <c r="AG1083" t="n">
        <v>12</v>
      </c>
      <c r="AH1083" t="n">
        <v>7</v>
      </c>
      <c r="AI1083" t="n">
        <v>7</v>
      </c>
      <c r="AJ1083" t="n">
        <v>18</v>
      </c>
      <c r="AK1083" t="n">
        <v>18</v>
      </c>
      <c r="AL1083" t="n">
        <v>3</v>
      </c>
      <c r="AM1083" t="n">
        <v>3</v>
      </c>
      <c r="AN1083" t="n">
        <v>3</v>
      </c>
      <c r="AO1083" t="n">
        <v>3</v>
      </c>
      <c r="AP1083" t="inlineStr">
        <is>
          <t>No</t>
        </is>
      </c>
      <c r="AQ1083" t="inlineStr">
        <is>
          <t>No</t>
        </is>
      </c>
      <c r="AS1083">
        <f>HYPERLINK("https://creighton-primo.hosted.exlibrisgroup.com/primo-explore/search?tab=default_tab&amp;search_scope=EVERYTHING&amp;vid=01CRU&amp;lang=en_US&amp;offset=0&amp;query=any,contains,991005136429702656","Catalog Record")</f>
        <v/>
      </c>
      <c r="AT1083">
        <f>HYPERLINK("http://www.worldcat.org/oclc/7577506","WorldCat Record")</f>
        <v/>
      </c>
      <c r="AU1083" t="inlineStr">
        <is>
          <t>1102829030:eng</t>
        </is>
      </c>
      <c r="AV1083" t="inlineStr">
        <is>
          <t>7577506</t>
        </is>
      </c>
      <c r="AW1083" t="inlineStr">
        <is>
          <t>991005136429702656</t>
        </is>
      </c>
      <c r="AX1083" t="inlineStr">
        <is>
          <t>991005136429702656</t>
        </is>
      </c>
      <c r="AY1083" t="inlineStr">
        <is>
          <t>2265558360002656</t>
        </is>
      </c>
      <c r="AZ1083" t="inlineStr">
        <is>
          <t>BOOK</t>
        </is>
      </c>
      <c r="BB1083" t="inlineStr">
        <is>
          <t>9780195030150</t>
        </is>
      </c>
      <c r="BC1083" t="inlineStr">
        <is>
          <t>32285000542976</t>
        </is>
      </c>
      <c r="BD1083" t="inlineStr">
        <is>
          <t>893514105</t>
        </is>
      </c>
    </row>
    <row r="1084">
      <c r="A1084" t="inlineStr">
        <is>
          <t>No</t>
        </is>
      </c>
      <c r="B1084" t="inlineStr">
        <is>
          <t>E310 .S48 1993</t>
        </is>
      </c>
      <c r="C1084" t="inlineStr">
        <is>
          <t>0                      E  0310000S  48          1993</t>
        </is>
      </c>
      <c r="D1084" t="inlineStr">
        <is>
          <t>American politics in the early republic : the new nation in crisis / James Roger Sharp.</t>
        </is>
      </c>
      <c r="F1084" t="inlineStr">
        <is>
          <t>No</t>
        </is>
      </c>
      <c r="G1084" t="inlineStr">
        <is>
          <t>1</t>
        </is>
      </c>
      <c r="H1084" t="inlineStr">
        <is>
          <t>No</t>
        </is>
      </c>
      <c r="I1084" t="inlineStr">
        <is>
          <t>No</t>
        </is>
      </c>
      <c r="J1084" t="inlineStr">
        <is>
          <t>0</t>
        </is>
      </c>
      <c r="K1084" t="inlineStr">
        <is>
          <t>Sharp, James Roger, 1936-</t>
        </is>
      </c>
      <c r="L1084" t="inlineStr">
        <is>
          <t>New Haven : Yale University Press, c1993.</t>
        </is>
      </c>
      <c r="M1084" t="inlineStr">
        <is>
          <t>1993</t>
        </is>
      </c>
      <c r="O1084" t="inlineStr">
        <is>
          <t>eng</t>
        </is>
      </c>
      <c r="P1084" t="inlineStr">
        <is>
          <t>ctu</t>
        </is>
      </c>
      <c r="R1084" t="inlineStr">
        <is>
          <t xml:space="preserve">E  </t>
        </is>
      </c>
      <c r="S1084" t="n">
        <v>7</v>
      </c>
      <c r="T1084" t="n">
        <v>7</v>
      </c>
      <c r="U1084" t="inlineStr">
        <is>
          <t>2003-03-08</t>
        </is>
      </c>
      <c r="V1084" t="inlineStr">
        <is>
          <t>2003-03-08</t>
        </is>
      </c>
      <c r="W1084" t="inlineStr">
        <is>
          <t>1994-04-21</t>
        </is>
      </c>
      <c r="X1084" t="inlineStr">
        <is>
          <t>1994-04-21</t>
        </is>
      </c>
      <c r="Y1084" t="n">
        <v>835</v>
      </c>
      <c r="Z1084" t="n">
        <v>739</v>
      </c>
      <c r="AA1084" t="n">
        <v>898</v>
      </c>
      <c r="AB1084" t="n">
        <v>8</v>
      </c>
      <c r="AC1084" t="n">
        <v>8</v>
      </c>
      <c r="AD1084" t="n">
        <v>34</v>
      </c>
      <c r="AE1084" t="n">
        <v>42</v>
      </c>
      <c r="AF1084" t="n">
        <v>6</v>
      </c>
      <c r="AG1084" t="n">
        <v>13</v>
      </c>
      <c r="AH1084" t="n">
        <v>7</v>
      </c>
      <c r="AI1084" t="n">
        <v>9</v>
      </c>
      <c r="AJ1084" t="n">
        <v>14</v>
      </c>
      <c r="AK1084" t="n">
        <v>16</v>
      </c>
      <c r="AL1084" t="n">
        <v>6</v>
      </c>
      <c r="AM1084" t="n">
        <v>6</v>
      </c>
      <c r="AN1084" t="n">
        <v>8</v>
      </c>
      <c r="AO1084" t="n">
        <v>8</v>
      </c>
      <c r="AP1084" t="inlineStr">
        <is>
          <t>No</t>
        </is>
      </c>
      <c r="AQ1084" t="inlineStr">
        <is>
          <t>No</t>
        </is>
      </c>
      <c r="AS1084">
        <f>HYPERLINK("https://creighton-primo.hosted.exlibrisgroup.com/primo-explore/search?tab=default_tab&amp;search_scope=EVERYTHING&amp;vid=01CRU&amp;lang=en_US&amp;offset=0&amp;query=any,contains,991002165209702656","Catalog Record")</f>
        <v/>
      </c>
      <c r="AT1084">
        <f>HYPERLINK("http://www.worldcat.org/oclc/27894822","WorldCat Record")</f>
        <v/>
      </c>
      <c r="AU1084" t="inlineStr">
        <is>
          <t>836734691:eng</t>
        </is>
      </c>
      <c r="AV1084" t="inlineStr">
        <is>
          <t>27894822</t>
        </is>
      </c>
      <c r="AW1084" t="inlineStr">
        <is>
          <t>991002165209702656</t>
        </is>
      </c>
      <c r="AX1084" t="inlineStr">
        <is>
          <t>991002165209702656</t>
        </is>
      </c>
      <c r="AY1084" t="inlineStr">
        <is>
          <t>2261268650002656</t>
        </is>
      </c>
      <c r="AZ1084" t="inlineStr">
        <is>
          <t>BOOK</t>
        </is>
      </c>
      <c r="BB1084" t="inlineStr">
        <is>
          <t>9780300055306</t>
        </is>
      </c>
      <c r="BC1084" t="inlineStr">
        <is>
          <t>32285001876746</t>
        </is>
      </c>
      <c r="BD1084" t="inlineStr">
        <is>
          <t>893408765</t>
        </is>
      </c>
    </row>
    <row r="1085">
      <c r="A1085" t="inlineStr">
        <is>
          <t>No</t>
        </is>
      </c>
      <c r="B1085" t="inlineStr">
        <is>
          <t>E310 .W37 1987</t>
        </is>
      </c>
      <c r="C1085" t="inlineStr">
        <is>
          <t>0                      E  0310000W  37          1987</t>
        </is>
      </c>
      <c r="D1085" t="inlineStr">
        <is>
          <t>The republic reborn : war and the making of liberal America, 1790-1820 / Steven Watts.</t>
        </is>
      </c>
      <c r="F1085" t="inlineStr">
        <is>
          <t>No</t>
        </is>
      </c>
      <c r="G1085" t="inlineStr">
        <is>
          <t>1</t>
        </is>
      </c>
      <c r="H1085" t="inlineStr">
        <is>
          <t>No</t>
        </is>
      </c>
      <c r="I1085" t="inlineStr">
        <is>
          <t>No</t>
        </is>
      </c>
      <c r="J1085" t="inlineStr">
        <is>
          <t>0</t>
        </is>
      </c>
      <c r="K1085" t="inlineStr">
        <is>
          <t>Watts, Steven, 1952-</t>
        </is>
      </c>
      <c r="L1085" t="inlineStr">
        <is>
          <t>Baltimore : Johns Hopkins University Press, c1987.</t>
        </is>
      </c>
      <c r="M1085" t="inlineStr">
        <is>
          <t>1987</t>
        </is>
      </c>
      <c r="O1085" t="inlineStr">
        <is>
          <t>eng</t>
        </is>
      </c>
      <c r="P1085" t="inlineStr">
        <is>
          <t>mdu</t>
        </is>
      </c>
      <c r="Q1085" t="inlineStr">
        <is>
          <t>New studies in American intellectual and cultural history</t>
        </is>
      </c>
      <c r="R1085" t="inlineStr">
        <is>
          <t xml:space="preserve">E  </t>
        </is>
      </c>
      <c r="S1085" t="n">
        <v>8</v>
      </c>
      <c r="T1085" t="n">
        <v>8</v>
      </c>
      <c r="U1085" t="inlineStr">
        <is>
          <t>2004-04-13</t>
        </is>
      </c>
      <c r="V1085" t="inlineStr">
        <is>
          <t>2004-04-13</t>
        </is>
      </c>
      <c r="W1085" t="inlineStr">
        <is>
          <t>1991-04-16</t>
        </is>
      </c>
      <c r="X1085" t="inlineStr">
        <is>
          <t>1991-04-16</t>
        </is>
      </c>
      <c r="Y1085" t="n">
        <v>804</v>
      </c>
      <c r="Z1085" t="n">
        <v>703</v>
      </c>
      <c r="AA1085" t="n">
        <v>793</v>
      </c>
      <c r="AB1085" t="n">
        <v>7</v>
      </c>
      <c r="AC1085" t="n">
        <v>7</v>
      </c>
      <c r="AD1085" t="n">
        <v>36</v>
      </c>
      <c r="AE1085" t="n">
        <v>38</v>
      </c>
      <c r="AF1085" t="n">
        <v>13</v>
      </c>
      <c r="AG1085" t="n">
        <v>13</v>
      </c>
      <c r="AH1085" t="n">
        <v>8</v>
      </c>
      <c r="AI1085" t="n">
        <v>9</v>
      </c>
      <c r="AJ1085" t="n">
        <v>18</v>
      </c>
      <c r="AK1085" t="n">
        <v>20</v>
      </c>
      <c r="AL1085" t="n">
        <v>6</v>
      </c>
      <c r="AM1085" t="n">
        <v>6</v>
      </c>
      <c r="AN1085" t="n">
        <v>0</v>
      </c>
      <c r="AO1085" t="n">
        <v>0</v>
      </c>
      <c r="AP1085" t="inlineStr">
        <is>
          <t>No</t>
        </is>
      </c>
      <c r="AQ1085" t="inlineStr">
        <is>
          <t>Yes</t>
        </is>
      </c>
      <c r="AR1085">
        <f>HYPERLINK("http://catalog.hathitrust.org/Record/000883753","HathiTrust Record")</f>
        <v/>
      </c>
      <c r="AS1085">
        <f>HYPERLINK("https://creighton-primo.hosted.exlibrisgroup.com/primo-explore/search?tab=default_tab&amp;search_scope=EVERYTHING&amp;vid=01CRU&amp;lang=en_US&amp;offset=0&amp;query=any,contains,991000999619702656","Catalog Record")</f>
        <v/>
      </c>
      <c r="AT1085">
        <f>HYPERLINK("http://www.worldcat.org/oclc/15196199","WorldCat Record")</f>
        <v/>
      </c>
      <c r="AU1085" t="inlineStr">
        <is>
          <t>836706217:eng</t>
        </is>
      </c>
      <c r="AV1085" t="inlineStr">
        <is>
          <t>15196199</t>
        </is>
      </c>
      <c r="AW1085" t="inlineStr">
        <is>
          <t>991000999619702656</t>
        </is>
      </c>
      <c r="AX1085" t="inlineStr">
        <is>
          <t>991000999619702656</t>
        </is>
      </c>
      <c r="AY1085" t="inlineStr">
        <is>
          <t>2263832940002656</t>
        </is>
      </c>
      <c r="AZ1085" t="inlineStr">
        <is>
          <t>BOOK</t>
        </is>
      </c>
      <c r="BB1085" t="inlineStr">
        <is>
          <t>9780801834202</t>
        </is>
      </c>
      <c r="BC1085" t="inlineStr">
        <is>
          <t>32285000542992</t>
        </is>
      </c>
      <c r="BD1085" t="inlineStr">
        <is>
          <t>893515815</t>
        </is>
      </c>
    </row>
    <row r="1086">
      <c r="A1086" t="inlineStr">
        <is>
          <t>No</t>
        </is>
      </c>
      <c r="B1086" t="inlineStr">
        <is>
          <t>E310.7 .H77 1985</t>
        </is>
      </c>
      <c r="C1086" t="inlineStr">
        <is>
          <t>0                      E  0310700H  77          1985</t>
        </is>
      </c>
      <c r="D1086" t="inlineStr">
        <is>
          <t>The diplomacy of the new republic, 1776-1815 / Reginald Horsman.</t>
        </is>
      </c>
      <c r="F1086" t="inlineStr">
        <is>
          <t>No</t>
        </is>
      </c>
      <c r="G1086" t="inlineStr">
        <is>
          <t>1</t>
        </is>
      </c>
      <c r="H1086" t="inlineStr">
        <is>
          <t>No</t>
        </is>
      </c>
      <c r="I1086" t="inlineStr">
        <is>
          <t>No</t>
        </is>
      </c>
      <c r="J1086" t="inlineStr">
        <is>
          <t>0</t>
        </is>
      </c>
      <c r="K1086" t="inlineStr">
        <is>
          <t>Horsman, Reginald.</t>
        </is>
      </c>
      <c r="L1086" t="inlineStr">
        <is>
          <t>Arlington Heights, Ill. : H. Davidson, c1985.</t>
        </is>
      </c>
      <c r="M1086" t="inlineStr">
        <is>
          <t>1985</t>
        </is>
      </c>
      <c r="O1086" t="inlineStr">
        <is>
          <t>eng</t>
        </is>
      </c>
      <c r="P1086" t="inlineStr">
        <is>
          <t>ilu</t>
        </is>
      </c>
      <c r="Q1086" t="inlineStr">
        <is>
          <t>The American history series</t>
        </is>
      </c>
      <c r="R1086" t="inlineStr">
        <is>
          <t xml:space="preserve">E  </t>
        </is>
      </c>
      <c r="S1086" t="n">
        <v>8</v>
      </c>
      <c r="T1086" t="n">
        <v>8</v>
      </c>
      <c r="U1086" t="inlineStr">
        <is>
          <t>1998-11-07</t>
        </is>
      </c>
      <c r="V1086" t="inlineStr">
        <is>
          <t>1998-11-07</t>
        </is>
      </c>
      <c r="W1086" t="inlineStr">
        <is>
          <t>1990-04-04</t>
        </is>
      </c>
      <c r="X1086" t="inlineStr">
        <is>
          <t>1990-04-04</t>
        </is>
      </c>
      <c r="Y1086" t="n">
        <v>369</v>
      </c>
      <c r="Z1086" t="n">
        <v>317</v>
      </c>
      <c r="AA1086" t="n">
        <v>324</v>
      </c>
      <c r="AB1086" t="n">
        <v>2</v>
      </c>
      <c r="AC1086" t="n">
        <v>2</v>
      </c>
      <c r="AD1086" t="n">
        <v>14</v>
      </c>
      <c r="AE1086" t="n">
        <v>14</v>
      </c>
      <c r="AF1086" t="n">
        <v>7</v>
      </c>
      <c r="AG1086" t="n">
        <v>7</v>
      </c>
      <c r="AH1086" t="n">
        <v>4</v>
      </c>
      <c r="AI1086" t="n">
        <v>4</v>
      </c>
      <c r="AJ1086" t="n">
        <v>8</v>
      </c>
      <c r="AK1086" t="n">
        <v>8</v>
      </c>
      <c r="AL1086" t="n">
        <v>1</v>
      </c>
      <c r="AM1086" t="n">
        <v>1</v>
      </c>
      <c r="AN1086" t="n">
        <v>0</v>
      </c>
      <c r="AO1086" t="n">
        <v>0</v>
      </c>
      <c r="AP1086" t="inlineStr">
        <is>
          <t>No</t>
        </is>
      </c>
      <c r="AQ1086" t="inlineStr">
        <is>
          <t>Yes</t>
        </is>
      </c>
      <c r="AR1086">
        <f>HYPERLINK("http://catalog.hathitrust.org/Record/008317564","HathiTrust Record")</f>
        <v/>
      </c>
      <c r="AS1086">
        <f>HYPERLINK("https://creighton-primo.hosted.exlibrisgroup.com/primo-explore/search?tab=default_tab&amp;search_scope=EVERYTHING&amp;vid=01CRU&amp;lang=en_US&amp;offset=0&amp;query=any,contains,991000537149702656","Catalog Record")</f>
        <v/>
      </c>
      <c r="AT1086">
        <f>HYPERLINK("http://www.worldcat.org/oclc/11467896","WorldCat Record")</f>
        <v/>
      </c>
      <c r="AU1086" t="inlineStr">
        <is>
          <t>3908681:eng</t>
        </is>
      </c>
      <c r="AV1086" t="inlineStr">
        <is>
          <t>11467896</t>
        </is>
      </c>
      <c r="AW1086" t="inlineStr">
        <is>
          <t>991000537149702656</t>
        </is>
      </c>
      <c r="AX1086" t="inlineStr">
        <is>
          <t>991000537149702656</t>
        </is>
      </c>
      <c r="AY1086" t="inlineStr">
        <is>
          <t>2265201160002656</t>
        </is>
      </c>
      <c r="AZ1086" t="inlineStr">
        <is>
          <t>BOOK</t>
        </is>
      </c>
      <c r="BB1086" t="inlineStr">
        <is>
          <t>9780882958293</t>
        </is>
      </c>
      <c r="BC1086" t="inlineStr">
        <is>
          <t>32285000110741</t>
        </is>
      </c>
      <c r="BD1086" t="inlineStr">
        <is>
          <t>893243362</t>
        </is>
      </c>
    </row>
    <row r="1087">
      <c r="A1087" t="inlineStr">
        <is>
          <t>No</t>
        </is>
      </c>
      <c r="B1087" t="inlineStr">
        <is>
          <t>E310.7 .V33 1983</t>
        </is>
      </c>
      <c r="C1087" t="inlineStr">
        <is>
          <t>0                      E  0310700V  33          1983</t>
        </is>
      </c>
      <c r="D1087" t="inlineStr">
        <is>
          <t>New England and foreign relations, 1789-1850 / Paul A. Varg.</t>
        </is>
      </c>
      <c r="F1087" t="inlineStr">
        <is>
          <t>No</t>
        </is>
      </c>
      <c r="G1087" t="inlineStr">
        <is>
          <t>1</t>
        </is>
      </c>
      <c r="H1087" t="inlineStr">
        <is>
          <t>No</t>
        </is>
      </c>
      <c r="I1087" t="inlineStr">
        <is>
          <t>No</t>
        </is>
      </c>
      <c r="J1087" t="inlineStr">
        <is>
          <t>0</t>
        </is>
      </c>
      <c r="K1087" t="inlineStr">
        <is>
          <t>Varg, Paul A.</t>
        </is>
      </c>
      <c r="L1087" t="inlineStr">
        <is>
          <t>Hanover, N.H. : University Press of New England, 1983.</t>
        </is>
      </c>
      <c r="M1087" t="inlineStr">
        <is>
          <t>1983</t>
        </is>
      </c>
      <c r="O1087" t="inlineStr">
        <is>
          <t>eng</t>
        </is>
      </c>
      <c r="P1087" t="inlineStr">
        <is>
          <t>nhu</t>
        </is>
      </c>
      <c r="R1087" t="inlineStr">
        <is>
          <t xml:space="preserve">E  </t>
        </is>
      </c>
      <c r="S1087" t="n">
        <v>2</v>
      </c>
      <c r="T1087" t="n">
        <v>2</v>
      </c>
      <c r="U1087" t="inlineStr">
        <is>
          <t>1993-11-19</t>
        </is>
      </c>
      <c r="V1087" t="inlineStr">
        <is>
          <t>1993-11-19</t>
        </is>
      </c>
      <c r="W1087" t="inlineStr">
        <is>
          <t>1991-04-16</t>
        </is>
      </c>
      <c r="X1087" t="inlineStr">
        <is>
          <t>1991-04-16</t>
        </is>
      </c>
      <c r="Y1087" t="n">
        <v>349</v>
      </c>
      <c r="Z1087" t="n">
        <v>301</v>
      </c>
      <c r="AA1087" t="n">
        <v>320</v>
      </c>
      <c r="AB1087" t="n">
        <v>3</v>
      </c>
      <c r="AC1087" t="n">
        <v>3</v>
      </c>
      <c r="AD1087" t="n">
        <v>11</v>
      </c>
      <c r="AE1087" t="n">
        <v>12</v>
      </c>
      <c r="AF1087" t="n">
        <v>3</v>
      </c>
      <c r="AG1087" t="n">
        <v>3</v>
      </c>
      <c r="AH1087" t="n">
        <v>3</v>
      </c>
      <c r="AI1087" t="n">
        <v>4</v>
      </c>
      <c r="AJ1087" t="n">
        <v>7</v>
      </c>
      <c r="AK1087" t="n">
        <v>8</v>
      </c>
      <c r="AL1087" t="n">
        <v>2</v>
      </c>
      <c r="AM1087" t="n">
        <v>2</v>
      </c>
      <c r="AN1087" t="n">
        <v>0</v>
      </c>
      <c r="AO1087" t="n">
        <v>0</v>
      </c>
      <c r="AP1087" t="inlineStr">
        <is>
          <t>No</t>
        </is>
      </c>
      <c r="AQ1087" t="inlineStr">
        <is>
          <t>Yes</t>
        </is>
      </c>
      <c r="AR1087">
        <f>HYPERLINK("http://catalog.hathitrust.org/Record/000195766","HathiTrust Record")</f>
        <v/>
      </c>
      <c r="AS1087">
        <f>HYPERLINK("https://creighton-primo.hosted.exlibrisgroup.com/primo-explore/search?tab=default_tab&amp;search_scope=EVERYTHING&amp;vid=01CRU&amp;lang=en_US&amp;offset=0&amp;query=any,contains,991000078839702656","Catalog Record")</f>
        <v/>
      </c>
      <c r="AT1087">
        <f>HYPERLINK("http://www.worldcat.org/oclc/8826270","WorldCat Record")</f>
        <v/>
      </c>
      <c r="AU1087" t="inlineStr">
        <is>
          <t>42922204:eng</t>
        </is>
      </c>
      <c r="AV1087" t="inlineStr">
        <is>
          <t>8826270</t>
        </is>
      </c>
      <c r="AW1087" t="inlineStr">
        <is>
          <t>991000078839702656</t>
        </is>
      </c>
      <c r="AX1087" t="inlineStr">
        <is>
          <t>991000078839702656</t>
        </is>
      </c>
      <c r="AY1087" t="inlineStr">
        <is>
          <t>2265324980002656</t>
        </is>
      </c>
      <c r="AZ1087" t="inlineStr">
        <is>
          <t>BOOK</t>
        </is>
      </c>
      <c r="BB1087" t="inlineStr">
        <is>
          <t>9780874512243</t>
        </is>
      </c>
      <c r="BC1087" t="inlineStr">
        <is>
          <t>32285000543008</t>
        </is>
      </c>
      <c r="BD1087" t="inlineStr">
        <is>
          <t>893708090</t>
        </is>
      </c>
    </row>
    <row r="1088">
      <c r="A1088" t="inlineStr">
        <is>
          <t>No</t>
        </is>
      </c>
      <c r="B1088" t="inlineStr">
        <is>
          <t>E311 .B65</t>
        </is>
      </c>
      <c r="C1088" t="inlineStr">
        <is>
          <t>0                      E  0311000B  65</t>
        </is>
      </c>
      <c r="D1088" t="inlineStr">
        <is>
          <t>Jefferson and Hamilton : the struggle for democracy in America / by Claude G. Bowers.</t>
        </is>
      </c>
      <c r="F1088" t="inlineStr">
        <is>
          <t>No</t>
        </is>
      </c>
      <c r="G1088" t="inlineStr">
        <is>
          <t>1</t>
        </is>
      </c>
      <c r="H1088" t="inlineStr">
        <is>
          <t>No</t>
        </is>
      </c>
      <c r="I1088" t="inlineStr">
        <is>
          <t>No</t>
        </is>
      </c>
      <c r="J1088" t="inlineStr">
        <is>
          <t>0</t>
        </is>
      </c>
      <c r="K1088" t="inlineStr">
        <is>
          <t>Bowers, Claude G. (Claude Gernade), 1879-1958.</t>
        </is>
      </c>
      <c r="L1088" t="inlineStr">
        <is>
          <t>Boston ; New York : Houghton Mifflin Company, 1925.</t>
        </is>
      </c>
      <c r="M1088" t="inlineStr">
        <is>
          <t>1925</t>
        </is>
      </c>
      <c r="O1088" t="inlineStr">
        <is>
          <t>eng</t>
        </is>
      </c>
      <c r="P1088" t="inlineStr">
        <is>
          <t>mau</t>
        </is>
      </c>
      <c r="R1088" t="inlineStr">
        <is>
          <t xml:space="preserve">E  </t>
        </is>
      </c>
      <c r="S1088" t="n">
        <v>1</v>
      </c>
      <c r="T1088" t="n">
        <v>1</v>
      </c>
      <c r="U1088" t="inlineStr">
        <is>
          <t>2002-01-28</t>
        </is>
      </c>
      <c r="V1088" t="inlineStr">
        <is>
          <t>2002-01-28</t>
        </is>
      </c>
      <c r="W1088" t="inlineStr">
        <is>
          <t>1994-12-20</t>
        </is>
      </c>
      <c r="X1088" t="inlineStr">
        <is>
          <t>1994-12-20</t>
        </is>
      </c>
      <c r="Y1088" t="n">
        <v>768</v>
      </c>
      <c r="Z1088" t="n">
        <v>740</v>
      </c>
      <c r="AA1088" t="n">
        <v>1861</v>
      </c>
      <c r="AB1088" t="n">
        <v>9</v>
      </c>
      <c r="AC1088" t="n">
        <v>20</v>
      </c>
      <c r="AD1088" t="n">
        <v>38</v>
      </c>
      <c r="AE1088" t="n">
        <v>72</v>
      </c>
      <c r="AF1088" t="n">
        <v>13</v>
      </c>
      <c r="AG1088" t="n">
        <v>27</v>
      </c>
      <c r="AH1088" t="n">
        <v>5</v>
      </c>
      <c r="AI1088" t="n">
        <v>10</v>
      </c>
      <c r="AJ1088" t="n">
        <v>14</v>
      </c>
      <c r="AK1088" t="n">
        <v>25</v>
      </c>
      <c r="AL1088" t="n">
        <v>7</v>
      </c>
      <c r="AM1088" t="n">
        <v>12</v>
      </c>
      <c r="AN1088" t="n">
        <v>5</v>
      </c>
      <c r="AO1088" t="n">
        <v>11</v>
      </c>
      <c r="AP1088" t="inlineStr">
        <is>
          <t>No</t>
        </is>
      </c>
      <c r="AQ1088" t="inlineStr">
        <is>
          <t>No</t>
        </is>
      </c>
      <c r="AS1088">
        <f>HYPERLINK("https://creighton-primo.hosted.exlibrisgroup.com/primo-explore/search?tab=default_tab&amp;search_scope=EVERYTHING&amp;vid=01CRU&amp;lang=en_US&amp;offset=0&amp;query=any,contains,991003689239702656","Catalog Record")</f>
        <v/>
      </c>
      <c r="AT1088">
        <f>HYPERLINK("http://www.worldcat.org/oclc/1319002","WorldCat Record")</f>
        <v/>
      </c>
      <c r="AU1088" t="inlineStr">
        <is>
          <t>467308:eng</t>
        </is>
      </c>
      <c r="AV1088" t="inlineStr">
        <is>
          <t>1319002</t>
        </is>
      </c>
      <c r="AW1088" t="inlineStr">
        <is>
          <t>991003689239702656</t>
        </is>
      </c>
      <c r="AX1088" t="inlineStr">
        <is>
          <t>991003689239702656</t>
        </is>
      </c>
      <c r="AY1088" t="inlineStr">
        <is>
          <t>2272319610002656</t>
        </is>
      </c>
      <c r="AZ1088" t="inlineStr">
        <is>
          <t>BOOK</t>
        </is>
      </c>
      <c r="BC1088" t="inlineStr">
        <is>
          <t>32285001984862</t>
        </is>
      </c>
      <c r="BD1088" t="inlineStr">
        <is>
          <t>893410564</t>
        </is>
      </c>
    </row>
    <row r="1089">
      <c r="A1089" t="inlineStr">
        <is>
          <t>No</t>
        </is>
      </c>
      <c r="B1089" t="inlineStr">
        <is>
          <t>E311 .D4</t>
        </is>
      </c>
      <c r="C1089" t="inlineStr">
        <is>
          <t>0                      E  0311000D  4</t>
        </is>
      </c>
      <c r="D1089" t="inlineStr">
        <is>
          <t>Entangling alliance : politics &amp; diplomacy under George Washington.</t>
        </is>
      </c>
      <c r="F1089" t="inlineStr">
        <is>
          <t>No</t>
        </is>
      </c>
      <c r="G1089" t="inlineStr">
        <is>
          <t>1</t>
        </is>
      </c>
      <c r="H1089" t="inlineStr">
        <is>
          <t>No</t>
        </is>
      </c>
      <c r="I1089" t="inlineStr">
        <is>
          <t>No</t>
        </is>
      </c>
      <c r="J1089" t="inlineStr">
        <is>
          <t>0</t>
        </is>
      </c>
      <c r="K1089" t="inlineStr">
        <is>
          <t>DeConde, Alexander.</t>
        </is>
      </c>
      <c r="L1089" t="inlineStr">
        <is>
          <t>Durham, N.C. : Duke University Press, 1958.</t>
        </is>
      </c>
      <c r="M1089" t="inlineStr">
        <is>
          <t>1958</t>
        </is>
      </c>
      <c r="O1089" t="inlineStr">
        <is>
          <t>eng</t>
        </is>
      </c>
      <c r="P1089" t="inlineStr">
        <is>
          <t>ncu</t>
        </is>
      </c>
      <c r="R1089" t="inlineStr">
        <is>
          <t xml:space="preserve">E  </t>
        </is>
      </c>
      <c r="S1089" t="n">
        <v>5</v>
      </c>
      <c r="T1089" t="n">
        <v>5</v>
      </c>
      <c r="U1089" t="inlineStr">
        <is>
          <t>1993-12-06</t>
        </is>
      </c>
      <c r="V1089" t="inlineStr">
        <is>
          <t>1993-12-06</t>
        </is>
      </c>
      <c r="W1089" t="inlineStr">
        <is>
          <t>1990-05-18</t>
        </is>
      </c>
      <c r="X1089" t="inlineStr">
        <is>
          <t>1990-05-18</t>
        </is>
      </c>
      <c r="Y1089" t="n">
        <v>887</v>
      </c>
      <c r="Z1089" t="n">
        <v>791</v>
      </c>
      <c r="AA1089" t="n">
        <v>882</v>
      </c>
      <c r="AB1089" t="n">
        <v>9</v>
      </c>
      <c r="AC1089" t="n">
        <v>9</v>
      </c>
      <c r="AD1089" t="n">
        <v>38</v>
      </c>
      <c r="AE1089" t="n">
        <v>41</v>
      </c>
      <c r="AF1089" t="n">
        <v>16</v>
      </c>
      <c r="AG1089" t="n">
        <v>18</v>
      </c>
      <c r="AH1089" t="n">
        <v>7</v>
      </c>
      <c r="AI1089" t="n">
        <v>7</v>
      </c>
      <c r="AJ1089" t="n">
        <v>18</v>
      </c>
      <c r="AK1089" t="n">
        <v>20</v>
      </c>
      <c r="AL1089" t="n">
        <v>8</v>
      </c>
      <c r="AM1089" t="n">
        <v>8</v>
      </c>
      <c r="AN1089" t="n">
        <v>0</v>
      </c>
      <c r="AO1089" t="n">
        <v>0</v>
      </c>
      <c r="AP1089" t="inlineStr">
        <is>
          <t>Yes</t>
        </is>
      </c>
      <c r="AQ1089" t="inlineStr">
        <is>
          <t>No</t>
        </is>
      </c>
      <c r="AR1089">
        <f>HYPERLINK("http://catalog.hathitrust.org/Record/000623782","HathiTrust Record")</f>
        <v/>
      </c>
      <c r="AS1089">
        <f>HYPERLINK("https://creighton-primo.hosted.exlibrisgroup.com/primo-explore/search?tab=default_tab&amp;search_scope=EVERYTHING&amp;vid=01CRU&amp;lang=en_US&amp;offset=0&amp;query=any,contains,991002753789702656","Catalog Record")</f>
        <v/>
      </c>
      <c r="AT1089">
        <f>HYPERLINK("http://www.worldcat.org/oclc/425618","WorldCat Record")</f>
        <v/>
      </c>
      <c r="AU1089" t="inlineStr">
        <is>
          <t>37774445:eng</t>
        </is>
      </c>
      <c r="AV1089" t="inlineStr">
        <is>
          <t>425618</t>
        </is>
      </c>
      <c r="AW1089" t="inlineStr">
        <is>
          <t>991002753789702656</t>
        </is>
      </c>
      <c r="AX1089" t="inlineStr">
        <is>
          <t>991002753789702656</t>
        </is>
      </c>
      <c r="AY1089" t="inlineStr">
        <is>
          <t>2267946390002656</t>
        </is>
      </c>
      <c r="AZ1089" t="inlineStr">
        <is>
          <t>BOOK</t>
        </is>
      </c>
      <c r="BC1089" t="inlineStr">
        <is>
          <t>32285000157072</t>
        </is>
      </c>
      <c r="BD1089" t="inlineStr">
        <is>
          <t>893352499</t>
        </is>
      </c>
    </row>
    <row r="1090">
      <c r="A1090" t="inlineStr">
        <is>
          <t>No</t>
        </is>
      </c>
      <c r="B1090" t="inlineStr">
        <is>
          <t>E311 .D47</t>
        </is>
      </c>
      <c r="C1090" t="inlineStr">
        <is>
          <t>0                      E  0311000D  47</t>
        </is>
      </c>
      <c r="D1090" t="inlineStr">
        <is>
          <t>Joshua Coit, American Federalist, 1758-1798.</t>
        </is>
      </c>
      <c r="F1090" t="inlineStr">
        <is>
          <t>No</t>
        </is>
      </c>
      <c r="G1090" t="inlineStr">
        <is>
          <t>1</t>
        </is>
      </c>
      <c r="H1090" t="inlineStr">
        <is>
          <t>No</t>
        </is>
      </c>
      <c r="I1090" t="inlineStr">
        <is>
          <t>No</t>
        </is>
      </c>
      <c r="J1090" t="inlineStr">
        <is>
          <t>0</t>
        </is>
      </c>
      <c r="K1090" t="inlineStr">
        <is>
          <t>Destler, Chester McArthur, 1904-1984.</t>
        </is>
      </c>
      <c r="L1090" t="inlineStr">
        <is>
          <t>Middletown, Conn., Wesleyan University Press [1962]</t>
        </is>
      </c>
      <c r="M1090" t="inlineStr">
        <is>
          <t>1962</t>
        </is>
      </c>
      <c r="N1090" t="inlineStr">
        <is>
          <t>[1st ed.]</t>
        </is>
      </c>
      <c r="O1090" t="inlineStr">
        <is>
          <t>eng</t>
        </is>
      </c>
      <c r="P1090" t="inlineStr">
        <is>
          <t>ctu</t>
        </is>
      </c>
      <c r="R1090" t="inlineStr">
        <is>
          <t xml:space="preserve">E  </t>
        </is>
      </c>
      <c r="S1090" t="n">
        <v>3</v>
      </c>
      <c r="T1090" t="n">
        <v>3</v>
      </c>
      <c r="U1090" t="inlineStr">
        <is>
          <t>2003-03-04</t>
        </is>
      </c>
      <c r="V1090" t="inlineStr">
        <is>
          <t>2003-03-04</t>
        </is>
      </c>
      <c r="W1090" t="inlineStr">
        <is>
          <t>1997-04-10</t>
        </is>
      </c>
      <c r="X1090" t="inlineStr">
        <is>
          <t>1997-04-10</t>
        </is>
      </c>
      <c r="Y1090" t="n">
        <v>590</v>
      </c>
      <c r="Z1090" t="n">
        <v>547</v>
      </c>
      <c r="AA1090" t="n">
        <v>559</v>
      </c>
      <c r="AB1090" t="n">
        <v>4</v>
      </c>
      <c r="AC1090" t="n">
        <v>4</v>
      </c>
      <c r="AD1090" t="n">
        <v>22</v>
      </c>
      <c r="AE1090" t="n">
        <v>22</v>
      </c>
      <c r="AF1090" t="n">
        <v>6</v>
      </c>
      <c r="AG1090" t="n">
        <v>6</v>
      </c>
      <c r="AH1090" t="n">
        <v>6</v>
      </c>
      <c r="AI1090" t="n">
        <v>6</v>
      </c>
      <c r="AJ1090" t="n">
        <v>13</v>
      </c>
      <c r="AK1090" t="n">
        <v>13</v>
      </c>
      <c r="AL1090" t="n">
        <v>3</v>
      </c>
      <c r="AM1090" t="n">
        <v>3</v>
      </c>
      <c r="AN1090" t="n">
        <v>0</v>
      </c>
      <c r="AO1090" t="n">
        <v>0</v>
      </c>
      <c r="AP1090" t="inlineStr">
        <is>
          <t>Yes</t>
        </is>
      </c>
      <c r="AQ1090" t="inlineStr">
        <is>
          <t>No</t>
        </is>
      </c>
      <c r="AR1090">
        <f>HYPERLINK("http://catalog.hathitrust.org/Record/000366246","HathiTrust Record")</f>
        <v/>
      </c>
      <c r="AS1090">
        <f>HYPERLINK("https://creighton-primo.hosted.exlibrisgroup.com/primo-explore/search?tab=default_tab&amp;search_scope=EVERYTHING&amp;vid=01CRU&amp;lang=en_US&amp;offset=0&amp;query=any,contains,991002753759702656","Catalog Record")</f>
        <v/>
      </c>
      <c r="AT1090">
        <f>HYPERLINK("http://www.worldcat.org/oclc/425616","WorldCat Record")</f>
        <v/>
      </c>
      <c r="AU1090" t="inlineStr">
        <is>
          <t>1518097:eng</t>
        </is>
      </c>
      <c r="AV1090" t="inlineStr">
        <is>
          <t>425616</t>
        </is>
      </c>
      <c r="AW1090" t="inlineStr">
        <is>
          <t>991002753759702656</t>
        </is>
      </c>
      <c r="AX1090" t="inlineStr">
        <is>
          <t>991002753759702656</t>
        </is>
      </c>
      <c r="AY1090" t="inlineStr">
        <is>
          <t>2267946980002656</t>
        </is>
      </c>
      <c r="AZ1090" t="inlineStr">
        <is>
          <t>BOOK</t>
        </is>
      </c>
      <c r="BC1090" t="inlineStr">
        <is>
          <t>32285002530912</t>
        </is>
      </c>
      <c r="BD1090" t="inlineStr">
        <is>
          <t>893421762</t>
        </is>
      </c>
    </row>
    <row r="1091">
      <c r="A1091" t="inlineStr">
        <is>
          <t>No</t>
        </is>
      </c>
      <c r="B1091" t="inlineStr">
        <is>
          <t>E311 .R385 1983</t>
        </is>
      </c>
      <c r="C1091" t="inlineStr">
        <is>
          <t>0                      E  0311000R  385         1983</t>
        </is>
      </c>
      <c r="D1091" t="inlineStr">
        <is>
          <t>Trials and triumphs : George Washington's foreign policy / by Frank T. Reuter.</t>
        </is>
      </c>
      <c r="F1091" t="inlineStr">
        <is>
          <t>No</t>
        </is>
      </c>
      <c r="G1091" t="inlineStr">
        <is>
          <t>1</t>
        </is>
      </c>
      <c r="H1091" t="inlineStr">
        <is>
          <t>No</t>
        </is>
      </c>
      <c r="I1091" t="inlineStr">
        <is>
          <t>No</t>
        </is>
      </c>
      <c r="J1091" t="inlineStr">
        <is>
          <t>0</t>
        </is>
      </c>
      <c r="K1091" t="inlineStr">
        <is>
          <t>Reuter, Frank T. (Frank Theodore), 1926-</t>
        </is>
      </c>
      <c r="L1091" t="inlineStr">
        <is>
          <t>Fort Worth : Texas Christian University Press, c1983.</t>
        </is>
      </c>
      <c r="M1091" t="inlineStr">
        <is>
          <t>1983</t>
        </is>
      </c>
      <c r="N1091" t="inlineStr">
        <is>
          <t>1st ed.</t>
        </is>
      </c>
      <c r="O1091" t="inlineStr">
        <is>
          <t>eng</t>
        </is>
      </c>
      <c r="P1091" t="inlineStr">
        <is>
          <t>txu</t>
        </is>
      </c>
      <c r="Q1091" t="inlineStr">
        <is>
          <t>A.M. Pate, Jr. series on the American presidency ; v. 2</t>
        </is>
      </c>
      <c r="R1091" t="inlineStr">
        <is>
          <t xml:space="preserve">E  </t>
        </is>
      </c>
      <c r="S1091" t="n">
        <v>5</v>
      </c>
      <c r="T1091" t="n">
        <v>5</v>
      </c>
      <c r="U1091" t="inlineStr">
        <is>
          <t>1993-12-06</t>
        </is>
      </c>
      <c r="V1091" t="inlineStr">
        <is>
          <t>1993-12-06</t>
        </is>
      </c>
      <c r="W1091" t="inlineStr">
        <is>
          <t>1990-05-03</t>
        </is>
      </c>
      <c r="X1091" t="inlineStr">
        <is>
          <t>1990-05-03</t>
        </is>
      </c>
      <c r="Y1091" t="n">
        <v>361</v>
      </c>
      <c r="Z1091" t="n">
        <v>327</v>
      </c>
      <c r="AA1091" t="n">
        <v>330</v>
      </c>
      <c r="AB1091" t="n">
        <v>2</v>
      </c>
      <c r="AC1091" t="n">
        <v>2</v>
      </c>
      <c r="AD1091" t="n">
        <v>14</v>
      </c>
      <c r="AE1091" t="n">
        <v>14</v>
      </c>
      <c r="AF1091" t="n">
        <v>5</v>
      </c>
      <c r="AG1091" t="n">
        <v>5</v>
      </c>
      <c r="AH1091" t="n">
        <v>4</v>
      </c>
      <c r="AI1091" t="n">
        <v>4</v>
      </c>
      <c r="AJ1091" t="n">
        <v>8</v>
      </c>
      <c r="AK1091" t="n">
        <v>8</v>
      </c>
      <c r="AL1091" t="n">
        <v>1</v>
      </c>
      <c r="AM1091" t="n">
        <v>1</v>
      </c>
      <c r="AN1091" t="n">
        <v>0</v>
      </c>
      <c r="AO1091" t="n">
        <v>0</v>
      </c>
      <c r="AP1091" t="inlineStr">
        <is>
          <t>No</t>
        </is>
      </c>
      <c r="AQ1091" t="inlineStr">
        <is>
          <t>Yes</t>
        </is>
      </c>
      <c r="AR1091">
        <f>HYPERLINK("http://catalog.hathitrust.org/Record/000828987","HathiTrust Record")</f>
        <v/>
      </c>
      <c r="AS1091">
        <f>HYPERLINK("https://creighton-primo.hosted.exlibrisgroup.com/primo-explore/search?tab=default_tab&amp;search_scope=EVERYTHING&amp;vid=01CRU&amp;lang=en_US&amp;offset=0&amp;query=any,contains,991000182579702656","Catalog Record")</f>
        <v/>
      </c>
      <c r="AT1091">
        <f>HYPERLINK("http://www.worldcat.org/oclc/9392467","WorldCat Record")</f>
        <v/>
      </c>
      <c r="AU1091" t="inlineStr">
        <is>
          <t>557626:eng</t>
        </is>
      </c>
      <c r="AV1091" t="inlineStr">
        <is>
          <t>9392467</t>
        </is>
      </c>
      <c r="AW1091" t="inlineStr">
        <is>
          <t>991000182579702656</t>
        </is>
      </c>
      <c r="AX1091" t="inlineStr">
        <is>
          <t>991000182579702656</t>
        </is>
      </c>
      <c r="AY1091" t="inlineStr">
        <is>
          <t>2268655180002656</t>
        </is>
      </c>
      <c r="AZ1091" t="inlineStr">
        <is>
          <t>BOOK</t>
        </is>
      </c>
      <c r="BB1091" t="inlineStr">
        <is>
          <t>9780912646701</t>
        </is>
      </c>
      <c r="BC1091" t="inlineStr">
        <is>
          <t>32285000147610</t>
        </is>
      </c>
      <c r="BD1091" t="inlineStr">
        <is>
          <t>893255249</t>
        </is>
      </c>
    </row>
    <row r="1092">
      <c r="A1092" t="inlineStr">
        <is>
          <t>No</t>
        </is>
      </c>
      <c r="B1092" t="inlineStr">
        <is>
          <t>E312 .F44</t>
        </is>
      </c>
      <c r="C1092" t="inlineStr">
        <is>
          <t>0                      E  0312000F  44</t>
        </is>
      </c>
      <c r="D1092" t="inlineStr">
        <is>
          <t>George Washington / by James Thomas Flexner.</t>
        </is>
      </c>
      <c r="E1092" t="inlineStr">
        <is>
          <t>V.1</t>
        </is>
      </c>
      <c r="F1092" t="inlineStr">
        <is>
          <t>Yes</t>
        </is>
      </c>
      <c r="G1092" t="inlineStr">
        <is>
          <t>1</t>
        </is>
      </c>
      <c r="H1092" t="inlineStr">
        <is>
          <t>No</t>
        </is>
      </c>
      <c r="I1092" t="inlineStr">
        <is>
          <t>No</t>
        </is>
      </c>
      <c r="J1092" t="inlineStr">
        <is>
          <t>0</t>
        </is>
      </c>
      <c r="K1092" t="inlineStr">
        <is>
          <t>Flexner, James Thomas, 1908-2003.</t>
        </is>
      </c>
      <c r="L1092" t="inlineStr">
        <is>
          <t>Boston : Little, Brown, [1965-1972]</t>
        </is>
      </c>
      <c r="M1092" t="inlineStr">
        <is>
          <t>1972</t>
        </is>
      </c>
      <c r="N1092" t="inlineStr">
        <is>
          <t>1st ed.</t>
        </is>
      </c>
      <c r="O1092" t="inlineStr">
        <is>
          <t>eng</t>
        </is>
      </c>
      <c r="P1092" t="inlineStr">
        <is>
          <t xml:space="preserve">xx </t>
        </is>
      </c>
      <c r="R1092" t="inlineStr">
        <is>
          <t xml:space="preserve">E  </t>
        </is>
      </c>
      <c r="S1092" t="n">
        <v>0</v>
      </c>
      <c r="T1092" t="n">
        <v>2</v>
      </c>
      <c r="V1092" t="inlineStr">
        <is>
          <t>1993-12-06</t>
        </is>
      </c>
      <c r="W1092" t="inlineStr">
        <is>
          <t>1991-08-06</t>
        </is>
      </c>
      <c r="X1092" t="inlineStr">
        <is>
          <t>1991-08-06</t>
        </is>
      </c>
      <c r="Y1092" t="n">
        <v>177</v>
      </c>
      <c r="Z1092" t="n">
        <v>172</v>
      </c>
      <c r="AA1092" t="n">
        <v>272</v>
      </c>
      <c r="AB1092" t="n">
        <v>2</v>
      </c>
      <c r="AC1092" t="n">
        <v>2</v>
      </c>
      <c r="AD1092" t="n">
        <v>3</v>
      </c>
      <c r="AE1092" t="n">
        <v>4</v>
      </c>
      <c r="AF1092" t="n">
        <v>1</v>
      </c>
      <c r="AG1092" t="n">
        <v>1</v>
      </c>
      <c r="AH1092" t="n">
        <v>1</v>
      </c>
      <c r="AI1092" t="n">
        <v>2</v>
      </c>
      <c r="AJ1092" t="n">
        <v>1</v>
      </c>
      <c r="AK1092" t="n">
        <v>1</v>
      </c>
      <c r="AL1092" t="n">
        <v>1</v>
      </c>
      <c r="AM1092" t="n">
        <v>1</v>
      </c>
      <c r="AN1092" t="n">
        <v>0</v>
      </c>
      <c r="AO1092" t="n">
        <v>0</v>
      </c>
      <c r="AP1092" t="inlineStr">
        <is>
          <t>No</t>
        </is>
      </c>
      <c r="AQ1092" t="inlineStr">
        <is>
          <t>No</t>
        </is>
      </c>
      <c r="AS1092">
        <f>HYPERLINK("https://creighton-primo.hosted.exlibrisgroup.com/primo-explore/search?tab=default_tab&amp;search_scope=EVERYTHING&amp;vid=01CRU&amp;lang=en_US&amp;offset=0&amp;query=any,contains,991003071829702656","Catalog Record")</f>
        <v/>
      </c>
      <c r="AT1092">
        <f>HYPERLINK("http://www.worldcat.org/oclc/553339","WorldCat Record")</f>
        <v/>
      </c>
      <c r="AU1092" t="inlineStr">
        <is>
          <t>9303080438:eng</t>
        </is>
      </c>
      <c r="AV1092" t="inlineStr">
        <is>
          <t>553339</t>
        </is>
      </c>
      <c r="AW1092" t="inlineStr">
        <is>
          <t>991003071829702656</t>
        </is>
      </c>
      <c r="AX1092" t="inlineStr">
        <is>
          <t>991003071829702656</t>
        </is>
      </c>
      <c r="AY1092" t="inlineStr">
        <is>
          <t>2257273270002656</t>
        </is>
      </c>
      <c r="AZ1092" t="inlineStr">
        <is>
          <t>BOOK</t>
        </is>
      </c>
      <c r="BC1092" t="inlineStr">
        <is>
          <t>32285000664697</t>
        </is>
      </c>
      <c r="BD1092" t="inlineStr">
        <is>
          <t>893252000</t>
        </is>
      </c>
    </row>
    <row r="1093">
      <c r="A1093" t="inlineStr">
        <is>
          <t>No</t>
        </is>
      </c>
      <c r="B1093" t="inlineStr">
        <is>
          <t>E312 .F44</t>
        </is>
      </c>
      <c r="C1093" t="inlineStr">
        <is>
          <t>0                      E  0312000F  44</t>
        </is>
      </c>
      <c r="D1093" t="inlineStr">
        <is>
          <t>George Washington / by James Thomas Flexner.</t>
        </is>
      </c>
      <c r="E1093" t="inlineStr">
        <is>
          <t>V.4</t>
        </is>
      </c>
      <c r="F1093" t="inlineStr">
        <is>
          <t>Yes</t>
        </is>
      </c>
      <c r="G1093" t="inlineStr">
        <is>
          <t>1</t>
        </is>
      </c>
      <c r="H1093" t="inlineStr">
        <is>
          <t>No</t>
        </is>
      </c>
      <c r="I1093" t="inlineStr">
        <is>
          <t>No</t>
        </is>
      </c>
      <c r="J1093" t="inlineStr">
        <is>
          <t>0</t>
        </is>
      </c>
      <c r="K1093" t="inlineStr">
        <is>
          <t>Flexner, James Thomas, 1908-2003.</t>
        </is>
      </c>
      <c r="L1093" t="inlineStr">
        <is>
          <t>Boston : Little, Brown, [1965-1972]</t>
        </is>
      </c>
      <c r="M1093" t="inlineStr">
        <is>
          <t>1972</t>
        </is>
      </c>
      <c r="N1093" t="inlineStr">
        <is>
          <t>1st ed.</t>
        </is>
      </c>
      <c r="O1093" t="inlineStr">
        <is>
          <t>eng</t>
        </is>
      </c>
      <c r="P1093" t="inlineStr">
        <is>
          <t xml:space="preserve">xx </t>
        </is>
      </c>
      <c r="R1093" t="inlineStr">
        <is>
          <t xml:space="preserve">E  </t>
        </is>
      </c>
      <c r="S1093" t="n">
        <v>2</v>
      </c>
      <c r="T1093" t="n">
        <v>2</v>
      </c>
      <c r="U1093" t="inlineStr">
        <is>
          <t>1993-12-06</t>
        </is>
      </c>
      <c r="V1093" t="inlineStr">
        <is>
          <t>1993-12-06</t>
        </is>
      </c>
      <c r="W1093" t="inlineStr">
        <is>
          <t>1991-08-06</t>
        </is>
      </c>
      <c r="X1093" t="inlineStr">
        <is>
          <t>1991-08-06</t>
        </is>
      </c>
      <c r="Y1093" t="n">
        <v>177</v>
      </c>
      <c r="Z1093" t="n">
        <v>172</v>
      </c>
      <c r="AA1093" t="n">
        <v>272</v>
      </c>
      <c r="AB1093" t="n">
        <v>2</v>
      </c>
      <c r="AC1093" t="n">
        <v>2</v>
      </c>
      <c r="AD1093" t="n">
        <v>3</v>
      </c>
      <c r="AE1093" t="n">
        <v>4</v>
      </c>
      <c r="AF1093" t="n">
        <v>1</v>
      </c>
      <c r="AG1093" t="n">
        <v>1</v>
      </c>
      <c r="AH1093" t="n">
        <v>1</v>
      </c>
      <c r="AI1093" t="n">
        <v>2</v>
      </c>
      <c r="AJ1093" t="n">
        <v>1</v>
      </c>
      <c r="AK1093" t="n">
        <v>1</v>
      </c>
      <c r="AL1093" t="n">
        <v>1</v>
      </c>
      <c r="AM1093" t="n">
        <v>1</v>
      </c>
      <c r="AN1093" t="n">
        <v>0</v>
      </c>
      <c r="AO1093" t="n">
        <v>0</v>
      </c>
      <c r="AP1093" t="inlineStr">
        <is>
          <t>No</t>
        </is>
      </c>
      <c r="AQ1093" t="inlineStr">
        <is>
          <t>No</t>
        </is>
      </c>
      <c r="AS1093">
        <f>HYPERLINK("https://creighton-primo.hosted.exlibrisgroup.com/primo-explore/search?tab=default_tab&amp;search_scope=EVERYTHING&amp;vid=01CRU&amp;lang=en_US&amp;offset=0&amp;query=any,contains,991003071829702656","Catalog Record")</f>
        <v/>
      </c>
      <c r="AT1093">
        <f>HYPERLINK("http://www.worldcat.org/oclc/553339","WorldCat Record")</f>
        <v/>
      </c>
      <c r="AU1093" t="inlineStr">
        <is>
          <t>9303080438:eng</t>
        </is>
      </c>
      <c r="AV1093" t="inlineStr">
        <is>
          <t>553339</t>
        </is>
      </c>
      <c r="AW1093" t="inlineStr">
        <is>
          <t>991003071829702656</t>
        </is>
      </c>
      <c r="AX1093" t="inlineStr">
        <is>
          <t>991003071829702656</t>
        </is>
      </c>
      <c r="AY1093" t="inlineStr">
        <is>
          <t>2257273270002656</t>
        </is>
      </c>
      <c r="AZ1093" t="inlineStr">
        <is>
          <t>BOOK</t>
        </is>
      </c>
      <c r="BC1093" t="inlineStr">
        <is>
          <t>32285000664721</t>
        </is>
      </c>
      <c r="BD1093" t="inlineStr">
        <is>
          <t>893245991</t>
        </is>
      </c>
    </row>
    <row r="1094">
      <c r="A1094" t="inlineStr">
        <is>
          <t>No</t>
        </is>
      </c>
      <c r="B1094" t="inlineStr">
        <is>
          <t>E312 .F44</t>
        </is>
      </c>
      <c r="C1094" t="inlineStr">
        <is>
          <t>0                      E  0312000F  44</t>
        </is>
      </c>
      <c r="D1094" t="inlineStr">
        <is>
          <t>George Washington / by James Thomas Flexner.</t>
        </is>
      </c>
      <c r="E1094" t="inlineStr">
        <is>
          <t>V.2</t>
        </is>
      </c>
      <c r="F1094" t="inlineStr">
        <is>
          <t>Yes</t>
        </is>
      </c>
      <c r="G1094" t="inlineStr">
        <is>
          <t>1</t>
        </is>
      </c>
      <c r="H1094" t="inlineStr">
        <is>
          <t>No</t>
        </is>
      </c>
      <c r="I1094" t="inlineStr">
        <is>
          <t>No</t>
        </is>
      </c>
      <c r="J1094" t="inlineStr">
        <is>
          <t>0</t>
        </is>
      </c>
      <c r="K1094" t="inlineStr">
        <is>
          <t>Flexner, James Thomas, 1908-2003.</t>
        </is>
      </c>
      <c r="L1094" t="inlineStr">
        <is>
          <t>Boston : Little, Brown, [1965-1972]</t>
        </is>
      </c>
      <c r="M1094" t="inlineStr">
        <is>
          <t>1972</t>
        </is>
      </c>
      <c r="N1094" t="inlineStr">
        <is>
          <t>1st ed.</t>
        </is>
      </c>
      <c r="O1094" t="inlineStr">
        <is>
          <t>eng</t>
        </is>
      </c>
      <c r="P1094" t="inlineStr">
        <is>
          <t xml:space="preserve">xx </t>
        </is>
      </c>
      <c r="R1094" t="inlineStr">
        <is>
          <t xml:space="preserve">E  </t>
        </is>
      </c>
      <c r="S1094" t="n">
        <v>0</v>
      </c>
      <c r="T1094" t="n">
        <v>2</v>
      </c>
      <c r="V1094" t="inlineStr">
        <is>
          <t>1993-12-06</t>
        </is>
      </c>
      <c r="W1094" t="inlineStr">
        <is>
          <t>1991-08-06</t>
        </is>
      </c>
      <c r="X1094" t="inlineStr">
        <is>
          <t>1991-08-06</t>
        </is>
      </c>
      <c r="Y1094" t="n">
        <v>177</v>
      </c>
      <c r="Z1094" t="n">
        <v>172</v>
      </c>
      <c r="AA1094" t="n">
        <v>272</v>
      </c>
      <c r="AB1094" t="n">
        <v>2</v>
      </c>
      <c r="AC1094" t="n">
        <v>2</v>
      </c>
      <c r="AD1094" t="n">
        <v>3</v>
      </c>
      <c r="AE1094" t="n">
        <v>4</v>
      </c>
      <c r="AF1094" t="n">
        <v>1</v>
      </c>
      <c r="AG1094" t="n">
        <v>1</v>
      </c>
      <c r="AH1094" t="n">
        <v>1</v>
      </c>
      <c r="AI1094" t="n">
        <v>2</v>
      </c>
      <c r="AJ1094" t="n">
        <v>1</v>
      </c>
      <c r="AK1094" t="n">
        <v>1</v>
      </c>
      <c r="AL1094" t="n">
        <v>1</v>
      </c>
      <c r="AM1094" t="n">
        <v>1</v>
      </c>
      <c r="AN1094" t="n">
        <v>0</v>
      </c>
      <c r="AO1094" t="n">
        <v>0</v>
      </c>
      <c r="AP1094" t="inlineStr">
        <is>
          <t>No</t>
        </is>
      </c>
      <c r="AQ1094" t="inlineStr">
        <is>
          <t>No</t>
        </is>
      </c>
      <c r="AS1094">
        <f>HYPERLINK("https://creighton-primo.hosted.exlibrisgroup.com/primo-explore/search?tab=default_tab&amp;search_scope=EVERYTHING&amp;vid=01CRU&amp;lang=en_US&amp;offset=0&amp;query=any,contains,991003071829702656","Catalog Record")</f>
        <v/>
      </c>
      <c r="AT1094">
        <f>HYPERLINK("http://www.worldcat.org/oclc/553339","WorldCat Record")</f>
        <v/>
      </c>
      <c r="AU1094" t="inlineStr">
        <is>
          <t>9303080438:eng</t>
        </is>
      </c>
      <c r="AV1094" t="inlineStr">
        <is>
          <t>553339</t>
        </is>
      </c>
      <c r="AW1094" t="inlineStr">
        <is>
          <t>991003071829702656</t>
        </is>
      </c>
      <c r="AX1094" t="inlineStr">
        <is>
          <t>991003071829702656</t>
        </is>
      </c>
      <c r="AY1094" t="inlineStr">
        <is>
          <t>2257273270002656</t>
        </is>
      </c>
      <c r="AZ1094" t="inlineStr">
        <is>
          <t>BOOK</t>
        </is>
      </c>
      <c r="BC1094" t="inlineStr">
        <is>
          <t>32285000664705</t>
        </is>
      </c>
      <c r="BD1094" t="inlineStr">
        <is>
          <t>893227648</t>
        </is>
      </c>
    </row>
    <row r="1095">
      <c r="A1095" t="inlineStr">
        <is>
          <t>No</t>
        </is>
      </c>
      <c r="B1095" t="inlineStr">
        <is>
          <t>E312 .F44</t>
        </is>
      </c>
      <c r="C1095" t="inlineStr">
        <is>
          <t>0                      E  0312000F  44</t>
        </is>
      </c>
      <c r="D1095" t="inlineStr">
        <is>
          <t>George Washington / by James Thomas Flexner.</t>
        </is>
      </c>
      <c r="E1095" t="inlineStr">
        <is>
          <t>V.3</t>
        </is>
      </c>
      <c r="F1095" t="inlineStr">
        <is>
          <t>Yes</t>
        </is>
      </c>
      <c r="G1095" t="inlineStr">
        <is>
          <t>1</t>
        </is>
      </c>
      <c r="H1095" t="inlineStr">
        <is>
          <t>No</t>
        </is>
      </c>
      <c r="I1095" t="inlineStr">
        <is>
          <t>No</t>
        </is>
      </c>
      <c r="J1095" t="inlineStr">
        <is>
          <t>0</t>
        </is>
      </c>
      <c r="K1095" t="inlineStr">
        <is>
          <t>Flexner, James Thomas, 1908-2003.</t>
        </is>
      </c>
      <c r="L1095" t="inlineStr">
        <is>
          <t>Boston : Little, Brown, [1965-1972]</t>
        </is>
      </c>
      <c r="M1095" t="inlineStr">
        <is>
          <t>1972</t>
        </is>
      </c>
      <c r="N1095" t="inlineStr">
        <is>
          <t>1st ed.</t>
        </is>
      </c>
      <c r="O1095" t="inlineStr">
        <is>
          <t>eng</t>
        </is>
      </c>
      <c r="P1095" t="inlineStr">
        <is>
          <t xml:space="preserve">xx </t>
        </is>
      </c>
      <c r="R1095" t="inlineStr">
        <is>
          <t xml:space="preserve">E  </t>
        </is>
      </c>
      <c r="S1095" t="n">
        <v>0</v>
      </c>
      <c r="T1095" t="n">
        <v>2</v>
      </c>
      <c r="V1095" t="inlineStr">
        <is>
          <t>1993-12-06</t>
        </is>
      </c>
      <c r="W1095" t="inlineStr">
        <is>
          <t>1991-08-06</t>
        </is>
      </c>
      <c r="X1095" t="inlineStr">
        <is>
          <t>1991-08-06</t>
        </is>
      </c>
      <c r="Y1095" t="n">
        <v>177</v>
      </c>
      <c r="Z1095" t="n">
        <v>172</v>
      </c>
      <c r="AA1095" t="n">
        <v>272</v>
      </c>
      <c r="AB1095" t="n">
        <v>2</v>
      </c>
      <c r="AC1095" t="n">
        <v>2</v>
      </c>
      <c r="AD1095" t="n">
        <v>3</v>
      </c>
      <c r="AE1095" t="n">
        <v>4</v>
      </c>
      <c r="AF1095" t="n">
        <v>1</v>
      </c>
      <c r="AG1095" t="n">
        <v>1</v>
      </c>
      <c r="AH1095" t="n">
        <v>1</v>
      </c>
      <c r="AI1095" t="n">
        <v>2</v>
      </c>
      <c r="AJ1095" t="n">
        <v>1</v>
      </c>
      <c r="AK1095" t="n">
        <v>1</v>
      </c>
      <c r="AL1095" t="n">
        <v>1</v>
      </c>
      <c r="AM1095" t="n">
        <v>1</v>
      </c>
      <c r="AN1095" t="n">
        <v>0</v>
      </c>
      <c r="AO1095" t="n">
        <v>0</v>
      </c>
      <c r="AP1095" t="inlineStr">
        <is>
          <t>No</t>
        </is>
      </c>
      <c r="AQ1095" t="inlineStr">
        <is>
          <t>No</t>
        </is>
      </c>
      <c r="AS1095">
        <f>HYPERLINK("https://creighton-primo.hosted.exlibrisgroup.com/primo-explore/search?tab=default_tab&amp;search_scope=EVERYTHING&amp;vid=01CRU&amp;lang=en_US&amp;offset=0&amp;query=any,contains,991003071829702656","Catalog Record")</f>
        <v/>
      </c>
      <c r="AT1095">
        <f>HYPERLINK("http://www.worldcat.org/oclc/553339","WorldCat Record")</f>
        <v/>
      </c>
      <c r="AU1095" t="inlineStr">
        <is>
          <t>9303080438:eng</t>
        </is>
      </c>
      <c r="AV1095" t="inlineStr">
        <is>
          <t>553339</t>
        </is>
      </c>
      <c r="AW1095" t="inlineStr">
        <is>
          <t>991003071829702656</t>
        </is>
      </c>
      <c r="AX1095" t="inlineStr">
        <is>
          <t>991003071829702656</t>
        </is>
      </c>
      <c r="AY1095" t="inlineStr">
        <is>
          <t>2257273270002656</t>
        </is>
      </c>
      <c r="AZ1095" t="inlineStr">
        <is>
          <t>BOOK</t>
        </is>
      </c>
      <c r="BC1095" t="inlineStr">
        <is>
          <t>32285000664713</t>
        </is>
      </c>
      <c r="BD1095" t="inlineStr">
        <is>
          <t>893251999</t>
        </is>
      </c>
    </row>
    <row r="1096">
      <c r="A1096" t="inlineStr">
        <is>
          <t>No</t>
        </is>
      </c>
      <c r="B1096" t="inlineStr">
        <is>
          <t>E312 .H36 1995</t>
        </is>
      </c>
      <c r="C1096" t="inlineStr">
        <is>
          <t>0                      E  0312000H  36          1995</t>
        </is>
      </c>
      <c r="D1096" t="inlineStr">
        <is>
          <t>Washington : an abridgement in one volume by Richard Harwell of the seven-volume George Washington by Douglas Southall Freeman / with a new introduction by Michael Kammen ; afterword by Dumas Malone.</t>
        </is>
      </c>
      <c r="F1096" t="inlineStr">
        <is>
          <t>No</t>
        </is>
      </c>
      <c r="G1096" t="inlineStr">
        <is>
          <t>1</t>
        </is>
      </c>
      <c r="H1096" t="inlineStr">
        <is>
          <t>No</t>
        </is>
      </c>
      <c r="I1096" t="inlineStr">
        <is>
          <t>No</t>
        </is>
      </c>
      <c r="J1096" t="inlineStr">
        <is>
          <t>0</t>
        </is>
      </c>
      <c r="K1096" t="inlineStr">
        <is>
          <t>Harwell, Richard Barksdale.</t>
        </is>
      </c>
      <c r="L1096" t="inlineStr">
        <is>
          <t>New York : Simon &amp; Schuster, 1995.</t>
        </is>
      </c>
      <c r="M1096" t="inlineStr">
        <is>
          <t>1995</t>
        </is>
      </c>
      <c r="N1096" t="inlineStr">
        <is>
          <t>1st Touchstone ed.</t>
        </is>
      </c>
      <c r="O1096" t="inlineStr">
        <is>
          <t>eng</t>
        </is>
      </c>
      <c r="P1096" t="inlineStr">
        <is>
          <t>nyu</t>
        </is>
      </c>
      <c r="R1096" t="inlineStr">
        <is>
          <t xml:space="preserve">E  </t>
        </is>
      </c>
      <c r="S1096" t="n">
        <v>2</v>
      </c>
      <c r="T1096" t="n">
        <v>2</v>
      </c>
      <c r="U1096" t="inlineStr">
        <is>
          <t>2002-11-17</t>
        </is>
      </c>
      <c r="V1096" t="inlineStr">
        <is>
          <t>2002-11-17</t>
        </is>
      </c>
      <c r="W1096" t="inlineStr">
        <is>
          <t>1997-01-27</t>
        </is>
      </c>
      <c r="X1096" t="inlineStr">
        <is>
          <t>1997-01-27</t>
        </is>
      </c>
      <c r="Y1096" t="n">
        <v>74</v>
      </c>
      <c r="Z1096" t="n">
        <v>73</v>
      </c>
      <c r="AA1096" t="n">
        <v>247</v>
      </c>
      <c r="AB1096" t="n">
        <v>3</v>
      </c>
      <c r="AC1096" t="n">
        <v>3</v>
      </c>
      <c r="AD1096" t="n">
        <v>1</v>
      </c>
      <c r="AE1096" t="n">
        <v>5</v>
      </c>
      <c r="AF1096" t="n">
        <v>0</v>
      </c>
      <c r="AG1096" t="n">
        <v>2</v>
      </c>
      <c r="AH1096" t="n">
        <v>0</v>
      </c>
      <c r="AI1096" t="n">
        <v>0</v>
      </c>
      <c r="AJ1096" t="n">
        <v>0</v>
      </c>
      <c r="AK1096" t="n">
        <v>1</v>
      </c>
      <c r="AL1096" t="n">
        <v>1</v>
      </c>
      <c r="AM1096" t="n">
        <v>1</v>
      </c>
      <c r="AN1096" t="n">
        <v>0</v>
      </c>
      <c r="AO1096" t="n">
        <v>1</v>
      </c>
      <c r="AP1096" t="inlineStr">
        <is>
          <t>No</t>
        </is>
      </c>
      <c r="AQ1096" t="inlineStr">
        <is>
          <t>No</t>
        </is>
      </c>
      <c r="AS1096">
        <f>HYPERLINK("https://creighton-primo.hosted.exlibrisgroup.com/primo-explore/search?tab=default_tab&amp;search_scope=EVERYTHING&amp;vid=01CRU&amp;lang=en_US&amp;offset=0&amp;query=any,contains,991002620399702656","Catalog Record")</f>
        <v/>
      </c>
      <c r="AT1096">
        <f>HYPERLINK("http://www.worldcat.org/oclc/34332517","WorldCat Record")</f>
        <v/>
      </c>
      <c r="AU1096" t="inlineStr">
        <is>
          <t>4417425551:eng</t>
        </is>
      </c>
      <c r="AV1096" t="inlineStr">
        <is>
          <t>34332517</t>
        </is>
      </c>
      <c r="AW1096" t="inlineStr">
        <is>
          <t>991002620399702656</t>
        </is>
      </c>
      <c r="AX1096" t="inlineStr">
        <is>
          <t>991002620399702656</t>
        </is>
      </c>
      <c r="AY1096" t="inlineStr">
        <is>
          <t>2258044230002656</t>
        </is>
      </c>
      <c r="AZ1096" t="inlineStr">
        <is>
          <t>BOOK</t>
        </is>
      </c>
      <c r="BB1096" t="inlineStr">
        <is>
          <t>9780684826370</t>
        </is>
      </c>
      <c r="BC1096" t="inlineStr">
        <is>
          <t>32285002411386</t>
        </is>
      </c>
      <c r="BD1096" t="inlineStr">
        <is>
          <t>893886499</t>
        </is>
      </c>
    </row>
    <row r="1097">
      <c r="A1097" t="inlineStr">
        <is>
          <t>No</t>
        </is>
      </c>
      <c r="B1097" t="inlineStr">
        <is>
          <t>E312 .L46 2005</t>
        </is>
      </c>
      <c r="C1097" t="inlineStr">
        <is>
          <t>0                      E  0312000L  46          2005</t>
        </is>
      </c>
      <c r="D1097" t="inlineStr">
        <is>
          <t>General George Washington : a military life / Edward G. Lengel.</t>
        </is>
      </c>
      <c r="F1097" t="inlineStr">
        <is>
          <t>No</t>
        </is>
      </c>
      <c r="G1097" t="inlineStr">
        <is>
          <t>1</t>
        </is>
      </c>
      <c r="H1097" t="inlineStr">
        <is>
          <t>No</t>
        </is>
      </c>
      <c r="I1097" t="inlineStr">
        <is>
          <t>No</t>
        </is>
      </c>
      <c r="J1097" t="inlineStr">
        <is>
          <t>0</t>
        </is>
      </c>
      <c r="K1097" t="inlineStr">
        <is>
          <t>Lengel, Edward G.</t>
        </is>
      </c>
      <c r="L1097" t="inlineStr">
        <is>
          <t>New York : Random House, c2005.</t>
        </is>
      </c>
      <c r="M1097" t="inlineStr">
        <is>
          <t>2005</t>
        </is>
      </c>
      <c r="N1097" t="inlineStr">
        <is>
          <t>1st ed.</t>
        </is>
      </c>
      <c r="O1097" t="inlineStr">
        <is>
          <t>eng</t>
        </is>
      </c>
      <c r="P1097" t="inlineStr">
        <is>
          <t>nyu</t>
        </is>
      </c>
      <c r="R1097" t="inlineStr">
        <is>
          <t xml:space="preserve">E  </t>
        </is>
      </c>
      <c r="S1097" t="n">
        <v>1</v>
      </c>
      <c r="T1097" t="n">
        <v>1</v>
      </c>
      <c r="U1097" t="inlineStr">
        <is>
          <t>2005-07-06</t>
        </is>
      </c>
      <c r="V1097" t="inlineStr">
        <is>
          <t>2005-07-06</t>
        </is>
      </c>
      <c r="W1097" t="inlineStr">
        <is>
          <t>2005-07-06</t>
        </is>
      </c>
      <c r="X1097" t="inlineStr">
        <is>
          <t>2005-07-06</t>
        </is>
      </c>
      <c r="Y1097" t="n">
        <v>1223</v>
      </c>
      <c r="Z1097" t="n">
        <v>1185</v>
      </c>
      <c r="AA1097" t="n">
        <v>1273</v>
      </c>
      <c r="AB1097" t="n">
        <v>10</v>
      </c>
      <c r="AC1097" t="n">
        <v>10</v>
      </c>
      <c r="AD1097" t="n">
        <v>36</v>
      </c>
      <c r="AE1097" t="n">
        <v>37</v>
      </c>
      <c r="AF1097" t="n">
        <v>14</v>
      </c>
      <c r="AG1097" t="n">
        <v>14</v>
      </c>
      <c r="AH1097" t="n">
        <v>7</v>
      </c>
      <c r="AI1097" t="n">
        <v>7</v>
      </c>
      <c r="AJ1097" t="n">
        <v>14</v>
      </c>
      <c r="AK1097" t="n">
        <v>15</v>
      </c>
      <c r="AL1097" t="n">
        <v>8</v>
      </c>
      <c r="AM1097" t="n">
        <v>8</v>
      </c>
      <c r="AN1097" t="n">
        <v>0</v>
      </c>
      <c r="AO1097" t="n">
        <v>0</v>
      </c>
      <c r="AP1097" t="inlineStr">
        <is>
          <t>No</t>
        </is>
      </c>
      <c r="AQ1097" t="inlineStr">
        <is>
          <t>Yes</t>
        </is>
      </c>
      <c r="AR1097">
        <f>HYPERLINK("http://catalog.hathitrust.org/Record/005021198","HathiTrust Record")</f>
        <v/>
      </c>
      <c r="AS1097">
        <f>HYPERLINK("https://creighton-primo.hosted.exlibrisgroup.com/primo-explore/search?tab=default_tab&amp;search_scope=EVERYTHING&amp;vid=01CRU&amp;lang=en_US&amp;offset=0&amp;query=any,contains,991004582759702656","Catalog Record")</f>
        <v/>
      </c>
      <c r="AT1097">
        <f>HYPERLINK("http://www.worldcat.org/oclc/60523007","WorldCat Record")</f>
        <v/>
      </c>
      <c r="AU1097" t="inlineStr">
        <is>
          <t>11461:eng</t>
        </is>
      </c>
      <c r="AV1097" t="inlineStr">
        <is>
          <t>60523007</t>
        </is>
      </c>
      <c r="AW1097" t="inlineStr">
        <is>
          <t>991004582759702656</t>
        </is>
      </c>
      <c r="AX1097" t="inlineStr">
        <is>
          <t>991004582759702656</t>
        </is>
      </c>
      <c r="AY1097" t="inlineStr">
        <is>
          <t>2267839200002656</t>
        </is>
      </c>
      <c r="AZ1097" t="inlineStr">
        <is>
          <t>BOOK</t>
        </is>
      </c>
      <c r="BB1097" t="inlineStr">
        <is>
          <t>9781400060818</t>
        </is>
      </c>
      <c r="BC1097" t="inlineStr">
        <is>
          <t>32285005095012</t>
        </is>
      </c>
      <c r="BD1097" t="inlineStr">
        <is>
          <t>893694095</t>
        </is>
      </c>
    </row>
    <row r="1098">
      <c r="A1098" t="inlineStr">
        <is>
          <t>No</t>
        </is>
      </c>
      <c r="B1098" t="inlineStr">
        <is>
          <t>E312 .S39 1987</t>
        </is>
      </c>
      <c r="C1098" t="inlineStr">
        <is>
          <t>0                      E  0312000S  39          1987</t>
        </is>
      </c>
      <c r="D1098" t="inlineStr">
        <is>
          <t>George Washington : the making of an American symbol / Barry Schwartz.</t>
        </is>
      </c>
      <c r="F1098" t="inlineStr">
        <is>
          <t>No</t>
        </is>
      </c>
      <c r="G1098" t="inlineStr">
        <is>
          <t>1</t>
        </is>
      </c>
      <c r="H1098" t="inlineStr">
        <is>
          <t>No</t>
        </is>
      </c>
      <c r="I1098" t="inlineStr">
        <is>
          <t>No</t>
        </is>
      </c>
      <c r="J1098" t="inlineStr">
        <is>
          <t>0</t>
        </is>
      </c>
      <c r="K1098" t="inlineStr">
        <is>
          <t>Schwartz, Barry, 1938-</t>
        </is>
      </c>
      <c r="L1098" t="inlineStr">
        <is>
          <t>New York : Free Press ; London : Collier Macmillan, c1987.</t>
        </is>
      </c>
      <c r="M1098" t="inlineStr">
        <is>
          <t>1987</t>
        </is>
      </c>
      <c r="O1098" t="inlineStr">
        <is>
          <t>eng</t>
        </is>
      </c>
      <c r="P1098" t="inlineStr">
        <is>
          <t>nyu</t>
        </is>
      </c>
      <c r="R1098" t="inlineStr">
        <is>
          <t xml:space="preserve">E  </t>
        </is>
      </c>
      <c r="S1098" t="n">
        <v>5</v>
      </c>
      <c r="T1098" t="n">
        <v>5</v>
      </c>
      <c r="U1098" t="inlineStr">
        <is>
          <t>2002-11-17</t>
        </is>
      </c>
      <c r="V1098" t="inlineStr">
        <is>
          <t>2002-11-17</t>
        </is>
      </c>
      <c r="W1098" t="inlineStr">
        <is>
          <t>1990-06-21</t>
        </is>
      </c>
      <c r="X1098" t="inlineStr">
        <is>
          <t>1990-06-21</t>
        </is>
      </c>
      <c r="Y1098" t="n">
        <v>1142</v>
      </c>
      <c r="Z1098" t="n">
        <v>1044</v>
      </c>
      <c r="AA1098" t="n">
        <v>1126</v>
      </c>
      <c r="AB1098" t="n">
        <v>5</v>
      </c>
      <c r="AC1098" t="n">
        <v>6</v>
      </c>
      <c r="AD1098" t="n">
        <v>33</v>
      </c>
      <c r="AE1098" t="n">
        <v>35</v>
      </c>
      <c r="AF1098" t="n">
        <v>13</v>
      </c>
      <c r="AG1098" t="n">
        <v>14</v>
      </c>
      <c r="AH1098" t="n">
        <v>8</v>
      </c>
      <c r="AI1098" t="n">
        <v>8</v>
      </c>
      <c r="AJ1098" t="n">
        <v>16</v>
      </c>
      <c r="AK1098" t="n">
        <v>16</v>
      </c>
      <c r="AL1098" t="n">
        <v>3</v>
      </c>
      <c r="AM1098" t="n">
        <v>4</v>
      </c>
      <c r="AN1098" t="n">
        <v>0</v>
      </c>
      <c r="AO1098" t="n">
        <v>0</v>
      </c>
      <c r="AP1098" t="inlineStr">
        <is>
          <t>No</t>
        </is>
      </c>
      <c r="AQ1098" t="inlineStr">
        <is>
          <t>Yes</t>
        </is>
      </c>
      <c r="AR1098">
        <f>HYPERLINK("http://catalog.hathitrust.org/Record/000830377","HathiTrust Record")</f>
        <v/>
      </c>
      <c r="AS1098">
        <f>HYPERLINK("https://creighton-primo.hosted.exlibrisgroup.com/primo-explore/search?tab=default_tab&amp;search_scope=EVERYTHING&amp;vid=01CRU&amp;lang=en_US&amp;offset=0&amp;query=any,contains,991001026849702656","Catalog Record")</f>
        <v/>
      </c>
      <c r="AT1098">
        <f>HYPERLINK("http://www.worldcat.org/oclc/15486810","WorldCat Record")</f>
        <v/>
      </c>
      <c r="AU1098" t="inlineStr">
        <is>
          <t>836715748:eng</t>
        </is>
      </c>
      <c r="AV1098" t="inlineStr">
        <is>
          <t>15486810</t>
        </is>
      </c>
      <c r="AW1098" t="inlineStr">
        <is>
          <t>991001026849702656</t>
        </is>
      </c>
      <c r="AX1098" t="inlineStr">
        <is>
          <t>991001026849702656</t>
        </is>
      </c>
      <c r="AY1098" t="inlineStr">
        <is>
          <t>2271693220002656</t>
        </is>
      </c>
      <c r="AZ1098" t="inlineStr">
        <is>
          <t>BOOK</t>
        </is>
      </c>
      <c r="BB1098" t="inlineStr">
        <is>
          <t>9780029281413</t>
        </is>
      </c>
      <c r="BC1098" t="inlineStr">
        <is>
          <t>32285000210871</t>
        </is>
      </c>
      <c r="BD1098" t="inlineStr">
        <is>
          <t>893509318</t>
        </is>
      </c>
    </row>
    <row r="1099">
      <c r="A1099" t="inlineStr">
        <is>
          <t>No</t>
        </is>
      </c>
      <c r="B1099" t="inlineStr">
        <is>
          <t>E312 .W29</t>
        </is>
      </c>
      <c r="C1099" t="inlineStr">
        <is>
          <t>0                      E  0312000W  29</t>
        </is>
      </c>
      <c r="D1099" t="inlineStr">
        <is>
          <t>George Washington, citizen-soldier / Charles Cecil Wall.</t>
        </is>
      </c>
      <c r="F1099" t="inlineStr">
        <is>
          <t>No</t>
        </is>
      </c>
      <c r="G1099" t="inlineStr">
        <is>
          <t>1</t>
        </is>
      </c>
      <c r="H1099" t="inlineStr">
        <is>
          <t>No</t>
        </is>
      </c>
      <c r="I1099" t="inlineStr">
        <is>
          <t>No</t>
        </is>
      </c>
      <c r="J1099" t="inlineStr">
        <is>
          <t>0</t>
        </is>
      </c>
      <c r="K1099" t="inlineStr">
        <is>
          <t>Wall, Charles Cecil.</t>
        </is>
      </c>
      <c r="L1099" t="inlineStr">
        <is>
          <t>Charlottesville : University Press of Virginia, 1980.</t>
        </is>
      </c>
      <c r="M1099" t="inlineStr">
        <is>
          <t>1980</t>
        </is>
      </c>
      <c r="O1099" t="inlineStr">
        <is>
          <t>eng</t>
        </is>
      </c>
      <c r="P1099" t="inlineStr">
        <is>
          <t>vau</t>
        </is>
      </c>
      <c r="R1099" t="inlineStr">
        <is>
          <t xml:space="preserve">E  </t>
        </is>
      </c>
      <c r="S1099" t="n">
        <v>3</v>
      </c>
      <c r="T1099" t="n">
        <v>3</v>
      </c>
      <c r="U1099" t="inlineStr">
        <is>
          <t>1999-10-30</t>
        </is>
      </c>
      <c r="V1099" t="inlineStr">
        <is>
          <t>1999-10-30</t>
        </is>
      </c>
      <c r="W1099" t="inlineStr">
        <is>
          <t>1990-06-21</t>
        </is>
      </c>
      <c r="X1099" t="inlineStr">
        <is>
          <t>1990-06-21</t>
        </is>
      </c>
      <c r="Y1099" t="n">
        <v>543</v>
      </c>
      <c r="Z1099" t="n">
        <v>504</v>
      </c>
      <c r="AA1099" t="n">
        <v>529</v>
      </c>
      <c r="AB1099" t="n">
        <v>7</v>
      </c>
      <c r="AC1099" t="n">
        <v>7</v>
      </c>
      <c r="AD1099" t="n">
        <v>27</v>
      </c>
      <c r="AE1099" t="n">
        <v>27</v>
      </c>
      <c r="AF1099" t="n">
        <v>9</v>
      </c>
      <c r="AG1099" t="n">
        <v>9</v>
      </c>
      <c r="AH1099" t="n">
        <v>8</v>
      </c>
      <c r="AI1099" t="n">
        <v>8</v>
      </c>
      <c r="AJ1099" t="n">
        <v>13</v>
      </c>
      <c r="AK1099" t="n">
        <v>13</v>
      </c>
      <c r="AL1099" t="n">
        <v>5</v>
      </c>
      <c r="AM1099" t="n">
        <v>5</v>
      </c>
      <c r="AN1099" t="n">
        <v>1</v>
      </c>
      <c r="AO1099" t="n">
        <v>1</v>
      </c>
      <c r="AP1099" t="inlineStr">
        <is>
          <t>No</t>
        </is>
      </c>
      <c r="AQ1099" t="inlineStr">
        <is>
          <t>Yes</t>
        </is>
      </c>
      <c r="AR1099">
        <f>HYPERLINK("http://catalog.hathitrust.org/Record/000746413","HathiTrust Record")</f>
        <v/>
      </c>
      <c r="AS1099">
        <f>HYPERLINK("https://creighton-primo.hosted.exlibrisgroup.com/primo-explore/search?tab=default_tab&amp;search_scope=EVERYTHING&amp;vid=01CRU&amp;lang=en_US&amp;offset=0&amp;query=any,contains,991004831059702656","Catalog Record")</f>
        <v/>
      </c>
      <c r="AT1099">
        <f>HYPERLINK("http://www.worldcat.org/oclc/5410782","WorldCat Record")</f>
        <v/>
      </c>
      <c r="AU1099" t="inlineStr">
        <is>
          <t>16991223:eng</t>
        </is>
      </c>
      <c r="AV1099" t="inlineStr">
        <is>
          <t>5410782</t>
        </is>
      </c>
      <c r="AW1099" t="inlineStr">
        <is>
          <t>991004831059702656</t>
        </is>
      </c>
      <c r="AX1099" t="inlineStr">
        <is>
          <t>991004831059702656</t>
        </is>
      </c>
      <c r="AY1099" t="inlineStr">
        <is>
          <t>2260529470002656</t>
        </is>
      </c>
      <c r="AZ1099" t="inlineStr">
        <is>
          <t>BOOK</t>
        </is>
      </c>
      <c r="BB1099" t="inlineStr">
        <is>
          <t>9780813908519</t>
        </is>
      </c>
      <c r="BC1099" t="inlineStr">
        <is>
          <t>32285000210889</t>
        </is>
      </c>
      <c r="BD1099" t="inlineStr">
        <is>
          <t>893507273</t>
        </is>
      </c>
    </row>
    <row r="1100">
      <c r="A1100" t="inlineStr">
        <is>
          <t>No</t>
        </is>
      </c>
      <c r="B1100" t="inlineStr">
        <is>
          <t>E312 .W33 1972</t>
        </is>
      </c>
      <c r="C1100" t="inlineStr">
        <is>
          <t>0                      E  0312000W  33          1972</t>
        </is>
      </c>
      <c r="D1100" t="inlineStr">
        <is>
          <t>George Washington : a biography in his own words / edited by Ralph K. Andrist. With an introd. by Donald Jackson. Joan Paterson Kerr, picture editor.</t>
        </is>
      </c>
      <c r="F1100" t="inlineStr">
        <is>
          <t>No</t>
        </is>
      </c>
      <c r="G1100" t="inlineStr">
        <is>
          <t>1</t>
        </is>
      </c>
      <c r="H1100" t="inlineStr">
        <is>
          <t>No</t>
        </is>
      </c>
      <c r="I1100" t="inlineStr">
        <is>
          <t>No</t>
        </is>
      </c>
      <c r="J1100" t="inlineStr">
        <is>
          <t>0</t>
        </is>
      </c>
      <c r="K1100" t="inlineStr">
        <is>
          <t>Washington, George, 1732-1799.</t>
        </is>
      </c>
      <c r="L1100" t="inlineStr">
        <is>
          <t>New York : Newsweek ; distributed by Harper &amp; Row, [c1972]</t>
        </is>
      </c>
      <c r="M1100" t="inlineStr">
        <is>
          <t>1972</t>
        </is>
      </c>
      <c r="O1100" t="inlineStr">
        <is>
          <t>eng</t>
        </is>
      </c>
      <c r="P1100" t="inlineStr">
        <is>
          <t>nyu</t>
        </is>
      </c>
      <c r="Q1100" t="inlineStr">
        <is>
          <t>The Founding fathers</t>
        </is>
      </c>
      <c r="R1100" t="inlineStr">
        <is>
          <t xml:space="preserve">E  </t>
        </is>
      </c>
      <c r="S1100" t="n">
        <v>9</v>
      </c>
      <c r="T1100" t="n">
        <v>9</v>
      </c>
      <c r="U1100" t="inlineStr">
        <is>
          <t>2000-01-17</t>
        </is>
      </c>
      <c r="V1100" t="inlineStr">
        <is>
          <t>2000-01-17</t>
        </is>
      </c>
      <c r="W1100" t="inlineStr">
        <is>
          <t>1990-02-26</t>
        </is>
      </c>
      <c r="X1100" t="inlineStr">
        <is>
          <t>1990-02-26</t>
        </is>
      </c>
      <c r="Y1100" t="n">
        <v>1008</v>
      </c>
      <c r="Z1100" t="n">
        <v>969</v>
      </c>
      <c r="AA1100" t="n">
        <v>1354</v>
      </c>
      <c r="AB1100" t="n">
        <v>7</v>
      </c>
      <c r="AC1100" t="n">
        <v>9</v>
      </c>
      <c r="AD1100" t="n">
        <v>20</v>
      </c>
      <c r="AE1100" t="n">
        <v>27</v>
      </c>
      <c r="AF1100" t="n">
        <v>6</v>
      </c>
      <c r="AG1100" t="n">
        <v>9</v>
      </c>
      <c r="AH1100" t="n">
        <v>6</v>
      </c>
      <c r="AI1100" t="n">
        <v>7</v>
      </c>
      <c r="AJ1100" t="n">
        <v>10</v>
      </c>
      <c r="AK1100" t="n">
        <v>13</v>
      </c>
      <c r="AL1100" t="n">
        <v>3</v>
      </c>
      <c r="AM1100" t="n">
        <v>4</v>
      </c>
      <c r="AN1100" t="n">
        <v>1</v>
      </c>
      <c r="AO1100" t="n">
        <v>1</v>
      </c>
      <c r="AP1100" t="inlineStr">
        <is>
          <t>No</t>
        </is>
      </c>
      <c r="AQ1100" t="inlineStr">
        <is>
          <t>No</t>
        </is>
      </c>
      <c r="AS1100">
        <f>HYPERLINK("https://creighton-primo.hosted.exlibrisgroup.com/primo-explore/search?tab=default_tab&amp;search_scope=EVERYTHING&amp;vid=01CRU&amp;lang=en_US&amp;offset=0&amp;query=any,contains,991003065449702656","Catalog Record")</f>
        <v/>
      </c>
      <c r="AT1100">
        <f>HYPERLINK("http://www.worldcat.org/oclc/621958","WorldCat Record")</f>
        <v/>
      </c>
      <c r="AU1100" t="inlineStr">
        <is>
          <t>890796229:eng</t>
        </is>
      </c>
      <c r="AV1100" t="inlineStr">
        <is>
          <t>621958</t>
        </is>
      </c>
      <c r="AW1100" t="inlineStr">
        <is>
          <t>991003065449702656</t>
        </is>
      </c>
      <c r="AX1100" t="inlineStr">
        <is>
          <t>991003065449702656</t>
        </is>
      </c>
      <c r="AY1100" t="inlineStr">
        <is>
          <t>2257095150002656</t>
        </is>
      </c>
      <c r="AZ1100" t="inlineStr">
        <is>
          <t>BOOK</t>
        </is>
      </c>
      <c r="BB1100" t="inlineStr">
        <is>
          <t>9780060101275</t>
        </is>
      </c>
      <c r="BC1100" t="inlineStr">
        <is>
          <t>32285000062025</t>
        </is>
      </c>
      <c r="BD1100" t="inlineStr">
        <is>
          <t>893874392</t>
        </is>
      </c>
    </row>
    <row r="1101">
      <c r="A1101" t="inlineStr">
        <is>
          <t>No</t>
        </is>
      </c>
      <c r="B1101" t="inlineStr">
        <is>
          <t>E312 .W38</t>
        </is>
      </c>
      <c r="C1101" t="inlineStr">
        <is>
          <t>0                      E  0312000W  38</t>
        </is>
      </c>
      <c r="D1101" t="inlineStr">
        <is>
          <t>A history of the life and death, virtues and exploits of General George Washington : with curious anecdotes, equally honourable to himself and exemplary to his young countrymen / by Mason L. Weems.</t>
        </is>
      </c>
      <c r="F1101" t="inlineStr">
        <is>
          <t>No</t>
        </is>
      </c>
      <c r="G1101" t="inlineStr">
        <is>
          <t>1</t>
        </is>
      </c>
      <c r="H1101" t="inlineStr">
        <is>
          <t>No</t>
        </is>
      </c>
      <c r="I1101" t="inlineStr">
        <is>
          <t>No</t>
        </is>
      </c>
      <c r="J1101" t="inlineStr">
        <is>
          <t>0</t>
        </is>
      </c>
      <c r="K1101" t="inlineStr">
        <is>
          <t>Weems, M. L. (Mason Locke), 1759-1825.</t>
        </is>
      </c>
      <c r="L1101" t="inlineStr">
        <is>
          <t>Philadelphia ; London : Lippincott Company, 1918.</t>
        </is>
      </c>
      <c r="M1101" t="inlineStr">
        <is>
          <t>1918</t>
        </is>
      </c>
      <c r="N1101" t="inlineStr">
        <is>
          <t>Mount Vernon ed. / with 8 illustrations and the old wood cuts.</t>
        </is>
      </c>
      <c r="O1101" t="inlineStr">
        <is>
          <t>eng</t>
        </is>
      </c>
      <c r="P1101" t="inlineStr">
        <is>
          <t>pau</t>
        </is>
      </c>
      <c r="R1101" t="inlineStr">
        <is>
          <t xml:space="preserve">E  </t>
        </is>
      </c>
      <c r="S1101" t="n">
        <v>1</v>
      </c>
      <c r="T1101" t="n">
        <v>1</v>
      </c>
      <c r="U1101" t="inlineStr">
        <is>
          <t>1993-11-23</t>
        </is>
      </c>
      <c r="V1101" t="inlineStr">
        <is>
          <t>1993-11-23</t>
        </is>
      </c>
      <c r="W1101" t="inlineStr">
        <is>
          <t>1993-01-26</t>
        </is>
      </c>
      <c r="X1101" t="inlineStr">
        <is>
          <t>1993-01-26</t>
        </is>
      </c>
      <c r="Y1101" t="n">
        <v>150</v>
      </c>
      <c r="Z1101" t="n">
        <v>150</v>
      </c>
      <c r="AA1101" t="n">
        <v>170</v>
      </c>
      <c r="AB1101" t="n">
        <v>3</v>
      </c>
      <c r="AC1101" t="n">
        <v>3</v>
      </c>
      <c r="AD1101" t="n">
        <v>9</v>
      </c>
      <c r="AE1101" t="n">
        <v>10</v>
      </c>
      <c r="AF1101" t="n">
        <v>4</v>
      </c>
      <c r="AG1101" t="n">
        <v>4</v>
      </c>
      <c r="AH1101" t="n">
        <v>1</v>
      </c>
      <c r="AI1101" t="n">
        <v>2</v>
      </c>
      <c r="AJ1101" t="n">
        <v>4</v>
      </c>
      <c r="AK1101" t="n">
        <v>4</v>
      </c>
      <c r="AL1101" t="n">
        <v>2</v>
      </c>
      <c r="AM1101" t="n">
        <v>2</v>
      </c>
      <c r="AN1101" t="n">
        <v>0</v>
      </c>
      <c r="AO1101" t="n">
        <v>0</v>
      </c>
      <c r="AP1101" t="inlineStr">
        <is>
          <t>Yes</t>
        </is>
      </c>
      <c r="AQ1101" t="inlineStr">
        <is>
          <t>No</t>
        </is>
      </c>
      <c r="AR1101">
        <f>HYPERLINK("http://catalog.hathitrust.org/Record/000366589","HathiTrust Record")</f>
        <v/>
      </c>
      <c r="AS1101">
        <f>HYPERLINK("https://creighton-primo.hosted.exlibrisgroup.com/primo-explore/search?tab=default_tab&amp;search_scope=EVERYTHING&amp;vid=01CRU&amp;lang=en_US&amp;offset=0&amp;query=any,contains,991004327989702656","Catalog Record")</f>
        <v/>
      </c>
      <c r="AT1101">
        <f>HYPERLINK("http://www.worldcat.org/oclc/3049923","WorldCat Record")</f>
        <v/>
      </c>
      <c r="AU1101" t="inlineStr">
        <is>
          <t>3943476307:eng</t>
        </is>
      </c>
      <c r="AV1101" t="inlineStr">
        <is>
          <t>3049923</t>
        </is>
      </c>
      <c r="AW1101" t="inlineStr">
        <is>
          <t>991004327989702656</t>
        </is>
      </c>
      <c r="AX1101" t="inlineStr">
        <is>
          <t>991004327989702656</t>
        </is>
      </c>
      <c r="AY1101" t="inlineStr">
        <is>
          <t>2261864460002656</t>
        </is>
      </c>
      <c r="AZ1101" t="inlineStr">
        <is>
          <t>BOOK</t>
        </is>
      </c>
      <c r="BC1101" t="inlineStr">
        <is>
          <t>32285001476661</t>
        </is>
      </c>
      <c r="BD1101" t="inlineStr">
        <is>
          <t>893875966</t>
        </is>
      </c>
    </row>
    <row r="1102">
      <c r="A1102" t="inlineStr">
        <is>
          <t>No</t>
        </is>
      </c>
      <c r="B1102" t="inlineStr">
        <is>
          <t>E312 .W763</t>
        </is>
      </c>
      <c r="C1102" t="inlineStr">
        <is>
          <t>0                      E  0312000W  763</t>
        </is>
      </c>
      <c r="D1102" t="inlineStr">
        <is>
          <t>George Washington.</t>
        </is>
      </c>
      <c r="F1102" t="inlineStr">
        <is>
          <t>No</t>
        </is>
      </c>
      <c r="G1102" t="inlineStr">
        <is>
          <t>1</t>
        </is>
      </c>
      <c r="H1102" t="inlineStr">
        <is>
          <t>No</t>
        </is>
      </c>
      <c r="I1102" t="inlineStr">
        <is>
          <t>No</t>
        </is>
      </c>
      <c r="J1102" t="inlineStr">
        <is>
          <t>0</t>
        </is>
      </c>
      <c r="K1102" t="inlineStr">
        <is>
          <t>Wilson, Woodrow, 1856-1924.</t>
        </is>
      </c>
      <c r="L1102" t="inlineStr">
        <is>
          <t>New York : Ungar, [1963]</t>
        </is>
      </c>
      <c r="M1102" t="inlineStr">
        <is>
          <t>1963</t>
        </is>
      </c>
      <c r="O1102" t="inlineStr">
        <is>
          <t>eng</t>
        </is>
      </c>
      <c r="P1102" t="inlineStr">
        <is>
          <t>nyu</t>
        </is>
      </c>
      <c r="Q1102" t="inlineStr">
        <is>
          <t>American classics</t>
        </is>
      </c>
      <c r="R1102" t="inlineStr">
        <is>
          <t xml:space="preserve">E  </t>
        </is>
      </c>
      <c r="S1102" t="n">
        <v>3</v>
      </c>
      <c r="T1102" t="n">
        <v>3</v>
      </c>
      <c r="U1102" t="inlineStr">
        <is>
          <t>1993-11-19</t>
        </is>
      </c>
      <c r="V1102" t="inlineStr">
        <is>
          <t>1993-11-19</t>
        </is>
      </c>
      <c r="W1102" t="inlineStr">
        <is>
          <t>1991-12-11</t>
        </is>
      </c>
      <c r="X1102" t="inlineStr">
        <is>
          <t>1991-12-11</t>
        </is>
      </c>
      <c r="Y1102" t="n">
        <v>257</v>
      </c>
      <c r="Z1102" t="n">
        <v>243</v>
      </c>
      <c r="AA1102" t="n">
        <v>1086</v>
      </c>
      <c r="AB1102" t="n">
        <v>1</v>
      </c>
      <c r="AC1102" t="n">
        <v>9</v>
      </c>
      <c r="AD1102" t="n">
        <v>7</v>
      </c>
      <c r="AE1102" t="n">
        <v>46</v>
      </c>
      <c r="AF1102" t="n">
        <v>4</v>
      </c>
      <c r="AG1102" t="n">
        <v>18</v>
      </c>
      <c r="AH1102" t="n">
        <v>2</v>
      </c>
      <c r="AI1102" t="n">
        <v>9</v>
      </c>
      <c r="AJ1102" t="n">
        <v>2</v>
      </c>
      <c r="AK1102" t="n">
        <v>20</v>
      </c>
      <c r="AL1102" t="n">
        <v>0</v>
      </c>
      <c r="AM1102" t="n">
        <v>7</v>
      </c>
      <c r="AN1102" t="n">
        <v>1</v>
      </c>
      <c r="AO1102" t="n">
        <v>2</v>
      </c>
      <c r="AP1102" t="inlineStr">
        <is>
          <t>Yes</t>
        </is>
      </c>
      <c r="AQ1102" t="inlineStr">
        <is>
          <t>No</t>
        </is>
      </c>
      <c r="AR1102">
        <f>HYPERLINK("http://catalog.hathitrust.org/Record/000367437","HathiTrust Record")</f>
        <v/>
      </c>
      <c r="AS1102">
        <f>HYPERLINK("https://creighton-primo.hosted.exlibrisgroup.com/primo-explore/search?tab=default_tab&amp;search_scope=EVERYTHING&amp;vid=01CRU&amp;lang=en_US&amp;offset=0&amp;query=any,contains,991003878939702656","Catalog Record")</f>
        <v/>
      </c>
      <c r="AT1102">
        <f>HYPERLINK("http://www.worldcat.org/oclc/1717875","WorldCat Record")</f>
        <v/>
      </c>
      <c r="AU1102" t="inlineStr">
        <is>
          <t>4915537662:eng</t>
        </is>
      </c>
      <c r="AV1102" t="inlineStr">
        <is>
          <t>1717875</t>
        </is>
      </c>
      <c r="AW1102" t="inlineStr">
        <is>
          <t>991003878939702656</t>
        </is>
      </c>
      <c r="AX1102" t="inlineStr">
        <is>
          <t>991003878939702656</t>
        </is>
      </c>
      <c r="AY1102" t="inlineStr">
        <is>
          <t>2262791910002656</t>
        </is>
      </c>
      <c r="AZ1102" t="inlineStr">
        <is>
          <t>BOOK</t>
        </is>
      </c>
      <c r="BC1102" t="inlineStr">
        <is>
          <t>32285000876754</t>
        </is>
      </c>
      <c r="BD1102" t="inlineStr">
        <is>
          <t>893599096</t>
        </is>
      </c>
    </row>
    <row r="1103">
      <c r="A1103" t="inlineStr">
        <is>
          <t>No</t>
        </is>
      </c>
      <c r="B1103" t="inlineStr">
        <is>
          <t>E312.17 .B74</t>
        </is>
      </c>
      <c r="C1103" t="inlineStr">
        <is>
          <t>0                      E  0312170B  74</t>
        </is>
      </c>
      <c r="D1103" t="inlineStr">
        <is>
          <t>George Washington &amp; religion.</t>
        </is>
      </c>
      <c r="F1103" t="inlineStr">
        <is>
          <t>No</t>
        </is>
      </c>
      <c r="G1103" t="inlineStr">
        <is>
          <t>1</t>
        </is>
      </c>
      <c r="H1103" t="inlineStr">
        <is>
          <t>No</t>
        </is>
      </c>
      <c r="I1103" t="inlineStr">
        <is>
          <t>No</t>
        </is>
      </c>
      <c r="J1103" t="inlineStr">
        <is>
          <t>0</t>
        </is>
      </c>
      <c r="K1103" t="inlineStr">
        <is>
          <t>Boller, Paul F.</t>
        </is>
      </c>
      <c r="L1103" t="inlineStr">
        <is>
          <t>Dallas : Southern Methodist University Press, [1963]</t>
        </is>
      </c>
      <c r="M1103" t="inlineStr">
        <is>
          <t>1963</t>
        </is>
      </c>
      <c r="O1103" t="inlineStr">
        <is>
          <t>eng</t>
        </is>
      </c>
      <c r="P1103" t="inlineStr">
        <is>
          <t>txu</t>
        </is>
      </c>
      <c r="R1103" t="inlineStr">
        <is>
          <t xml:space="preserve">E  </t>
        </is>
      </c>
      <c r="S1103" t="n">
        <v>2</v>
      </c>
      <c r="T1103" t="n">
        <v>2</v>
      </c>
      <c r="U1103" t="inlineStr">
        <is>
          <t>1995-05-02</t>
        </is>
      </c>
      <c r="V1103" t="inlineStr">
        <is>
          <t>1995-05-02</t>
        </is>
      </c>
      <c r="W1103" t="inlineStr">
        <is>
          <t>1992-04-28</t>
        </is>
      </c>
      <c r="X1103" t="inlineStr">
        <is>
          <t>1992-04-28</t>
        </is>
      </c>
      <c r="Y1103" t="n">
        <v>680</v>
      </c>
      <c r="Z1103" t="n">
        <v>641</v>
      </c>
      <c r="AA1103" t="n">
        <v>776</v>
      </c>
      <c r="AB1103" t="n">
        <v>8</v>
      </c>
      <c r="AC1103" t="n">
        <v>9</v>
      </c>
      <c r="AD1103" t="n">
        <v>31</v>
      </c>
      <c r="AE1103" t="n">
        <v>40</v>
      </c>
      <c r="AF1103" t="n">
        <v>12</v>
      </c>
      <c r="AG1103" t="n">
        <v>15</v>
      </c>
      <c r="AH1103" t="n">
        <v>5</v>
      </c>
      <c r="AI1103" t="n">
        <v>6</v>
      </c>
      <c r="AJ1103" t="n">
        <v>17</v>
      </c>
      <c r="AK1103" t="n">
        <v>17</v>
      </c>
      <c r="AL1103" t="n">
        <v>6</v>
      </c>
      <c r="AM1103" t="n">
        <v>6</v>
      </c>
      <c r="AN1103" t="n">
        <v>0</v>
      </c>
      <c r="AO1103" t="n">
        <v>6</v>
      </c>
      <c r="AP1103" t="inlineStr">
        <is>
          <t>Yes</t>
        </is>
      </c>
      <c r="AQ1103" t="inlineStr">
        <is>
          <t>No</t>
        </is>
      </c>
      <c r="AR1103">
        <f>HYPERLINK("http://catalog.hathitrust.org/Record/000366654","HathiTrust Record")</f>
        <v/>
      </c>
      <c r="AS1103">
        <f>HYPERLINK("https://creighton-primo.hosted.exlibrisgroup.com/primo-explore/search?tab=default_tab&amp;search_scope=EVERYTHING&amp;vid=01CRU&amp;lang=en_US&amp;offset=0&amp;query=any,contains,991001391029702656","Catalog Record")</f>
        <v/>
      </c>
      <c r="AT1103">
        <f>HYPERLINK("http://www.worldcat.org/oclc/227909","WorldCat Record")</f>
        <v/>
      </c>
      <c r="AU1103" t="inlineStr">
        <is>
          <t>1345192:eng</t>
        </is>
      </c>
      <c r="AV1103" t="inlineStr">
        <is>
          <t>227909</t>
        </is>
      </c>
      <c r="AW1103" t="inlineStr">
        <is>
          <t>991001391029702656</t>
        </is>
      </c>
      <c r="AX1103" t="inlineStr">
        <is>
          <t>991001391029702656</t>
        </is>
      </c>
      <c r="AY1103" t="inlineStr">
        <is>
          <t>2255766020002656</t>
        </is>
      </c>
      <c r="AZ1103" t="inlineStr">
        <is>
          <t>BOOK</t>
        </is>
      </c>
      <c r="BC1103" t="inlineStr">
        <is>
          <t>32285001089449</t>
        </is>
      </c>
      <c r="BD1103" t="inlineStr">
        <is>
          <t>893528920</t>
        </is>
      </c>
    </row>
    <row r="1104">
      <c r="A1104" t="inlineStr">
        <is>
          <t>No</t>
        </is>
      </c>
      <c r="B1104" t="inlineStr">
        <is>
          <t>E312.17 .C5 1969</t>
        </is>
      </c>
      <c r="C1104" t="inlineStr">
        <is>
          <t>0                      E  0312170C  5           1969</t>
        </is>
      </c>
      <c r="D1104" t="inlineStr">
        <is>
          <t>George Washington as the French knew him : a collection of texts / edited and translated with an introd. by Gilbert Chinard.</t>
        </is>
      </c>
      <c r="F1104" t="inlineStr">
        <is>
          <t>No</t>
        </is>
      </c>
      <c r="G1104" t="inlineStr">
        <is>
          <t>1</t>
        </is>
      </c>
      <c r="H1104" t="inlineStr">
        <is>
          <t>No</t>
        </is>
      </c>
      <c r="I1104" t="inlineStr">
        <is>
          <t>No</t>
        </is>
      </c>
      <c r="J1104" t="inlineStr">
        <is>
          <t>0</t>
        </is>
      </c>
      <c r="K1104" t="inlineStr">
        <is>
          <t>Chinard, Gilbert, 1881-1972, editor, translator.</t>
        </is>
      </c>
      <c r="L1104" t="inlineStr">
        <is>
          <t>New York : Greenwood Press, [1969, c1940]</t>
        </is>
      </c>
      <c r="M1104" t="inlineStr">
        <is>
          <t>1969</t>
        </is>
      </c>
      <c r="O1104" t="inlineStr">
        <is>
          <t>eng</t>
        </is>
      </c>
      <c r="P1104" t="inlineStr">
        <is>
          <t>nyu</t>
        </is>
      </c>
      <c r="R1104" t="inlineStr">
        <is>
          <t xml:space="preserve">E  </t>
        </is>
      </c>
      <c r="S1104" t="n">
        <v>3</v>
      </c>
      <c r="T1104" t="n">
        <v>3</v>
      </c>
      <c r="U1104" t="inlineStr">
        <is>
          <t>1995-11-26</t>
        </is>
      </c>
      <c r="V1104" t="inlineStr">
        <is>
          <t>1995-11-26</t>
        </is>
      </c>
      <c r="W1104" t="inlineStr">
        <is>
          <t>1993-12-15</t>
        </is>
      </c>
      <c r="X1104" t="inlineStr">
        <is>
          <t>1993-12-15</t>
        </is>
      </c>
      <c r="Y1104" t="n">
        <v>234</v>
      </c>
      <c r="Z1104" t="n">
        <v>212</v>
      </c>
      <c r="AA1104" t="n">
        <v>227</v>
      </c>
      <c r="AB1104" t="n">
        <v>1</v>
      </c>
      <c r="AC1104" t="n">
        <v>1</v>
      </c>
      <c r="AD1104" t="n">
        <v>7</v>
      </c>
      <c r="AE1104" t="n">
        <v>7</v>
      </c>
      <c r="AF1104" t="n">
        <v>2</v>
      </c>
      <c r="AG1104" t="n">
        <v>2</v>
      </c>
      <c r="AH1104" t="n">
        <v>4</v>
      </c>
      <c r="AI1104" t="n">
        <v>4</v>
      </c>
      <c r="AJ1104" t="n">
        <v>4</v>
      </c>
      <c r="AK1104" t="n">
        <v>4</v>
      </c>
      <c r="AL1104" t="n">
        <v>0</v>
      </c>
      <c r="AM1104" t="n">
        <v>0</v>
      </c>
      <c r="AN1104" t="n">
        <v>0</v>
      </c>
      <c r="AO1104" t="n">
        <v>0</v>
      </c>
      <c r="AP1104" t="inlineStr">
        <is>
          <t>No</t>
        </is>
      </c>
      <c r="AQ1104" t="inlineStr">
        <is>
          <t>Yes</t>
        </is>
      </c>
      <c r="AR1104">
        <f>HYPERLINK("http://catalog.hathitrust.org/Record/009517296","HathiTrust Record")</f>
        <v/>
      </c>
      <c r="AS1104">
        <f>HYPERLINK("https://creighton-primo.hosted.exlibrisgroup.com/primo-explore/search?tab=default_tab&amp;search_scope=EVERYTHING&amp;vid=01CRU&amp;lang=en_US&amp;offset=0&amp;query=any,contains,991000003379702656","Catalog Record")</f>
        <v/>
      </c>
      <c r="AT1104">
        <f>HYPERLINK("http://www.worldcat.org/oclc/12083","WorldCat Record")</f>
        <v/>
      </c>
      <c r="AU1104" t="inlineStr">
        <is>
          <t>1999504:eng</t>
        </is>
      </c>
      <c r="AV1104" t="inlineStr">
        <is>
          <t>12083</t>
        </is>
      </c>
      <c r="AW1104" t="inlineStr">
        <is>
          <t>991000003379702656</t>
        </is>
      </c>
      <c r="AX1104" t="inlineStr">
        <is>
          <t>991000003379702656</t>
        </is>
      </c>
      <c r="AY1104" t="inlineStr">
        <is>
          <t>2264712130002656</t>
        </is>
      </c>
      <c r="AZ1104" t="inlineStr">
        <is>
          <t>BOOK</t>
        </is>
      </c>
      <c r="BB1104" t="inlineStr">
        <is>
          <t>9780837110585</t>
        </is>
      </c>
      <c r="BC1104" t="inlineStr">
        <is>
          <t>32285001809127</t>
        </is>
      </c>
      <c r="BD1104" t="inlineStr">
        <is>
          <t>893864984</t>
        </is>
      </c>
    </row>
    <row r="1105">
      <c r="A1105" t="inlineStr">
        <is>
          <t>No</t>
        </is>
      </c>
      <c r="B1105" t="inlineStr">
        <is>
          <t>E312.17 .K53 1989</t>
        </is>
      </c>
      <c r="C1105" t="inlineStr">
        <is>
          <t>0                      E  0312170K  53          1989</t>
        </is>
      </c>
      <c r="D1105" t="inlineStr">
        <is>
          <t>The making of the president 1789 : the unauthorized campaign biography / Marvin Kitman.</t>
        </is>
      </c>
      <c r="F1105" t="inlineStr">
        <is>
          <t>No</t>
        </is>
      </c>
      <c r="G1105" t="inlineStr">
        <is>
          <t>1</t>
        </is>
      </c>
      <c r="H1105" t="inlineStr">
        <is>
          <t>No</t>
        </is>
      </c>
      <c r="I1105" t="inlineStr">
        <is>
          <t>No</t>
        </is>
      </c>
      <c r="J1105" t="inlineStr">
        <is>
          <t>0</t>
        </is>
      </c>
      <c r="K1105" t="inlineStr">
        <is>
          <t>Kitman, Marvin, 1929-</t>
        </is>
      </c>
      <c r="L1105" t="inlineStr">
        <is>
          <t>New York : Harper &amp; Row, c1989.</t>
        </is>
      </c>
      <c r="M1105" t="inlineStr">
        <is>
          <t>1989</t>
        </is>
      </c>
      <c r="N1105" t="inlineStr">
        <is>
          <t>1st ed.</t>
        </is>
      </c>
      <c r="O1105" t="inlineStr">
        <is>
          <t>eng</t>
        </is>
      </c>
      <c r="P1105" t="inlineStr">
        <is>
          <t>nyu</t>
        </is>
      </c>
      <c r="R1105" t="inlineStr">
        <is>
          <t xml:space="preserve">E  </t>
        </is>
      </c>
      <c r="S1105" t="n">
        <v>1</v>
      </c>
      <c r="T1105" t="n">
        <v>1</v>
      </c>
      <c r="U1105" t="inlineStr">
        <is>
          <t>1992-04-12</t>
        </is>
      </c>
      <c r="V1105" t="inlineStr">
        <is>
          <t>1992-04-12</t>
        </is>
      </c>
      <c r="W1105" t="inlineStr">
        <is>
          <t>1990-01-17</t>
        </is>
      </c>
      <c r="X1105" t="inlineStr">
        <is>
          <t>1990-01-17</t>
        </is>
      </c>
      <c r="Y1105" t="n">
        <v>523</v>
      </c>
      <c r="Z1105" t="n">
        <v>508</v>
      </c>
      <c r="AA1105" t="n">
        <v>577</v>
      </c>
      <c r="AB1105" t="n">
        <v>3</v>
      </c>
      <c r="AC1105" t="n">
        <v>4</v>
      </c>
      <c r="AD1105" t="n">
        <v>13</v>
      </c>
      <c r="AE1105" t="n">
        <v>15</v>
      </c>
      <c r="AF1105" t="n">
        <v>6</v>
      </c>
      <c r="AG1105" t="n">
        <v>7</v>
      </c>
      <c r="AH1105" t="n">
        <v>1</v>
      </c>
      <c r="AI1105" t="n">
        <v>2</v>
      </c>
      <c r="AJ1105" t="n">
        <v>6</v>
      </c>
      <c r="AK1105" t="n">
        <v>6</v>
      </c>
      <c r="AL1105" t="n">
        <v>1</v>
      </c>
      <c r="AM1105" t="n">
        <v>2</v>
      </c>
      <c r="AN1105" t="n">
        <v>2</v>
      </c>
      <c r="AO1105" t="n">
        <v>2</v>
      </c>
      <c r="AP1105" t="inlineStr">
        <is>
          <t>No</t>
        </is>
      </c>
      <c r="AQ1105" t="inlineStr">
        <is>
          <t>Yes</t>
        </is>
      </c>
      <c r="AR1105">
        <f>HYPERLINK("http://catalog.hathitrust.org/Record/008989421","HathiTrust Record")</f>
        <v/>
      </c>
      <c r="AS1105">
        <f>HYPERLINK("https://creighton-primo.hosted.exlibrisgroup.com/primo-explore/search?tab=default_tab&amp;search_scope=EVERYTHING&amp;vid=01CRU&amp;lang=en_US&amp;offset=0&amp;query=any,contains,991001388309702656","Catalog Record")</f>
        <v/>
      </c>
      <c r="AT1105">
        <f>HYPERLINK("http://www.worldcat.org/oclc/18740778","WorldCat Record")</f>
        <v/>
      </c>
      <c r="AU1105" t="inlineStr">
        <is>
          <t>50665:eng</t>
        </is>
      </c>
      <c r="AV1105" t="inlineStr">
        <is>
          <t>18740778</t>
        </is>
      </c>
      <c r="AW1105" t="inlineStr">
        <is>
          <t>991001388309702656</t>
        </is>
      </c>
      <c r="AX1105" t="inlineStr">
        <is>
          <t>991001388309702656</t>
        </is>
      </c>
      <c r="AY1105" t="inlineStr">
        <is>
          <t>2257939580002656</t>
        </is>
      </c>
      <c r="AZ1105" t="inlineStr">
        <is>
          <t>BOOK</t>
        </is>
      </c>
      <c r="BB1105" t="inlineStr">
        <is>
          <t>9780060159818</t>
        </is>
      </c>
      <c r="BC1105" t="inlineStr">
        <is>
          <t>32285000020742</t>
        </is>
      </c>
      <c r="BD1105" t="inlineStr">
        <is>
          <t>893334309</t>
        </is>
      </c>
    </row>
    <row r="1106">
      <c r="A1106" t="inlineStr">
        <is>
          <t>No</t>
        </is>
      </c>
      <c r="B1106" t="inlineStr">
        <is>
          <t>E312.19 .B79 2002</t>
        </is>
      </c>
      <c r="C1106" t="inlineStr">
        <is>
          <t>0                      E  0312190B  79          2002</t>
        </is>
      </c>
      <c r="D1106" t="inlineStr">
        <is>
          <t>Martha Washington : first lady of liberty / Helen Bryan.</t>
        </is>
      </c>
      <c r="F1106" t="inlineStr">
        <is>
          <t>No</t>
        </is>
      </c>
      <c r="G1106" t="inlineStr">
        <is>
          <t>1</t>
        </is>
      </c>
      <c r="H1106" t="inlineStr">
        <is>
          <t>No</t>
        </is>
      </c>
      <c r="I1106" t="inlineStr">
        <is>
          <t>No</t>
        </is>
      </c>
      <c r="J1106" t="inlineStr">
        <is>
          <t>0</t>
        </is>
      </c>
      <c r="K1106" t="inlineStr">
        <is>
          <t>Bryan, Helen.</t>
        </is>
      </c>
      <c r="L1106" t="inlineStr">
        <is>
          <t>New York : Wiley, c2002.</t>
        </is>
      </c>
      <c r="M1106" t="inlineStr">
        <is>
          <t>2002</t>
        </is>
      </c>
      <c r="O1106" t="inlineStr">
        <is>
          <t>eng</t>
        </is>
      </c>
      <c r="P1106" t="inlineStr">
        <is>
          <t>nyu</t>
        </is>
      </c>
      <c r="R1106" t="inlineStr">
        <is>
          <t xml:space="preserve">E  </t>
        </is>
      </c>
      <c r="S1106" t="n">
        <v>1</v>
      </c>
      <c r="T1106" t="n">
        <v>1</v>
      </c>
      <c r="U1106" t="inlineStr">
        <is>
          <t>2003-05-21</t>
        </is>
      </c>
      <c r="V1106" t="inlineStr">
        <is>
          <t>2003-05-21</t>
        </is>
      </c>
      <c r="W1106" t="inlineStr">
        <is>
          <t>2003-05-21</t>
        </is>
      </c>
      <c r="X1106" t="inlineStr">
        <is>
          <t>2003-05-21</t>
        </is>
      </c>
      <c r="Y1106" t="n">
        <v>832</v>
      </c>
      <c r="Z1106" t="n">
        <v>799</v>
      </c>
      <c r="AA1106" t="n">
        <v>865</v>
      </c>
      <c r="AB1106" t="n">
        <v>9</v>
      </c>
      <c r="AC1106" t="n">
        <v>9</v>
      </c>
      <c r="AD1106" t="n">
        <v>34</v>
      </c>
      <c r="AE1106" t="n">
        <v>35</v>
      </c>
      <c r="AF1106" t="n">
        <v>16</v>
      </c>
      <c r="AG1106" t="n">
        <v>16</v>
      </c>
      <c r="AH1106" t="n">
        <v>8</v>
      </c>
      <c r="AI1106" t="n">
        <v>8</v>
      </c>
      <c r="AJ1106" t="n">
        <v>12</v>
      </c>
      <c r="AK1106" t="n">
        <v>13</v>
      </c>
      <c r="AL1106" t="n">
        <v>6</v>
      </c>
      <c r="AM1106" t="n">
        <v>6</v>
      </c>
      <c r="AN1106" t="n">
        <v>0</v>
      </c>
      <c r="AO1106" t="n">
        <v>0</v>
      </c>
      <c r="AP1106" t="inlineStr">
        <is>
          <t>No</t>
        </is>
      </c>
      <c r="AQ1106" t="inlineStr">
        <is>
          <t>Yes</t>
        </is>
      </c>
      <c r="AR1106">
        <f>HYPERLINK("http://catalog.hathitrust.org/Record/004244307","HathiTrust Record")</f>
        <v/>
      </c>
      <c r="AS1106">
        <f>HYPERLINK("https://creighton-primo.hosted.exlibrisgroup.com/primo-explore/search?tab=default_tab&amp;search_scope=EVERYTHING&amp;vid=01CRU&amp;lang=en_US&amp;offset=0&amp;query=any,contains,991004050549702656","Catalog Record")</f>
        <v/>
      </c>
      <c r="AT1106">
        <f>HYPERLINK("http://www.worldcat.org/oclc/49350512","WorldCat Record")</f>
        <v/>
      </c>
      <c r="AU1106" t="inlineStr">
        <is>
          <t>10568096707:eng</t>
        </is>
      </c>
      <c r="AV1106" t="inlineStr">
        <is>
          <t>49350512</t>
        </is>
      </c>
      <c r="AW1106" t="inlineStr">
        <is>
          <t>991004050549702656</t>
        </is>
      </c>
      <c r="AX1106" t="inlineStr">
        <is>
          <t>991004050549702656</t>
        </is>
      </c>
      <c r="AY1106" t="inlineStr">
        <is>
          <t>2271574170002656</t>
        </is>
      </c>
      <c r="AZ1106" t="inlineStr">
        <is>
          <t>BOOK</t>
        </is>
      </c>
      <c r="BB1106" t="inlineStr">
        <is>
          <t>9780471158929</t>
        </is>
      </c>
      <c r="BC1106" t="inlineStr">
        <is>
          <t>32285004747621</t>
        </is>
      </c>
      <c r="BD1106" t="inlineStr">
        <is>
          <t>893781793</t>
        </is>
      </c>
    </row>
    <row r="1107">
      <c r="A1107" t="inlineStr">
        <is>
          <t>No</t>
        </is>
      </c>
      <c r="B1107" t="inlineStr">
        <is>
          <t>E312.4 .R46 1998</t>
        </is>
      </c>
      <c r="C1107" t="inlineStr">
        <is>
          <t>0                      E  0312400R  46          1998</t>
        </is>
      </c>
      <c r="D1107" t="inlineStr">
        <is>
          <t>The great experiment : George Washington and the American Republic / John Rhodehamel ; foreword by Gordon S. Wood.</t>
        </is>
      </c>
      <c r="F1107" t="inlineStr">
        <is>
          <t>No</t>
        </is>
      </c>
      <c r="G1107" t="inlineStr">
        <is>
          <t>1</t>
        </is>
      </c>
      <c r="H1107" t="inlineStr">
        <is>
          <t>No</t>
        </is>
      </c>
      <c r="I1107" t="inlineStr">
        <is>
          <t>No</t>
        </is>
      </c>
      <c r="J1107" t="inlineStr">
        <is>
          <t>0</t>
        </is>
      </c>
      <c r="K1107" t="inlineStr">
        <is>
          <t>Rhodehamel, John H.</t>
        </is>
      </c>
      <c r="L1107" t="inlineStr">
        <is>
          <t>New Haven, CT : Yale University Press ; San Marino, CA : Huntington Library, c1998.</t>
        </is>
      </c>
      <c r="M1107" t="inlineStr">
        <is>
          <t>1998</t>
        </is>
      </c>
      <c r="O1107" t="inlineStr">
        <is>
          <t>eng</t>
        </is>
      </c>
      <c r="P1107" t="inlineStr">
        <is>
          <t>ctu</t>
        </is>
      </c>
      <c r="R1107" t="inlineStr">
        <is>
          <t xml:space="preserve">E  </t>
        </is>
      </c>
      <c r="S1107" t="n">
        <v>2</v>
      </c>
      <c r="T1107" t="n">
        <v>2</v>
      </c>
      <c r="U1107" t="inlineStr">
        <is>
          <t>1999-10-30</t>
        </is>
      </c>
      <c r="V1107" t="inlineStr">
        <is>
          <t>1999-10-30</t>
        </is>
      </c>
      <c r="W1107" t="inlineStr">
        <is>
          <t>1998-11-16</t>
        </is>
      </c>
      <c r="X1107" t="inlineStr">
        <is>
          <t>1998-11-16</t>
        </is>
      </c>
      <c r="Y1107" t="n">
        <v>781</v>
      </c>
      <c r="Z1107" t="n">
        <v>744</v>
      </c>
      <c r="AA1107" t="n">
        <v>746</v>
      </c>
      <c r="AB1107" t="n">
        <v>7</v>
      </c>
      <c r="AC1107" t="n">
        <v>7</v>
      </c>
      <c r="AD1107" t="n">
        <v>32</v>
      </c>
      <c r="AE1107" t="n">
        <v>32</v>
      </c>
      <c r="AF1107" t="n">
        <v>13</v>
      </c>
      <c r="AG1107" t="n">
        <v>13</v>
      </c>
      <c r="AH1107" t="n">
        <v>6</v>
      </c>
      <c r="AI1107" t="n">
        <v>6</v>
      </c>
      <c r="AJ1107" t="n">
        <v>15</v>
      </c>
      <c r="AK1107" t="n">
        <v>15</v>
      </c>
      <c r="AL1107" t="n">
        <v>3</v>
      </c>
      <c r="AM1107" t="n">
        <v>3</v>
      </c>
      <c r="AN1107" t="n">
        <v>2</v>
      </c>
      <c r="AO1107" t="n">
        <v>2</v>
      </c>
      <c r="AP1107" t="inlineStr">
        <is>
          <t>No</t>
        </is>
      </c>
      <c r="AQ1107" t="inlineStr">
        <is>
          <t>No</t>
        </is>
      </c>
      <c r="AS1107">
        <f>HYPERLINK("https://creighton-primo.hosted.exlibrisgroup.com/primo-explore/search?tab=default_tab&amp;search_scope=EVERYTHING&amp;vid=01CRU&amp;lang=en_US&amp;offset=0&amp;query=any,contains,991002982449702656","Catalog Record")</f>
        <v/>
      </c>
      <c r="AT1107">
        <f>HYPERLINK("http://www.worldcat.org/oclc/40147096","WorldCat Record")</f>
        <v/>
      </c>
      <c r="AU1107" t="inlineStr">
        <is>
          <t>56333889:eng</t>
        </is>
      </c>
      <c r="AV1107" t="inlineStr">
        <is>
          <t>40147096</t>
        </is>
      </c>
      <c r="AW1107" t="inlineStr">
        <is>
          <t>991002982449702656</t>
        </is>
      </c>
      <c r="AX1107" t="inlineStr">
        <is>
          <t>991002982449702656</t>
        </is>
      </c>
      <c r="AY1107" t="inlineStr">
        <is>
          <t>2267741290002656</t>
        </is>
      </c>
      <c r="AZ1107" t="inlineStr">
        <is>
          <t>BOOK</t>
        </is>
      </c>
      <c r="BB1107" t="inlineStr">
        <is>
          <t>9780300076141</t>
        </is>
      </c>
      <c r="BC1107" t="inlineStr">
        <is>
          <t>32285003489308</t>
        </is>
      </c>
      <c r="BD1107" t="inlineStr">
        <is>
          <t>893692237</t>
        </is>
      </c>
    </row>
    <row r="1108">
      <c r="A1108" t="inlineStr">
        <is>
          <t>No</t>
        </is>
      </c>
      <c r="B1108" t="inlineStr">
        <is>
          <t>E312.62 .W54 1984</t>
        </is>
      </c>
      <c r="C1108" t="inlineStr">
        <is>
          <t>0                      E  0312620W  54          1984</t>
        </is>
      </c>
      <c r="D1108" t="inlineStr">
        <is>
          <t>Cincinnatus : George Washington and the Enlightenment / Garry Wills.</t>
        </is>
      </c>
      <c r="F1108" t="inlineStr">
        <is>
          <t>No</t>
        </is>
      </c>
      <c r="G1108" t="inlineStr">
        <is>
          <t>1</t>
        </is>
      </c>
      <c r="H1108" t="inlineStr">
        <is>
          <t>No</t>
        </is>
      </c>
      <c r="I1108" t="inlineStr">
        <is>
          <t>No</t>
        </is>
      </c>
      <c r="J1108" t="inlineStr">
        <is>
          <t>0</t>
        </is>
      </c>
      <c r="K1108" t="inlineStr">
        <is>
          <t>Wills, Garry, 1934-</t>
        </is>
      </c>
      <c r="L1108" t="inlineStr">
        <is>
          <t>Garden City, N.Y. : Doubleday, 1984.</t>
        </is>
      </c>
      <c r="M1108" t="inlineStr">
        <is>
          <t>1984</t>
        </is>
      </c>
      <c r="N1108" t="inlineStr">
        <is>
          <t>1st ed.</t>
        </is>
      </c>
      <c r="O1108" t="inlineStr">
        <is>
          <t>eng</t>
        </is>
      </c>
      <c r="P1108" t="inlineStr">
        <is>
          <t>nyu</t>
        </is>
      </c>
      <c r="R1108" t="inlineStr">
        <is>
          <t xml:space="preserve">E  </t>
        </is>
      </c>
      <c r="S1108" t="n">
        <v>3</v>
      </c>
      <c r="T1108" t="n">
        <v>3</v>
      </c>
      <c r="U1108" t="inlineStr">
        <is>
          <t>2005-05-02</t>
        </is>
      </c>
      <c r="V1108" t="inlineStr">
        <is>
          <t>2005-05-02</t>
        </is>
      </c>
      <c r="W1108" t="inlineStr">
        <is>
          <t>1991-04-16</t>
        </is>
      </c>
      <c r="X1108" t="inlineStr">
        <is>
          <t>1991-04-16</t>
        </is>
      </c>
      <c r="Y1108" t="n">
        <v>1435</v>
      </c>
      <c r="Z1108" t="n">
        <v>1336</v>
      </c>
      <c r="AA1108" t="n">
        <v>1338</v>
      </c>
      <c r="AB1108" t="n">
        <v>11</v>
      </c>
      <c r="AC1108" t="n">
        <v>11</v>
      </c>
      <c r="AD1108" t="n">
        <v>40</v>
      </c>
      <c r="AE1108" t="n">
        <v>40</v>
      </c>
      <c r="AF1108" t="n">
        <v>17</v>
      </c>
      <c r="AG1108" t="n">
        <v>17</v>
      </c>
      <c r="AH1108" t="n">
        <v>8</v>
      </c>
      <c r="AI1108" t="n">
        <v>8</v>
      </c>
      <c r="AJ1108" t="n">
        <v>19</v>
      </c>
      <c r="AK1108" t="n">
        <v>19</v>
      </c>
      <c r="AL1108" t="n">
        <v>6</v>
      </c>
      <c r="AM1108" t="n">
        <v>6</v>
      </c>
      <c r="AN1108" t="n">
        <v>0</v>
      </c>
      <c r="AO1108" t="n">
        <v>0</v>
      </c>
      <c r="AP1108" t="inlineStr">
        <is>
          <t>No</t>
        </is>
      </c>
      <c r="AQ1108" t="inlineStr">
        <is>
          <t>No</t>
        </is>
      </c>
      <c r="AS1108">
        <f>HYPERLINK("https://creighton-primo.hosted.exlibrisgroup.com/primo-explore/search?tab=default_tab&amp;search_scope=EVERYTHING&amp;vid=01CRU&amp;lang=en_US&amp;offset=0&amp;query=any,contains,991000186609702656","Catalog Record")</f>
        <v/>
      </c>
      <c r="AT1108">
        <f>HYPERLINK("http://www.worldcat.org/oclc/9393965","WorldCat Record")</f>
        <v/>
      </c>
      <c r="AU1108" t="inlineStr">
        <is>
          <t>43116261:eng</t>
        </is>
      </c>
      <c r="AV1108" t="inlineStr">
        <is>
          <t>9393965</t>
        </is>
      </c>
      <c r="AW1108" t="inlineStr">
        <is>
          <t>991000186609702656</t>
        </is>
      </c>
      <c r="AX1108" t="inlineStr">
        <is>
          <t>991000186609702656</t>
        </is>
      </c>
      <c r="AY1108" t="inlineStr">
        <is>
          <t>2266177660002656</t>
        </is>
      </c>
      <c r="AZ1108" t="inlineStr">
        <is>
          <t>BOOK</t>
        </is>
      </c>
      <c r="BB1108" t="inlineStr">
        <is>
          <t>9780385175623</t>
        </is>
      </c>
      <c r="BC1108" t="inlineStr">
        <is>
          <t>32285000543081</t>
        </is>
      </c>
      <c r="BD1108" t="inlineStr">
        <is>
          <t>893589253</t>
        </is>
      </c>
    </row>
    <row r="1109">
      <c r="A1109" t="inlineStr">
        <is>
          <t>No</t>
        </is>
      </c>
      <c r="B1109" t="inlineStr">
        <is>
          <t>E312.63 .M839 1980</t>
        </is>
      </c>
      <c r="C1109" t="inlineStr">
        <is>
          <t>0                      E  0312630M  839         1980</t>
        </is>
      </c>
      <c r="D1109" t="inlineStr">
        <is>
          <t>The genius of George Washington / by Edmund S. Morgan.</t>
        </is>
      </c>
      <c r="F1109" t="inlineStr">
        <is>
          <t>No</t>
        </is>
      </c>
      <c r="G1109" t="inlineStr">
        <is>
          <t>1</t>
        </is>
      </c>
      <c r="H1109" t="inlineStr">
        <is>
          <t>No</t>
        </is>
      </c>
      <c r="I1109" t="inlineStr">
        <is>
          <t>No</t>
        </is>
      </c>
      <c r="J1109" t="inlineStr">
        <is>
          <t>0</t>
        </is>
      </c>
      <c r="K1109" t="inlineStr">
        <is>
          <t>Morgan, Edmund S. (Edmund Sears), 1916-2013.</t>
        </is>
      </c>
      <c r="L1109" t="inlineStr">
        <is>
          <t>New York : Norton, 1980.</t>
        </is>
      </c>
      <c r="M1109" t="inlineStr">
        <is>
          <t>1980</t>
        </is>
      </c>
      <c r="O1109" t="inlineStr">
        <is>
          <t>eng</t>
        </is>
      </c>
      <c r="P1109" t="inlineStr">
        <is>
          <t>nyu</t>
        </is>
      </c>
      <c r="Q1109" t="inlineStr">
        <is>
          <t>George Rogers Clark lecture ; 3, 1977</t>
        </is>
      </c>
      <c r="R1109" t="inlineStr">
        <is>
          <t xml:space="preserve">E  </t>
        </is>
      </c>
      <c r="S1109" t="n">
        <v>1</v>
      </c>
      <c r="T1109" t="n">
        <v>1</v>
      </c>
      <c r="U1109" t="inlineStr">
        <is>
          <t>2001-06-06</t>
        </is>
      </c>
      <c r="V1109" t="inlineStr">
        <is>
          <t>2001-06-06</t>
        </is>
      </c>
      <c r="W1109" t="inlineStr">
        <is>
          <t>2001-06-05</t>
        </is>
      </c>
      <c r="X1109" t="inlineStr">
        <is>
          <t>2001-06-05</t>
        </is>
      </c>
      <c r="Y1109" t="n">
        <v>716</v>
      </c>
      <c r="Z1109" t="n">
        <v>664</v>
      </c>
      <c r="AA1109" t="n">
        <v>702</v>
      </c>
      <c r="AB1109" t="n">
        <v>4</v>
      </c>
      <c r="AC1109" t="n">
        <v>4</v>
      </c>
      <c r="AD1109" t="n">
        <v>19</v>
      </c>
      <c r="AE1109" t="n">
        <v>20</v>
      </c>
      <c r="AF1109" t="n">
        <v>8</v>
      </c>
      <c r="AG1109" t="n">
        <v>9</v>
      </c>
      <c r="AH1109" t="n">
        <v>6</v>
      </c>
      <c r="AI1109" t="n">
        <v>6</v>
      </c>
      <c r="AJ1109" t="n">
        <v>11</v>
      </c>
      <c r="AK1109" t="n">
        <v>12</v>
      </c>
      <c r="AL1109" t="n">
        <v>2</v>
      </c>
      <c r="AM1109" t="n">
        <v>2</v>
      </c>
      <c r="AN1109" t="n">
        <v>0</v>
      </c>
      <c r="AO1109" t="n">
        <v>0</v>
      </c>
      <c r="AP1109" t="inlineStr">
        <is>
          <t>No</t>
        </is>
      </c>
      <c r="AQ1109" t="inlineStr">
        <is>
          <t>No</t>
        </is>
      </c>
      <c r="AS1109">
        <f>HYPERLINK("https://creighton-primo.hosted.exlibrisgroup.com/primo-explore/search?tab=default_tab&amp;search_scope=EVERYTHING&amp;vid=01CRU&amp;lang=en_US&amp;offset=0&amp;query=any,contains,991003545599702656","Catalog Record")</f>
        <v/>
      </c>
      <c r="AT1109">
        <f>HYPERLINK("http://www.worldcat.org/oclc/7169801","WorldCat Record")</f>
        <v/>
      </c>
      <c r="AU1109" t="inlineStr">
        <is>
          <t>155027793:eng</t>
        </is>
      </c>
      <c r="AV1109" t="inlineStr">
        <is>
          <t>7169801</t>
        </is>
      </c>
      <c r="AW1109" t="inlineStr">
        <is>
          <t>991003545599702656</t>
        </is>
      </c>
      <c r="AX1109" t="inlineStr">
        <is>
          <t>991003545599702656</t>
        </is>
      </c>
      <c r="AY1109" t="inlineStr">
        <is>
          <t>2268713210002656</t>
        </is>
      </c>
      <c r="AZ1109" t="inlineStr">
        <is>
          <t>BOOK</t>
        </is>
      </c>
      <c r="BB1109" t="inlineStr">
        <is>
          <t>9780393000603</t>
        </is>
      </c>
      <c r="BC1109" t="inlineStr">
        <is>
          <t>32285004325188</t>
        </is>
      </c>
      <c r="BD1109" t="inlineStr">
        <is>
          <t>893252473</t>
        </is>
      </c>
    </row>
    <row r="1110">
      <c r="A1110" t="inlineStr">
        <is>
          <t>No</t>
        </is>
      </c>
      <c r="B1110" t="inlineStr">
        <is>
          <t>E312.65 .C29</t>
        </is>
      </c>
      <c r="C1110" t="inlineStr">
        <is>
          <t>0                      E  0312650C  29</t>
        </is>
      </c>
      <c r="D1110" t="inlineStr">
        <is>
          <t>Washington and Lincoln in poetry; poems chosen by a committee of the Carnegie Library School Association.</t>
        </is>
      </c>
      <c r="F1110" t="inlineStr">
        <is>
          <t>No</t>
        </is>
      </c>
      <c r="G1110" t="inlineStr">
        <is>
          <t>1</t>
        </is>
      </c>
      <c r="H1110" t="inlineStr">
        <is>
          <t>No</t>
        </is>
      </c>
      <c r="I1110" t="inlineStr">
        <is>
          <t>No</t>
        </is>
      </c>
      <c r="J1110" t="inlineStr">
        <is>
          <t>0</t>
        </is>
      </c>
      <c r="K1110" t="inlineStr">
        <is>
          <t>Carnegie Library School. Association, compiler.</t>
        </is>
      </c>
      <c r="L1110" t="inlineStr">
        <is>
          <t>New York, The H.W. Wilson Company, 1927.</t>
        </is>
      </c>
      <c r="M1110" t="inlineStr">
        <is>
          <t>1927</t>
        </is>
      </c>
      <c r="O1110" t="inlineStr">
        <is>
          <t>eng</t>
        </is>
      </c>
      <c r="P1110" t="inlineStr">
        <is>
          <t>nyu</t>
        </is>
      </c>
      <c r="R1110" t="inlineStr">
        <is>
          <t xml:space="preserve">E  </t>
        </is>
      </c>
      <c r="S1110" t="n">
        <v>2</v>
      </c>
      <c r="T1110" t="n">
        <v>2</v>
      </c>
      <c r="U1110" t="inlineStr">
        <is>
          <t>1999-02-22</t>
        </is>
      </c>
      <c r="V1110" t="inlineStr">
        <is>
          <t>1999-02-22</t>
        </is>
      </c>
      <c r="W1110" t="inlineStr">
        <is>
          <t>1997-04-10</t>
        </is>
      </c>
      <c r="X1110" t="inlineStr">
        <is>
          <t>1997-04-10</t>
        </is>
      </c>
      <c r="Y1110" t="n">
        <v>202</v>
      </c>
      <c r="Z1110" t="n">
        <v>202</v>
      </c>
      <c r="AA1110" t="n">
        <v>213</v>
      </c>
      <c r="AB1110" t="n">
        <v>4</v>
      </c>
      <c r="AC1110" t="n">
        <v>4</v>
      </c>
      <c r="AD1110" t="n">
        <v>6</v>
      </c>
      <c r="AE1110" t="n">
        <v>6</v>
      </c>
      <c r="AF1110" t="n">
        <v>0</v>
      </c>
      <c r="AG1110" t="n">
        <v>0</v>
      </c>
      <c r="AH1110" t="n">
        <v>1</v>
      </c>
      <c r="AI1110" t="n">
        <v>1</v>
      </c>
      <c r="AJ1110" t="n">
        <v>3</v>
      </c>
      <c r="AK1110" t="n">
        <v>3</v>
      </c>
      <c r="AL1110" t="n">
        <v>3</v>
      </c>
      <c r="AM1110" t="n">
        <v>3</v>
      </c>
      <c r="AN1110" t="n">
        <v>0</v>
      </c>
      <c r="AO1110" t="n">
        <v>0</v>
      </c>
      <c r="AP1110" t="inlineStr">
        <is>
          <t>No</t>
        </is>
      </c>
      <c r="AQ1110" t="inlineStr">
        <is>
          <t>No</t>
        </is>
      </c>
      <c r="AR1110">
        <f>HYPERLINK("http://catalog.hathitrust.org/Record/010026462","HathiTrust Record")</f>
        <v/>
      </c>
      <c r="AS1110">
        <f>HYPERLINK("https://creighton-primo.hosted.exlibrisgroup.com/primo-explore/search?tab=default_tab&amp;search_scope=EVERYTHING&amp;vid=01CRU&amp;lang=en_US&amp;offset=0&amp;query=any,contains,991002891069702656","Catalog Record")</f>
        <v/>
      </c>
      <c r="AT1110">
        <f>HYPERLINK("http://www.worldcat.org/oclc/511707","WorldCat Record")</f>
        <v/>
      </c>
      <c r="AU1110" t="inlineStr">
        <is>
          <t>1477162:eng</t>
        </is>
      </c>
      <c r="AV1110" t="inlineStr">
        <is>
          <t>511707</t>
        </is>
      </c>
      <c r="AW1110" t="inlineStr">
        <is>
          <t>991002891069702656</t>
        </is>
      </c>
      <c r="AX1110" t="inlineStr">
        <is>
          <t>991002891069702656</t>
        </is>
      </c>
      <c r="AY1110" t="inlineStr">
        <is>
          <t>2263864070002656</t>
        </is>
      </c>
      <c r="AZ1110" t="inlineStr">
        <is>
          <t>BOOK</t>
        </is>
      </c>
      <c r="BC1110" t="inlineStr">
        <is>
          <t>32285002531332</t>
        </is>
      </c>
      <c r="BD1110" t="inlineStr">
        <is>
          <t>893704646</t>
        </is>
      </c>
    </row>
    <row r="1111">
      <c r="A1111" t="inlineStr">
        <is>
          <t>No</t>
        </is>
      </c>
      <c r="B1111" t="inlineStr">
        <is>
          <t>E312.78 1926</t>
        </is>
      </c>
      <c r="C1111" t="inlineStr">
        <is>
          <t>0                      E  0312780               1926</t>
        </is>
      </c>
      <c r="D1111" t="inlineStr">
        <is>
          <t>George Washington's Rules of civility and decent behaviour in company and conversation / edited with an introduction by Charles Moore ; with frontispiece and facsimiles.</t>
        </is>
      </c>
      <c r="F1111" t="inlineStr">
        <is>
          <t>No</t>
        </is>
      </c>
      <c r="G1111" t="inlineStr">
        <is>
          <t>1</t>
        </is>
      </c>
      <c r="H1111" t="inlineStr">
        <is>
          <t>No</t>
        </is>
      </c>
      <c r="I1111" t="inlineStr">
        <is>
          <t>No</t>
        </is>
      </c>
      <c r="J1111" t="inlineStr">
        <is>
          <t>0</t>
        </is>
      </c>
      <c r="K1111" t="inlineStr">
        <is>
          <t>Washington, George, 1732-1799.</t>
        </is>
      </c>
      <c r="L1111" t="inlineStr">
        <is>
          <t>Boston ; New York : Printed for Houghton Mifflin company by the Riverside press, Cambridge, 1926.</t>
        </is>
      </c>
      <c r="M1111" t="inlineStr">
        <is>
          <t>1926</t>
        </is>
      </c>
      <c r="O1111" t="inlineStr">
        <is>
          <t>eng</t>
        </is>
      </c>
      <c r="P1111" t="inlineStr">
        <is>
          <t>mau</t>
        </is>
      </c>
      <c r="R1111" t="inlineStr">
        <is>
          <t xml:space="preserve">E  </t>
        </is>
      </c>
      <c r="S1111" t="n">
        <v>3</v>
      </c>
      <c r="T1111" t="n">
        <v>3</v>
      </c>
      <c r="U1111" t="inlineStr">
        <is>
          <t>1998-03-19</t>
        </is>
      </c>
      <c r="V1111" t="inlineStr">
        <is>
          <t>1998-03-19</t>
        </is>
      </c>
      <c r="W1111" t="inlineStr">
        <is>
          <t>1992-01-30</t>
        </is>
      </c>
      <c r="X1111" t="inlineStr">
        <is>
          <t>1992-01-30</t>
        </is>
      </c>
      <c r="Y1111" t="n">
        <v>161</v>
      </c>
      <c r="Z1111" t="n">
        <v>154</v>
      </c>
      <c r="AA1111" t="n">
        <v>431</v>
      </c>
      <c r="AB1111" t="n">
        <v>2</v>
      </c>
      <c r="AC1111" t="n">
        <v>4</v>
      </c>
      <c r="AD1111" t="n">
        <v>4</v>
      </c>
      <c r="AE1111" t="n">
        <v>16</v>
      </c>
      <c r="AF1111" t="n">
        <v>0</v>
      </c>
      <c r="AG1111" t="n">
        <v>3</v>
      </c>
      <c r="AH1111" t="n">
        <v>0</v>
      </c>
      <c r="AI1111" t="n">
        <v>4</v>
      </c>
      <c r="AJ1111" t="n">
        <v>4</v>
      </c>
      <c r="AK1111" t="n">
        <v>9</v>
      </c>
      <c r="AL1111" t="n">
        <v>0</v>
      </c>
      <c r="AM1111" t="n">
        <v>1</v>
      </c>
      <c r="AN1111" t="n">
        <v>0</v>
      </c>
      <c r="AO1111" t="n">
        <v>2</v>
      </c>
      <c r="AP1111" t="inlineStr">
        <is>
          <t>Yes</t>
        </is>
      </c>
      <c r="AQ1111" t="inlineStr">
        <is>
          <t>No</t>
        </is>
      </c>
      <c r="AR1111">
        <f>HYPERLINK("http://catalog.hathitrust.org/Record/003195714","HathiTrust Record")</f>
        <v/>
      </c>
      <c r="AS1111">
        <f>HYPERLINK("https://creighton-primo.hosted.exlibrisgroup.com/primo-explore/search?tab=default_tab&amp;search_scope=EVERYTHING&amp;vid=01CRU&amp;lang=en_US&amp;offset=0&amp;query=any,contains,991003769449702656","Catalog Record")</f>
        <v/>
      </c>
      <c r="AT1111">
        <f>HYPERLINK("http://www.worldcat.org/oclc/1467269","WorldCat Record")</f>
        <v/>
      </c>
      <c r="AU1111" t="inlineStr">
        <is>
          <t>1374286462:eng</t>
        </is>
      </c>
      <c r="AV1111" t="inlineStr">
        <is>
          <t>1467269</t>
        </is>
      </c>
      <c r="AW1111" t="inlineStr">
        <is>
          <t>991003769449702656</t>
        </is>
      </c>
      <c r="AX1111" t="inlineStr">
        <is>
          <t>991003769449702656</t>
        </is>
      </c>
      <c r="AY1111" t="inlineStr">
        <is>
          <t>2261345430002656</t>
        </is>
      </c>
      <c r="AZ1111" t="inlineStr">
        <is>
          <t>BOOK</t>
        </is>
      </c>
      <c r="BC1111" t="inlineStr">
        <is>
          <t>32285000930908</t>
        </is>
      </c>
      <c r="BD1111" t="inlineStr">
        <is>
          <t>893800147</t>
        </is>
      </c>
    </row>
    <row r="1112">
      <c r="A1112" t="inlineStr">
        <is>
          <t>No</t>
        </is>
      </c>
      <c r="B1112" t="inlineStr">
        <is>
          <t>E313 .A45 1973</t>
        </is>
      </c>
      <c r="C1112" t="inlineStr">
        <is>
          <t>0                      E  0313000A  45          1973</t>
        </is>
      </c>
      <c r="D1112" t="inlineStr">
        <is>
          <t>The Genet mission.</t>
        </is>
      </c>
      <c r="F1112" t="inlineStr">
        <is>
          <t>No</t>
        </is>
      </c>
      <c r="G1112" t="inlineStr">
        <is>
          <t>1</t>
        </is>
      </c>
      <c r="H1112" t="inlineStr">
        <is>
          <t>No</t>
        </is>
      </c>
      <c r="I1112" t="inlineStr">
        <is>
          <t>No</t>
        </is>
      </c>
      <c r="J1112" t="inlineStr">
        <is>
          <t>0</t>
        </is>
      </c>
      <c r="K1112" t="inlineStr">
        <is>
          <t>Ammon, Harry, 1917-</t>
        </is>
      </c>
      <c r="L1112" t="inlineStr">
        <is>
          <t>New York : Norton, [1973]</t>
        </is>
      </c>
      <c r="M1112" t="inlineStr">
        <is>
          <t>1973</t>
        </is>
      </c>
      <c r="N1112" t="inlineStr">
        <is>
          <t>[1st ed.]</t>
        </is>
      </c>
      <c r="O1112" t="inlineStr">
        <is>
          <t>eng</t>
        </is>
      </c>
      <c r="P1112" t="inlineStr">
        <is>
          <t>nyu</t>
        </is>
      </c>
      <c r="Q1112" t="inlineStr">
        <is>
          <t>The Norton essays in American history</t>
        </is>
      </c>
      <c r="R1112" t="inlineStr">
        <is>
          <t xml:space="preserve">E  </t>
        </is>
      </c>
      <c r="S1112" t="n">
        <v>3</v>
      </c>
      <c r="T1112" t="n">
        <v>3</v>
      </c>
      <c r="U1112" t="inlineStr">
        <is>
          <t>1997-01-20</t>
        </is>
      </c>
      <c r="V1112" t="inlineStr">
        <is>
          <t>1997-01-20</t>
        </is>
      </c>
      <c r="W1112" t="inlineStr">
        <is>
          <t>1993-12-15</t>
        </is>
      </c>
      <c r="X1112" t="inlineStr">
        <is>
          <t>1993-12-15</t>
        </is>
      </c>
      <c r="Y1112" t="n">
        <v>690</v>
      </c>
      <c r="Z1112" t="n">
        <v>633</v>
      </c>
      <c r="AA1112" t="n">
        <v>638</v>
      </c>
      <c r="AB1112" t="n">
        <v>5</v>
      </c>
      <c r="AC1112" t="n">
        <v>5</v>
      </c>
      <c r="AD1112" t="n">
        <v>24</v>
      </c>
      <c r="AE1112" t="n">
        <v>24</v>
      </c>
      <c r="AF1112" t="n">
        <v>9</v>
      </c>
      <c r="AG1112" t="n">
        <v>9</v>
      </c>
      <c r="AH1112" t="n">
        <v>6</v>
      </c>
      <c r="AI1112" t="n">
        <v>6</v>
      </c>
      <c r="AJ1112" t="n">
        <v>12</v>
      </c>
      <c r="AK1112" t="n">
        <v>12</v>
      </c>
      <c r="AL1112" t="n">
        <v>4</v>
      </c>
      <c r="AM1112" t="n">
        <v>4</v>
      </c>
      <c r="AN1112" t="n">
        <v>0</v>
      </c>
      <c r="AO1112" t="n">
        <v>0</v>
      </c>
      <c r="AP1112" t="inlineStr">
        <is>
          <t>No</t>
        </is>
      </c>
      <c r="AQ1112" t="inlineStr">
        <is>
          <t>No</t>
        </is>
      </c>
      <c r="AS1112">
        <f>HYPERLINK("https://creighton-primo.hosted.exlibrisgroup.com/primo-explore/search?tab=default_tab&amp;search_scope=EVERYTHING&amp;vid=01CRU&amp;lang=en_US&amp;offset=0&amp;query=any,contains,991002898729702656","Catalog Record")</f>
        <v/>
      </c>
      <c r="AT1112">
        <f>HYPERLINK("http://www.worldcat.org/oclc/515940","WorldCat Record")</f>
        <v/>
      </c>
      <c r="AU1112" t="inlineStr">
        <is>
          <t>460109:eng</t>
        </is>
      </c>
      <c r="AV1112" t="inlineStr">
        <is>
          <t>515940</t>
        </is>
      </c>
      <c r="AW1112" t="inlineStr">
        <is>
          <t>991002898729702656</t>
        </is>
      </c>
      <c r="AX1112" t="inlineStr">
        <is>
          <t>991002898729702656</t>
        </is>
      </c>
      <c r="AY1112" t="inlineStr">
        <is>
          <t>2264015030002656</t>
        </is>
      </c>
      <c r="AZ1112" t="inlineStr">
        <is>
          <t>BOOK</t>
        </is>
      </c>
      <c r="BB1112" t="inlineStr">
        <is>
          <t>9780393054750</t>
        </is>
      </c>
      <c r="BC1112" t="inlineStr">
        <is>
          <t>32285001809101</t>
        </is>
      </c>
      <c r="BD1112" t="inlineStr">
        <is>
          <t>893793081</t>
        </is>
      </c>
    </row>
    <row r="1113">
      <c r="A1113" t="inlineStr">
        <is>
          <t>No</t>
        </is>
      </c>
      <c r="B1113" t="inlineStr">
        <is>
          <t>E313 .R5 1971</t>
        </is>
      </c>
      <c r="C1113" t="inlineStr">
        <is>
          <t>0                      E  0313000R  5           1971</t>
        </is>
      </c>
      <c r="D1113" t="inlineStr">
        <is>
          <t>Aftermath of revolution : British policy toward the United States, 1783-1795 / [by] Charles R. Ritcheson.</t>
        </is>
      </c>
      <c r="F1113" t="inlineStr">
        <is>
          <t>No</t>
        </is>
      </c>
      <c r="G1113" t="inlineStr">
        <is>
          <t>1</t>
        </is>
      </c>
      <c r="H1113" t="inlineStr">
        <is>
          <t>No</t>
        </is>
      </c>
      <c r="I1113" t="inlineStr">
        <is>
          <t>Yes</t>
        </is>
      </c>
      <c r="J1113" t="inlineStr">
        <is>
          <t>0</t>
        </is>
      </c>
      <c r="K1113" t="inlineStr">
        <is>
          <t>Ritcheson, Charles R.</t>
        </is>
      </c>
      <c r="L1113" t="inlineStr">
        <is>
          <t>New York : W. W. Norton, [1971,c1969].</t>
        </is>
      </c>
      <c r="M1113" t="inlineStr">
        <is>
          <t>1971</t>
        </is>
      </c>
      <c r="O1113" t="inlineStr">
        <is>
          <t>eng</t>
        </is>
      </c>
      <c r="P1113" t="inlineStr">
        <is>
          <t>nyu</t>
        </is>
      </c>
      <c r="Q1113" t="inlineStr">
        <is>
          <t>The Norton library.</t>
        </is>
      </c>
      <c r="R1113" t="inlineStr">
        <is>
          <t xml:space="preserve">E  </t>
        </is>
      </c>
      <c r="S1113" t="n">
        <v>3</v>
      </c>
      <c r="T1113" t="n">
        <v>3</v>
      </c>
      <c r="U1113" t="inlineStr">
        <is>
          <t>1993-12-06</t>
        </is>
      </c>
      <c r="V1113" t="inlineStr">
        <is>
          <t>1993-12-06</t>
        </is>
      </c>
      <c r="W1113" t="inlineStr">
        <is>
          <t>1991-07-09</t>
        </is>
      </c>
      <c r="X1113" t="inlineStr">
        <is>
          <t>1991-07-09</t>
        </is>
      </c>
      <c r="Y1113" t="n">
        <v>92</v>
      </c>
      <c r="Z1113" t="n">
        <v>81</v>
      </c>
      <c r="AA1113" t="n">
        <v>731</v>
      </c>
      <c r="AB1113" t="n">
        <v>2</v>
      </c>
      <c r="AC1113" t="n">
        <v>8</v>
      </c>
      <c r="AD1113" t="n">
        <v>2</v>
      </c>
      <c r="AE1113" t="n">
        <v>40</v>
      </c>
      <c r="AF1113" t="n">
        <v>0</v>
      </c>
      <c r="AG1113" t="n">
        <v>18</v>
      </c>
      <c r="AH1113" t="n">
        <v>1</v>
      </c>
      <c r="AI1113" t="n">
        <v>6</v>
      </c>
      <c r="AJ1113" t="n">
        <v>1</v>
      </c>
      <c r="AK1113" t="n">
        <v>19</v>
      </c>
      <c r="AL1113" t="n">
        <v>1</v>
      </c>
      <c r="AM1113" t="n">
        <v>5</v>
      </c>
      <c r="AN1113" t="n">
        <v>0</v>
      </c>
      <c r="AO1113" t="n">
        <v>1</v>
      </c>
      <c r="AP1113" t="inlineStr">
        <is>
          <t>No</t>
        </is>
      </c>
      <c r="AQ1113" t="inlineStr">
        <is>
          <t>No</t>
        </is>
      </c>
      <c r="AS1113">
        <f>HYPERLINK("https://creighton-primo.hosted.exlibrisgroup.com/primo-explore/search?tab=default_tab&amp;search_scope=EVERYTHING&amp;vid=01CRU&amp;lang=en_US&amp;offset=0&amp;query=any,contains,991004795119702656","Catalog Record")</f>
        <v/>
      </c>
      <c r="AT1113">
        <f>HYPERLINK("http://www.worldcat.org/oclc/5181464","WorldCat Record")</f>
        <v/>
      </c>
      <c r="AU1113" t="inlineStr">
        <is>
          <t>459401:eng</t>
        </is>
      </c>
      <c r="AV1113" t="inlineStr">
        <is>
          <t>5181464</t>
        </is>
      </c>
      <c r="AW1113" t="inlineStr">
        <is>
          <t>991004795119702656</t>
        </is>
      </c>
      <c r="AX1113" t="inlineStr">
        <is>
          <t>991004795119702656</t>
        </is>
      </c>
      <c r="AY1113" t="inlineStr">
        <is>
          <t>2255816780002656</t>
        </is>
      </c>
      <c r="AZ1113" t="inlineStr">
        <is>
          <t>BOOK</t>
        </is>
      </c>
      <c r="BB1113" t="inlineStr">
        <is>
          <t>9780393005530</t>
        </is>
      </c>
      <c r="BC1113" t="inlineStr">
        <is>
          <t>32285000673193</t>
        </is>
      </c>
      <c r="BD1113" t="inlineStr">
        <is>
          <t>893870123</t>
        </is>
      </c>
    </row>
    <row r="1114">
      <c r="A1114" t="inlineStr">
        <is>
          <t>No</t>
        </is>
      </c>
      <c r="B1114" t="inlineStr">
        <is>
          <t>E313 .S76 2001</t>
        </is>
      </c>
      <c r="C1114" t="inlineStr">
        <is>
          <t>0                      E  0313000S  76          2001</t>
        </is>
      </c>
      <c r="D1114" t="inlineStr">
        <is>
          <t>Britain and France at the birth of America : the European powers and the peace negotiations of 1782-1783 / Andrew Stockley.</t>
        </is>
      </c>
      <c r="F1114" t="inlineStr">
        <is>
          <t>No</t>
        </is>
      </c>
      <c r="G1114" t="inlineStr">
        <is>
          <t>1</t>
        </is>
      </c>
      <c r="H1114" t="inlineStr">
        <is>
          <t>No</t>
        </is>
      </c>
      <c r="I1114" t="inlineStr">
        <is>
          <t>No</t>
        </is>
      </c>
      <c r="J1114" t="inlineStr">
        <is>
          <t>0</t>
        </is>
      </c>
      <c r="K1114" t="inlineStr">
        <is>
          <t>Stockley, Andrew.</t>
        </is>
      </c>
      <c r="L1114" t="inlineStr">
        <is>
          <t>Exeter : University of Exeter Press, 2001.</t>
        </is>
      </c>
      <c r="M1114" t="inlineStr">
        <is>
          <t>2001</t>
        </is>
      </c>
      <c r="O1114" t="inlineStr">
        <is>
          <t>eng</t>
        </is>
      </c>
      <c r="P1114" t="inlineStr">
        <is>
          <t>enk</t>
        </is>
      </c>
      <c r="R1114" t="inlineStr">
        <is>
          <t xml:space="preserve">E  </t>
        </is>
      </c>
      <c r="S1114" t="n">
        <v>2</v>
      </c>
      <c r="T1114" t="n">
        <v>2</v>
      </c>
      <c r="U1114" t="inlineStr">
        <is>
          <t>2002-05-03</t>
        </is>
      </c>
      <c r="V1114" t="inlineStr">
        <is>
          <t>2002-05-03</t>
        </is>
      </c>
      <c r="W1114" t="inlineStr">
        <is>
          <t>2002-04-16</t>
        </is>
      </c>
      <c r="X1114" t="inlineStr">
        <is>
          <t>2002-04-16</t>
        </is>
      </c>
      <c r="Y1114" t="n">
        <v>307</v>
      </c>
      <c r="Z1114" t="n">
        <v>257</v>
      </c>
      <c r="AA1114" t="n">
        <v>454</v>
      </c>
      <c r="AB1114" t="n">
        <v>3</v>
      </c>
      <c r="AC1114" t="n">
        <v>3</v>
      </c>
      <c r="AD1114" t="n">
        <v>16</v>
      </c>
      <c r="AE1114" t="n">
        <v>28</v>
      </c>
      <c r="AF1114" t="n">
        <v>7</v>
      </c>
      <c r="AG1114" t="n">
        <v>13</v>
      </c>
      <c r="AH1114" t="n">
        <v>5</v>
      </c>
      <c r="AI1114" t="n">
        <v>8</v>
      </c>
      <c r="AJ1114" t="n">
        <v>7</v>
      </c>
      <c r="AK1114" t="n">
        <v>14</v>
      </c>
      <c r="AL1114" t="n">
        <v>2</v>
      </c>
      <c r="AM1114" t="n">
        <v>2</v>
      </c>
      <c r="AN1114" t="n">
        <v>0</v>
      </c>
      <c r="AO1114" t="n">
        <v>0</v>
      </c>
      <c r="AP1114" t="inlineStr">
        <is>
          <t>No</t>
        </is>
      </c>
      <c r="AQ1114" t="inlineStr">
        <is>
          <t>No</t>
        </is>
      </c>
      <c r="AS1114">
        <f>HYPERLINK("https://creighton-primo.hosted.exlibrisgroup.com/primo-explore/search?tab=default_tab&amp;search_scope=EVERYTHING&amp;vid=01CRU&amp;lang=en_US&amp;offset=0&amp;query=any,contains,991003737229702656","Catalog Record")</f>
        <v/>
      </c>
      <c r="AT1114">
        <f>HYPERLINK("http://www.worldcat.org/oclc/45580569","WorldCat Record")</f>
        <v/>
      </c>
      <c r="AU1114" t="inlineStr">
        <is>
          <t>836999427:eng</t>
        </is>
      </c>
      <c r="AV1114" t="inlineStr">
        <is>
          <t>45580569</t>
        </is>
      </c>
      <c r="AW1114" t="inlineStr">
        <is>
          <t>991003737229702656</t>
        </is>
      </c>
      <c r="AX1114" t="inlineStr">
        <is>
          <t>991003737229702656</t>
        </is>
      </c>
      <c r="AY1114" t="inlineStr">
        <is>
          <t>2264690830002656</t>
        </is>
      </c>
      <c r="AZ1114" t="inlineStr">
        <is>
          <t>BOOK</t>
        </is>
      </c>
      <c r="BB1114" t="inlineStr">
        <is>
          <t>9780859896153</t>
        </is>
      </c>
      <c r="BC1114" t="inlineStr">
        <is>
          <t>32285004480058</t>
        </is>
      </c>
      <c r="BD1114" t="inlineStr">
        <is>
          <t>893228396</t>
        </is>
      </c>
    </row>
    <row r="1115">
      <c r="A1115" t="inlineStr">
        <is>
          <t>No</t>
        </is>
      </c>
      <c r="B1115" t="inlineStr">
        <is>
          <t>E315 .B25</t>
        </is>
      </c>
      <c r="C1115" t="inlineStr">
        <is>
          <t>0                      E  0315000B  25</t>
        </is>
      </c>
      <c r="D1115" t="inlineStr">
        <is>
          <t>Whiskey rebels : the story of a frontier uprising / by Leland D. Baldin ; decorations by Ward Hunter.</t>
        </is>
      </c>
      <c r="F1115" t="inlineStr">
        <is>
          <t>No</t>
        </is>
      </c>
      <c r="G1115" t="inlineStr">
        <is>
          <t>1</t>
        </is>
      </c>
      <c r="H1115" t="inlineStr">
        <is>
          <t>No</t>
        </is>
      </c>
      <c r="I1115" t="inlineStr">
        <is>
          <t>No</t>
        </is>
      </c>
      <c r="J1115" t="inlineStr">
        <is>
          <t>0</t>
        </is>
      </c>
      <c r="K1115" t="inlineStr">
        <is>
          <t>Baldwin, Leland D. (Leland Dewitt), 1897-1981.</t>
        </is>
      </c>
      <c r="L1115" t="inlineStr">
        <is>
          <t>[Pittsburgh] University of Pittsburgh Press, 1939.</t>
        </is>
      </c>
      <c r="M1115" t="inlineStr">
        <is>
          <t>1939</t>
        </is>
      </c>
      <c r="O1115" t="inlineStr">
        <is>
          <t>eng</t>
        </is>
      </c>
      <c r="P1115" t="inlineStr">
        <is>
          <t>pau</t>
        </is>
      </c>
      <c r="R1115" t="inlineStr">
        <is>
          <t xml:space="preserve">E  </t>
        </is>
      </c>
      <c r="S1115" t="n">
        <v>1</v>
      </c>
      <c r="T1115" t="n">
        <v>1</v>
      </c>
      <c r="U1115" t="inlineStr">
        <is>
          <t>2005-01-04</t>
        </is>
      </c>
      <c r="V1115" t="inlineStr">
        <is>
          <t>2005-01-04</t>
        </is>
      </c>
      <c r="W1115" t="inlineStr">
        <is>
          <t>1997-04-10</t>
        </is>
      </c>
      <c r="X1115" t="inlineStr">
        <is>
          <t>1997-04-10</t>
        </is>
      </c>
      <c r="Y1115" t="n">
        <v>533</v>
      </c>
      <c r="Z1115" t="n">
        <v>512</v>
      </c>
      <c r="AA1115" t="n">
        <v>1133</v>
      </c>
      <c r="AB1115" t="n">
        <v>5</v>
      </c>
      <c r="AC1115" t="n">
        <v>11</v>
      </c>
      <c r="AD1115" t="n">
        <v>23</v>
      </c>
      <c r="AE1115" t="n">
        <v>49</v>
      </c>
      <c r="AF1115" t="n">
        <v>9</v>
      </c>
      <c r="AG1115" t="n">
        <v>22</v>
      </c>
      <c r="AH1115" t="n">
        <v>5</v>
      </c>
      <c r="AI1115" t="n">
        <v>10</v>
      </c>
      <c r="AJ1115" t="n">
        <v>11</v>
      </c>
      <c r="AK1115" t="n">
        <v>21</v>
      </c>
      <c r="AL1115" t="n">
        <v>4</v>
      </c>
      <c r="AM1115" t="n">
        <v>9</v>
      </c>
      <c r="AN1115" t="n">
        <v>0</v>
      </c>
      <c r="AO1115" t="n">
        <v>0</v>
      </c>
      <c r="AP1115" t="inlineStr">
        <is>
          <t>No</t>
        </is>
      </c>
      <c r="AQ1115" t="inlineStr">
        <is>
          <t>Yes</t>
        </is>
      </c>
      <c r="AR1115">
        <f>HYPERLINK("http://catalog.hathitrust.org/Record/000367378","HathiTrust Record")</f>
        <v/>
      </c>
      <c r="AS1115">
        <f>HYPERLINK("https://creighton-primo.hosted.exlibrisgroup.com/primo-explore/search?tab=default_tab&amp;search_scope=EVERYTHING&amp;vid=01CRU&amp;lang=en_US&amp;offset=0&amp;query=any,contains,991002754339702656","Catalog Record")</f>
        <v/>
      </c>
      <c r="AT1115">
        <f>HYPERLINK("http://www.worldcat.org/oclc/425943","WorldCat Record")</f>
        <v/>
      </c>
      <c r="AU1115" t="inlineStr">
        <is>
          <t>488106:eng</t>
        </is>
      </c>
      <c r="AV1115" t="inlineStr">
        <is>
          <t>425943</t>
        </is>
      </c>
      <c r="AW1115" t="inlineStr">
        <is>
          <t>991002754339702656</t>
        </is>
      </c>
      <c r="AX1115" t="inlineStr">
        <is>
          <t>991002754339702656</t>
        </is>
      </c>
      <c r="AY1115" t="inlineStr">
        <is>
          <t>2267832770002656</t>
        </is>
      </c>
      <c r="AZ1115" t="inlineStr">
        <is>
          <t>BOOK</t>
        </is>
      </c>
      <c r="BC1115" t="inlineStr">
        <is>
          <t>32285002531860</t>
        </is>
      </c>
      <c r="BD1115" t="inlineStr">
        <is>
          <t>893427974</t>
        </is>
      </c>
    </row>
    <row r="1116">
      <c r="A1116" t="inlineStr">
        <is>
          <t>No</t>
        </is>
      </c>
      <c r="B1116" t="inlineStr">
        <is>
          <t>E315 .B78 1969</t>
        </is>
      </c>
      <c r="C1116" t="inlineStr">
        <is>
          <t>0                      E  0315000B  78          1969</t>
        </is>
      </c>
      <c r="D1116" t="inlineStr">
        <is>
          <t>History of the western insurrection, 1794.</t>
        </is>
      </c>
      <c r="F1116" t="inlineStr">
        <is>
          <t>No</t>
        </is>
      </c>
      <c r="G1116" t="inlineStr">
        <is>
          <t>1</t>
        </is>
      </c>
      <c r="H1116" t="inlineStr">
        <is>
          <t>No</t>
        </is>
      </c>
      <c r="I1116" t="inlineStr">
        <is>
          <t>No</t>
        </is>
      </c>
      <c r="J1116" t="inlineStr">
        <is>
          <t>0</t>
        </is>
      </c>
      <c r="K1116" t="inlineStr">
        <is>
          <t>Brackenridge, H. M. (Henry Marie), 1786-1871.</t>
        </is>
      </c>
      <c r="L1116" t="inlineStr">
        <is>
          <t>New York, Arno Press, 1969.</t>
        </is>
      </c>
      <c r="M1116" t="inlineStr">
        <is>
          <t>1969</t>
        </is>
      </c>
      <c r="O1116" t="inlineStr">
        <is>
          <t>eng</t>
        </is>
      </c>
      <c r="P1116" t="inlineStr">
        <is>
          <t>nyu</t>
        </is>
      </c>
      <c r="Q1116" t="inlineStr">
        <is>
          <t>Mass violence in America</t>
        </is>
      </c>
      <c r="R1116" t="inlineStr">
        <is>
          <t xml:space="preserve">E  </t>
        </is>
      </c>
      <c r="S1116" t="n">
        <v>1</v>
      </c>
      <c r="T1116" t="n">
        <v>1</v>
      </c>
      <c r="U1116" t="inlineStr">
        <is>
          <t>2005-01-04</t>
        </is>
      </c>
      <c r="V1116" t="inlineStr">
        <is>
          <t>2005-01-04</t>
        </is>
      </c>
      <c r="W1116" t="inlineStr">
        <is>
          <t>1997-04-10</t>
        </is>
      </c>
      <c r="X1116" t="inlineStr">
        <is>
          <t>1997-04-10</t>
        </is>
      </c>
      <c r="Y1116" t="n">
        <v>325</v>
      </c>
      <c r="Z1116" t="n">
        <v>317</v>
      </c>
      <c r="AA1116" t="n">
        <v>373</v>
      </c>
      <c r="AB1116" t="n">
        <v>5</v>
      </c>
      <c r="AC1116" t="n">
        <v>6</v>
      </c>
      <c r="AD1116" t="n">
        <v>20</v>
      </c>
      <c r="AE1116" t="n">
        <v>26</v>
      </c>
      <c r="AF1116" t="n">
        <v>6</v>
      </c>
      <c r="AG1116" t="n">
        <v>7</v>
      </c>
      <c r="AH1116" t="n">
        <v>5</v>
      </c>
      <c r="AI1116" t="n">
        <v>5</v>
      </c>
      <c r="AJ1116" t="n">
        <v>6</v>
      </c>
      <c r="AK1116" t="n">
        <v>6</v>
      </c>
      <c r="AL1116" t="n">
        <v>4</v>
      </c>
      <c r="AM1116" t="n">
        <v>4</v>
      </c>
      <c r="AN1116" t="n">
        <v>2</v>
      </c>
      <c r="AO1116" t="n">
        <v>7</v>
      </c>
      <c r="AP1116" t="inlineStr">
        <is>
          <t>No</t>
        </is>
      </c>
      <c r="AQ1116" t="inlineStr">
        <is>
          <t>No</t>
        </is>
      </c>
      <c r="AS1116">
        <f>HYPERLINK("https://creighton-primo.hosted.exlibrisgroup.com/primo-explore/search?tab=default_tab&amp;search_scope=EVERYTHING&amp;vid=01CRU&amp;lang=en_US&amp;offset=0&amp;query=any,contains,991000210229702656","Catalog Record")</f>
        <v/>
      </c>
      <c r="AT1116">
        <f>HYPERLINK("http://www.worldcat.org/oclc/66384","WorldCat Record")</f>
        <v/>
      </c>
      <c r="AU1116" t="inlineStr">
        <is>
          <t>9438550502:eng</t>
        </is>
      </c>
      <c r="AV1116" t="inlineStr">
        <is>
          <t>66384</t>
        </is>
      </c>
      <c r="AW1116" t="inlineStr">
        <is>
          <t>991000210229702656</t>
        </is>
      </c>
      <c r="AX1116" t="inlineStr">
        <is>
          <t>991000210229702656</t>
        </is>
      </c>
      <c r="AY1116" t="inlineStr">
        <is>
          <t>2258727350002656</t>
        </is>
      </c>
      <c r="AZ1116" t="inlineStr">
        <is>
          <t>BOOK</t>
        </is>
      </c>
      <c r="BC1116" t="inlineStr">
        <is>
          <t>32285002531878</t>
        </is>
      </c>
      <c r="BD1116" t="inlineStr">
        <is>
          <t>893877895</t>
        </is>
      </c>
    </row>
    <row r="1117">
      <c r="A1117" t="inlineStr">
        <is>
          <t>No</t>
        </is>
      </c>
      <c r="B1117" t="inlineStr">
        <is>
          <t>E315 .W65 1985</t>
        </is>
      </c>
      <c r="C1117" t="inlineStr">
        <is>
          <t>0                      E  0315000W  65          1985</t>
        </is>
      </c>
      <c r="D1117" t="inlineStr">
        <is>
          <t>The Whiskey Rebellion : past and present perspectives / edited by Steven R. Boyd.</t>
        </is>
      </c>
      <c r="F1117" t="inlineStr">
        <is>
          <t>No</t>
        </is>
      </c>
      <c r="G1117" t="inlineStr">
        <is>
          <t>1</t>
        </is>
      </c>
      <c r="H1117" t="inlineStr">
        <is>
          <t>No</t>
        </is>
      </c>
      <c r="I1117" t="inlineStr">
        <is>
          <t>No</t>
        </is>
      </c>
      <c r="J1117" t="inlineStr">
        <is>
          <t>0</t>
        </is>
      </c>
      <c r="L1117" t="inlineStr">
        <is>
          <t>Westport, Conn. : Greenwood Press, 1985.</t>
        </is>
      </c>
      <c r="M1117" t="inlineStr">
        <is>
          <t>1985</t>
        </is>
      </c>
      <c r="O1117" t="inlineStr">
        <is>
          <t>eng</t>
        </is>
      </c>
      <c r="P1117" t="inlineStr">
        <is>
          <t>ctu</t>
        </is>
      </c>
      <c r="Q1117" t="inlineStr">
        <is>
          <t>Contributions in American history, 0084-9219 ; no. 109</t>
        </is>
      </c>
      <c r="R1117" t="inlineStr">
        <is>
          <t xml:space="preserve">E  </t>
        </is>
      </c>
      <c r="S1117" t="n">
        <v>3</v>
      </c>
      <c r="T1117" t="n">
        <v>3</v>
      </c>
      <c r="U1117" t="inlineStr">
        <is>
          <t>2005-01-04</t>
        </is>
      </c>
      <c r="V1117" t="inlineStr">
        <is>
          <t>2005-01-04</t>
        </is>
      </c>
      <c r="W1117" t="inlineStr">
        <is>
          <t>1990-06-21</t>
        </is>
      </c>
      <c r="X1117" t="inlineStr">
        <is>
          <t>1990-06-21</t>
        </is>
      </c>
      <c r="Y1117" t="n">
        <v>549</v>
      </c>
      <c r="Z1117" t="n">
        <v>501</v>
      </c>
      <c r="AA1117" t="n">
        <v>503</v>
      </c>
      <c r="AB1117" t="n">
        <v>3</v>
      </c>
      <c r="AC1117" t="n">
        <v>3</v>
      </c>
      <c r="AD1117" t="n">
        <v>18</v>
      </c>
      <c r="AE1117" t="n">
        <v>18</v>
      </c>
      <c r="AF1117" t="n">
        <v>9</v>
      </c>
      <c r="AG1117" t="n">
        <v>9</v>
      </c>
      <c r="AH1117" t="n">
        <v>3</v>
      </c>
      <c r="AI1117" t="n">
        <v>3</v>
      </c>
      <c r="AJ1117" t="n">
        <v>11</v>
      </c>
      <c r="AK1117" t="n">
        <v>11</v>
      </c>
      <c r="AL1117" t="n">
        <v>2</v>
      </c>
      <c r="AM1117" t="n">
        <v>2</v>
      </c>
      <c r="AN1117" t="n">
        <v>0</v>
      </c>
      <c r="AO1117" t="n">
        <v>0</v>
      </c>
      <c r="AP1117" t="inlineStr">
        <is>
          <t>No</t>
        </is>
      </c>
      <c r="AQ1117" t="inlineStr">
        <is>
          <t>Yes</t>
        </is>
      </c>
      <c r="AR1117">
        <f>HYPERLINK("http://catalog.hathitrust.org/Record/000378238","HathiTrust Record")</f>
        <v/>
      </c>
      <c r="AS1117">
        <f>HYPERLINK("https://creighton-primo.hosted.exlibrisgroup.com/primo-explore/search?tab=default_tab&amp;search_scope=EVERYTHING&amp;vid=01CRU&amp;lang=en_US&amp;offset=0&amp;query=any,contains,991000517119702656","Catalog Record")</f>
        <v/>
      </c>
      <c r="AT1117">
        <f>HYPERLINK("http://www.worldcat.org/oclc/11291120","WorldCat Record")</f>
        <v/>
      </c>
      <c r="AU1117" t="inlineStr">
        <is>
          <t>905528452:eng</t>
        </is>
      </c>
      <c r="AV1117" t="inlineStr">
        <is>
          <t>11291120</t>
        </is>
      </c>
      <c r="AW1117" t="inlineStr">
        <is>
          <t>991000517119702656</t>
        </is>
      </c>
      <c r="AX1117" t="inlineStr">
        <is>
          <t>991000517119702656</t>
        </is>
      </c>
      <c r="AY1117" t="inlineStr">
        <is>
          <t>2262019330002656</t>
        </is>
      </c>
      <c r="AZ1117" t="inlineStr">
        <is>
          <t>BOOK</t>
        </is>
      </c>
      <c r="BB1117" t="inlineStr">
        <is>
          <t>9780313245367</t>
        </is>
      </c>
      <c r="BC1117" t="inlineStr">
        <is>
          <t>32285000210897</t>
        </is>
      </c>
      <c r="BD1117" t="inlineStr">
        <is>
          <t>893339615</t>
        </is>
      </c>
    </row>
    <row r="1118">
      <c r="A1118" t="inlineStr">
        <is>
          <t>No</t>
        </is>
      </c>
      <c r="B1118" t="inlineStr">
        <is>
          <t>E321 .E45 1993</t>
        </is>
      </c>
      <c r="C1118" t="inlineStr">
        <is>
          <t>0                      E  0321000E  45          1993</t>
        </is>
      </c>
      <c r="D1118" t="inlineStr">
        <is>
          <t>Passionate sage : the character and legacy of John Adams / Joseph J. Ellis.</t>
        </is>
      </c>
      <c r="F1118" t="inlineStr">
        <is>
          <t>No</t>
        </is>
      </c>
      <c r="G1118" t="inlineStr">
        <is>
          <t>1</t>
        </is>
      </c>
      <c r="H1118" t="inlineStr">
        <is>
          <t>No</t>
        </is>
      </c>
      <c r="I1118" t="inlineStr">
        <is>
          <t>No</t>
        </is>
      </c>
      <c r="J1118" t="inlineStr">
        <is>
          <t>0</t>
        </is>
      </c>
      <c r="K1118" t="inlineStr">
        <is>
          <t>Ellis, Joseph J.</t>
        </is>
      </c>
      <c r="L1118" t="inlineStr">
        <is>
          <t>New York : Norton, c1993.</t>
        </is>
      </c>
      <c r="M1118" t="inlineStr">
        <is>
          <t>1993</t>
        </is>
      </c>
      <c r="N1118" t="inlineStr">
        <is>
          <t>1st ed.</t>
        </is>
      </c>
      <c r="O1118" t="inlineStr">
        <is>
          <t>eng</t>
        </is>
      </c>
      <c r="P1118" t="inlineStr">
        <is>
          <t>nyu</t>
        </is>
      </c>
      <c r="R1118" t="inlineStr">
        <is>
          <t xml:space="preserve">E  </t>
        </is>
      </c>
      <c r="S1118" t="n">
        <v>4</v>
      </c>
      <c r="T1118" t="n">
        <v>4</v>
      </c>
      <c r="U1118" t="inlineStr">
        <is>
          <t>1999-02-20</t>
        </is>
      </c>
      <c r="V1118" t="inlineStr">
        <is>
          <t>1999-02-20</t>
        </is>
      </c>
      <c r="W1118" t="inlineStr">
        <is>
          <t>1994-03-11</t>
        </is>
      </c>
      <c r="X1118" t="inlineStr">
        <is>
          <t>1994-03-11</t>
        </is>
      </c>
      <c r="Y1118" t="n">
        <v>1047</v>
      </c>
      <c r="Z1118" t="n">
        <v>982</v>
      </c>
      <c r="AA1118" t="n">
        <v>1280</v>
      </c>
      <c r="AB1118" t="n">
        <v>11</v>
      </c>
      <c r="AC1118" t="n">
        <v>13</v>
      </c>
      <c r="AD1118" t="n">
        <v>45</v>
      </c>
      <c r="AE1118" t="n">
        <v>54</v>
      </c>
      <c r="AF1118" t="n">
        <v>17</v>
      </c>
      <c r="AG1118" t="n">
        <v>24</v>
      </c>
      <c r="AH1118" t="n">
        <v>9</v>
      </c>
      <c r="AI1118" t="n">
        <v>9</v>
      </c>
      <c r="AJ1118" t="n">
        <v>17</v>
      </c>
      <c r="AK1118" t="n">
        <v>20</v>
      </c>
      <c r="AL1118" t="n">
        <v>7</v>
      </c>
      <c r="AM1118" t="n">
        <v>8</v>
      </c>
      <c r="AN1118" t="n">
        <v>3</v>
      </c>
      <c r="AO1118" t="n">
        <v>3</v>
      </c>
      <c r="AP1118" t="inlineStr">
        <is>
          <t>No</t>
        </is>
      </c>
      <c r="AQ1118" t="inlineStr">
        <is>
          <t>No</t>
        </is>
      </c>
      <c r="AS1118">
        <f>HYPERLINK("https://creighton-primo.hosted.exlibrisgroup.com/primo-explore/search?tab=default_tab&amp;search_scope=EVERYTHING&amp;vid=01CRU&amp;lang=en_US&amp;offset=0&amp;query=any,contains,991002102009702656","Catalog Record")</f>
        <v/>
      </c>
      <c r="AT1118">
        <f>HYPERLINK("http://www.worldcat.org/oclc/26974633","WorldCat Record")</f>
        <v/>
      </c>
      <c r="AU1118" t="inlineStr">
        <is>
          <t>335632:eng</t>
        </is>
      </c>
      <c r="AV1118" t="inlineStr">
        <is>
          <t>26974633</t>
        </is>
      </c>
      <c r="AW1118" t="inlineStr">
        <is>
          <t>991002102009702656</t>
        </is>
      </c>
      <c r="AX1118" t="inlineStr">
        <is>
          <t>991002102009702656</t>
        </is>
      </c>
      <c r="AY1118" t="inlineStr">
        <is>
          <t>2255627710002656</t>
        </is>
      </c>
      <c r="AZ1118" t="inlineStr">
        <is>
          <t>BOOK</t>
        </is>
      </c>
      <c r="BB1118" t="inlineStr">
        <is>
          <t>9780393034790</t>
        </is>
      </c>
      <c r="BC1118" t="inlineStr">
        <is>
          <t>32285001856102</t>
        </is>
      </c>
      <c r="BD1118" t="inlineStr">
        <is>
          <t>893316387</t>
        </is>
      </c>
    </row>
    <row r="1119">
      <c r="A1119" t="inlineStr">
        <is>
          <t>No</t>
        </is>
      </c>
      <c r="B1119" t="inlineStr">
        <is>
          <t>E321 .K8</t>
        </is>
      </c>
      <c r="C1119" t="inlineStr">
        <is>
          <t>0                      E  0321000K  8</t>
        </is>
      </c>
      <c r="D1119" t="inlineStr">
        <is>
          <t>The Presidency of John Adams : the collapse of Federalism, 1795-1800.</t>
        </is>
      </c>
      <c r="F1119" t="inlineStr">
        <is>
          <t>No</t>
        </is>
      </c>
      <c r="G1119" t="inlineStr">
        <is>
          <t>1</t>
        </is>
      </c>
      <c r="H1119" t="inlineStr">
        <is>
          <t>No</t>
        </is>
      </c>
      <c r="I1119" t="inlineStr">
        <is>
          <t>No</t>
        </is>
      </c>
      <c r="J1119" t="inlineStr">
        <is>
          <t>0</t>
        </is>
      </c>
      <c r="K1119" t="inlineStr">
        <is>
          <t>Kurtz, Stephen G.</t>
        </is>
      </c>
      <c r="L1119" t="inlineStr">
        <is>
          <t>Philadelphia : University of Pennsylvania Press, [1957]</t>
        </is>
      </c>
      <c r="M1119" t="inlineStr">
        <is>
          <t>1957</t>
        </is>
      </c>
      <c r="O1119" t="inlineStr">
        <is>
          <t>eng</t>
        </is>
      </c>
      <c r="P1119" t="inlineStr">
        <is>
          <t>pau</t>
        </is>
      </c>
      <c r="R1119" t="inlineStr">
        <is>
          <t xml:space="preserve">E  </t>
        </is>
      </c>
      <c r="S1119" t="n">
        <v>1</v>
      </c>
      <c r="T1119" t="n">
        <v>1</v>
      </c>
      <c r="U1119" t="inlineStr">
        <is>
          <t>2003-01-28</t>
        </is>
      </c>
      <c r="V1119" t="inlineStr">
        <is>
          <t>2003-01-28</t>
        </is>
      </c>
      <c r="W1119" t="inlineStr">
        <is>
          <t>1993-11-30</t>
        </is>
      </c>
      <c r="X1119" t="inlineStr">
        <is>
          <t>1993-11-30</t>
        </is>
      </c>
      <c r="Y1119" t="n">
        <v>1123</v>
      </c>
      <c r="Z1119" t="n">
        <v>1031</v>
      </c>
      <c r="AA1119" t="n">
        <v>1214</v>
      </c>
      <c r="AB1119" t="n">
        <v>10</v>
      </c>
      <c r="AC1119" t="n">
        <v>10</v>
      </c>
      <c r="AD1119" t="n">
        <v>43</v>
      </c>
      <c r="AE1119" t="n">
        <v>53</v>
      </c>
      <c r="AF1119" t="n">
        <v>18</v>
      </c>
      <c r="AG1119" t="n">
        <v>24</v>
      </c>
      <c r="AH1119" t="n">
        <v>5</v>
      </c>
      <c r="AI1119" t="n">
        <v>8</v>
      </c>
      <c r="AJ1119" t="n">
        <v>20</v>
      </c>
      <c r="AK1119" t="n">
        <v>23</v>
      </c>
      <c r="AL1119" t="n">
        <v>8</v>
      </c>
      <c r="AM1119" t="n">
        <v>8</v>
      </c>
      <c r="AN1119" t="n">
        <v>1</v>
      </c>
      <c r="AO1119" t="n">
        <v>2</v>
      </c>
      <c r="AP1119" t="inlineStr">
        <is>
          <t>Yes</t>
        </is>
      </c>
      <c r="AQ1119" t="inlineStr">
        <is>
          <t>No</t>
        </is>
      </c>
      <c r="AR1119">
        <f>HYPERLINK("http://catalog.hathitrust.org/Record/000367396","HathiTrust Record")</f>
        <v/>
      </c>
      <c r="AS1119">
        <f>HYPERLINK("https://creighton-primo.hosted.exlibrisgroup.com/primo-explore/search?tab=default_tab&amp;search_scope=EVERYTHING&amp;vid=01CRU&amp;lang=en_US&amp;offset=0&amp;query=any,contains,991002754729702656","Catalog Record")</f>
        <v/>
      </c>
      <c r="AT1119">
        <f>HYPERLINK("http://www.worldcat.org/oclc/426043","WorldCat Record")</f>
        <v/>
      </c>
      <c r="AU1119" t="inlineStr">
        <is>
          <t>1460723:eng</t>
        </is>
      </c>
      <c r="AV1119" t="inlineStr">
        <is>
          <t>426043</t>
        </is>
      </c>
      <c r="AW1119" t="inlineStr">
        <is>
          <t>991002754729702656</t>
        </is>
      </c>
      <c r="AX1119" t="inlineStr">
        <is>
          <t>991002754729702656</t>
        </is>
      </c>
      <c r="AY1119" t="inlineStr">
        <is>
          <t>2265371860002656</t>
        </is>
      </c>
      <c r="AZ1119" t="inlineStr">
        <is>
          <t>BOOK</t>
        </is>
      </c>
      <c r="BC1119" t="inlineStr">
        <is>
          <t>32285001689917</t>
        </is>
      </c>
      <c r="BD1119" t="inlineStr">
        <is>
          <t>893427975</t>
        </is>
      </c>
    </row>
    <row r="1120">
      <c r="A1120" t="inlineStr">
        <is>
          <t>No</t>
        </is>
      </c>
      <c r="B1120" t="inlineStr">
        <is>
          <t>E322 .B83 1995</t>
        </is>
      </c>
      <c r="C1120" t="inlineStr">
        <is>
          <t>0                      E  0322000B  83          1995</t>
        </is>
      </c>
      <c r="D1120" t="inlineStr">
        <is>
          <t>John Adams and the American press : politics and journalism at the birth of the Republic / by Walt Brown.</t>
        </is>
      </c>
      <c r="F1120" t="inlineStr">
        <is>
          <t>No</t>
        </is>
      </c>
      <c r="G1120" t="inlineStr">
        <is>
          <t>1</t>
        </is>
      </c>
      <c r="H1120" t="inlineStr">
        <is>
          <t>No</t>
        </is>
      </c>
      <c r="I1120" t="inlineStr">
        <is>
          <t>No</t>
        </is>
      </c>
      <c r="J1120" t="inlineStr">
        <is>
          <t>0</t>
        </is>
      </c>
      <c r="K1120" t="inlineStr">
        <is>
          <t>Brown, Walt.</t>
        </is>
      </c>
      <c r="L1120" t="inlineStr">
        <is>
          <t>Jefferson, N.C. : McFarland &amp; Co., c1995.</t>
        </is>
      </c>
      <c r="M1120" t="inlineStr">
        <is>
          <t>1995</t>
        </is>
      </c>
      <c r="O1120" t="inlineStr">
        <is>
          <t>eng</t>
        </is>
      </c>
      <c r="P1120" t="inlineStr">
        <is>
          <t>ncu</t>
        </is>
      </c>
      <c r="R1120" t="inlineStr">
        <is>
          <t xml:space="preserve">E  </t>
        </is>
      </c>
      <c r="S1120" t="n">
        <v>3</v>
      </c>
      <c r="T1120" t="n">
        <v>3</v>
      </c>
      <c r="U1120" t="inlineStr">
        <is>
          <t>2003-01-21</t>
        </is>
      </c>
      <c r="V1120" t="inlineStr">
        <is>
          <t>2003-01-21</t>
        </is>
      </c>
      <c r="W1120" t="inlineStr">
        <is>
          <t>1996-03-18</t>
        </is>
      </c>
      <c r="X1120" t="inlineStr">
        <is>
          <t>1996-03-18</t>
        </is>
      </c>
      <c r="Y1120" t="n">
        <v>386</v>
      </c>
      <c r="Z1120" t="n">
        <v>351</v>
      </c>
      <c r="AA1120" t="n">
        <v>361</v>
      </c>
      <c r="AB1120" t="n">
        <v>3</v>
      </c>
      <c r="AC1120" t="n">
        <v>3</v>
      </c>
      <c r="AD1120" t="n">
        <v>19</v>
      </c>
      <c r="AE1120" t="n">
        <v>19</v>
      </c>
      <c r="AF1120" t="n">
        <v>4</v>
      </c>
      <c r="AG1120" t="n">
        <v>4</v>
      </c>
      <c r="AH1120" t="n">
        <v>7</v>
      </c>
      <c r="AI1120" t="n">
        <v>7</v>
      </c>
      <c r="AJ1120" t="n">
        <v>8</v>
      </c>
      <c r="AK1120" t="n">
        <v>8</v>
      </c>
      <c r="AL1120" t="n">
        <v>2</v>
      </c>
      <c r="AM1120" t="n">
        <v>2</v>
      </c>
      <c r="AN1120" t="n">
        <v>0</v>
      </c>
      <c r="AO1120" t="n">
        <v>0</v>
      </c>
      <c r="AP1120" t="inlineStr">
        <is>
          <t>No</t>
        </is>
      </c>
      <c r="AQ1120" t="inlineStr">
        <is>
          <t>Yes</t>
        </is>
      </c>
      <c r="AR1120">
        <f>HYPERLINK("http://catalog.hathitrust.org/Record/002960953","HathiTrust Record")</f>
        <v/>
      </c>
      <c r="AS1120">
        <f>HYPERLINK("https://creighton-primo.hosted.exlibrisgroup.com/primo-explore/search?tab=default_tab&amp;search_scope=EVERYTHING&amp;vid=01CRU&amp;lang=en_US&amp;offset=0&amp;query=any,contains,991002416059702656","Catalog Record")</f>
        <v/>
      </c>
      <c r="AT1120">
        <f>HYPERLINK("http://www.worldcat.org/oclc/31435328","WorldCat Record")</f>
        <v/>
      </c>
      <c r="AU1120" t="inlineStr">
        <is>
          <t>33661475:eng</t>
        </is>
      </c>
      <c r="AV1120" t="inlineStr">
        <is>
          <t>31435328</t>
        </is>
      </c>
      <c r="AW1120" t="inlineStr">
        <is>
          <t>991002416059702656</t>
        </is>
      </c>
      <c r="AX1120" t="inlineStr">
        <is>
          <t>991002416059702656</t>
        </is>
      </c>
      <c r="AY1120" t="inlineStr">
        <is>
          <t>2263116530002656</t>
        </is>
      </c>
      <c r="AZ1120" t="inlineStr">
        <is>
          <t>BOOK</t>
        </is>
      </c>
      <c r="BB1120" t="inlineStr">
        <is>
          <t>9780899509983</t>
        </is>
      </c>
      <c r="BC1120" t="inlineStr">
        <is>
          <t>32285002144151</t>
        </is>
      </c>
      <c r="BD1120" t="inlineStr">
        <is>
          <t>893704053</t>
        </is>
      </c>
    </row>
    <row r="1121">
      <c r="A1121" t="inlineStr">
        <is>
          <t>No</t>
        </is>
      </c>
      <c r="B1121" t="inlineStr">
        <is>
          <t>E322 .C47</t>
        </is>
      </c>
      <c r="C1121" t="inlineStr">
        <is>
          <t>0                      E  0322000C  47</t>
        </is>
      </c>
      <c r="D1121" t="inlineStr">
        <is>
          <t>Honest John Adams, by Gilbert Chinard ...</t>
        </is>
      </c>
      <c r="F1121" t="inlineStr">
        <is>
          <t>No</t>
        </is>
      </c>
      <c r="G1121" t="inlineStr">
        <is>
          <t>1</t>
        </is>
      </c>
      <c r="H1121" t="inlineStr">
        <is>
          <t>No</t>
        </is>
      </c>
      <c r="I1121" t="inlineStr">
        <is>
          <t>No</t>
        </is>
      </c>
      <c r="J1121" t="inlineStr">
        <is>
          <t>0</t>
        </is>
      </c>
      <c r="K1121" t="inlineStr">
        <is>
          <t>Chinard, Gilbert, 1881-1972.</t>
        </is>
      </c>
      <c r="L1121" t="inlineStr">
        <is>
          <t>Boston, Little, Brown, and Company, 1933.</t>
        </is>
      </c>
      <c r="M1121" t="inlineStr">
        <is>
          <t>1933</t>
        </is>
      </c>
      <c r="O1121" t="inlineStr">
        <is>
          <t>eng</t>
        </is>
      </c>
      <c r="P1121" t="inlineStr">
        <is>
          <t>mau</t>
        </is>
      </c>
      <c r="R1121" t="inlineStr">
        <is>
          <t xml:space="preserve">E  </t>
        </is>
      </c>
      <c r="S1121" t="n">
        <v>2</v>
      </c>
      <c r="T1121" t="n">
        <v>2</v>
      </c>
      <c r="U1121" t="inlineStr">
        <is>
          <t>1993-10-10</t>
        </is>
      </c>
      <c r="V1121" t="inlineStr">
        <is>
          <t>1993-10-10</t>
        </is>
      </c>
      <c r="W1121" t="inlineStr">
        <is>
          <t>1991-04-16</t>
        </is>
      </c>
      <c r="X1121" t="inlineStr">
        <is>
          <t>1991-04-16</t>
        </is>
      </c>
      <c r="Y1121" t="n">
        <v>509</v>
      </c>
      <c r="Z1121" t="n">
        <v>483</v>
      </c>
      <c r="AA1121" t="n">
        <v>990</v>
      </c>
      <c r="AB1121" t="n">
        <v>6</v>
      </c>
      <c r="AC1121" t="n">
        <v>7</v>
      </c>
      <c r="AD1121" t="n">
        <v>23</v>
      </c>
      <c r="AE1121" t="n">
        <v>38</v>
      </c>
      <c r="AF1121" t="n">
        <v>8</v>
      </c>
      <c r="AG1121" t="n">
        <v>12</v>
      </c>
      <c r="AH1121" t="n">
        <v>3</v>
      </c>
      <c r="AI1121" t="n">
        <v>8</v>
      </c>
      <c r="AJ1121" t="n">
        <v>9</v>
      </c>
      <c r="AK1121" t="n">
        <v>19</v>
      </c>
      <c r="AL1121" t="n">
        <v>5</v>
      </c>
      <c r="AM1121" t="n">
        <v>6</v>
      </c>
      <c r="AN1121" t="n">
        <v>1</v>
      </c>
      <c r="AO1121" t="n">
        <v>1</v>
      </c>
      <c r="AP1121" t="inlineStr">
        <is>
          <t>No</t>
        </is>
      </c>
      <c r="AQ1121" t="inlineStr">
        <is>
          <t>No</t>
        </is>
      </c>
      <c r="AR1121">
        <f>HYPERLINK("http://catalog.hathitrust.org/Record/000367267","HathiTrust Record")</f>
        <v/>
      </c>
      <c r="AS1121">
        <f>HYPERLINK("https://creighton-primo.hosted.exlibrisgroup.com/primo-explore/search?tab=default_tab&amp;search_scope=EVERYTHING&amp;vid=01CRU&amp;lang=en_US&amp;offset=0&amp;query=any,contains,991000961249702656","Catalog Record")</f>
        <v/>
      </c>
      <c r="AT1121">
        <f>HYPERLINK("http://www.worldcat.org/oclc/169381","WorldCat Record")</f>
        <v/>
      </c>
      <c r="AU1121" t="inlineStr">
        <is>
          <t>507350:eng</t>
        </is>
      </c>
      <c r="AV1121" t="inlineStr">
        <is>
          <t>169381</t>
        </is>
      </c>
      <c r="AW1121" t="inlineStr">
        <is>
          <t>991000961249702656</t>
        </is>
      </c>
      <c r="AX1121" t="inlineStr">
        <is>
          <t>991000961249702656</t>
        </is>
      </c>
      <c r="AY1121" t="inlineStr">
        <is>
          <t>2264034560002656</t>
        </is>
      </c>
      <c r="AZ1121" t="inlineStr">
        <is>
          <t>BOOK</t>
        </is>
      </c>
      <c r="BC1121" t="inlineStr">
        <is>
          <t>32285000543115</t>
        </is>
      </c>
      <c r="BD1121" t="inlineStr">
        <is>
          <t>893797174</t>
        </is>
      </c>
    </row>
    <row r="1122">
      <c r="A1122" t="inlineStr">
        <is>
          <t>No</t>
        </is>
      </c>
      <c r="B1122" t="inlineStr">
        <is>
          <t>E322 .F46 1994</t>
        </is>
      </c>
      <c r="C1122" t="inlineStr">
        <is>
          <t>0                      E  0322000F  46          1994</t>
        </is>
      </c>
      <c r="D1122" t="inlineStr">
        <is>
          <t>John Adams : a bibliography / compiled by John Ferling.</t>
        </is>
      </c>
      <c r="F1122" t="inlineStr">
        <is>
          <t>No</t>
        </is>
      </c>
      <c r="G1122" t="inlineStr">
        <is>
          <t>1</t>
        </is>
      </c>
      <c r="H1122" t="inlineStr">
        <is>
          <t>No</t>
        </is>
      </c>
      <c r="I1122" t="inlineStr">
        <is>
          <t>No</t>
        </is>
      </c>
      <c r="J1122" t="inlineStr">
        <is>
          <t>0</t>
        </is>
      </c>
      <c r="K1122" t="inlineStr">
        <is>
          <t>Ferling, John E.</t>
        </is>
      </c>
      <c r="L1122" t="inlineStr">
        <is>
          <t>Westport, Conn. : Greenwood Press, 1994.</t>
        </is>
      </c>
      <c r="M1122" t="inlineStr">
        <is>
          <t>1994</t>
        </is>
      </c>
      <c r="O1122" t="inlineStr">
        <is>
          <t>eng</t>
        </is>
      </c>
      <c r="P1122" t="inlineStr">
        <is>
          <t>ctu</t>
        </is>
      </c>
      <c r="Q1122" t="inlineStr">
        <is>
          <t>Bibliographies of the presidents of the United States, 1061-6500 ; no. 2</t>
        </is>
      </c>
      <c r="R1122" t="inlineStr">
        <is>
          <t xml:space="preserve">E  </t>
        </is>
      </c>
      <c r="S1122" t="n">
        <v>1</v>
      </c>
      <c r="T1122" t="n">
        <v>1</v>
      </c>
      <c r="U1122" t="inlineStr">
        <is>
          <t>2001-09-06</t>
        </is>
      </c>
      <c r="V1122" t="inlineStr">
        <is>
          <t>2001-09-06</t>
        </is>
      </c>
      <c r="W1122" t="inlineStr">
        <is>
          <t>1994-06-02</t>
        </is>
      </c>
      <c r="X1122" t="inlineStr">
        <is>
          <t>1994-06-02</t>
        </is>
      </c>
      <c r="Y1122" t="n">
        <v>281</v>
      </c>
      <c r="Z1122" t="n">
        <v>248</v>
      </c>
      <c r="AA1122" t="n">
        <v>250</v>
      </c>
      <c r="AB1122" t="n">
        <v>1</v>
      </c>
      <c r="AC1122" t="n">
        <v>1</v>
      </c>
      <c r="AD1122" t="n">
        <v>10</v>
      </c>
      <c r="AE1122" t="n">
        <v>10</v>
      </c>
      <c r="AF1122" t="n">
        <v>0</v>
      </c>
      <c r="AG1122" t="n">
        <v>0</v>
      </c>
      <c r="AH1122" t="n">
        <v>5</v>
      </c>
      <c r="AI1122" t="n">
        <v>5</v>
      </c>
      <c r="AJ1122" t="n">
        <v>7</v>
      </c>
      <c r="AK1122" t="n">
        <v>7</v>
      </c>
      <c r="AL1122" t="n">
        <v>0</v>
      </c>
      <c r="AM1122" t="n">
        <v>0</v>
      </c>
      <c r="AN1122" t="n">
        <v>0</v>
      </c>
      <c r="AO1122" t="n">
        <v>0</v>
      </c>
      <c r="AP1122" t="inlineStr">
        <is>
          <t>No</t>
        </is>
      </c>
      <c r="AQ1122" t="inlineStr">
        <is>
          <t>Yes</t>
        </is>
      </c>
      <c r="AR1122">
        <f>HYPERLINK("http://catalog.hathitrust.org/Record/002780571","HathiTrust Record")</f>
        <v/>
      </c>
      <c r="AS1122">
        <f>HYPERLINK("https://creighton-primo.hosted.exlibrisgroup.com/primo-explore/search?tab=default_tab&amp;search_scope=EVERYTHING&amp;vid=01CRU&amp;lang=en_US&amp;offset=0&amp;query=any,contains,991002220539702656","Catalog Record")</f>
        <v/>
      </c>
      <c r="AT1122">
        <f>HYPERLINK("http://www.worldcat.org/oclc/28587313","WorldCat Record")</f>
        <v/>
      </c>
      <c r="AU1122" t="inlineStr">
        <is>
          <t>2542075795:eng</t>
        </is>
      </c>
      <c r="AV1122" t="inlineStr">
        <is>
          <t>28587313</t>
        </is>
      </c>
      <c r="AW1122" t="inlineStr">
        <is>
          <t>991002220539702656</t>
        </is>
      </c>
      <c r="AX1122" t="inlineStr">
        <is>
          <t>991002220539702656</t>
        </is>
      </c>
      <c r="AY1122" t="inlineStr">
        <is>
          <t>2263190910002656</t>
        </is>
      </c>
      <c r="AZ1122" t="inlineStr">
        <is>
          <t>BOOK</t>
        </is>
      </c>
      <c r="BB1122" t="inlineStr">
        <is>
          <t>9780313281600</t>
        </is>
      </c>
      <c r="BC1122" t="inlineStr">
        <is>
          <t>32285001920676</t>
        </is>
      </c>
      <c r="BD1122" t="inlineStr">
        <is>
          <t>893809363</t>
        </is>
      </c>
    </row>
    <row r="1123">
      <c r="A1123" t="inlineStr">
        <is>
          <t>No</t>
        </is>
      </c>
      <c r="B1123" t="inlineStr">
        <is>
          <t>E322 .F47 1996</t>
        </is>
      </c>
      <c r="C1123" t="inlineStr">
        <is>
          <t>0                      E  0322000F  47          1996</t>
        </is>
      </c>
      <c r="D1123" t="inlineStr">
        <is>
          <t>John Adams : a life / John Ferling.</t>
        </is>
      </c>
      <c r="F1123" t="inlineStr">
        <is>
          <t>No</t>
        </is>
      </c>
      <c r="G1123" t="inlineStr">
        <is>
          <t>1</t>
        </is>
      </c>
      <c r="H1123" t="inlineStr">
        <is>
          <t>No</t>
        </is>
      </c>
      <c r="I1123" t="inlineStr">
        <is>
          <t>No</t>
        </is>
      </c>
      <c r="J1123" t="inlineStr">
        <is>
          <t>0</t>
        </is>
      </c>
      <c r="K1123" t="inlineStr">
        <is>
          <t>Ferling, John E.</t>
        </is>
      </c>
      <c r="L1123" t="inlineStr">
        <is>
          <t>New York : Henry Holt &amp; Co., 1996.</t>
        </is>
      </c>
      <c r="M1123" t="inlineStr">
        <is>
          <t>1996</t>
        </is>
      </c>
      <c r="N1123" t="inlineStr">
        <is>
          <t>1st Owl Book ed.</t>
        </is>
      </c>
      <c r="O1123" t="inlineStr">
        <is>
          <t>eng</t>
        </is>
      </c>
      <c r="P1123" t="inlineStr">
        <is>
          <t>nyu</t>
        </is>
      </c>
      <c r="R1123" t="inlineStr">
        <is>
          <t xml:space="preserve">E  </t>
        </is>
      </c>
      <c r="S1123" t="n">
        <v>3</v>
      </c>
      <c r="T1123" t="n">
        <v>3</v>
      </c>
      <c r="U1123" t="inlineStr">
        <is>
          <t>2003-01-23</t>
        </is>
      </c>
      <c r="V1123" t="inlineStr">
        <is>
          <t>2003-01-23</t>
        </is>
      </c>
      <c r="W1123" t="inlineStr">
        <is>
          <t>1996-11-11</t>
        </is>
      </c>
      <c r="X1123" t="inlineStr">
        <is>
          <t>1996-11-11</t>
        </is>
      </c>
      <c r="Y1123" t="n">
        <v>221</v>
      </c>
      <c r="Z1123" t="n">
        <v>207</v>
      </c>
      <c r="AA1123" t="n">
        <v>1316</v>
      </c>
      <c r="AB1123" t="n">
        <v>4</v>
      </c>
      <c r="AC1123" t="n">
        <v>11</v>
      </c>
      <c r="AD1123" t="n">
        <v>7</v>
      </c>
      <c r="AE1123" t="n">
        <v>48</v>
      </c>
      <c r="AF1123" t="n">
        <v>4</v>
      </c>
      <c r="AG1123" t="n">
        <v>22</v>
      </c>
      <c r="AH1123" t="n">
        <v>1</v>
      </c>
      <c r="AI1123" t="n">
        <v>9</v>
      </c>
      <c r="AJ1123" t="n">
        <v>1</v>
      </c>
      <c r="AK1123" t="n">
        <v>19</v>
      </c>
      <c r="AL1123" t="n">
        <v>2</v>
      </c>
      <c r="AM1123" t="n">
        <v>7</v>
      </c>
      <c r="AN1123" t="n">
        <v>0</v>
      </c>
      <c r="AO1123" t="n">
        <v>1</v>
      </c>
      <c r="AP1123" t="inlineStr">
        <is>
          <t>No</t>
        </is>
      </c>
      <c r="AQ1123" t="inlineStr">
        <is>
          <t>No</t>
        </is>
      </c>
      <c r="AS1123">
        <f>HYPERLINK("https://creighton-primo.hosted.exlibrisgroup.com/primo-explore/search?tab=default_tab&amp;search_scope=EVERYTHING&amp;vid=01CRU&amp;lang=en_US&amp;offset=0&amp;query=any,contains,991002618959702656","Catalog Record")</f>
        <v/>
      </c>
      <c r="AT1123">
        <f>HYPERLINK("http://www.worldcat.org/oclc/34321225","WorldCat Record")</f>
        <v/>
      </c>
      <c r="AU1123" t="inlineStr">
        <is>
          <t>890396956:eng</t>
        </is>
      </c>
      <c r="AV1123" t="inlineStr">
        <is>
          <t>34321225</t>
        </is>
      </c>
      <c r="AW1123" t="inlineStr">
        <is>
          <t>991002618959702656</t>
        </is>
      </c>
      <c r="AX1123" t="inlineStr">
        <is>
          <t>991002618959702656</t>
        </is>
      </c>
      <c r="AY1123" t="inlineStr">
        <is>
          <t>2257182590002656</t>
        </is>
      </c>
      <c r="AZ1123" t="inlineStr">
        <is>
          <t>BOOK</t>
        </is>
      </c>
      <c r="BB1123" t="inlineStr">
        <is>
          <t>9780805045765</t>
        </is>
      </c>
      <c r="BC1123" t="inlineStr">
        <is>
          <t>32285002371242</t>
        </is>
      </c>
      <c r="BD1123" t="inlineStr">
        <is>
          <t>893798788</t>
        </is>
      </c>
    </row>
    <row r="1124">
      <c r="A1124" t="inlineStr">
        <is>
          <t>No</t>
        </is>
      </c>
      <c r="B1124" t="inlineStr">
        <is>
          <t>E322 .G73 2005</t>
        </is>
      </c>
      <c r="C1124" t="inlineStr">
        <is>
          <t>0                      E  0322000G  73          2005</t>
        </is>
      </c>
      <c r="D1124" t="inlineStr">
        <is>
          <t>John Adams : party of one / James Grant.</t>
        </is>
      </c>
      <c r="F1124" t="inlineStr">
        <is>
          <t>No</t>
        </is>
      </c>
      <c r="G1124" t="inlineStr">
        <is>
          <t>1</t>
        </is>
      </c>
      <c r="H1124" t="inlineStr">
        <is>
          <t>No</t>
        </is>
      </c>
      <c r="I1124" t="inlineStr">
        <is>
          <t>No</t>
        </is>
      </c>
      <c r="J1124" t="inlineStr">
        <is>
          <t>0</t>
        </is>
      </c>
      <c r="K1124" t="inlineStr">
        <is>
          <t>Grant, James.</t>
        </is>
      </c>
      <c r="L1124" t="inlineStr">
        <is>
          <t>New York : Farrar, Straus and Giroux, 2005.</t>
        </is>
      </c>
      <c r="M1124" t="inlineStr">
        <is>
          <t>2005</t>
        </is>
      </c>
      <c r="N1124" t="inlineStr">
        <is>
          <t>1st ed.</t>
        </is>
      </c>
      <c r="O1124" t="inlineStr">
        <is>
          <t>eng</t>
        </is>
      </c>
      <c r="P1124" t="inlineStr">
        <is>
          <t>nyu</t>
        </is>
      </c>
      <c r="R1124" t="inlineStr">
        <is>
          <t xml:space="preserve">E  </t>
        </is>
      </c>
      <c r="S1124" t="n">
        <v>1</v>
      </c>
      <c r="T1124" t="n">
        <v>1</v>
      </c>
      <c r="U1124" t="inlineStr">
        <is>
          <t>2005-05-04</t>
        </is>
      </c>
      <c r="V1124" t="inlineStr">
        <is>
          <t>2005-05-04</t>
        </is>
      </c>
      <c r="W1124" t="inlineStr">
        <is>
          <t>2005-05-04</t>
        </is>
      </c>
      <c r="X1124" t="inlineStr">
        <is>
          <t>2005-05-04</t>
        </is>
      </c>
      <c r="Y1124" t="n">
        <v>1183</v>
      </c>
      <c r="Z1124" t="n">
        <v>1145</v>
      </c>
      <c r="AA1124" t="n">
        <v>1151</v>
      </c>
      <c r="AB1124" t="n">
        <v>10</v>
      </c>
      <c r="AC1124" t="n">
        <v>10</v>
      </c>
      <c r="AD1124" t="n">
        <v>31</v>
      </c>
      <c r="AE1124" t="n">
        <v>31</v>
      </c>
      <c r="AF1124" t="n">
        <v>13</v>
      </c>
      <c r="AG1124" t="n">
        <v>13</v>
      </c>
      <c r="AH1124" t="n">
        <v>7</v>
      </c>
      <c r="AI1124" t="n">
        <v>7</v>
      </c>
      <c r="AJ1124" t="n">
        <v>16</v>
      </c>
      <c r="AK1124" t="n">
        <v>16</v>
      </c>
      <c r="AL1124" t="n">
        <v>4</v>
      </c>
      <c r="AM1124" t="n">
        <v>4</v>
      </c>
      <c r="AN1124" t="n">
        <v>0</v>
      </c>
      <c r="AO1124" t="n">
        <v>0</v>
      </c>
      <c r="AP1124" t="inlineStr">
        <is>
          <t>No</t>
        </is>
      </c>
      <c r="AQ1124" t="inlineStr">
        <is>
          <t>Yes</t>
        </is>
      </c>
      <c r="AR1124">
        <f>HYPERLINK("http://catalog.hathitrust.org/Record/004961013","HathiTrust Record")</f>
        <v/>
      </c>
      <c r="AS1124">
        <f>HYPERLINK("https://creighton-primo.hosted.exlibrisgroup.com/primo-explore/search?tab=default_tab&amp;search_scope=EVERYTHING&amp;vid=01CRU&amp;lang=en_US&amp;offset=0&amp;query=any,contains,991004533229702656","Catalog Record")</f>
        <v/>
      </c>
      <c r="AT1124">
        <f>HYPERLINK("http://www.worldcat.org/oclc/55220408","WorldCat Record")</f>
        <v/>
      </c>
      <c r="AU1124" t="inlineStr">
        <is>
          <t>24879489:eng</t>
        </is>
      </c>
      <c r="AV1124" t="inlineStr">
        <is>
          <t>55220408</t>
        </is>
      </c>
      <c r="AW1124" t="inlineStr">
        <is>
          <t>991004533229702656</t>
        </is>
      </c>
      <c r="AX1124" t="inlineStr">
        <is>
          <t>991004533229702656</t>
        </is>
      </c>
      <c r="AY1124" t="inlineStr">
        <is>
          <t>2255369890002656</t>
        </is>
      </c>
      <c r="AZ1124" t="inlineStr">
        <is>
          <t>BOOK</t>
        </is>
      </c>
      <c r="BB1124" t="inlineStr">
        <is>
          <t>9780374113148</t>
        </is>
      </c>
      <c r="BC1124" t="inlineStr">
        <is>
          <t>32285005035240</t>
        </is>
      </c>
      <c r="BD1124" t="inlineStr">
        <is>
          <t>893229473</t>
        </is>
      </c>
    </row>
    <row r="1125">
      <c r="A1125" t="inlineStr">
        <is>
          <t>No</t>
        </is>
      </c>
      <c r="B1125" t="inlineStr">
        <is>
          <t>E322 .M85 1976</t>
        </is>
      </c>
      <c r="C1125" t="inlineStr">
        <is>
          <t>0                      E  0322000M  85          1976</t>
        </is>
      </c>
      <c r="D1125" t="inlineStr">
        <is>
          <t>The meaning of independence : John Adams, George Washington, Thomas Jefferson / by Edmund S. Morgan.</t>
        </is>
      </c>
      <c r="F1125" t="inlineStr">
        <is>
          <t>No</t>
        </is>
      </c>
      <c r="G1125" t="inlineStr">
        <is>
          <t>1</t>
        </is>
      </c>
      <c r="H1125" t="inlineStr">
        <is>
          <t>No</t>
        </is>
      </c>
      <c r="I1125" t="inlineStr">
        <is>
          <t>No</t>
        </is>
      </c>
      <c r="J1125" t="inlineStr">
        <is>
          <t>0</t>
        </is>
      </c>
      <c r="K1125" t="inlineStr">
        <is>
          <t>Morgan, Edmund S. (Edmund Sears), 1916-2013.</t>
        </is>
      </c>
      <c r="L1125" t="inlineStr">
        <is>
          <t>Charlottesville : University Press of Virginia, c1976, 1979 printing.</t>
        </is>
      </c>
      <c r="M1125" t="inlineStr">
        <is>
          <t>1976</t>
        </is>
      </c>
      <c r="O1125" t="inlineStr">
        <is>
          <t>eng</t>
        </is>
      </c>
      <c r="P1125" t="inlineStr">
        <is>
          <t>vau</t>
        </is>
      </c>
      <c r="Q1125" t="inlineStr">
        <is>
          <t>Richard lectures for 1975, University of Virginia</t>
        </is>
      </c>
      <c r="R1125" t="inlineStr">
        <is>
          <t xml:space="preserve">E  </t>
        </is>
      </c>
      <c r="S1125" t="n">
        <v>4</v>
      </c>
      <c r="T1125" t="n">
        <v>4</v>
      </c>
      <c r="U1125" t="inlineStr">
        <is>
          <t>1993-10-10</t>
        </is>
      </c>
      <c r="V1125" t="inlineStr">
        <is>
          <t>1993-10-10</t>
        </is>
      </c>
      <c r="W1125" t="inlineStr">
        <is>
          <t>1991-04-16</t>
        </is>
      </c>
      <c r="X1125" t="inlineStr">
        <is>
          <t>1991-04-16</t>
        </is>
      </c>
      <c r="Y1125" t="n">
        <v>897</v>
      </c>
      <c r="Z1125" t="n">
        <v>824</v>
      </c>
      <c r="AA1125" t="n">
        <v>1406</v>
      </c>
      <c r="AB1125" t="n">
        <v>5</v>
      </c>
      <c r="AC1125" t="n">
        <v>10</v>
      </c>
      <c r="AD1125" t="n">
        <v>33</v>
      </c>
      <c r="AE1125" t="n">
        <v>50</v>
      </c>
      <c r="AF1125" t="n">
        <v>13</v>
      </c>
      <c r="AG1125" t="n">
        <v>22</v>
      </c>
      <c r="AH1125" t="n">
        <v>10</v>
      </c>
      <c r="AI1125" t="n">
        <v>11</v>
      </c>
      <c r="AJ1125" t="n">
        <v>16</v>
      </c>
      <c r="AK1125" t="n">
        <v>18</v>
      </c>
      <c r="AL1125" t="n">
        <v>3</v>
      </c>
      <c r="AM1125" t="n">
        <v>8</v>
      </c>
      <c r="AN1125" t="n">
        <v>1</v>
      </c>
      <c r="AO1125" t="n">
        <v>3</v>
      </c>
      <c r="AP1125" t="inlineStr">
        <is>
          <t>No</t>
        </is>
      </c>
      <c r="AQ1125" t="inlineStr">
        <is>
          <t>No</t>
        </is>
      </c>
      <c r="AS1125">
        <f>HYPERLINK("https://creighton-primo.hosted.exlibrisgroup.com/primo-explore/search?tab=default_tab&amp;search_scope=EVERYTHING&amp;vid=01CRU&amp;lang=en_US&amp;offset=0&amp;query=any,contains,991004020849702656","Catalog Record")</f>
        <v/>
      </c>
      <c r="AT1125">
        <f>HYPERLINK("http://www.worldcat.org/oclc/2121438","WorldCat Record")</f>
        <v/>
      </c>
      <c r="AU1125" t="inlineStr">
        <is>
          <t>145421205:eng</t>
        </is>
      </c>
      <c r="AV1125" t="inlineStr">
        <is>
          <t>2121438</t>
        </is>
      </c>
      <c r="AW1125" t="inlineStr">
        <is>
          <t>991004020849702656</t>
        </is>
      </c>
      <c r="AX1125" t="inlineStr">
        <is>
          <t>991004020849702656</t>
        </is>
      </c>
      <c r="AY1125" t="inlineStr">
        <is>
          <t>2267115040002656</t>
        </is>
      </c>
      <c r="AZ1125" t="inlineStr">
        <is>
          <t>BOOK</t>
        </is>
      </c>
      <c r="BB1125" t="inlineStr">
        <is>
          <t>9780813906942</t>
        </is>
      </c>
      <c r="BC1125" t="inlineStr">
        <is>
          <t>32285000543131</t>
        </is>
      </c>
      <c r="BD1125" t="inlineStr">
        <is>
          <t>893888229</t>
        </is>
      </c>
    </row>
    <row r="1126">
      <c r="A1126" t="inlineStr">
        <is>
          <t>No</t>
        </is>
      </c>
      <c r="B1126" t="inlineStr">
        <is>
          <t>E322.1.A28 S53</t>
        </is>
      </c>
      <c r="C1126" t="inlineStr">
        <is>
          <t>0                      E  0322100A  28                 S  53</t>
        </is>
      </c>
      <c r="D1126" t="inlineStr">
        <is>
          <t>The Adams chronicles : four generations of greatness / Jack Shepherd ; introd. by Daniel J. Boorstin.</t>
        </is>
      </c>
      <c r="F1126" t="inlineStr">
        <is>
          <t>No</t>
        </is>
      </c>
      <c r="G1126" t="inlineStr">
        <is>
          <t>1</t>
        </is>
      </c>
      <c r="H1126" t="inlineStr">
        <is>
          <t>No</t>
        </is>
      </c>
      <c r="I1126" t="inlineStr">
        <is>
          <t>No</t>
        </is>
      </c>
      <c r="J1126" t="inlineStr">
        <is>
          <t>0</t>
        </is>
      </c>
      <c r="K1126" t="inlineStr">
        <is>
          <t>Shepherd, Jack, 1937-</t>
        </is>
      </c>
      <c r="L1126" t="inlineStr">
        <is>
          <t>Boston : Little, Brown, c1975.</t>
        </is>
      </c>
      <c r="M1126" t="inlineStr">
        <is>
          <t>1975</t>
        </is>
      </c>
      <c r="N1126" t="inlineStr">
        <is>
          <t>1st ed.</t>
        </is>
      </c>
      <c r="O1126" t="inlineStr">
        <is>
          <t>eng</t>
        </is>
      </c>
      <c r="P1126" t="inlineStr">
        <is>
          <t>mau</t>
        </is>
      </c>
      <c r="R1126" t="inlineStr">
        <is>
          <t xml:space="preserve">E  </t>
        </is>
      </c>
      <c r="S1126" t="n">
        <v>4</v>
      </c>
      <c r="T1126" t="n">
        <v>4</v>
      </c>
      <c r="U1126" t="inlineStr">
        <is>
          <t>2002-02-26</t>
        </is>
      </c>
      <c r="V1126" t="inlineStr">
        <is>
          <t>2002-02-26</t>
        </is>
      </c>
      <c r="W1126" t="inlineStr">
        <is>
          <t>1990-05-08</t>
        </is>
      </c>
      <c r="X1126" t="inlineStr">
        <is>
          <t>1990-05-08</t>
        </is>
      </c>
      <c r="Y1126" t="n">
        <v>2160</v>
      </c>
      <c r="Z1126" t="n">
        <v>2087</v>
      </c>
      <c r="AA1126" t="n">
        <v>2145</v>
      </c>
      <c r="AB1126" t="n">
        <v>21</v>
      </c>
      <c r="AC1126" t="n">
        <v>21</v>
      </c>
      <c r="AD1126" t="n">
        <v>53</v>
      </c>
      <c r="AE1126" t="n">
        <v>53</v>
      </c>
      <c r="AF1126" t="n">
        <v>21</v>
      </c>
      <c r="AG1126" t="n">
        <v>21</v>
      </c>
      <c r="AH1126" t="n">
        <v>9</v>
      </c>
      <c r="AI1126" t="n">
        <v>9</v>
      </c>
      <c r="AJ1126" t="n">
        <v>21</v>
      </c>
      <c r="AK1126" t="n">
        <v>21</v>
      </c>
      <c r="AL1126" t="n">
        <v>12</v>
      </c>
      <c r="AM1126" t="n">
        <v>12</v>
      </c>
      <c r="AN1126" t="n">
        <v>1</v>
      </c>
      <c r="AO1126" t="n">
        <v>1</v>
      </c>
      <c r="AP1126" t="inlineStr">
        <is>
          <t>No</t>
        </is>
      </c>
      <c r="AQ1126" t="inlineStr">
        <is>
          <t>No</t>
        </is>
      </c>
      <c r="AS1126">
        <f>HYPERLINK("https://creighton-primo.hosted.exlibrisgroup.com/primo-explore/search?tab=default_tab&amp;search_scope=EVERYTHING&amp;vid=01CRU&amp;lang=en_US&amp;offset=0&amp;query=any,contains,991003915779702656","Catalog Record")</f>
        <v/>
      </c>
      <c r="AT1126">
        <f>HYPERLINK("http://www.worldcat.org/oclc/1859753","WorldCat Record")</f>
        <v/>
      </c>
      <c r="AU1126" t="inlineStr">
        <is>
          <t>54088493:eng</t>
        </is>
      </c>
      <c r="AV1126" t="inlineStr">
        <is>
          <t>1859753</t>
        </is>
      </c>
      <c r="AW1126" t="inlineStr">
        <is>
          <t>991003915779702656</t>
        </is>
      </c>
      <c r="AX1126" t="inlineStr">
        <is>
          <t>991003915779702656</t>
        </is>
      </c>
      <c r="AY1126" t="inlineStr">
        <is>
          <t>2266536970002656</t>
        </is>
      </c>
      <c r="AZ1126" t="inlineStr">
        <is>
          <t>BOOK</t>
        </is>
      </c>
      <c r="BB1126" t="inlineStr">
        <is>
          <t>9780316784979</t>
        </is>
      </c>
      <c r="BC1126" t="inlineStr">
        <is>
          <t>32285000138569</t>
        </is>
      </c>
      <c r="BD1126" t="inlineStr">
        <is>
          <t>893775388</t>
        </is>
      </c>
    </row>
    <row r="1127">
      <c r="A1127" t="inlineStr">
        <is>
          <t>No</t>
        </is>
      </c>
      <c r="B1127" t="inlineStr">
        <is>
          <t>E322.1.A38 A35</t>
        </is>
      </c>
      <c r="C1127" t="inlineStr">
        <is>
          <t>0                      E  0322100A  38                 A  35</t>
        </is>
      </c>
      <c r="D1127" t="inlineStr">
        <is>
          <t>Abigail Adams, an American woman / Charles W. Akers.</t>
        </is>
      </c>
      <c r="F1127" t="inlineStr">
        <is>
          <t>No</t>
        </is>
      </c>
      <c r="G1127" t="inlineStr">
        <is>
          <t>1</t>
        </is>
      </c>
      <c r="H1127" t="inlineStr">
        <is>
          <t>No</t>
        </is>
      </c>
      <c r="I1127" t="inlineStr">
        <is>
          <t>No</t>
        </is>
      </c>
      <c r="J1127" t="inlineStr">
        <is>
          <t>0</t>
        </is>
      </c>
      <c r="K1127" t="inlineStr">
        <is>
          <t>Akers, Charles W.</t>
        </is>
      </c>
      <c r="L1127" t="inlineStr">
        <is>
          <t>Boston : Little, Brown, c1980.</t>
        </is>
      </c>
      <c r="M1127" t="inlineStr">
        <is>
          <t>1980</t>
        </is>
      </c>
      <c r="O1127" t="inlineStr">
        <is>
          <t>eng</t>
        </is>
      </c>
      <c r="P1127" t="inlineStr">
        <is>
          <t>mau</t>
        </is>
      </c>
      <c r="Q1127" t="inlineStr">
        <is>
          <t>The library of American biography</t>
        </is>
      </c>
      <c r="R1127" t="inlineStr">
        <is>
          <t xml:space="preserve">E  </t>
        </is>
      </c>
      <c r="S1127" t="n">
        <v>6</v>
      </c>
      <c r="T1127" t="n">
        <v>6</v>
      </c>
      <c r="U1127" t="inlineStr">
        <is>
          <t>2003-01-23</t>
        </is>
      </c>
      <c r="V1127" t="inlineStr">
        <is>
          <t>2003-01-23</t>
        </is>
      </c>
      <c r="W1127" t="inlineStr">
        <is>
          <t>1990-03-28</t>
        </is>
      </c>
      <c r="X1127" t="inlineStr">
        <is>
          <t>1990-03-28</t>
        </is>
      </c>
      <c r="Y1127" t="n">
        <v>1574</v>
      </c>
      <c r="Z1127" t="n">
        <v>1517</v>
      </c>
      <c r="AA1127" t="n">
        <v>1830</v>
      </c>
      <c r="AB1127" t="n">
        <v>10</v>
      </c>
      <c r="AC1127" t="n">
        <v>15</v>
      </c>
      <c r="AD1127" t="n">
        <v>38</v>
      </c>
      <c r="AE1127" t="n">
        <v>48</v>
      </c>
      <c r="AF1127" t="n">
        <v>14</v>
      </c>
      <c r="AG1127" t="n">
        <v>21</v>
      </c>
      <c r="AH1127" t="n">
        <v>8</v>
      </c>
      <c r="AI1127" t="n">
        <v>9</v>
      </c>
      <c r="AJ1127" t="n">
        <v>16</v>
      </c>
      <c r="AK1127" t="n">
        <v>21</v>
      </c>
      <c r="AL1127" t="n">
        <v>8</v>
      </c>
      <c r="AM1127" t="n">
        <v>9</v>
      </c>
      <c r="AN1127" t="n">
        <v>0</v>
      </c>
      <c r="AO1127" t="n">
        <v>0</v>
      </c>
      <c r="AP1127" t="inlineStr">
        <is>
          <t>No</t>
        </is>
      </c>
      <c r="AQ1127" t="inlineStr">
        <is>
          <t>No</t>
        </is>
      </c>
      <c r="AS1127">
        <f>HYPERLINK("https://creighton-primo.hosted.exlibrisgroup.com/primo-explore/search?tab=default_tab&amp;search_scope=EVERYTHING&amp;vid=01CRU&amp;lang=en_US&amp;offset=0&amp;query=any,contains,991004927999702656","Catalog Record")</f>
        <v/>
      </c>
      <c r="AT1127">
        <f>HYPERLINK("http://www.worldcat.org/oclc/6087708","WorldCat Record")</f>
        <v/>
      </c>
      <c r="AU1127" t="inlineStr">
        <is>
          <t>14431980:eng</t>
        </is>
      </c>
      <c r="AV1127" t="inlineStr">
        <is>
          <t>6087708</t>
        </is>
      </c>
      <c r="AW1127" t="inlineStr">
        <is>
          <t>991004927999702656</t>
        </is>
      </c>
      <c r="AX1127" t="inlineStr">
        <is>
          <t>991004927999702656</t>
        </is>
      </c>
      <c r="AY1127" t="inlineStr">
        <is>
          <t>2257098910002656</t>
        </is>
      </c>
      <c r="AZ1127" t="inlineStr">
        <is>
          <t>BOOK</t>
        </is>
      </c>
      <c r="BB1127" t="inlineStr">
        <is>
          <t>9780316020404</t>
        </is>
      </c>
      <c r="BC1127" t="inlineStr">
        <is>
          <t>32285000099498</t>
        </is>
      </c>
      <c r="BD1127" t="inlineStr">
        <is>
          <t>893876712</t>
        </is>
      </c>
    </row>
    <row r="1128">
      <c r="A1128" t="inlineStr">
        <is>
          <t>No</t>
        </is>
      </c>
      <c r="B1128" t="inlineStr">
        <is>
          <t>E322.1.A38 K435 1994</t>
        </is>
      </c>
      <c r="C1128" t="inlineStr">
        <is>
          <t>0                      E  0322100A  38                 K  435         1994</t>
        </is>
      </c>
      <c r="D1128" t="inlineStr">
        <is>
          <t>Patriotism and the female sex : Abigail Adams and the American Revolution / Rosemary Keller.</t>
        </is>
      </c>
      <c r="F1128" t="inlineStr">
        <is>
          <t>No</t>
        </is>
      </c>
      <c r="G1128" t="inlineStr">
        <is>
          <t>1</t>
        </is>
      </c>
      <c r="H1128" t="inlineStr">
        <is>
          <t>No</t>
        </is>
      </c>
      <c r="I1128" t="inlineStr">
        <is>
          <t>No</t>
        </is>
      </c>
      <c r="J1128" t="inlineStr">
        <is>
          <t>0</t>
        </is>
      </c>
      <c r="K1128" t="inlineStr">
        <is>
          <t>Keller, Rosemary Skinner.</t>
        </is>
      </c>
      <c r="L1128" t="inlineStr">
        <is>
          <t>Brooklyn, N.Y. : Carlson Pub., 1994.</t>
        </is>
      </c>
      <c r="M1128" t="inlineStr">
        <is>
          <t>1994</t>
        </is>
      </c>
      <c r="O1128" t="inlineStr">
        <is>
          <t>eng</t>
        </is>
      </c>
      <c r="P1128" t="inlineStr">
        <is>
          <t>nyu</t>
        </is>
      </c>
      <c r="Q1128" t="inlineStr">
        <is>
          <t>Scholarship in women's history ; v. 8</t>
        </is>
      </c>
      <c r="R1128" t="inlineStr">
        <is>
          <t xml:space="preserve">E  </t>
        </is>
      </c>
      <c r="S1128" t="n">
        <v>3</v>
      </c>
      <c r="T1128" t="n">
        <v>3</v>
      </c>
      <c r="U1128" t="inlineStr">
        <is>
          <t>2002-03-11</t>
        </is>
      </c>
      <c r="V1128" t="inlineStr">
        <is>
          <t>2002-03-11</t>
        </is>
      </c>
      <c r="W1128" t="inlineStr">
        <is>
          <t>1996-09-04</t>
        </is>
      </c>
      <c r="X1128" t="inlineStr">
        <is>
          <t>1996-09-04</t>
        </is>
      </c>
      <c r="Y1128" t="n">
        <v>414</v>
      </c>
      <c r="Z1128" t="n">
        <v>393</v>
      </c>
      <c r="AA1128" t="n">
        <v>395</v>
      </c>
      <c r="AB1128" t="n">
        <v>4</v>
      </c>
      <c r="AC1128" t="n">
        <v>4</v>
      </c>
      <c r="AD1128" t="n">
        <v>28</v>
      </c>
      <c r="AE1128" t="n">
        <v>28</v>
      </c>
      <c r="AF1128" t="n">
        <v>13</v>
      </c>
      <c r="AG1128" t="n">
        <v>13</v>
      </c>
      <c r="AH1128" t="n">
        <v>5</v>
      </c>
      <c r="AI1128" t="n">
        <v>5</v>
      </c>
      <c r="AJ1128" t="n">
        <v>16</v>
      </c>
      <c r="AK1128" t="n">
        <v>16</v>
      </c>
      <c r="AL1128" t="n">
        <v>3</v>
      </c>
      <c r="AM1128" t="n">
        <v>3</v>
      </c>
      <c r="AN1128" t="n">
        <v>0</v>
      </c>
      <c r="AO1128" t="n">
        <v>0</v>
      </c>
      <c r="AP1128" t="inlineStr">
        <is>
          <t>No</t>
        </is>
      </c>
      <c r="AQ1128" t="inlineStr">
        <is>
          <t>Yes</t>
        </is>
      </c>
      <c r="AR1128">
        <f>HYPERLINK("http://catalog.hathitrust.org/Record/002988874","HathiTrust Record")</f>
        <v/>
      </c>
      <c r="AS1128">
        <f>HYPERLINK("https://creighton-primo.hosted.exlibrisgroup.com/primo-explore/search?tab=default_tab&amp;search_scope=EVERYTHING&amp;vid=01CRU&amp;lang=en_US&amp;offset=0&amp;query=any,contains,991002342889702656","Catalog Record")</f>
        <v/>
      </c>
      <c r="AT1128">
        <f>HYPERLINK("http://www.worldcat.org/oclc/30510675","WorldCat Record")</f>
        <v/>
      </c>
      <c r="AU1128" t="inlineStr">
        <is>
          <t>32170224:eng</t>
        </is>
      </c>
      <c r="AV1128" t="inlineStr">
        <is>
          <t>30510675</t>
        </is>
      </c>
      <c r="AW1128" t="inlineStr">
        <is>
          <t>991002342889702656</t>
        </is>
      </c>
      <c r="AX1128" t="inlineStr">
        <is>
          <t>991002342889702656</t>
        </is>
      </c>
      <c r="AY1128" t="inlineStr">
        <is>
          <t>2255104290002656</t>
        </is>
      </c>
      <c r="AZ1128" t="inlineStr">
        <is>
          <t>BOOK</t>
        </is>
      </c>
      <c r="BB1128" t="inlineStr">
        <is>
          <t>9780926019690</t>
        </is>
      </c>
      <c r="BC1128" t="inlineStr">
        <is>
          <t>32285002294170</t>
        </is>
      </c>
      <c r="BD1128" t="inlineStr">
        <is>
          <t>893328955</t>
        </is>
      </c>
    </row>
    <row r="1129">
      <c r="A1129" t="inlineStr">
        <is>
          <t>No</t>
        </is>
      </c>
      <c r="B1129" t="inlineStr">
        <is>
          <t>E322.1.A38 L48 1987</t>
        </is>
      </c>
      <c r="C1129" t="inlineStr">
        <is>
          <t>0                      E  0322100A  38                 L  48          1987</t>
        </is>
      </c>
      <c r="D1129" t="inlineStr">
        <is>
          <t>Abigail Adams : a biography / by Phyllis Lee Levin.</t>
        </is>
      </c>
      <c r="F1129" t="inlineStr">
        <is>
          <t>No</t>
        </is>
      </c>
      <c r="G1129" t="inlineStr">
        <is>
          <t>1</t>
        </is>
      </c>
      <c r="H1129" t="inlineStr">
        <is>
          <t>No</t>
        </is>
      </c>
      <c r="I1129" t="inlineStr">
        <is>
          <t>No</t>
        </is>
      </c>
      <c r="J1129" t="inlineStr">
        <is>
          <t>0</t>
        </is>
      </c>
      <c r="K1129" t="inlineStr">
        <is>
          <t>Levin, Phyllis Lee.</t>
        </is>
      </c>
      <c r="L1129" t="inlineStr">
        <is>
          <t>New York : St. Martin's Press, 1987.</t>
        </is>
      </c>
      <c r="M1129" t="inlineStr">
        <is>
          <t>1987</t>
        </is>
      </c>
      <c r="O1129" t="inlineStr">
        <is>
          <t>eng</t>
        </is>
      </c>
      <c r="P1129" t="inlineStr">
        <is>
          <t>nyu</t>
        </is>
      </c>
      <c r="R1129" t="inlineStr">
        <is>
          <t xml:space="preserve">E  </t>
        </is>
      </c>
      <c r="S1129" t="n">
        <v>5</v>
      </c>
      <c r="T1129" t="n">
        <v>5</v>
      </c>
      <c r="U1129" t="inlineStr">
        <is>
          <t>2002-04-09</t>
        </is>
      </c>
      <c r="V1129" t="inlineStr">
        <is>
          <t>2002-04-09</t>
        </is>
      </c>
      <c r="W1129" t="inlineStr">
        <is>
          <t>1990-03-28</t>
        </is>
      </c>
      <c r="X1129" t="inlineStr">
        <is>
          <t>1990-03-28</t>
        </is>
      </c>
      <c r="Y1129" t="n">
        <v>1593</v>
      </c>
      <c r="Z1129" t="n">
        <v>1547</v>
      </c>
      <c r="AA1129" t="n">
        <v>1776</v>
      </c>
      <c r="AB1129" t="n">
        <v>10</v>
      </c>
      <c r="AC1129" t="n">
        <v>14</v>
      </c>
      <c r="AD1129" t="n">
        <v>34</v>
      </c>
      <c r="AE1129" t="n">
        <v>39</v>
      </c>
      <c r="AF1129" t="n">
        <v>13</v>
      </c>
      <c r="AG1129" t="n">
        <v>15</v>
      </c>
      <c r="AH1129" t="n">
        <v>8</v>
      </c>
      <c r="AI1129" t="n">
        <v>9</v>
      </c>
      <c r="AJ1129" t="n">
        <v>16</v>
      </c>
      <c r="AK1129" t="n">
        <v>16</v>
      </c>
      <c r="AL1129" t="n">
        <v>6</v>
      </c>
      <c r="AM1129" t="n">
        <v>8</v>
      </c>
      <c r="AN1129" t="n">
        <v>0</v>
      </c>
      <c r="AO1129" t="n">
        <v>0</v>
      </c>
      <c r="AP1129" t="inlineStr">
        <is>
          <t>No</t>
        </is>
      </c>
      <c r="AQ1129" t="inlineStr">
        <is>
          <t>No</t>
        </is>
      </c>
      <c r="AS1129">
        <f>HYPERLINK("https://creighton-primo.hosted.exlibrisgroup.com/primo-explore/search?tab=default_tab&amp;search_scope=EVERYTHING&amp;vid=01CRU&amp;lang=en_US&amp;offset=0&amp;query=any,contains,991000947069702656","Catalog Record")</f>
        <v/>
      </c>
      <c r="AT1129">
        <f>HYPERLINK("http://www.worldcat.org/oclc/14587039","WorldCat Record")</f>
        <v/>
      </c>
      <c r="AU1129" t="inlineStr">
        <is>
          <t>9036904:eng</t>
        </is>
      </c>
      <c r="AV1129" t="inlineStr">
        <is>
          <t>14587039</t>
        </is>
      </c>
      <c r="AW1129" t="inlineStr">
        <is>
          <t>991000947069702656</t>
        </is>
      </c>
      <c r="AX1129" t="inlineStr">
        <is>
          <t>991000947069702656</t>
        </is>
      </c>
      <c r="AY1129" t="inlineStr">
        <is>
          <t>2271097450002656</t>
        </is>
      </c>
      <c r="AZ1129" t="inlineStr">
        <is>
          <t>BOOK</t>
        </is>
      </c>
      <c r="BB1129" t="inlineStr">
        <is>
          <t>9780312000073</t>
        </is>
      </c>
      <c r="BC1129" t="inlineStr">
        <is>
          <t>32285000099506</t>
        </is>
      </c>
      <c r="BD1129" t="inlineStr">
        <is>
          <t>893231563</t>
        </is>
      </c>
    </row>
    <row r="1130">
      <c r="A1130" t="inlineStr">
        <is>
          <t>No</t>
        </is>
      </c>
      <c r="B1130" t="inlineStr">
        <is>
          <t>E322.1.A38 N34 1987</t>
        </is>
      </c>
      <c r="C1130" t="inlineStr">
        <is>
          <t>0                      E  0322100A  38                 N  34          1987</t>
        </is>
      </c>
      <c r="D1130" t="inlineStr">
        <is>
          <t>The Adams women : Abigail and Louisa Adams, their sisters and daughters / Paul C. Nagel.</t>
        </is>
      </c>
      <c r="F1130" t="inlineStr">
        <is>
          <t>No</t>
        </is>
      </c>
      <c r="G1130" t="inlineStr">
        <is>
          <t>1</t>
        </is>
      </c>
      <c r="H1130" t="inlineStr">
        <is>
          <t>No</t>
        </is>
      </c>
      <c r="I1130" t="inlineStr">
        <is>
          <t>No</t>
        </is>
      </c>
      <c r="J1130" t="inlineStr">
        <is>
          <t>0</t>
        </is>
      </c>
      <c r="K1130" t="inlineStr">
        <is>
          <t>Nagel, Paul C.</t>
        </is>
      </c>
      <c r="L1130" t="inlineStr">
        <is>
          <t>New York : Oxford University Press, 1987.</t>
        </is>
      </c>
      <c r="M1130" t="inlineStr">
        <is>
          <t>1987</t>
        </is>
      </c>
      <c r="O1130" t="inlineStr">
        <is>
          <t>eng</t>
        </is>
      </c>
      <c r="P1130" t="inlineStr">
        <is>
          <t>nyu</t>
        </is>
      </c>
      <c r="R1130" t="inlineStr">
        <is>
          <t xml:space="preserve">E  </t>
        </is>
      </c>
      <c r="S1130" t="n">
        <v>2</v>
      </c>
      <c r="T1130" t="n">
        <v>2</v>
      </c>
      <c r="U1130" t="inlineStr">
        <is>
          <t>2001-08-09</t>
        </is>
      </c>
      <c r="V1130" t="inlineStr">
        <is>
          <t>2001-08-09</t>
        </is>
      </c>
      <c r="W1130" t="inlineStr">
        <is>
          <t>1990-03-28</t>
        </is>
      </c>
      <c r="X1130" t="inlineStr">
        <is>
          <t>1990-03-28</t>
        </is>
      </c>
      <c r="Y1130" t="n">
        <v>1363</v>
      </c>
      <c r="Z1130" t="n">
        <v>1308</v>
      </c>
      <c r="AA1130" t="n">
        <v>1401</v>
      </c>
      <c r="AB1130" t="n">
        <v>10</v>
      </c>
      <c r="AC1130" t="n">
        <v>11</v>
      </c>
      <c r="AD1130" t="n">
        <v>39</v>
      </c>
      <c r="AE1130" t="n">
        <v>42</v>
      </c>
      <c r="AF1130" t="n">
        <v>17</v>
      </c>
      <c r="AG1130" t="n">
        <v>17</v>
      </c>
      <c r="AH1130" t="n">
        <v>9</v>
      </c>
      <c r="AI1130" t="n">
        <v>9</v>
      </c>
      <c r="AJ1130" t="n">
        <v>16</v>
      </c>
      <c r="AK1130" t="n">
        <v>19</v>
      </c>
      <c r="AL1130" t="n">
        <v>7</v>
      </c>
      <c r="AM1130" t="n">
        <v>7</v>
      </c>
      <c r="AN1130" t="n">
        <v>1</v>
      </c>
      <c r="AO1130" t="n">
        <v>1</v>
      </c>
      <c r="AP1130" t="inlineStr">
        <is>
          <t>No</t>
        </is>
      </c>
      <c r="AQ1130" t="inlineStr">
        <is>
          <t>Yes</t>
        </is>
      </c>
      <c r="AR1130">
        <f>HYPERLINK("http://catalog.hathitrust.org/Record/000839297","HathiTrust Record")</f>
        <v/>
      </c>
      <c r="AS1130">
        <f>HYPERLINK("https://creighton-primo.hosted.exlibrisgroup.com/primo-explore/search?tab=default_tab&amp;search_scope=EVERYTHING&amp;vid=01CRU&amp;lang=en_US&amp;offset=0&amp;query=any,contains,991000976749702656","Catalog Record")</f>
        <v/>
      </c>
      <c r="AT1130">
        <f>HYPERLINK("http://www.worldcat.org/oclc/15016397","WorldCat Record")</f>
        <v/>
      </c>
      <c r="AU1130" t="inlineStr">
        <is>
          <t>8539642:eng</t>
        </is>
      </c>
      <c r="AV1130" t="inlineStr">
        <is>
          <t>15016397</t>
        </is>
      </c>
      <c r="AW1130" t="inlineStr">
        <is>
          <t>991000976749702656</t>
        </is>
      </c>
      <c r="AX1130" t="inlineStr">
        <is>
          <t>991000976749702656</t>
        </is>
      </c>
      <c r="AY1130" t="inlineStr">
        <is>
          <t>2264464080002656</t>
        </is>
      </c>
      <c r="AZ1130" t="inlineStr">
        <is>
          <t>BOOK</t>
        </is>
      </c>
      <c r="BB1130" t="inlineStr">
        <is>
          <t>9780195038743</t>
        </is>
      </c>
      <c r="BC1130" t="inlineStr">
        <is>
          <t>32285000099514</t>
        </is>
      </c>
      <c r="BD1130" t="inlineStr">
        <is>
          <t>893444533</t>
        </is>
      </c>
    </row>
    <row r="1131">
      <c r="A1131" t="inlineStr">
        <is>
          <t>No</t>
        </is>
      </c>
      <c r="B1131" t="inlineStr">
        <is>
          <t>E322.1.A38 W56 2001</t>
        </is>
      </c>
      <c r="C1131" t="inlineStr">
        <is>
          <t>0                      E  0322100A  38                 W  56          2001</t>
        </is>
      </c>
      <c r="D1131" t="inlineStr">
        <is>
          <t>Dearest friend : a life of Abigail Adams / Lynne Withey.</t>
        </is>
      </c>
      <c r="F1131" t="inlineStr">
        <is>
          <t>No</t>
        </is>
      </c>
      <c r="G1131" t="inlineStr">
        <is>
          <t>1</t>
        </is>
      </c>
      <c r="H1131" t="inlineStr">
        <is>
          <t>No</t>
        </is>
      </c>
      <c r="I1131" t="inlineStr">
        <is>
          <t>No</t>
        </is>
      </c>
      <c r="J1131" t="inlineStr">
        <is>
          <t>0</t>
        </is>
      </c>
      <c r="K1131" t="inlineStr">
        <is>
          <t>Withey, Lynne.</t>
        </is>
      </c>
      <c r="L1131" t="inlineStr">
        <is>
          <t>New York : Free Press ; London : Collier Macmillan Publishers, c1981. Sydney : Touchstone, Simon &amp; Schuster, 2001.</t>
        </is>
      </c>
      <c r="M1131" t="inlineStr">
        <is>
          <t>2001</t>
        </is>
      </c>
      <c r="N1131" t="inlineStr">
        <is>
          <t>1st Touchstone ed.</t>
        </is>
      </c>
      <c r="O1131" t="inlineStr">
        <is>
          <t>eng</t>
        </is>
      </c>
      <c r="P1131" t="inlineStr">
        <is>
          <t>nyu</t>
        </is>
      </c>
      <c r="R1131" t="inlineStr">
        <is>
          <t xml:space="preserve">E  </t>
        </is>
      </c>
      <c r="S1131" t="n">
        <v>2</v>
      </c>
      <c r="T1131" t="n">
        <v>2</v>
      </c>
      <c r="U1131" t="inlineStr">
        <is>
          <t>2002-02-11</t>
        </is>
      </c>
      <c r="V1131" t="inlineStr">
        <is>
          <t>2002-02-11</t>
        </is>
      </c>
      <c r="W1131" t="inlineStr">
        <is>
          <t>2001-11-06</t>
        </is>
      </c>
      <c r="X1131" t="inlineStr">
        <is>
          <t>2001-11-06</t>
        </is>
      </c>
      <c r="Y1131" t="n">
        <v>587</v>
      </c>
      <c r="Z1131" t="n">
        <v>580</v>
      </c>
      <c r="AA1131" t="n">
        <v>2111</v>
      </c>
      <c r="AB1131" t="n">
        <v>7</v>
      </c>
      <c r="AC1131" t="n">
        <v>19</v>
      </c>
      <c r="AD1131" t="n">
        <v>5</v>
      </c>
      <c r="AE1131" t="n">
        <v>42</v>
      </c>
      <c r="AF1131" t="n">
        <v>3</v>
      </c>
      <c r="AG1131" t="n">
        <v>21</v>
      </c>
      <c r="AH1131" t="n">
        <v>1</v>
      </c>
      <c r="AI1131" t="n">
        <v>8</v>
      </c>
      <c r="AJ1131" t="n">
        <v>1</v>
      </c>
      <c r="AK1131" t="n">
        <v>18</v>
      </c>
      <c r="AL1131" t="n">
        <v>1</v>
      </c>
      <c r="AM1131" t="n">
        <v>7</v>
      </c>
      <c r="AN1131" t="n">
        <v>0</v>
      </c>
      <c r="AO1131" t="n">
        <v>0</v>
      </c>
      <c r="AP1131" t="inlineStr">
        <is>
          <t>No</t>
        </is>
      </c>
      <c r="AQ1131" t="inlineStr">
        <is>
          <t>No</t>
        </is>
      </c>
      <c r="AS1131">
        <f>HYPERLINK("https://creighton-primo.hosted.exlibrisgroup.com/primo-explore/search?tab=default_tab&amp;search_scope=EVERYTHING&amp;vid=01CRU&amp;lang=en_US&amp;offset=0&amp;query=any,contains,991003649249702656","Catalog Record")</f>
        <v/>
      </c>
      <c r="AT1131">
        <f>HYPERLINK("http://www.worldcat.org/oclc/48036377","WorldCat Record")</f>
        <v/>
      </c>
      <c r="AU1131" t="inlineStr">
        <is>
          <t>796310278:eng</t>
        </is>
      </c>
      <c r="AV1131" t="inlineStr">
        <is>
          <t>48036377</t>
        </is>
      </c>
      <c r="AW1131" t="inlineStr">
        <is>
          <t>991003649249702656</t>
        </is>
      </c>
      <c r="AX1131" t="inlineStr">
        <is>
          <t>991003649249702656</t>
        </is>
      </c>
      <c r="AY1131" t="inlineStr">
        <is>
          <t>2271770150002656</t>
        </is>
      </c>
      <c r="AZ1131" t="inlineStr">
        <is>
          <t>BOOK</t>
        </is>
      </c>
      <c r="BB1131" t="inlineStr">
        <is>
          <t>9780743229173</t>
        </is>
      </c>
      <c r="BC1131" t="inlineStr">
        <is>
          <t>32285004417670</t>
        </is>
      </c>
      <c r="BD1131" t="inlineStr">
        <is>
          <t>893246580</t>
        </is>
      </c>
    </row>
    <row r="1132">
      <c r="A1132" t="inlineStr">
        <is>
          <t>No</t>
        </is>
      </c>
      <c r="B1132" t="inlineStr">
        <is>
          <t>E323 .S86 1980</t>
        </is>
      </c>
      <c r="C1132" t="inlineStr">
        <is>
          <t>0                      E  0323000S  86          1980</t>
        </is>
      </c>
      <c r="D1132" t="inlineStr">
        <is>
          <t>The XYZ affair / William Stinchcombe.</t>
        </is>
      </c>
      <c r="F1132" t="inlineStr">
        <is>
          <t>No</t>
        </is>
      </c>
      <c r="G1132" t="inlineStr">
        <is>
          <t>1</t>
        </is>
      </c>
      <c r="H1132" t="inlineStr">
        <is>
          <t>No</t>
        </is>
      </c>
      <c r="I1132" t="inlineStr">
        <is>
          <t>No</t>
        </is>
      </c>
      <c r="J1132" t="inlineStr">
        <is>
          <t>0</t>
        </is>
      </c>
      <c r="K1132" t="inlineStr">
        <is>
          <t>Stinchcombe, William C.</t>
        </is>
      </c>
      <c r="L1132" t="inlineStr">
        <is>
          <t>Westport, Conn. : Greenwood Press, 1980.</t>
        </is>
      </c>
      <c r="M1132" t="inlineStr">
        <is>
          <t>1980</t>
        </is>
      </c>
      <c r="O1132" t="inlineStr">
        <is>
          <t>eng</t>
        </is>
      </c>
      <c r="P1132" t="inlineStr">
        <is>
          <t>ctu</t>
        </is>
      </c>
      <c r="Q1132" t="inlineStr">
        <is>
          <t>Contributions in American history, 0084-9219 ; no. 89</t>
        </is>
      </c>
      <c r="R1132" t="inlineStr">
        <is>
          <t xml:space="preserve">E  </t>
        </is>
      </c>
      <c r="S1132" t="n">
        <v>5</v>
      </c>
      <c r="T1132" t="n">
        <v>5</v>
      </c>
      <c r="U1132" t="inlineStr">
        <is>
          <t>2001-09-06</t>
        </is>
      </c>
      <c r="V1132" t="inlineStr">
        <is>
          <t>2001-09-06</t>
        </is>
      </c>
      <c r="W1132" t="inlineStr">
        <is>
          <t>1991-04-16</t>
        </is>
      </c>
      <c r="X1132" t="inlineStr">
        <is>
          <t>1991-04-16</t>
        </is>
      </c>
      <c r="Y1132" t="n">
        <v>698</v>
      </c>
      <c r="Z1132" t="n">
        <v>644</v>
      </c>
      <c r="AA1132" t="n">
        <v>663</v>
      </c>
      <c r="AB1132" t="n">
        <v>7</v>
      </c>
      <c r="AC1132" t="n">
        <v>7</v>
      </c>
      <c r="AD1132" t="n">
        <v>33</v>
      </c>
      <c r="AE1132" t="n">
        <v>34</v>
      </c>
      <c r="AF1132" t="n">
        <v>12</v>
      </c>
      <c r="AG1132" t="n">
        <v>13</v>
      </c>
      <c r="AH1132" t="n">
        <v>7</v>
      </c>
      <c r="AI1132" t="n">
        <v>7</v>
      </c>
      <c r="AJ1132" t="n">
        <v>17</v>
      </c>
      <c r="AK1132" t="n">
        <v>18</v>
      </c>
      <c r="AL1132" t="n">
        <v>6</v>
      </c>
      <c r="AM1132" t="n">
        <v>6</v>
      </c>
      <c r="AN1132" t="n">
        <v>0</v>
      </c>
      <c r="AO1132" t="n">
        <v>0</v>
      </c>
      <c r="AP1132" t="inlineStr">
        <is>
          <t>No</t>
        </is>
      </c>
      <c r="AQ1132" t="inlineStr">
        <is>
          <t>Yes</t>
        </is>
      </c>
      <c r="AR1132">
        <f>HYPERLINK("http://catalog.hathitrust.org/Record/000138958","HathiTrust Record")</f>
        <v/>
      </c>
      <c r="AS1132">
        <f>HYPERLINK("https://creighton-primo.hosted.exlibrisgroup.com/primo-explore/search?tab=default_tab&amp;search_scope=EVERYTHING&amp;vid=01CRU&amp;lang=en_US&amp;offset=0&amp;query=any,contains,991004919739702656","Catalog Record")</f>
        <v/>
      </c>
      <c r="AT1132">
        <f>HYPERLINK("http://www.worldcat.org/oclc/6042740","WorldCat Record")</f>
        <v/>
      </c>
      <c r="AU1132" t="inlineStr">
        <is>
          <t>572170:eng</t>
        </is>
      </c>
      <c r="AV1132" t="inlineStr">
        <is>
          <t>6042740</t>
        </is>
      </c>
      <c r="AW1132" t="inlineStr">
        <is>
          <t>991004919739702656</t>
        </is>
      </c>
      <c r="AX1132" t="inlineStr">
        <is>
          <t>991004919739702656</t>
        </is>
      </c>
      <c r="AY1132" t="inlineStr">
        <is>
          <t>2256396930002656</t>
        </is>
      </c>
      <c r="AZ1132" t="inlineStr">
        <is>
          <t>BOOK</t>
        </is>
      </c>
      <c r="BB1132" t="inlineStr">
        <is>
          <t>9780313222344</t>
        </is>
      </c>
      <c r="BC1132" t="inlineStr">
        <is>
          <t>32285000543149</t>
        </is>
      </c>
      <c r="BD1132" t="inlineStr">
        <is>
          <t>893430610</t>
        </is>
      </c>
    </row>
    <row r="1133">
      <c r="A1133" t="inlineStr">
        <is>
          <t>No</t>
        </is>
      </c>
      <c r="B1133" t="inlineStr">
        <is>
          <t>E330 .W45 2000</t>
        </is>
      </c>
      <c r="C1133" t="inlineStr">
        <is>
          <t>0                      E  0330000W  45          2000</t>
        </is>
      </c>
      <c r="D1133" t="inlineStr">
        <is>
          <t>America afire : Jefferson, Adams, and the revolutionary election of 1800 / Bernard A. Weisberger.</t>
        </is>
      </c>
      <c r="F1133" t="inlineStr">
        <is>
          <t>No</t>
        </is>
      </c>
      <c r="G1133" t="inlineStr">
        <is>
          <t>1</t>
        </is>
      </c>
      <c r="H1133" t="inlineStr">
        <is>
          <t>No</t>
        </is>
      </c>
      <c r="I1133" t="inlineStr">
        <is>
          <t>No</t>
        </is>
      </c>
      <c r="J1133" t="inlineStr">
        <is>
          <t>0</t>
        </is>
      </c>
      <c r="K1133" t="inlineStr">
        <is>
          <t>Weisberger, Bernard A., 1922-</t>
        </is>
      </c>
      <c r="L1133" t="inlineStr">
        <is>
          <t>New York, NY : William Morrow, 2000.</t>
        </is>
      </c>
      <c r="M1133" t="inlineStr">
        <is>
          <t>2000</t>
        </is>
      </c>
      <c r="N1133" t="inlineStr">
        <is>
          <t>1st ed.</t>
        </is>
      </c>
      <c r="O1133" t="inlineStr">
        <is>
          <t>eng</t>
        </is>
      </c>
      <c r="P1133" t="inlineStr">
        <is>
          <t>nyu</t>
        </is>
      </c>
      <c r="R1133" t="inlineStr">
        <is>
          <t xml:space="preserve">E  </t>
        </is>
      </c>
      <c r="S1133" t="n">
        <v>2</v>
      </c>
      <c r="T1133" t="n">
        <v>2</v>
      </c>
      <c r="U1133" t="inlineStr">
        <is>
          <t>2003-01-21</t>
        </is>
      </c>
      <c r="V1133" t="inlineStr">
        <is>
          <t>2003-01-21</t>
        </is>
      </c>
      <c r="W1133" t="inlineStr">
        <is>
          <t>2001-01-03</t>
        </is>
      </c>
      <c r="X1133" t="inlineStr">
        <is>
          <t>2001-01-03</t>
        </is>
      </c>
      <c r="Y1133" t="n">
        <v>946</v>
      </c>
      <c r="Z1133" t="n">
        <v>909</v>
      </c>
      <c r="AA1133" t="n">
        <v>991</v>
      </c>
      <c r="AB1133" t="n">
        <v>7</v>
      </c>
      <c r="AC1133" t="n">
        <v>7</v>
      </c>
      <c r="AD1133" t="n">
        <v>38</v>
      </c>
      <c r="AE1133" t="n">
        <v>38</v>
      </c>
      <c r="AF1133" t="n">
        <v>16</v>
      </c>
      <c r="AG1133" t="n">
        <v>16</v>
      </c>
      <c r="AH1133" t="n">
        <v>7</v>
      </c>
      <c r="AI1133" t="n">
        <v>7</v>
      </c>
      <c r="AJ1133" t="n">
        <v>20</v>
      </c>
      <c r="AK1133" t="n">
        <v>20</v>
      </c>
      <c r="AL1133" t="n">
        <v>5</v>
      </c>
      <c r="AM1133" t="n">
        <v>5</v>
      </c>
      <c r="AN1133" t="n">
        <v>0</v>
      </c>
      <c r="AO1133" t="n">
        <v>0</v>
      </c>
      <c r="AP1133" t="inlineStr">
        <is>
          <t>No</t>
        </is>
      </c>
      <c r="AQ1133" t="inlineStr">
        <is>
          <t>No</t>
        </is>
      </c>
      <c r="AS1133">
        <f>HYPERLINK("https://creighton-primo.hosted.exlibrisgroup.com/primo-explore/search?tab=default_tab&amp;search_scope=EVERYTHING&amp;vid=01CRU&amp;lang=en_US&amp;offset=0&amp;query=any,contains,991003342529702656","Catalog Record")</f>
        <v/>
      </c>
      <c r="AT1133">
        <f>HYPERLINK("http://www.worldcat.org/oclc/45168317","WorldCat Record")</f>
        <v/>
      </c>
      <c r="AU1133" t="inlineStr">
        <is>
          <t>34665877:eng</t>
        </is>
      </c>
      <c r="AV1133" t="inlineStr">
        <is>
          <t>45168317</t>
        </is>
      </c>
      <c r="AW1133" t="inlineStr">
        <is>
          <t>991003342529702656</t>
        </is>
      </c>
      <c r="AX1133" t="inlineStr">
        <is>
          <t>991003342529702656</t>
        </is>
      </c>
      <c r="AY1133" t="inlineStr">
        <is>
          <t>2264645180002656</t>
        </is>
      </c>
      <c r="AZ1133" t="inlineStr">
        <is>
          <t>BOOK</t>
        </is>
      </c>
      <c r="BB1133" t="inlineStr">
        <is>
          <t>9780380977635</t>
        </is>
      </c>
      <c r="BC1133" t="inlineStr">
        <is>
          <t>32285004279062</t>
        </is>
      </c>
      <c r="BD1133" t="inlineStr">
        <is>
          <t>893805692</t>
        </is>
      </c>
    </row>
    <row r="1134">
      <c r="A1134" t="inlineStr">
        <is>
          <t>No</t>
        </is>
      </c>
      <c r="B1134" t="inlineStr">
        <is>
          <t>E331 .B75</t>
        </is>
      </c>
      <c r="C1134" t="inlineStr">
        <is>
          <t>0                      E  0331000B  75</t>
        </is>
      </c>
      <c r="D1134" t="inlineStr">
        <is>
          <t>Jefferson in power : the death struggle of the Federalists / [by] Claude G. Bowers.</t>
        </is>
      </c>
      <c r="F1134" t="inlineStr">
        <is>
          <t>No</t>
        </is>
      </c>
      <c r="G1134" t="inlineStr">
        <is>
          <t>1</t>
        </is>
      </c>
      <c r="H1134" t="inlineStr">
        <is>
          <t>No</t>
        </is>
      </c>
      <c r="I1134" t="inlineStr">
        <is>
          <t>No</t>
        </is>
      </c>
      <c r="J1134" t="inlineStr">
        <is>
          <t>0</t>
        </is>
      </c>
      <c r="K1134" t="inlineStr">
        <is>
          <t>Bowers, Claude G. (Claude Gernade), 1879-1958.</t>
        </is>
      </c>
      <c r="L1134" t="inlineStr">
        <is>
          <t>Boston : Houghton Mifflin company, 1936.</t>
        </is>
      </c>
      <c r="M1134" t="inlineStr">
        <is>
          <t>1936</t>
        </is>
      </c>
      <c r="O1134" t="inlineStr">
        <is>
          <t>eng</t>
        </is>
      </c>
      <c r="P1134" t="inlineStr">
        <is>
          <t>mau</t>
        </is>
      </c>
      <c r="R1134" t="inlineStr">
        <is>
          <t xml:space="preserve">E  </t>
        </is>
      </c>
      <c r="S1134" t="n">
        <v>3</v>
      </c>
      <c r="T1134" t="n">
        <v>3</v>
      </c>
      <c r="U1134" t="inlineStr">
        <is>
          <t>1993-11-01</t>
        </is>
      </c>
      <c r="V1134" t="inlineStr">
        <is>
          <t>1993-11-01</t>
        </is>
      </c>
      <c r="W1134" t="inlineStr">
        <is>
          <t>1990-04-02</t>
        </is>
      </c>
      <c r="X1134" t="inlineStr">
        <is>
          <t>1990-04-02</t>
        </is>
      </c>
      <c r="Y1134" t="n">
        <v>1536</v>
      </c>
      <c r="Z1134" t="n">
        <v>1452</v>
      </c>
      <c r="AA1134" t="n">
        <v>1598</v>
      </c>
      <c r="AB1134" t="n">
        <v>12</v>
      </c>
      <c r="AC1134" t="n">
        <v>14</v>
      </c>
      <c r="AD1134" t="n">
        <v>51</v>
      </c>
      <c r="AE1134" t="n">
        <v>56</v>
      </c>
      <c r="AF1134" t="n">
        <v>21</v>
      </c>
      <c r="AG1134" t="n">
        <v>22</v>
      </c>
      <c r="AH1134" t="n">
        <v>8</v>
      </c>
      <c r="AI1134" t="n">
        <v>8</v>
      </c>
      <c r="AJ1134" t="n">
        <v>22</v>
      </c>
      <c r="AK1134" t="n">
        <v>24</v>
      </c>
      <c r="AL1134" t="n">
        <v>9</v>
      </c>
      <c r="AM1134" t="n">
        <v>11</v>
      </c>
      <c r="AN1134" t="n">
        <v>3</v>
      </c>
      <c r="AO1134" t="n">
        <v>3</v>
      </c>
      <c r="AP1134" t="inlineStr">
        <is>
          <t>No</t>
        </is>
      </c>
      <c r="AQ1134" t="inlineStr">
        <is>
          <t>Yes</t>
        </is>
      </c>
      <c r="AR1134">
        <f>HYPERLINK("http://catalog.hathitrust.org/Record/000367793","HathiTrust Record")</f>
        <v/>
      </c>
      <c r="AS1134">
        <f>HYPERLINK("https://creighton-primo.hosted.exlibrisgroup.com/primo-explore/search?tab=default_tab&amp;search_scope=EVERYTHING&amp;vid=01CRU&amp;lang=en_US&amp;offset=0&amp;query=any,contains,991004167369702656","Catalog Record")</f>
        <v/>
      </c>
      <c r="AT1134">
        <f>HYPERLINK("http://www.worldcat.org/oclc/2571281","WorldCat Record")</f>
        <v/>
      </c>
      <c r="AU1134" t="inlineStr">
        <is>
          <t>2317557:eng</t>
        </is>
      </c>
      <c r="AV1134" t="inlineStr">
        <is>
          <t>2571281</t>
        </is>
      </c>
      <c r="AW1134" t="inlineStr">
        <is>
          <t>991004167369702656</t>
        </is>
      </c>
      <c r="AX1134" t="inlineStr">
        <is>
          <t>991004167369702656</t>
        </is>
      </c>
      <c r="AY1134" t="inlineStr">
        <is>
          <t>2263285090002656</t>
        </is>
      </c>
      <c r="AZ1134" t="inlineStr">
        <is>
          <t>BOOK</t>
        </is>
      </c>
      <c r="BC1134" t="inlineStr">
        <is>
          <t>32285000100395</t>
        </is>
      </c>
      <c r="BD1134" t="inlineStr">
        <is>
          <t>893532061</t>
        </is>
      </c>
    </row>
    <row r="1135">
      <c r="A1135" t="inlineStr">
        <is>
          <t>No</t>
        </is>
      </c>
      <c r="B1135" t="inlineStr">
        <is>
          <t>E331 .J69</t>
        </is>
      </c>
      <c r="C1135" t="inlineStr">
        <is>
          <t>0                      E  0331000J  69</t>
        </is>
      </c>
      <c r="D1135" t="inlineStr">
        <is>
          <t>Jefferson and the Presidency : leadership in the young Republic / Robert M. Johnstone, Jr.</t>
        </is>
      </c>
      <c r="F1135" t="inlineStr">
        <is>
          <t>No</t>
        </is>
      </c>
      <c r="G1135" t="inlineStr">
        <is>
          <t>1</t>
        </is>
      </c>
      <c r="H1135" t="inlineStr">
        <is>
          <t>Yes</t>
        </is>
      </c>
      <c r="I1135" t="inlineStr">
        <is>
          <t>No</t>
        </is>
      </c>
      <c r="J1135" t="inlineStr">
        <is>
          <t>0</t>
        </is>
      </c>
      <c r="K1135" t="inlineStr">
        <is>
          <t>Johnstone, Robert M., 1939-</t>
        </is>
      </c>
      <c r="L1135" t="inlineStr">
        <is>
          <t>Ithaca : Cornell University Press, 1978.</t>
        </is>
      </c>
      <c r="M1135" t="inlineStr">
        <is>
          <t>1978</t>
        </is>
      </c>
      <c r="O1135" t="inlineStr">
        <is>
          <t>eng</t>
        </is>
      </c>
      <c r="P1135" t="inlineStr">
        <is>
          <t>nyu</t>
        </is>
      </c>
      <c r="R1135" t="inlineStr">
        <is>
          <t xml:space="preserve">E  </t>
        </is>
      </c>
      <c r="S1135" t="n">
        <v>2</v>
      </c>
      <c r="T1135" t="n">
        <v>2</v>
      </c>
      <c r="U1135" t="inlineStr">
        <is>
          <t>2003-04-04</t>
        </is>
      </c>
      <c r="V1135" t="inlineStr">
        <is>
          <t>2003-04-04</t>
        </is>
      </c>
      <c r="W1135" t="inlineStr">
        <is>
          <t>1991-11-19</t>
        </is>
      </c>
      <c r="X1135" t="inlineStr">
        <is>
          <t>1991-11-19</t>
        </is>
      </c>
      <c r="Y1135" t="n">
        <v>841</v>
      </c>
      <c r="Z1135" t="n">
        <v>744</v>
      </c>
      <c r="AA1135" t="n">
        <v>757</v>
      </c>
      <c r="AB1135" t="n">
        <v>6</v>
      </c>
      <c r="AC1135" t="n">
        <v>6</v>
      </c>
      <c r="AD1135" t="n">
        <v>38</v>
      </c>
      <c r="AE1135" t="n">
        <v>39</v>
      </c>
      <c r="AF1135" t="n">
        <v>16</v>
      </c>
      <c r="AG1135" t="n">
        <v>16</v>
      </c>
      <c r="AH1135" t="n">
        <v>7</v>
      </c>
      <c r="AI1135" t="n">
        <v>8</v>
      </c>
      <c r="AJ1135" t="n">
        <v>17</v>
      </c>
      <c r="AK1135" t="n">
        <v>18</v>
      </c>
      <c r="AL1135" t="n">
        <v>4</v>
      </c>
      <c r="AM1135" t="n">
        <v>4</v>
      </c>
      <c r="AN1135" t="n">
        <v>4</v>
      </c>
      <c r="AO1135" t="n">
        <v>4</v>
      </c>
      <c r="AP1135" t="inlineStr">
        <is>
          <t>No</t>
        </is>
      </c>
      <c r="AQ1135" t="inlineStr">
        <is>
          <t>Yes</t>
        </is>
      </c>
      <c r="AR1135">
        <f>HYPERLINK("http://catalog.hathitrust.org/Record/000752411","HathiTrust Record")</f>
        <v/>
      </c>
      <c r="AS1135">
        <f>HYPERLINK("https://creighton-primo.hosted.exlibrisgroup.com/primo-explore/search?tab=default_tab&amp;search_scope=EVERYTHING&amp;vid=01CRU&amp;lang=en_US&amp;offset=0&amp;query=any,contains,991001783349702656","Catalog Record")</f>
        <v/>
      </c>
      <c r="AT1135">
        <f>HYPERLINK("http://www.worldcat.org/oclc/3433292","WorldCat Record")</f>
        <v/>
      </c>
      <c r="AU1135" t="inlineStr">
        <is>
          <t>118234251:eng</t>
        </is>
      </c>
      <c r="AV1135" t="inlineStr">
        <is>
          <t>3433292</t>
        </is>
      </c>
      <c r="AW1135" t="inlineStr">
        <is>
          <t>991001783349702656</t>
        </is>
      </c>
      <c r="AX1135" t="inlineStr">
        <is>
          <t>991001783349702656</t>
        </is>
      </c>
      <c r="AY1135" t="inlineStr">
        <is>
          <t>2267712940002656</t>
        </is>
      </c>
      <c r="AZ1135" t="inlineStr">
        <is>
          <t>BOOK</t>
        </is>
      </c>
      <c r="BB1135" t="inlineStr">
        <is>
          <t>9780801411502</t>
        </is>
      </c>
      <c r="BC1135" t="inlineStr">
        <is>
          <t>32285000841402</t>
        </is>
      </c>
      <c r="BD1135" t="inlineStr">
        <is>
          <t>893346777</t>
        </is>
      </c>
    </row>
    <row r="1136">
      <c r="A1136" t="inlineStr">
        <is>
          <t>No</t>
        </is>
      </c>
      <c r="B1136" t="inlineStr">
        <is>
          <t>E331 .M32</t>
        </is>
      </c>
      <c r="C1136" t="inlineStr">
        <is>
          <t>0                      E  0331000M  32</t>
        </is>
      </c>
      <c r="D1136" t="inlineStr">
        <is>
          <t>The Presidency of Thomas Jefferson / by Forrest McDonald.</t>
        </is>
      </c>
      <c r="F1136" t="inlineStr">
        <is>
          <t>No</t>
        </is>
      </c>
      <c r="G1136" t="inlineStr">
        <is>
          <t>1</t>
        </is>
      </c>
      <c r="H1136" t="inlineStr">
        <is>
          <t>No</t>
        </is>
      </c>
      <c r="I1136" t="inlineStr">
        <is>
          <t>No</t>
        </is>
      </c>
      <c r="J1136" t="inlineStr">
        <is>
          <t>0</t>
        </is>
      </c>
      <c r="K1136" t="inlineStr">
        <is>
          <t>McDonald, Forrest.</t>
        </is>
      </c>
      <c r="L1136" t="inlineStr">
        <is>
          <t>Lawrence : University Press of Kansas, c1976.</t>
        </is>
      </c>
      <c r="M1136" t="inlineStr">
        <is>
          <t>1976</t>
        </is>
      </c>
      <c r="O1136" t="inlineStr">
        <is>
          <t>eng</t>
        </is>
      </c>
      <c r="P1136" t="inlineStr">
        <is>
          <t>ksu</t>
        </is>
      </c>
      <c r="Q1136" t="inlineStr">
        <is>
          <t>American presidency series</t>
        </is>
      </c>
      <c r="R1136" t="inlineStr">
        <is>
          <t xml:space="preserve">E  </t>
        </is>
      </c>
      <c r="S1136" t="n">
        <v>4</v>
      </c>
      <c r="T1136" t="n">
        <v>4</v>
      </c>
      <c r="U1136" t="inlineStr">
        <is>
          <t>1993-11-01</t>
        </is>
      </c>
      <c r="V1136" t="inlineStr">
        <is>
          <t>1993-11-01</t>
        </is>
      </c>
      <c r="W1136" t="inlineStr">
        <is>
          <t>1990-03-28</t>
        </is>
      </c>
      <c r="X1136" t="inlineStr">
        <is>
          <t>1990-03-28</t>
        </is>
      </c>
      <c r="Y1136" t="n">
        <v>1666</v>
      </c>
      <c r="Z1136" t="n">
        <v>1559</v>
      </c>
      <c r="AA1136" t="n">
        <v>1570</v>
      </c>
      <c r="AB1136" t="n">
        <v>13</v>
      </c>
      <c r="AC1136" t="n">
        <v>13</v>
      </c>
      <c r="AD1136" t="n">
        <v>59</v>
      </c>
      <c r="AE1136" t="n">
        <v>59</v>
      </c>
      <c r="AF1136" t="n">
        <v>22</v>
      </c>
      <c r="AG1136" t="n">
        <v>22</v>
      </c>
      <c r="AH1136" t="n">
        <v>10</v>
      </c>
      <c r="AI1136" t="n">
        <v>10</v>
      </c>
      <c r="AJ1136" t="n">
        <v>24</v>
      </c>
      <c r="AK1136" t="n">
        <v>24</v>
      </c>
      <c r="AL1136" t="n">
        <v>11</v>
      </c>
      <c r="AM1136" t="n">
        <v>11</v>
      </c>
      <c r="AN1136" t="n">
        <v>3</v>
      </c>
      <c r="AO1136" t="n">
        <v>3</v>
      </c>
      <c r="AP1136" t="inlineStr">
        <is>
          <t>No</t>
        </is>
      </c>
      <c r="AQ1136" t="inlineStr">
        <is>
          <t>Yes</t>
        </is>
      </c>
      <c r="AR1136">
        <f>HYPERLINK("http://catalog.hathitrust.org/Record/000697507","HathiTrust Record")</f>
        <v/>
      </c>
      <c r="AS1136">
        <f>HYPERLINK("https://creighton-primo.hosted.exlibrisgroup.com/primo-explore/search?tab=default_tab&amp;search_scope=EVERYTHING&amp;vid=01CRU&amp;lang=en_US&amp;offset=0&amp;query=any,contains,991003973349702656","Catalog Record")</f>
        <v/>
      </c>
      <c r="AT1136">
        <f>HYPERLINK("http://www.worldcat.org/oclc/1994166","WorldCat Record")</f>
        <v/>
      </c>
      <c r="AU1136" t="inlineStr">
        <is>
          <t>444136:eng</t>
        </is>
      </c>
      <c r="AV1136" t="inlineStr">
        <is>
          <t>1994166</t>
        </is>
      </c>
      <c r="AW1136" t="inlineStr">
        <is>
          <t>991003973349702656</t>
        </is>
      </c>
      <c r="AX1136" t="inlineStr">
        <is>
          <t>991003973349702656</t>
        </is>
      </c>
      <c r="AY1136" t="inlineStr">
        <is>
          <t>2263725640002656</t>
        </is>
      </c>
      <c r="AZ1136" t="inlineStr">
        <is>
          <t>BOOK</t>
        </is>
      </c>
      <c r="BB1136" t="inlineStr">
        <is>
          <t>9780700601479</t>
        </is>
      </c>
      <c r="BC1136" t="inlineStr">
        <is>
          <t>32285000094283</t>
        </is>
      </c>
      <c r="BD1136" t="inlineStr">
        <is>
          <t>893712006</t>
        </is>
      </c>
    </row>
    <row r="1137">
      <c r="A1137" t="inlineStr">
        <is>
          <t>No</t>
        </is>
      </c>
      <c r="B1137" t="inlineStr">
        <is>
          <t>E331 .P73</t>
        </is>
      </c>
      <c r="C1137" t="inlineStr">
        <is>
          <t>0                      E  0331000P  73</t>
        </is>
      </c>
      <c r="D1137" t="inlineStr">
        <is>
          <t>William Plumer's memorandum of proceedings in the United States Senate, 1803-1807 / edited by Everett Somerville Brown.</t>
        </is>
      </c>
      <c r="F1137" t="inlineStr">
        <is>
          <t>No</t>
        </is>
      </c>
      <c r="G1137" t="inlineStr">
        <is>
          <t>1</t>
        </is>
      </c>
      <c r="H1137" t="inlineStr">
        <is>
          <t>No</t>
        </is>
      </c>
      <c r="I1137" t="inlineStr">
        <is>
          <t>No</t>
        </is>
      </c>
      <c r="J1137" t="inlineStr">
        <is>
          <t>0</t>
        </is>
      </c>
      <c r="K1137" t="inlineStr">
        <is>
          <t>Plumer, William, 1759-1850.</t>
        </is>
      </c>
      <c r="L1137" t="inlineStr">
        <is>
          <t>New York : The Macmillan Company, 1923.</t>
        </is>
      </c>
      <c r="M1137" t="inlineStr">
        <is>
          <t>1923</t>
        </is>
      </c>
      <c r="O1137" t="inlineStr">
        <is>
          <t>eng</t>
        </is>
      </c>
      <c r="P1137" t="inlineStr">
        <is>
          <t>nyu</t>
        </is>
      </c>
      <c r="Q1137" t="inlineStr">
        <is>
          <t>University of Michigan publications. Humanistic papers</t>
        </is>
      </c>
      <c r="R1137" t="inlineStr">
        <is>
          <t xml:space="preserve">E  </t>
        </is>
      </c>
      <c r="S1137" t="n">
        <v>3</v>
      </c>
      <c r="T1137" t="n">
        <v>3</v>
      </c>
      <c r="U1137" t="inlineStr">
        <is>
          <t>1994-10-30</t>
        </is>
      </c>
      <c r="V1137" t="inlineStr">
        <is>
          <t>1994-10-30</t>
        </is>
      </c>
      <c r="W1137" t="inlineStr">
        <is>
          <t>1993-12-08</t>
        </is>
      </c>
      <c r="X1137" t="inlineStr">
        <is>
          <t>1993-12-08</t>
        </is>
      </c>
      <c r="Y1137" t="n">
        <v>329</v>
      </c>
      <c r="Z1137" t="n">
        <v>283</v>
      </c>
      <c r="AA1137" t="n">
        <v>608</v>
      </c>
      <c r="AB1137" t="n">
        <v>4</v>
      </c>
      <c r="AC1137" t="n">
        <v>7</v>
      </c>
      <c r="AD1137" t="n">
        <v>16</v>
      </c>
      <c r="AE1137" t="n">
        <v>43</v>
      </c>
      <c r="AF1137" t="n">
        <v>3</v>
      </c>
      <c r="AG1137" t="n">
        <v>10</v>
      </c>
      <c r="AH1137" t="n">
        <v>3</v>
      </c>
      <c r="AI1137" t="n">
        <v>7</v>
      </c>
      <c r="AJ1137" t="n">
        <v>9</v>
      </c>
      <c r="AK1137" t="n">
        <v>11</v>
      </c>
      <c r="AL1137" t="n">
        <v>3</v>
      </c>
      <c r="AM1137" t="n">
        <v>4</v>
      </c>
      <c r="AN1137" t="n">
        <v>1</v>
      </c>
      <c r="AO1137" t="n">
        <v>18</v>
      </c>
      <c r="AP1137" t="inlineStr">
        <is>
          <t>Yes</t>
        </is>
      </c>
      <c r="AQ1137" t="inlineStr">
        <is>
          <t>No</t>
        </is>
      </c>
      <c r="AR1137">
        <f>HYPERLINK("http://catalog.hathitrust.org/Record/001378671","HathiTrust Record")</f>
        <v/>
      </c>
      <c r="AS1137">
        <f>HYPERLINK("https://creighton-primo.hosted.exlibrisgroup.com/primo-explore/search?tab=default_tab&amp;search_scope=EVERYTHING&amp;vid=01CRU&amp;lang=en_US&amp;offset=0&amp;query=any,contains,991002387639702656","Catalog Record")</f>
        <v/>
      </c>
      <c r="AT1137">
        <f>HYPERLINK("http://www.worldcat.org/oclc/330908","WorldCat Record")</f>
        <v/>
      </c>
      <c r="AU1137" t="inlineStr">
        <is>
          <t>1182676:eng</t>
        </is>
      </c>
      <c r="AV1137" t="inlineStr">
        <is>
          <t>330908</t>
        </is>
      </c>
      <c r="AW1137" t="inlineStr">
        <is>
          <t>991002387639702656</t>
        </is>
      </c>
      <c r="AX1137" t="inlineStr">
        <is>
          <t>991002387639702656</t>
        </is>
      </c>
      <c r="AY1137" t="inlineStr">
        <is>
          <t>2258965780002656</t>
        </is>
      </c>
      <c r="AZ1137" t="inlineStr">
        <is>
          <t>BOOK</t>
        </is>
      </c>
      <c r="BC1137" t="inlineStr">
        <is>
          <t>32285001807113</t>
        </is>
      </c>
      <c r="BD1137" t="inlineStr">
        <is>
          <t>893879853</t>
        </is>
      </c>
    </row>
    <row r="1138">
      <c r="A1138" t="inlineStr">
        <is>
          <t>No</t>
        </is>
      </c>
      <c r="B1138" t="inlineStr">
        <is>
          <t>E331 .S68</t>
        </is>
      </c>
      <c r="C1138" t="inlineStr">
        <is>
          <t>0                      E  0331000S  68</t>
        </is>
      </c>
      <c r="D1138" t="inlineStr">
        <is>
          <t>Jefferson's English crisis : commerce, embargo, and the Republican revolution / Burton Spivak.</t>
        </is>
      </c>
      <c r="F1138" t="inlineStr">
        <is>
          <t>No</t>
        </is>
      </c>
      <c r="G1138" t="inlineStr">
        <is>
          <t>1</t>
        </is>
      </c>
      <c r="H1138" t="inlineStr">
        <is>
          <t>No</t>
        </is>
      </c>
      <c r="I1138" t="inlineStr">
        <is>
          <t>No</t>
        </is>
      </c>
      <c r="J1138" t="inlineStr">
        <is>
          <t>0</t>
        </is>
      </c>
      <c r="K1138" t="inlineStr">
        <is>
          <t>Spivak, Burton.</t>
        </is>
      </c>
      <c r="L1138" t="inlineStr">
        <is>
          <t>Charlottesville : University Press of Virginia, 1979.</t>
        </is>
      </c>
      <c r="M1138" t="inlineStr">
        <is>
          <t>1979</t>
        </is>
      </c>
      <c r="O1138" t="inlineStr">
        <is>
          <t>eng</t>
        </is>
      </c>
      <c r="P1138" t="inlineStr">
        <is>
          <t>vau</t>
        </is>
      </c>
      <c r="R1138" t="inlineStr">
        <is>
          <t xml:space="preserve">E  </t>
        </is>
      </c>
      <c r="S1138" t="n">
        <v>3</v>
      </c>
      <c r="T1138" t="n">
        <v>3</v>
      </c>
      <c r="U1138" t="inlineStr">
        <is>
          <t>1993-12-12</t>
        </is>
      </c>
      <c r="V1138" t="inlineStr">
        <is>
          <t>1993-12-12</t>
        </is>
      </c>
      <c r="W1138" t="inlineStr">
        <is>
          <t>1991-04-16</t>
        </is>
      </c>
      <c r="X1138" t="inlineStr">
        <is>
          <t>1991-04-16</t>
        </is>
      </c>
      <c r="Y1138" t="n">
        <v>619</v>
      </c>
      <c r="Z1138" t="n">
        <v>548</v>
      </c>
      <c r="AA1138" t="n">
        <v>562</v>
      </c>
      <c r="AB1138" t="n">
        <v>5</v>
      </c>
      <c r="AC1138" t="n">
        <v>5</v>
      </c>
      <c r="AD1138" t="n">
        <v>29</v>
      </c>
      <c r="AE1138" t="n">
        <v>30</v>
      </c>
      <c r="AF1138" t="n">
        <v>9</v>
      </c>
      <c r="AG1138" t="n">
        <v>9</v>
      </c>
      <c r="AH1138" t="n">
        <v>8</v>
      </c>
      <c r="AI1138" t="n">
        <v>9</v>
      </c>
      <c r="AJ1138" t="n">
        <v>15</v>
      </c>
      <c r="AK1138" t="n">
        <v>16</v>
      </c>
      <c r="AL1138" t="n">
        <v>4</v>
      </c>
      <c r="AM1138" t="n">
        <v>4</v>
      </c>
      <c r="AN1138" t="n">
        <v>2</v>
      </c>
      <c r="AO1138" t="n">
        <v>2</v>
      </c>
      <c r="AP1138" t="inlineStr">
        <is>
          <t>No</t>
        </is>
      </c>
      <c r="AQ1138" t="inlineStr">
        <is>
          <t>Yes</t>
        </is>
      </c>
      <c r="AR1138">
        <f>HYPERLINK("http://catalog.hathitrust.org/Record/000216010","HathiTrust Record")</f>
        <v/>
      </c>
      <c r="AS1138">
        <f>HYPERLINK("https://creighton-primo.hosted.exlibrisgroup.com/primo-explore/search?tab=default_tab&amp;search_scope=EVERYTHING&amp;vid=01CRU&amp;lang=en_US&amp;offset=0&amp;query=any,contains,991004605449702656","Catalog Record")</f>
        <v/>
      </c>
      <c r="AT1138">
        <f>HYPERLINK("http://www.worldcat.org/oclc/4194264","WorldCat Record")</f>
        <v/>
      </c>
      <c r="AU1138" t="inlineStr">
        <is>
          <t>9485517:eng</t>
        </is>
      </c>
      <c r="AV1138" t="inlineStr">
        <is>
          <t>4194264</t>
        </is>
      </c>
      <c r="AW1138" t="inlineStr">
        <is>
          <t>991004605449702656</t>
        </is>
      </c>
      <c r="AX1138" t="inlineStr">
        <is>
          <t>991004605449702656</t>
        </is>
      </c>
      <c r="AY1138" t="inlineStr">
        <is>
          <t>2262412070002656</t>
        </is>
      </c>
      <c r="AZ1138" t="inlineStr">
        <is>
          <t>BOOK</t>
        </is>
      </c>
      <c r="BB1138" t="inlineStr">
        <is>
          <t>9780813908052</t>
        </is>
      </c>
      <c r="BC1138" t="inlineStr">
        <is>
          <t>32285000543164</t>
        </is>
      </c>
      <c r="BD1138" t="inlineStr">
        <is>
          <t>893411743</t>
        </is>
      </c>
    </row>
    <row r="1139">
      <c r="A1139" t="inlineStr">
        <is>
          <t>No</t>
        </is>
      </c>
      <c r="B1139" t="inlineStr">
        <is>
          <t>E332 .A24</t>
        </is>
      </c>
      <c r="C1139" t="inlineStr">
        <is>
          <t>0                      E  0332000A  24</t>
        </is>
      </c>
      <c r="D1139" t="inlineStr">
        <is>
          <t>The living Jefferson / by James Truslow Adams.</t>
        </is>
      </c>
      <c r="F1139" t="inlineStr">
        <is>
          <t>No</t>
        </is>
      </c>
      <c r="G1139" t="inlineStr">
        <is>
          <t>1</t>
        </is>
      </c>
      <c r="H1139" t="inlineStr">
        <is>
          <t>No</t>
        </is>
      </c>
      <c r="I1139" t="inlineStr">
        <is>
          <t>No</t>
        </is>
      </c>
      <c r="J1139" t="inlineStr">
        <is>
          <t>0</t>
        </is>
      </c>
      <c r="K1139" t="inlineStr">
        <is>
          <t>Adams, James Truslow, 1878-1949.</t>
        </is>
      </c>
      <c r="L1139" t="inlineStr">
        <is>
          <t>New York : C. Scribner's Sons ; London : C. Scribner's Sons Ltd., 1936.</t>
        </is>
      </c>
      <c r="M1139" t="inlineStr">
        <is>
          <t>1936</t>
        </is>
      </c>
      <c r="O1139" t="inlineStr">
        <is>
          <t>eng</t>
        </is>
      </c>
      <c r="P1139" t="inlineStr">
        <is>
          <t>nyu</t>
        </is>
      </c>
      <c r="R1139" t="inlineStr">
        <is>
          <t xml:space="preserve">E  </t>
        </is>
      </c>
      <c r="S1139" t="n">
        <v>5</v>
      </c>
      <c r="T1139" t="n">
        <v>5</v>
      </c>
      <c r="U1139" t="inlineStr">
        <is>
          <t>1993-11-01</t>
        </is>
      </c>
      <c r="V1139" t="inlineStr">
        <is>
          <t>1993-11-01</t>
        </is>
      </c>
      <c r="W1139" t="inlineStr">
        <is>
          <t>1991-11-19</t>
        </is>
      </c>
      <c r="X1139" t="inlineStr">
        <is>
          <t>1991-11-19</t>
        </is>
      </c>
      <c r="Y1139" t="n">
        <v>953</v>
      </c>
      <c r="Z1139" t="n">
        <v>899</v>
      </c>
      <c r="AA1139" t="n">
        <v>953</v>
      </c>
      <c r="AB1139" t="n">
        <v>8</v>
      </c>
      <c r="AC1139" t="n">
        <v>8</v>
      </c>
      <c r="AD1139" t="n">
        <v>40</v>
      </c>
      <c r="AE1139" t="n">
        <v>41</v>
      </c>
      <c r="AF1139" t="n">
        <v>14</v>
      </c>
      <c r="AG1139" t="n">
        <v>15</v>
      </c>
      <c r="AH1139" t="n">
        <v>7</v>
      </c>
      <c r="AI1139" t="n">
        <v>7</v>
      </c>
      <c r="AJ1139" t="n">
        <v>19</v>
      </c>
      <c r="AK1139" t="n">
        <v>19</v>
      </c>
      <c r="AL1139" t="n">
        <v>6</v>
      </c>
      <c r="AM1139" t="n">
        <v>6</v>
      </c>
      <c r="AN1139" t="n">
        <v>3</v>
      </c>
      <c r="AO1139" t="n">
        <v>3</v>
      </c>
      <c r="AP1139" t="inlineStr">
        <is>
          <t>No</t>
        </is>
      </c>
      <c r="AQ1139" t="inlineStr">
        <is>
          <t>Yes</t>
        </is>
      </c>
      <c r="AR1139">
        <f>HYPERLINK("http://catalog.hathitrust.org/Record/006578508","HathiTrust Record")</f>
        <v/>
      </c>
      <c r="AS1139">
        <f>HYPERLINK("https://creighton-primo.hosted.exlibrisgroup.com/primo-explore/search?tab=default_tab&amp;search_scope=EVERYTHING&amp;vid=01CRU&amp;lang=en_US&amp;offset=0&amp;query=any,contains,991002037979702656","Catalog Record")</f>
        <v/>
      </c>
      <c r="AT1139">
        <f>HYPERLINK("http://www.worldcat.org/oclc/260904","WorldCat Record")</f>
        <v/>
      </c>
      <c r="AU1139" t="inlineStr">
        <is>
          <t>1369106:eng</t>
        </is>
      </c>
      <c r="AV1139" t="inlineStr">
        <is>
          <t>260904</t>
        </is>
      </c>
      <c r="AW1139" t="inlineStr">
        <is>
          <t>991002037979702656</t>
        </is>
      </c>
      <c r="AX1139" t="inlineStr">
        <is>
          <t>991002037979702656</t>
        </is>
      </c>
      <c r="AY1139" t="inlineStr">
        <is>
          <t>2262574280002656</t>
        </is>
      </c>
      <c r="AZ1139" t="inlineStr">
        <is>
          <t>BOOK</t>
        </is>
      </c>
      <c r="BC1139" t="inlineStr">
        <is>
          <t>32285000795608</t>
        </is>
      </c>
      <c r="BD1139" t="inlineStr">
        <is>
          <t>893322493</t>
        </is>
      </c>
    </row>
    <row r="1140">
      <c r="A1140" t="inlineStr">
        <is>
          <t>No</t>
        </is>
      </c>
      <c r="B1140" t="inlineStr">
        <is>
          <t>E332 .B96 1995</t>
        </is>
      </c>
      <c r="C1140" t="inlineStr">
        <is>
          <t>0                      E  0332000B  96          1995</t>
        </is>
      </c>
      <c r="D1140" t="inlineStr">
        <is>
          <t>The inner Jefferson : portrait of a grieving optimist / Andrew Burstein.</t>
        </is>
      </c>
      <c r="F1140" t="inlineStr">
        <is>
          <t>No</t>
        </is>
      </c>
      <c r="G1140" t="inlineStr">
        <is>
          <t>1</t>
        </is>
      </c>
      <c r="H1140" t="inlineStr">
        <is>
          <t>No</t>
        </is>
      </c>
      <c r="I1140" t="inlineStr">
        <is>
          <t>No</t>
        </is>
      </c>
      <c r="J1140" t="inlineStr">
        <is>
          <t>0</t>
        </is>
      </c>
      <c r="K1140" t="inlineStr">
        <is>
          <t>Burstein, Andrew.</t>
        </is>
      </c>
      <c r="L1140" t="inlineStr">
        <is>
          <t>Charlottesville : University Press of Virginia, 1995.</t>
        </is>
      </c>
      <c r="M1140" t="inlineStr">
        <is>
          <t>1995</t>
        </is>
      </c>
      <c r="O1140" t="inlineStr">
        <is>
          <t>eng</t>
        </is>
      </c>
      <c r="P1140" t="inlineStr">
        <is>
          <t>vau</t>
        </is>
      </c>
      <c r="R1140" t="inlineStr">
        <is>
          <t xml:space="preserve">E  </t>
        </is>
      </c>
      <c r="S1140" t="n">
        <v>3</v>
      </c>
      <c r="T1140" t="n">
        <v>3</v>
      </c>
      <c r="U1140" t="inlineStr">
        <is>
          <t>2002-05-05</t>
        </is>
      </c>
      <c r="V1140" t="inlineStr">
        <is>
          <t>2002-05-05</t>
        </is>
      </c>
      <c r="W1140" t="inlineStr">
        <is>
          <t>1996-04-17</t>
        </is>
      </c>
      <c r="X1140" t="inlineStr">
        <is>
          <t>1996-04-17</t>
        </is>
      </c>
      <c r="Y1140" t="n">
        <v>977</v>
      </c>
      <c r="Z1140" t="n">
        <v>931</v>
      </c>
      <c r="AA1140" t="n">
        <v>1629</v>
      </c>
      <c r="AB1140" t="n">
        <v>8</v>
      </c>
      <c r="AC1140" t="n">
        <v>10</v>
      </c>
      <c r="AD1140" t="n">
        <v>38</v>
      </c>
      <c r="AE1140" t="n">
        <v>43</v>
      </c>
      <c r="AF1140" t="n">
        <v>13</v>
      </c>
      <c r="AG1140" t="n">
        <v>16</v>
      </c>
      <c r="AH1140" t="n">
        <v>8</v>
      </c>
      <c r="AI1140" t="n">
        <v>8</v>
      </c>
      <c r="AJ1140" t="n">
        <v>17</v>
      </c>
      <c r="AK1140" t="n">
        <v>19</v>
      </c>
      <c r="AL1140" t="n">
        <v>7</v>
      </c>
      <c r="AM1140" t="n">
        <v>8</v>
      </c>
      <c r="AN1140" t="n">
        <v>1</v>
      </c>
      <c r="AO1140" t="n">
        <v>1</v>
      </c>
      <c r="AP1140" t="inlineStr">
        <is>
          <t>No</t>
        </is>
      </c>
      <c r="AQ1140" t="inlineStr">
        <is>
          <t>No</t>
        </is>
      </c>
      <c r="AS1140">
        <f>HYPERLINK("https://creighton-primo.hosted.exlibrisgroup.com/primo-explore/search?tab=default_tab&amp;search_scope=EVERYTHING&amp;vid=01CRU&amp;lang=en_US&amp;offset=0&amp;query=any,contains,991002451829702656","Catalog Record")</f>
        <v/>
      </c>
      <c r="AT1140">
        <f>HYPERLINK("http://www.worldcat.org/oclc/31970733","WorldCat Record")</f>
        <v/>
      </c>
      <c r="AU1140" t="inlineStr">
        <is>
          <t>905746:eng</t>
        </is>
      </c>
      <c r="AV1140" t="inlineStr">
        <is>
          <t>31970733</t>
        </is>
      </c>
      <c r="AW1140" t="inlineStr">
        <is>
          <t>991002451829702656</t>
        </is>
      </c>
      <c r="AX1140" t="inlineStr">
        <is>
          <t>991002451829702656</t>
        </is>
      </c>
      <c r="AY1140" t="inlineStr">
        <is>
          <t>2270057680002656</t>
        </is>
      </c>
      <c r="AZ1140" t="inlineStr">
        <is>
          <t>BOOK</t>
        </is>
      </c>
      <c r="BB1140" t="inlineStr">
        <is>
          <t>9780813916187</t>
        </is>
      </c>
      <c r="BC1140" t="inlineStr">
        <is>
          <t>32285002153871</t>
        </is>
      </c>
      <c r="BD1140" t="inlineStr">
        <is>
          <t>893329095</t>
        </is>
      </c>
    </row>
    <row r="1141">
      <c r="A1141" t="inlineStr">
        <is>
          <t>No</t>
        </is>
      </c>
      <c r="B1141" t="inlineStr">
        <is>
          <t>E332 .C536</t>
        </is>
      </c>
      <c r="C1141" t="inlineStr">
        <is>
          <t>0                      E  0332000C  536</t>
        </is>
      </c>
      <c r="D1141" t="inlineStr">
        <is>
          <t>Thomas Jefferson, the apostle of Americanism / by Gilbert Chinard.</t>
        </is>
      </c>
      <c r="F1141" t="inlineStr">
        <is>
          <t>No</t>
        </is>
      </c>
      <c r="G1141" t="inlineStr">
        <is>
          <t>1</t>
        </is>
      </c>
      <c r="H1141" t="inlineStr">
        <is>
          <t>No</t>
        </is>
      </c>
      <c r="I1141" t="inlineStr">
        <is>
          <t>No</t>
        </is>
      </c>
      <c r="J1141" t="inlineStr">
        <is>
          <t>0</t>
        </is>
      </c>
      <c r="K1141" t="inlineStr">
        <is>
          <t>Chinard, Gilbert, 1881-1972.</t>
        </is>
      </c>
      <c r="L1141" t="inlineStr">
        <is>
          <t>Boston : Little, Brown, and Company, 1929.</t>
        </is>
      </c>
      <c r="M1141" t="inlineStr">
        <is>
          <t>1929</t>
        </is>
      </c>
      <c r="O1141" t="inlineStr">
        <is>
          <t>eng</t>
        </is>
      </c>
      <c r="P1141" t="inlineStr">
        <is>
          <t>mau</t>
        </is>
      </c>
      <c r="R1141" t="inlineStr">
        <is>
          <t xml:space="preserve">E  </t>
        </is>
      </c>
      <c r="S1141" t="n">
        <v>5</v>
      </c>
      <c r="T1141" t="n">
        <v>5</v>
      </c>
      <c r="U1141" t="inlineStr">
        <is>
          <t>2002-03-13</t>
        </is>
      </c>
      <c r="V1141" t="inlineStr">
        <is>
          <t>2002-03-13</t>
        </is>
      </c>
      <c r="W1141" t="inlineStr">
        <is>
          <t>1993-03-31</t>
        </is>
      </c>
      <c r="X1141" t="inlineStr">
        <is>
          <t>1993-03-31</t>
        </is>
      </c>
      <c r="Y1141" t="n">
        <v>438</v>
      </c>
      <c r="Z1141" t="n">
        <v>408</v>
      </c>
      <c r="AA1141" t="n">
        <v>1328</v>
      </c>
      <c r="AB1141" t="n">
        <v>2</v>
      </c>
      <c r="AC1141" t="n">
        <v>8</v>
      </c>
      <c r="AD1141" t="n">
        <v>15</v>
      </c>
      <c r="AE1141" t="n">
        <v>52</v>
      </c>
      <c r="AF1141" t="n">
        <v>4</v>
      </c>
      <c r="AG1141" t="n">
        <v>21</v>
      </c>
      <c r="AH1141" t="n">
        <v>2</v>
      </c>
      <c r="AI1141" t="n">
        <v>9</v>
      </c>
      <c r="AJ1141" t="n">
        <v>10</v>
      </c>
      <c r="AK1141" t="n">
        <v>25</v>
      </c>
      <c r="AL1141" t="n">
        <v>1</v>
      </c>
      <c r="AM1141" t="n">
        <v>6</v>
      </c>
      <c r="AN1141" t="n">
        <v>1</v>
      </c>
      <c r="AO1141" t="n">
        <v>3</v>
      </c>
      <c r="AP1141" t="inlineStr">
        <is>
          <t>No</t>
        </is>
      </c>
      <c r="AQ1141" t="inlineStr">
        <is>
          <t>Yes</t>
        </is>
      </c>
      <c r="AR1141">
        <f>HYPERLINK("http://catalog.hathitrust.org/Record/000366746","HathiTrust Record")</f>
        <v/>
      </c>
      <c r="AS1141">
        <f>HYPERLINK("https://creighton-primo.hosted.exlibrisgroup.com/primo-explore/search?tab=default_tab&amp;search_scope=EVERYTHING&amp;vid=01CRU&amp;lang=en_US&amp;offset=0&amp;query=any,contains,991001565409702656","Catalog Record")</f>
        <v/>
      </c>
      <c r="AT1141">
        <f>HYPERLINK("http://www.worldcat.org/oclc/232740","WorldCat Record")</f>
        <v/>
      </c>
      <c r="AU1141" t="inlineStr">
        <is>
          <t>1359452:eng</t>
        </is>
      </c>
      <c r="AV1141" t="inlineStr">
        <is>
          <t>232740</t>
        </is>
      </c>
      <c r="AW1141" t="inlineStr">
        <is>
          <t>991001565409702656</t>
        </is>
      </c>
      <c r="AX1141" t="inlineStr">
        <is>
          <t>991001565409702656</t>
        </is>
      </c>
      <c r="AY1141" t="inlineStr">
        <is>
          <t>2258608930002656</t>
        </is>
      </c>
      <c r="AZ1141" t="inlineStr">
        <is>
          <t>BOOK</t>
        </is>
      </c>
      <c r="BC1141" t="inlineStr">
        <is>
          <t>32285001595635</t>
        </is>
      </c>
      <c r="BD1141" t="inlineStr">
        <is>
          <t>893225922</t>
        </is>
      </c>
    </row>
    <row r="1142">
      <c r="A1142" t="inlineStr">
        <is>
          <t>No</t>
        </is>
      </c>
      <c r="B1142" t="inlineStr">
        <is>
          <t>E332 .C97</t>
        </is>
      </c>
      <c r="C1142" t="inlineStr">
        <is>
          <t>0                      E  0332000C  97</t>
        </is>
      </c>
      <c r="D1142" t="inlineStr">
        <is>
          <t>Thomas Jefferson / by William Eleroy Curtis.</t>
        </is>
      </c>
      <c r="F1142" t="inlineStr">
        <is>
          <t>No</t>
        </is>
      </c>
      <c r="G1142" t="inlineStr">
        <is>
          <t>1</t>
        </is>
      </c>
      <c r="H1142" t="inlineStr">
        <is>
          <t>No</t>
        </is>
      </c>
      <c r="I1142" t="inlineStr">
        <is>
          <t>No</t>
        </is>
      </c>
      <c r="J1142" t="inlineStr">
        <is>
          <t>0</t>
        </is>
      </c>
      <c r="K1142" t="inlineStr">
        <is>
          <t>Curtis, William Eleroy, 1850-1911.</t>
        </is>
      </c>
      <c r="L1142" t="inlineStr">
        <is>
          <t>Philadelphia : J. B. Lippincott, c1901.</t>
        </is>
      </c>
      <c r="M1142" t="inlineStr">
        <is>
          <t>1901</t>
        </is>
      </c>
      <c r="O1142" t="inlineStr">
        <is>
          <t>eng</t>
        </is>
      </c>
      <c r="P1142" t="inlineStr">
        <is>
          <t>pau</t>
        </is>
      </c>
      <c r="R1142" t="inlineStr">
        <is>
          <t xml:space="preserve">E  </t>
        </is>
      </c>
      <c r="S1142" t="n">
        <v>4</v>
      </c>
      <c r="T1142" t="n">
        <v>4</v>
      </c>
      <c r="U1142" t="inlineStr">
        <is>
          <t>1993-10-31</t>
        </is>
      </c>
      <c r="V1142" t="inlineStr">
        <is>
          <t>1993-10-31</t>
        </is>
      </c>
      <c r="W1142" t="inlineStr">
        <is>
          <t>1991-12-09</t>
        </is>
      </c>
      <c r="X1142" t="inlineStr">
        <is>
          <t>1991-12-09</t>
        </is>
      </c>
      <c r="Y1142" t="n">
        <v>64</v>
      </c>
      <c r="Z1142" t="n">
        <v>59</v>
      </c>
      <c r="AA1142" t="n">
        <v>66</v>
      </c>
      <c r="AB1142" t="n">
        <v>1</v>
      </c>
      <c r="AC1142" t="n">
        <v>1</v>
      </c>
      <c r="AD1142" t="n">
        <v>2</v>
      </c>
      <c r="AE1142" t="n">
        <v>2</v>
      </c>
      <c r="AF1142" t="n">
        <v>1</v>
      </c>
      <c r="AG1142" t="n">
        <v>1</v>
      </c>
      <c r="AH1142" t="n">
        <v>0</v>
      </c>
      <c r="AI1142" t="n">
        <v>0</v>
      </c>
      <c r="AJ1142" t="n">
        <v>1</v>
      </c>
      <c r="AK1142" t="n">
        <v>1</v>
      </c>
      <c r="AL1142" t="n">
        <v>0</v>
      </c>
      <c r="AM1142" t="n">
        <v>0</v>
      </c>
      <c r="AN1142" t="n">
        <v>0</v>
      </c>
      <c r="AO1142" t="n">
        <v>0</v>
      </c>
      <c r="AP1142" t="inlineStr">
        <is>
          <t>Yes</t>
        </is>
      </c>
      <c r="AQ1142" t="inlineStr">
        <is>
          <t>No</t>
        </is>
      </c>
      <c r="AR1142">
        <f>HYPERLINK("http://catalog.hathitrust.org/Record/008989323","HathiTrust Record")</f>
        <v/>
      </c>
      <c r="AS1142">
        <f>HYPERLINK("https://creighton-primo.hosted.exlibrisgroup.com/primo-explore/search?tab=default_tab&amp;search_scope=EVERYTHING&amp;vid=01CRU&amp;lang=en_US&amp;offset=0&amp;query=any,contains,991004768469702656","Catalog Record")</f>
        <v/>
      </c>
      <c r="AT1142">
        <f>HYPERLINK("http://www.worldcat.org/oclc/5042129","WorldCat Record")</f>
        <v/>
      </c>
      <c r="AU1142" t="inlineStr">
        <is>
          <t>5218583356:eng</t>
        </is>
      </c>
      <c r="AV1142" t="inlineStr">
        <is>
          <t>5042129</t>
        </is>
      </c>
      <c r="AW1142" t="inlineStr">
        <is>
          <t>991004768469702656</t>
        </is>
      </c>
      <c r="AX1142" t="inlineStr">
        <is>
          <t>991004768469702656</t>
        </is>
      </c>
      <c r="AY1142" t="inlineStr">
        <is>
          <t>2259757010002656</t>
        </is>
      </c>
      <c r="AZ1142" t="inlineStr">
        <is>
          <t>BOOK</t>
        </is>
      </c>
      <c r="BC1142" t="inlineStr">
        <is>
          <t>32285000849637</t>
        </is>
      </c>
      <c r="BD1142" t="inlineStr">
        <is>
          <t>893876561</t>
        </is>
      </c>
    </row>
    <row r="1143">
      <c r="A1143" t="inlineStr">
        <is>
          <t>No</t>
        </is>
      </c>
      <c r="B1143" t="inlineStr">
        <is>
          <t>E332 .D6</t>
        </is>
      </c>
      <c r="C1143" t="inlineStr">
        <is>
          <t>0                      E  0332000D  6</t>
        </is>
      </c>
      <c r="D1143" t="inlineStr">
        <is>
          <t>The head and heart of Thomas Jefferson.</t>
        </is>
      </c>
      <c r="F1143" t="inlineStr">
        <is>
          <t>No</t>
        </is>
      </c>
      <c r="G1143" t="inlineStr">
        <is>
          <t>1</t>
        </is>
      </c>
      <c r="H1143" t="inlineStr">
        <is>
          <t>No</t>
        </is>
      </c>
      <c r="I1143" t="inlineStr">
        <is>
          <t>No</t>
        </is>
      </c>
      <c r="J1143" t="inlineStr">
        <is>
          <t>0</t>
        </is>
      </c>
      <c r="K1143" t="inlineStr">
        <is>
          <t>Dos Passos, John, 1896-1970.</t>
        </is>
      </c>
      <c r="L1143" t="inlineStr">
        <is>
          <t>Garden City, N.Y. : Doubleday, 1954.</t>
        </is>
      </c>
      <c r="M1143" t="inlineStr">
        <is>
          <t>1954</t>
        </is>
      </c>
      <c r="N1143" t="inlineStr">
        <is>
          <t>[1st ed.]</t>
        </is>
      </c>
      <c r="O1143" t="inlineStr">
        <is>
          <t>eng</t>
        </is>
      </c>
      <c r="P1143" t="inlineStr">
        <is>
          <t>nyu</t>
        </is>
      </c>
      <c r="R1143" t="inlineStr">
        <is>
          <t xml:space="preserve">E  </t>
        </is>
      </c>
      <c r="S1143" t="n">
        <v>4</v>
      </c>
      <c r="T1143" t="n">
        <v>4</v>
      </c>
      <c r="U1143" t="inlineStr">
        <is>
          <t>1995-10-12</t>
        </is>
      </c>
      <c r="V1143" t="inlineStr">
        <is>
          <t>1995-10-12</t>
        </is>
      </c>
      <c r="W1143" t="inlineStr">
        <is>
          <t>1993-11-23</t>
        </is>
      </c>
      <c r="X1143" t="inlineStr">
        <is>
          <t>1993-11-23</t>
        </is>
      </c>
      <c r="Y1143" t="n">
        <v>1015</v>
      </c>
      <c r="Z1143" t="n">
        <v>906</v>
      </c>
      <c r="AA1143" t="n">
        <v>920</v>
      </c>
      <c r="AB1143" t="n">
        <v>5</v>
      </c>
      <c r="AC1143" t="n">
        <v>5</v>
      </c>
      <c r="AD1143" t="n">
        <v>26</v>
      </c>
      <c r="AE1143" t="n">
        <v>26</v>
      </c>
      <c r="AF1143" t="n">
        <v>11</v>
      </c>
      <c r="AG1143" t="n">
        <v>11</v>
      </c>
      <c r="AH1143" t="n">
        <v>5</v>
      </c>
      <c r="AI1143" t="n">
        <v>5</v>
      </c>
      <c r="AJ1143" t="n">
        <v>8</v>
      </c>
      <c r="AK1143" t="n">
        <v>8</v>
      </c>
      <c r="AL1143" t="n">
        <v>3</v>
      </c>
      <c r="AM1143" t="n">
        <v>3</v>
      </c>
      <c r="AN1143" t="n">
        <v>3</v>
      </c>
      <c r="AO1143" t="n">
        <v>3</v>
      </c>
      <c r="AP1143" t="inlineStr">
        <is>
          <t>No</t>
        </is>
      </c>
      <c r="AQ1143" t="inlineStr">
        <is>
          <t>No</t>
        </is>
      </c>
      <c r="AR1143">
        <f>HYPERLINK("http://catalog.hathitrust.org/Record/000812382","HathiTrust Record")</f>
        <v/>
      </c>
      <c r="AS1143">
        <f>HYPERLINK("https://creighton-primo.hosted.exlibrisgroup.com/primo-explore/search?tab=default_tab&amp;search_scope=EVERYTHING&amp;vid=01CRU&amp;lang=en_US&amp;offset=0&amp;query=any,contains,991002301729702656","Catalog Record")</f>
        <v/>
      </c>
      <c r="AT1143">
        <f>HYPERLINK("http://www.worldcat.org/oclc/317585","WorldCat Record")</f>
        <v/>
      </c>
      <c r="AU1143" t="inlineStr">
        <is>
          <t>1390309:eng</t>
        </is>
      </c>
      <c r="AV1143" t="inlineStr">
        <is>
          <t>317585</t>
        </is>
      </c>
      <c r="AW1143" t="inlineStr">
        <is>
          <t>991002301729702656</t>
        </is>
      </c>
      <c r="AX1143" t="inlineStr">
        <is>
          <t>991002301729702656</t>
        </is>
      </c>
      <c r="AY1143" t="inlineStr">
        <is>
          <t>2267495630002656</t>
        </is>
      </c>
      <c r="AZ1143" t="inlineStr">
        <is>
          <t>BOOK</t>
        </is>
      </c>
      <c r="BC1143" t="inlineStr">
        <is>
          <t>32285001688315</t>
        </is>
      </c>
      <c r="BD1143" t="inlineStr">
        <is>
          <t>893798422</t>
        </is>
      </c>
    </row>
    <row r="1144">
      <c r="A1144" t="inlineStr">
        <is>
          <t>No</t>
        </is>
      </c>
      <c r="B1144" t="inlineStr">
        <is>
          <t>E332 .F3 1971</t>
        </is>
      </c>
      <c r="C1144" t="inlineStr">
        <is>
          <t>0                      E  0332000F  3           1971</t>
        </is>
      </c>
      <c r="D1144" t="inlineStr">
        <is>
          <t>Thomas Jefferson redivivus / photographs by Joseph C. Farber ; text by Wendell D. Garrett.</t>
        </is>
      </c>
      <c r="F1144" t="inlineStr">
        <is>
          <t>No</t>
        </is>
      </c>
      <c r="G1144" t="inlineStr">
        <is>
          <t>1</t>
        </is>
      </c>
      <c r="H1144" t="inlineStr">
        <is>
          <t>No</t>
        </is>
      </c>
      <c r="I1144" t="inlineStr">
        <is>
          <t>No</t>
        </is>
      </c>
      <c r="J1144" t="inlineStr">
        <is>
          <t>0</t>
        </is>
      </c>
      <c r="K1144" t="inlineStr">
        <is>
          <t>Farber, Joseph C., 1903-</t>
        </is>
      </c>
      <c r="L1144" t="inlineStr">
        <is>
          <t>Barre, MA. : Barre Publishers, [1971]</t>
        </is>
      </c>
      <c r="M1144" t="inlineStr">
        <is>
          <t>1971</t>
        </is>
      </c>
      <c r="O1144" t="inlineStr">
        <is>
          <t>eng</t>
        </is>
      </c>
      <c r="P1144" t="inlineStr">
        <is>
          <t>mau</t>
        </is>
      </c>
      <c r="R1144" t="inlineStr">
        <is>
          <t xml:space="preserve">E  </t>
        </is>
      </c>
      <c r="S1144" t="n">
        <v>1</v>
      </c>
      <c r="T1144" t="n">
        <v>1</v>
      </c>
      <c r="U1144" t="inlineStr">
        <is>
          <t>2002-05-05</t>
        </is>
      </c>
      <c r="V1144" t="inlineStr">
        <is>
          <t>2002-05-05</t>
        </is>
      </c>
      <c r="W1144" t="inlineStr">
        <is>
          <t>1991-04-16</t>
        </is>
      </c>
      <c r="X1144" t="inlineStr">
        <is>
          <t>1991-04-16</t>
        </is>
      </c>
      <c r="Y1144" t="n">
        <v>393</v>
      </c>
      <c r="Z1144" t="n">
        <v>374</v>
      </c>
      <c r="AA1144" t="n">
        <v>380</v>
      </c>
      <c r="AB1144" t="n">
        <v>4</v>
      </c>
      <c r="AC1144" t="n">
        <v>4</v>
      </c>
      <c r="AD1144" t="n">
        <v>7</v>
      </c>
      <c r="AE1144" t="n">
        <v>7</v>
      </c>
      <c r="AF1144" t="n">
        <v>2</v>
      </c>
      <c r="AG1144" t="n">
        <v>2</v>
      </c>
      <c r="AH1144" t="n">
        <v>0</v>
      </c>
      <c r="AI1144" t="n">
        <v>0</v>
      </c>
      <c r="AJ1144" t="n">
        <v>4</v>
      </c>
      <c r="AK1144" t="n">
        <v>4</v>
      </c>
      <c r="AL1144" t="n">
        <v>2</v>
      </c>
      <c r="AM1144" t="n">
        <v>2</v>
      </c>
      <c r="AN1144" t="n">
        <v>0</v>
      </c>
      <c r="AO1144" t="n">
        <v>0</v>
      </c>
      <c r="AP1144" t="inlineStr">
        <is>
          <t>No</t>
        </is>
      </c>
      <c r="AQ1144" t="inlineStr">
        <is>
          <t>No</t>
        </is>
      </c>
      <c r="AS1144">
        <f>HYPERLINK("https://creighton-primo.hosted.exlibrisgroup.com/primo-explore/search?tab=default_tab&amp;search_scope=EVERYTHING&amp;vid=01CRU&amp;lang=en_US&amp;offset=0&amp;query=any,contains,991000822059702656","Catalog Record")</f>
        <v/>
      </c>
      <c r="AT1144">
        <f>HYPERLINK("http://www.worldcat.org/oclc/145337","WorldCat Record")</f>
        <v/>
      </c>
      <c r="AU1144" t="inlineStr">
        <is>
          <t>1322066:eng</t>
        </is>
      </c>
      <c r="AV1144" t="inlineStr">
        <is>
          <t>145337</t>
        </is>
      </c>
      <c r="AW1144" t="inlineStr">
        <is>
          <t>991000822059702656</t>
        </is>
      </c>
      <c r="AX1144" t="inlineStr">
        <is>
          <t>991000822059702656</t>
        </is>
      </c>
      <c r="AY1144" t="inlineStr">
        <is>
          <t>2258183470002656</t>
        </is>
      </c>
      <c r="AZ1144" t="inlineStr">
        <is>
          <t>BOOK</t>
        </is>
      </c>
      <c r="BB1144" t="inlineStr">
        <is>
          <t>9780827170179</t>
        </is>
      </c>
      <c r="BC1144" t="inlineStr">
        <is>
          <t>32285000543172</t>
        </is>
      </c>
      <c r="BD1144" t="inlineStr">
        <is>
          <t>893608310</t>
        </is>
      </c>
    </row>
    <row r="1145">
      <c r="A1145" t="inlineStr">
        <is>
          <t>No</t>
        </is>
      </c>
      <c r="B1145" t="inlineStr">
        <is>
          <t>E332 .F6</t>
        </is>
      </c>
      <c r="C1145" t="inlineStr">
        <is>
          <t>0                      E  0332000F  6</t>
        </is>
      </c>
      <c r="D1145" t="inlineStr">
        <is>
          <t>The man from Monticello : an intimate life of Thomas Jefferson / by Thomas Fleming.</t>
        </is>
      </c>
      <c r="F1145" t="inlineStr">
        <is>
          <t>No</t>
        </is>
      </c>
      <c r="G1145" t="inlineStr">
        <is>
          <t>1</t>
        </is>
      </c>
      <c r="H1145" t="inlineStr">
        <is>
          <t>No</t>
        </is>
      </c>
      <c r="I1145" t="inlineStr">
        <is>
          <t>No</t>
        </is>
      </c>
      <c r="J1145" t="inlineStr">
        <is>
          <t>0</t>
        </is>
      </c>
      <c r="K1145" t="inlineStr">
        <is>
          <t>Fleming, Thomas J.</t>
        </is>
      </c>
      <c r="L1145" t="inlineStr">
        <is>
          <t>New York : Morrow, 1969.</t>
        </is>
      </c>
      <c r="M1145" t="inlineStr">
        <is>
          <t>1969</t>
        </is>
      </c>
      <c r="O1145" t="inlineStr">
        <is>
          <t>eng</t>
        </is>
      </c>
      <c r="P1145" t="inlineStr">
        <is>
          <t>nyu</t>
        </is>
      </c>
      <c r="R1145" t="inlineStr">
        <is>
          <t xml:space="preserve">E  </t>
        </is>
      </c>
      <c r="S1145" t="n">
        <v>3</v>
      </c>
      <c r="T1145" t="n">
        <v>3</v>
      </c>
      <c r="U1145" t="inlineStr">
        <is>
          <t>1995-10-11</t>
        </is>
      </c>
      <c r="V1145" t="inlineStr">
        <is>
          <t>1995-10-11</t>
        </is>
      </c>
      <c r="W1145" t="inlineStr">
        <is>
          <t>1990-04-02</t>
        </is>
      </c>
      <c r="X1145" t="inlineStr">
        <is>
          <t>1990-04-02</t>
        </is>
      </c>
      <c r="Y1145" t="n">
        <v>1220</v>
      </c>
      <c r="Z1145" t="n">
        <v>1175</v>
      </c>
      <c r="AA1145" t="n">
        <v>1184</v>
      </c>
      <c r="AB1145" t="n">
        <v>10</v>
      </c>
      <c r="AC1145" t="n">
        <v>10</v>
      </c>
      <c r="AD1145" t="n">
        <v>27</v>
      </c>
      <c r="AE1145" t="n">
        <v>27</v>
      </c>
      <c r="AF1145" t="n">
        <v>12</v>
      </c>
      <c r="AG1145" t="n">
        <v>12</v>
      </c>
      <c r="AH1145" t="n">
        <v>4</v>
      </c>
      <c r="AI1145" t="n">
        <v>4</v>
      </c>
      <c r="AJ1145" t="n">
        <v>12</v>
      </c>
      <c r="AK1145" t="n">
        <v>12</v>
      </c>
      <c r="AL1145" t="n">
        <v>5</v>
      </c>
      <c r="AM1145" t="n">
        <v>5</v>
      </c>
      <c r="AN1145" t="n">
        <v>0</v>
      </c>
      <c r="AO1145" t="n">
        <v>0</v>
      </c>
      <c r="AP1145" t="inlineStr">
        <is>
          <t>No</t>
        </is>
      </c>
      <c r="AQ1145" t="inlineStr">
        <is>
          <t>Yes</t>
        </is>
      </c>
      <c r="AR1145">
        <f>HYPERLINK("http://catalog.hathitrust.org/Record/000366941","HathiTrust Record")</f>
        <v/>
      </c>
      <c r="AS1145">
        <f>HYPERLINK("https://creighton-primo.hosted.exlibrisgroup.com/primo-explore/search?tab=default_tab&amp;search_scope=EVERYTHING&amp;vid=01CRU&amp;lang=en_US&amp;offset=0&amp;query=any,contains,991000032299702656","Catalog Record")</f>
        <v/>
      </c>
      <c r="AT1145">
        <f>HYPERLINK("http://www.worldcat.org/oclc/19939","WorldCat Record")</f>
        <v/>
      </c>
      <c r="AU1145" t="inlineStr">
        <is>
          <t>196745950:eng</t>
        </is>
      </c>
      <c r="AV1145" t="inlineStr">
        <is>
          <t>19939</t>
        </is>
      </c>
      <c r="AW1145" t="inlineStr">
        <is>
          <t>991000032299702656</t>
        </is>
      </c>
      <c r="AX1145" t="inlineStr">
        <is>
          <t>991000032299702656</t>
        </is>
      </c>
      <c r="AY1145" t="inlineStr">
        <is>
          <t>2271759280002656</t>
        </is>
      </c>
      <c r="AZ1145" t="inlineStr">
        <is>
          <t>BOOK</t>
        </is>
      </c>
      <c r="BC1145" t="inlineStr">
        <is>
          <t>32285000100387</t>
        </is>
      </c>
      <c r="BD1145" t="inlineStr">
        <is>
          <t>893419136</t>
        </is>
      </c>
    </row>
    <row r="1146">
      <c r="A1146" t="inlineStr">
        <is>
          <t>No</t>
        </is>
      </c>
      <c r="B1146" t="inlineStr">
        <is>
          <t>E332 .H84</t>
        </is>
      </c>
      <c r="C1146" t="inlineStr">
        <is>
          <t>0                      E  0332000H  84</t>
        </is>
      </c>
      <c r="D1146" t="inlineStr">
        <is>
          <t>Thomas Jefferson, a reference guide / Eugene L. Huddleston.</t>
        </is>
      </c>
      <c r="F1146" t="inlineStr">
        <is>
          <t>No</t>
        </is>
      </c>
      <c r="G1146" t="inlineStr">
        <is>
          <t>1</t>
        </is>
      </c>
      <c r="H1146" t="inlineStr">
        <is>
          <t>No</t>
        </is>
      </c>
      <c r="I1146" t="inlineStr">
        <is>
          <t>No</t>
        </is>
      </c>
      <c r="J1146" t="inlineStr">
        <is>
          <t>0</t>
        </is>
      </c>
      <c r="K1146" t="inlineStr">
        <is>
          <t>Huddleston, Eugene L., 1931-</t>
        </is>
      </c>
      <c r="L1146" t="inlineStr">
        <is>
          <t>Boston, Mass. : G.K. Hall, c1982.</t>
        </is>
      </c>
      <c r="M1146" t="inlineStr">
        <is>
          <t>1982</t>
        </is>
      </c>
      <c r="O1146" t="inlineStr">
        <is>
          <t>eng</t>
        </is>
      </c>
      <c r="P1146" t="inlineStr">
        <is>
          <t>mau</t>
        </is>
      </c>
      <c r="Q1146" t="inlineStr">
        <is>
          <t>Reference guide to literature</t>
        </is>
      </c>
      <c r="R1146" t="inlineStr">
        <is>
          <t xml:space="preserve">E  </t>
        </is>
      </c>
      <c r="S1146" t="n">
        <v>5</v>
      </c>
      <c r="T1146" t="n">
        <v>5</v>
      </c>
      <c r="U1146" t="inlineStr">
        <is>
          <t>1995-10-09</t>
        </is>
      </c>
      <c r="V1146" t="inlineStr">
        <is>
          <t>1995-10-09</t>
        </is>
      </c>
      <c r="W1146" t="inlineStr">
        <is>
          <t>1990-02-22</t>
        </is>
      </c>
      <c r="X1146" t="inlineStr">
        <is>
          <t>1990-02-22</t>
        </is>
      </c>
      <c r="Y1146" t="n">
        <v>453</v>
      </c>
      <c r="Z1146" t="n">
        <v>397</v>
      </c>
      <c r="AA1146" t="n">
        <v>404</v>
      </c>
      <c r="AB1146" t="n">
        <v>5</v>
      </c>
      <c r="AC1146" t="n">
        <v>5</v>
      </c>
      <c r="AD1146" t="n">
        <v>18</v>
      </c>
      <c r="AE1146" t="n">
        <v>18</v>
      </c>
      <c r="AF1146" t="n">
        <v>4</v>
      </c>
      <c r="AG1146" t="n">
        <v>4</v>
      </c>
      <c r="AH1146" t="n">
        <v>5</v>
      </c>
      <c r="AI1146" t="n">
        <v>5</v>
      </c>
      <c r="AJ1146" t="n">
        <v>9</v>
      </c>
      <c r="AK1146" t="n">
        <v>9</v>
      </c>
      <c r="AL1146" t="n">
        <v>4</v>
      </c>
      <c r="AM1146" t="n">
        <v>4</v>
      </c>
      <c r="AN1146" t="n">
        <v>0</v>
      </c>
      <c r="AO1146" t="n">
        <v>0</v>
      </c>
      <c r="AP1146" t="inlineStr">
        <is>
          <t>No</t>
        </is>
      </c>
      <c r="AQ1146" t="inlineStr">
        <is>
          <t>Yes</t>
        </is>
      </c>
      <c r="AR1146">
        <f>HYPERLINK("http://catalog.hathitrust.org/Record/000263033","HathiTrust Record")</f>
        <v/>
      </c>
      <c r="AS1146">
        <f>HYPERLINK("https://creighton-primo.hosted.exlibrisgroup.com/primo-explore/search?tab=default_tab&amp;search_scope=EVERYTHING&amp;vid=01CRU&amp;lang=en_US&amp;offset=0&amp;query=any,contains,991005135019702656","Catalog Record")</f>
        <v/>
      </c>
      <c r="AT1146">
        <f>HYPERLINK("http://www.worldcat.org/oclc/7576025","WorldCat Record")</f>
        <v/>
      </c>
      <c r="AU1146" t="inlineStr">
        <is>
          <t>28890649:eng</t>
        </is>
      </c>
      <c r="AV1146" t="inlineStr">
        <is>
          <t>7576025</t>
        </is>
      </c>
      <c r="AW1146" t="inlineStr">
        <is>
          <t>991005135019702656</t>
        </is>
      </c>
      <c r="AX1146" t="inlineStr">
        <is>
          <t>991005135019702656</t>
        </is>
      </c>
      <c r="AY1146" t="inlineStr">
        <is>
          <t>2266092010002656</t>
        </is>
      </c>
      <c r="AZ1146" t="inlineStr">
        <is>
          <t>BOOK</t>
        </is>
      </c>
      <c r="BB1146" t="inlineStr">
        <is>
          <t>9780816181414</t>
        </is>
      </c>
      <c r="BC1146" t="inlineStr">
        <is>
          <t>32285000058866</t>
        </is>
      </c>
      <c r="BD1146" t="inlineStr">
        <is>
          <t>893437218</t>
        </is>
      </c>
    </row>
    <row r="1147">
      <c r="A1147" t="inlineStr">
        <is>
          <t>No</t>
        </is>
      </c>
      <c r="B1147" t="inlineStr">
        <is>
          <t>E332 .J464</t>
        </is>
      </c>
      <c r="C1147" t="inlineStr">
        <is>
          <t>0                      E  0332000J  464</t>
        </is>
      </c>
      <c r="D1147" t="inlineStr">
        <is>
          <t>Jefferson himself : the personal narrative of a many-sided American / edited by Bernard Mayo.</t>
        </is>
      </c>
      <c r="F1147" t="inlineStr">
        <is>
          <t>No</t>
        </is>
      </c>
      <c r="G1147" t="inlineStr">
        <is>
          <t>1</t>
        </is>
      </c>
      <c r="H1147" t="inlineStr">
        <is>
          <t>No</t>
        </is>
      </c>
      <c r="I1147" t="inlineStr">
        <is>
          <t>No</t>
        </is>
      </c>
      <c r="J1147" t="inlineStr">
        <is>
          <t>0</t>
        </is>
      </c>
      <c r="K1147" t="inlineStr">
        <is>
          <t>Jefferson, Thomas, 1743-1826.</t>
        </is>
      </c>
      <c r="L1147" t="inlineStr">
        <is>
          <t>Boston : Houghton Mifflin Company, 1942.</t>
        </is>
      </c>
      <c r="M1147" t="inlineStr">
        <is>
          <t>1942</t>
        </is>
      </c>
      <c r="O1147" t="inlineStr">
        <is>
          <t>eng</t>
        </is>
      </c>
      <c r="P1147" t="inlineStr">
        <is>
          <t>mau</t>
        </is>
      </c>
      <c r="R1147" t="inlineStr">
        <is>
          <t xml:space="preserve">E  </t>
        </is>
      </c>
      <c r="S1147" t="n">
        <v>9</v>
      </c>
      <c r="T1147" t="n">
        <v>9</v>
      </c>
      <c r="U1147" t="inlineStr">
        <is>
          <t>1998-10-19</t>
        </is>
      </c>
      <c r="V1147" t="inlineStr">
        <is>
          <t>1998-10-19</t>
        </is>
      </c>
      <c r="W1147" t="inlineStr">
        <is>
          <t>1990-04-04</t>
        </is>
      </c>
      <c r="X1147" t="inlineStr">
        <is>
          <t>1990-04-04</t>
        </is>
      </c>
      <c r="Y1147" t="n">
        <v>548</v>
      </c>
      <c r="Z1147" t="n">
        <v>519</v>
      </c>
      <c r="AA1147" t="n">
        <v>968</v>
      </c>
      <c r="AB1147" t="n">
        <v>5</v>
      </c>
      <c r="AC1147" t="n">
        <v>7</v>
      </c>
      <c r="AD1147" t="n">
        <v>20</v>
      </c>
      <c r="AE1147" t="n">
        <v>41</v>
      </c>
      <c r="AF1147" t="n">
        <v>6</v>
      </c>
      <c r="AG1147" t="n">
        <v>15</v>
      </c>
      <c r="AH1147" t="n">
        <v>2</v>
      </c>
      <c r="AI1147" t="n">
        <v>8</v>
      </c>
      <c r="AJ1147" t="n">
        <v>11</v>
      </c>
      <c r="AK1147" t="n">
        <v>20</v>
      </c>
      <c r="AL1147" t="n">
        <v>3</v>
      </c>
      <c r="AM1147" t="n">
        <v>5</v>
      </c>
      <c r="AN1147" t="n">
        <v>2</v>
      </c>
      <c r="AO1147" t="n">
        <v>3</v>
      </c>
      <c r="AP1147" t="inlineStr">
        <is>
          <t>No</t>
        </is>
      </c>
      <c r="AQ1147" t="inlineStr">
        <is>
          <t>Yes</t>
        </is>
      </c>
      <c r="AR1147">
        <f>HYPERLINK("http://catalog.hathitrust.org/Record/000367256","HathiTrust Record")</f>
        <v/>
      </c>
      <c r="AS1147">
        <f>HYPERLINK("https://creighton-primo.hosted.exlibrisgroup.com/primo-explore/search?tab=default_tab&amp;search_scope=EVERYTHING&amp;vid=01CRU&amp;lang=en_US&amp;offset=0&amp;query=any,contains,991002889009702656","Catalog Record")</f>
        <v/>
      </c>
      <c r="AT1147">
        <f>HYPERLINK("http://www.worldcat.org/oclc/510587","WorldCat Record")</f>
        <v/>
      </c>
      <c r="AU1147" t="inlineStr">
        <is>
          <t>434656169:eng</t>
        </is>
      </c>
      <c r="AV1147" t="inlineStr">
        <is>
          <t>510587</t>
        </is>
      </c>
      <c r="AW1147" t="inlineStr">
        <is>
          <t>991002889009702656</t>
        </is>
      </c>
      <c r="AX1147" t="inlineStr">
        <is>
          <t>991002889009702656</t>
        </is>
      </c>
      <c r="AY1147" t="inlineStr">
        <is>
          <t>2259983700002656</t>
        </is>
      </c>
      <c r="AZ1147" t="inlineStr">
        <is>
          <t>BOOK</t>
        </is>
      </c>
      <c r="BC1147" t="inlineStr">
        <is>
          <t>32285000101971</t>
        </is>
      </c>
      <c r="BD1147" t="inlineStr">
        <is>
          <t>893440653</t>
        </is>
      </c>
    </row>
    <row r="1148">
      <c r="A1148" t="inlineStr">
        <is>
          <t>No</t>
        </is>
      </c>
      <c r="B1148" t="inlineStr">
        <is>
          <t>E332 .J47 1972</t>
        </is>
      </c>
      <c r="C1148" t="inlineStr">
        <is>
          <t>0                      E  0332000J  47          1972</t>
        </is>
      </c>
      <c r="D1148" t="inlineStr">
        <is>
          <t>The life and selected writings of Thomas Jefferson / edited, and with an introduction, by Adrienne Koch &amp; William Peden.</t>
        </is>
      </c>
      <c r="F1148" t="inlineStr">
        <is>
          <t>No</t>
        </is>
      </c>
      <c r="G1148" t="inlineStr">
        <is>
          <t>1</t>
        </is>
      </c>
      <c r="H1148" t="inlineStr">
        <is>
          <t>No</t>
        </is>
      </c>
      <c r="I1148" t="inlineStr">
        <is>
          <t>No</t>
        </is>
      </c>
      <c r="J1148" t="inlineStr">
        <is>
          <t>0</t>
        </is>
      </c>
      <c r="K1148" t="inlineStr">
        <is>
          <t>Jefferson, Thomas, 1743-1826.</t>
        </is>
      </c>
      <c r="L1148" t="inlineStr">
        <is>
          <t>New York : Modern Library, c1972.</t>
        </is>
      </c>
      <c r="M1148" t="inlineStr">
        <is>
          <t>1972</t>
        </is>
      </c>
      <c r="O1148" t="inlineStr">
        <is>
          <t>eng</t>
        </is>
      </c>
      <c r="P1148" t="inlineStr">
        <is>
          <t>nyu</t>
        </is>
      </c>
      <c r="R1148" t="inlineStr">
        <is>
          <t xml:space="preserve">E  </t>
        </is>
      </c>
      <c r="S1148" t="n">
        <v>7</v>
      </c>
      <c r="T1148" t="n">
        <v>7</v>
      </c>
      <c r="U1148" t="inlineStr">
        <is>
          <t>1994-11-01</t>
        </is>
      </c>
      <c r="V1148" t="inlineStr">
        <is>
          <t>1994-11-01</t>
        </is>
      </c>
      <c r="W1148" t="inlineStr">
        <is>
          <t>1993-01-19</t>
        </is>
      </c>
      <c r="X1148" t="inlineStr">
        <is>
          <t>1993-01-19</t>
        </is>
      </c>
      <c r="Y1148" t="n">
        <v>144</v>
      </c>
      <c r="Z1148" t="n">
        <v>143</v>
      </c>
      <c r="AA1148" t="n">
        <v>1783</v>
      </c>
      <c r="AB1148" t="n">
        <v>3</v>
      </c>
      <c r="AC1148" t="n">
        <v>11</v>
      </c>
      <c r="AD1148" t="n">
        <v>3</v>
      </c>
      <c r="AE1148" t="n">
        <v>46</v>
      </c>
      <c r="AF1148" t="n">
        <v>1</v>
      </c>
      <c r="AG1148" t="n">
        <v>20</v>
      </c>
      <c r="AH1148" t="n">
        <v>0</v>
      </c>
      <c r="AI1148" t="n">
        <v>9</v>
      </c>
      <c r="AJ1148" t="n">
        <v>1</v>
      </c>
      <c r="AK1148" t="n">
        <v>18</v>
      </c>
      <c r="AL1148" t="n">
        <v>1</v>
      </c>
      <c r="AM1148" t="n">
        <v>5</v>
      </c>
      <c r="AN1148" t="n">
        <v>0</v>
      </c>
      <c r="AO1148" t="n">
        <v>5</v>
      </c>
      <c r="AP1148" t="inlineStr">
        <is>
          <t>No</t>
        </is>
      </c>
      <c r="AQ1148" t="inlineStr">
        <is>
          <t>No</t>
        </is>
      </c>
      <c r="AS1148">
        <f>HYPERLINK("https://creighton-primo.hosted.exlibrisgroup.com/primo-explore/search?tab=default_tab&amp;search_scope=EVERYTHING&amp;vid=01CRU&amp;lang=en_US&amp;offset=0&amp;query=any,contains,991004582369702656","Catalog Record")</f>
        <v/>
      </c>
      <c r="AT1148">
        <f>HYPERLINK("http://www.worldcat.org/oclc/4066814","WorldCat Record")</f>
        <v/>
      </c>
      <c r="AU1148" t="inlineStr">
        <is>
          <t>196627709:eng</t>
        </is>
      </c>
      <c r="AV1148" t="inlineStr">
        <is>
          <t>4066814</t>
        </is>
      </c>
      <c r="AW1148" t="inlineStr">
        <is>
          <t>991004582369702656</t>
        </is>
      </c>
      <c r="AX1148" t="inlineStr">
        <is>
          <t>991004582369702656</t>
        </is>
      </c>
      <c r="AY1148" t="inlineStr">
        <is>
          <t>2268686440002656</t>
        </is>
      </c>
      <c r="AZ1148" t="inlineStr">
        <is>
          <t>BOOK</t>
        </is>
      </c>
      <c r="BC1148" t="inlineStr">
        <is>
          <t>32285001446862</t>
        </is>
      </c>
      <c r="BD1148" t="inlineStr">
        <is>
          <t>893253848</t>
        </is>
      </c>
    </row>
    <row r="1149">
      <c r="A1149" t="inlineStr">
        <is>
          <t>No</t>
        </is>
      </c>
      <c r="B1149" t="inlineStr">
        <is>
          <t>E332 .J473 1974</t>
        </is>
      </c>
      <c r="C1149" t="inlineStr">
        <is>
          <t>0                      E  0332000J  473         1974</t>
        </is>
      </c>
      <c r="D1149" t="inlineStr">
        <is>
          <t>Thomas Jefferson : a biography in his own words / by the editors of Newsweek Books ; with an introd. by Joseph L. Gardner ; Joan Patterson Kerr, picture editor.</t>
        </is>
      </c>
      <c r="F1149" t="inlineStr">
        <is>
          <t>No</t>
        </is>
      </c>
      <c r="G1149" t="inlineStr">
        <is>
          <t>1</t>
        </is>
      </c>
      <c r="H1149" t="inlineStr">
        <is>
          <t>No</t>
        </is>
      </c>
      <c r="I1149" t="inlineStr">
        <is>
          <t>No</t>
        </is>
      </c>
      <c r="J1149" t="inlineStr">
        <is>
          <t>0</t>
        </is>
      </c>
      <c r="K1149" t="inlineStr">
        <is>
          <t>Jefferson, Thomas, 1743-1826.</t>
        </is>
      </c>
      <c r="L1149" t="inlineStr">
        <is>
          <t>New York : Newsweek : distributed by Harper &amp; Row, [1974]</t>
        </is>
      </c>
      <c r="M1149" t="inlineStr">
        <is>
          <t>1974</t>
        </is>
      </c>
      <c r="O1149" t="inlineStr">
        <is>
          <t>eng</t>
        </is>
      </c>
      <c r="P1149" t="inlineStr">
        <is>
          <t>nyu</t>
        </is>
      </c>
      <c r="Q1149" t="inlineStr">
        <is>
          <t>The Founding fathers</t>
        </is>
      </c>
      <c r="R1149" t="inlineStr">
        <is>
          <t xml:space="preserve">E  </t>
        </is>
      </c>
      <c r="S1149" t="n">
        <v>6</v>
      </c>
      <c r="T1149" t="n">
        <v>6</v>
      </c>
      <c r="U1149" t="inlineStr">
        <is>
          <t>1995-10-09</t>
        </is>
      </c>
      <c r="V1149" t="inlineStr">
        <is>
          <t>1995-10-09</t>
        </is>
      </c>
      <c r="W1149" t="inlineStr">
        <is>
          <t>1990-04-04</t>
        </is>
      </c>
      <c r="X1149" t="inlineStr">
        <is>
          <t>1990-04-04</t>
        </is>
      </c>
      <c r="Y1149" t="n">
        <v>701</v>
      </c>
      <c r="Z1149" t="n">
        <v>656</v>
      </c>
      <c r="AA1149" t="n">
        <v>825</v>
      </c>
      <c r="AB1149" t="n">
        <v>6</v>
      </c>
      <c r="AC1149" t="n">
        <v>7</v>
      </c>
      <c r="AD1149" t="n">
        <v>20</v>
      </c>
      <c r="AE1149" t="n">
        <v>21</v>
      </c>
      <c r="AF1149" t="n">
        <v>7</v>
      </c>
      <c r="AG1149" t="n">
        <v>8</v>
      </c>
      <c r="AH1149" t="n">
        <v>6</v>
      </c>
      <c r="AI1149" t="n">
        <v>6</v>
      </c>
      <c r="AJ1149" t="n">
        <v>8</v>
      </c>
      <c r="AK1149" t="n">
        <v>8</v>
      </c>
      <c r="AL1149" t="n">
        <v>2</v>
      </c>
      <c r="AM1149" t="n">
        <v>2</v>
      </c>
      <c r="AN1149" t="n">
        <v>2</v>
      </c>
      <c r="AO1149" t="n">
        <v>2</v>
      </c>
      <c r="AP1149" t="inlineStr">
        <is>
          <t>No</t>
        </is>
      </c>
      <c r="AQ1149" t="inlineStr">
        <is>
          <t>Yes</t>
        </is>
      </c>
      <c r="AR1149">
        <f>HYPERLINK("http://catalog.hathitrust.org/Record/008989320","HathiTrust Record")</f>
        <v/>
      </c>
      <c r="AS1149">
        <f>HYPERLINK("https://creighton-primo.hosted.exlibrisgroup.com/primo-explore/search?tab=default_tab&amp;search_scope=EVERYTHING&amp;vid=01CRU&amp;lang=en_US&amp;offset=0&amp;query=any,contains,991003532079702656","Catalog Record")</f>
        <v/>
      </c>
      <c r="AT1149">
        <f>HYPERLINK("http://www.worldcat.org/oclc/1094692","WorldCat Record")</f>
        <v/>
      </c>
      <c r="AU1149" t="inlineStr">
        <is>
          <t>3768364794:eng</t>
        </is>
      </c>
      <c r="AV1149" t="inlineStr">
        <is>
          <t>1094692</t>
        </is>
      </c>
      <c r="AW1149" t="inlineStr">
        <is>
          <t>991003532079702656</t>
        </is>
      </c>
      <c r="AX1149" t="inlineStr">
        <is>
          <t>991003532079702656</t>
        </is>
      </c>
      <c r="AY1149" t="inlineStr">
        <is>
          <t>2265209950002656</t>
        </is>
      </c>
      <c r="AZ1149" t="inlineStr">
        <is>
          <t>BOOK</t>
        </is>
      </c>
      <c r="BB1149" t="inlineStr">
        <is>
          <t>9780060111489</t>
        </is>
      </c>
      <c r="BC1149" t="inlineStr">
        <is>
          <t>32285000101989</t>
        </is>
      </c>
      <c r="BD1149" t="inlineStr">
        <is>
          <t>893336586</t>
        </is>
      </c>
    </row>
    <row r="1150">
      <c r="A1150" t="inlineStr">
        <is>
          <t>No</t>
        </is>
      </c>
      <c r="B1150" t="inlineStr">
        <is>
          <t>E332 .K58 1950</t>
        </is>
      </c>
      <c r="C1150" t="inlineStr">
        <is>
          <t>0                      E  0332000K  58          1950</t>
        </is>
      </c>
      <c r="D1150" t="inlineStr">
        <is>
          <t>Jefferson and Madison; the great collaboration.</t>
        </is>
      </c>
      <c r="F1150" t="inlineStr">
        <is>
          <t>No</t>
        </is>
      </c>
      <c r="G1150" t="inlineStr">
        <is>
          <t>1</t>
        </is>
      </c>
      <c r="H1150" t="inlineStr">
        <is>
          <t>No</t>
        </is>
      </c>
      <c r="I1150" t="inlineStr">
        <is>
          <t>No</t>
        </is>
      </c>
      <c r="J1150" t="inlineStr">
        <is>
          <t>0</t>
        </is>
      </c>
      <c r="K1150" t="inlineStr">
        <is>
          <t>Koch, Adrienne, 1912-1971.</t>
        </is>
      </c>
      <c r="L1150" t="inlineStr">
        <is>
          <t>New York, Knopf, 1950.</t>
        </is>
      </c>
      <c r="M1150" t="inlineStr">
        <is>
          <t>1950</t>
        </is>
      </c>
      <c r="N1150" t="inlineStr">
        <is>
          <t>[1st ed.]</t>
        </is>
      </c>
      <c r="O1150" t="inlineStr">
        <is>
          <t>eng</t>
        </is>
      </c>
      <c r="P1150" t="inlineStr">
        <is>
          <t>___</t>
        </is>
      </c>
      <c r="R1150" t="inlineStr">
        <is>
          <t xml:space="preserve">E  </t>
        </is>
      </c>
      <c r="S1150" t="n">
        <v>7</v>
      </c>
      <c r="T1150" t="n">
        <v>7</v>
      </c>
      <c r="U1150" t="inlineStr">
        <is>
          <t>1994-10-24</t>
        </is>
      </c>
      <c r="V1150" t="inlineStr">
        <is>
          <t>1994-10-24</t>
        </is>
      </c>
      <c r="W1150" t="inlineStr">
        <is>
          <t>1990-04-03</t>
        </is>
      </c>
      <c r="X1150" t="inlineStr">
        <is>
          <t>1990-04-03</t>
        </is>
      </c>
      <c r="Y1150" t="n">
        <v>646</v>
      </c>
      <c r="Z1150" t="n">
        <v>615</v>
      </c>
      <c r="AA1150" t="n">
        <v>1514</v>
      </c>
      <c r="AB1150" t="n">
        <v>6</v>
      </c>
      <c r="AC1150" t="n">
        <v>12</v>
      </c>
      <c r="AD1150" t="n">
        <v>30</v>
      </c>
      <c r="AE1150" t="n">
        <v>64</v>
      </c>
      <c r="AF1150" t="n">
        <v>6</v>
      </c>
      <c r="AG1150" t="n">
        <v>24</v>
      </c>
      <c r="AH1150" t="n">
        <v>8</v>
      </c>
      <c r="AI1150" t="n">
        <v>11</v>
      </c>
      <c r="AJ1150" t="n">
        <v>15</v>
      </c>
      <c r="AK1150" t="n">
        <v>24</v>
      </c>
      <c r="AL1150" t="n">
        <v>5</v>
      </c>
      <c r="AM1150" t="n">
        <v>10</v>
      </c>
      <c r="AN1150" t="n">
        <v>1</v>
      </c>
      <c r="AO1150" t="n">
        <v>8</v>
      </c>
      <c r="AP1150" t="inlineStr">
        <is>
          <t>Yes</t>
        </is>
      </c>
      <c r="AQ1150" t="inlineStr">
        <is>
          <t>No</t>
        </is>
      </c>
      <c r="AR1150">
        <f>HYPERLINK("http://catalog.hathitrust.org/Record/000366871","HathiTrust Record")</f>
        <v/>
      </c>
      <c r="AS1150">
        <f>HYPERLINK("https://creighton-primo.hosted.exlibrisgroup.com/primo-explore/search?tab=default_tab&amp;search_scope=EVERYTHING&amp;vid=01CRU&amp;lang=en_US&amp;offset=0&amp;query=any,contains,991003814039702656","Catalog Record")</f>
        <v/>
      </c>
      <c r="AT1150">
        <f>HYPERLINK("http://www.worldcat.org/oclc/1543986","WorldCat Record")</f>
        <v/>
      </c>
      <c r="AU1150" t="inlineStr">
        <is>
          <t>1445368:eng</t>
        </is>
      </c>
      <c r="AV1150" t="inlineStr">
        <is>
          <t>1543986</t>
        </is>
      </c>
      <c r="AW1150" t="inlineStr">
        <is>
          <t>991003814039702656</t>
        </is>
      </c>
      <c r="AX1150" t="inlineStr">
        <is>
          <t>991003814039702656</t>
        </is>
      </c>
      <c r="AY1150" t="inlineStr">
        <is>
          <t>2265974350002656</t>
        </is>
      </c>
      <c r="AZ1150" t="inlineStr">
        <is>
          <t>BOOK</t>
        </is>
      </c>
      <c r="BC1150" t="inlineStr">
        <is>
          <t>32285000101997</t>
        </is>
      </c>
      <c r="BD1150" t="inlineStr">
        <is>
          <t>893336989</t>
        </is>
      </c>
    </row>
    <row r="1151">
      <c r="A1151" t="inlineStr">
        <is>
          <t>No</t>
        </is>
      </c>
      <c r="B1151" t="inlineStr">
        <is>
          <t>E332 .K6</t>
        </is>
      </c>
      <c r="C1151" t="inlineStr">
        <is>
          <t>0                      E  0332000K  6</t>
        </is>
      </c>
      <c r="D1151" t="inlineStr">
        <is>
          <t>The philosophy of Thomas Jefferson, by Adrienne Koch.</t>
        </is>
      </c>
      <c r="F1151" t="inlineStr">
        <is>
          <t>No</t>
        </is>
      </c>
      <c r="G1151" t="inlineStr">
        <is>
          <t>1</t>
        </is>
      </c>
      <c r="H1151" t="inlineStr">
        <is>
          <t>No</t>
        </is>
      </c>
      <c r="I1151" t="inlineStr">
        <is>
          <t>No</t>
        </is>
      </c>
      <c r="J1151" t="inlineStr">
        <is>
          <t>0</t>
        </is>
      </c>
      <c r="K1151" t="inlineStr">
        <is>
          <t>Koch, Adrienne, 1912-1971.</t>
        </is>
      </c>
      <c r="L1151" t="inlineStr">
        <is>
          <t>New York, Columbia University Press, 1943.</t>
        </is>
      </c>
      <c r="M1151" t="inlineStr">
        <is>
          <t>1943</t>
        </is>
      </c>
      <c r="O1151" t="inlineStr">
        <is>
          <t>eng</t>
        </is>
      </c>
      <c r="P1151" t="inlineStr">
        <is>
          <t xml:space="preserve">xx </t>
        </is>
      </c>
      <c r="Q1151" t="inlineStr">
        <is>
          <t>Columbia studies in American culture ; no. 14</t>
        </is>
      </c>
      <c r="R1151" t="inlineStr">
        <is>
          <t xml:space="preserve">E  </t>
        </is>
      </c>
      <c r="S1151" t="n">
        <v>9</v>
      </c>
      <c r="T1151" t="n">
        <v>9</v>
      </c>
      <c r="U1151" t="inlineStr">
        <is>
          <t>2001-02-05</t>
        </is>
      </c>
      <c r="V1151" t="inlineStr">
        <is>
          <t>2001-02-05</t>
        </is>
      </c>
      <c r="W1151" t="inlineStr">
        <is>
          <t>1991-04-16</t>
        </is>
      </c>
      <c r="X1151" t="inlineStr">
        <is>
          <t>1991-04-16</t>
        </is>
      </c>
      <c r="Y1151" t="n">
        <v>291</v>
      </c>
      <c r="Z1151" t="n">
        <v>271</v>
      </c>
      <c r="AA1151" t="n">
        <v>972</v>
      </c>
      <c r="AB1151" t="n">
        <v>1</v>
      </c>
      <c r="AC1151" t="n">
        <v>4</v>
      </c>
      <c r="AD1151" t="n">
        <v>11</v>
      </c>
      <c r="AE1151" t="n">
        <v>41</v>
      </c>
      <c r="AF1151" t="n">
        <v>4</v>
      </c>
      <c r="AG1151" t="n">
        <v>18</v>
      </c>
      <c r="AH1151" t="n">
        <v>2</v>
      </c>
      <c r="AI1151" t="n">
        <v>7</v>
      </c>
      <c r="AJ1151" t="n">
        <v>7</v>
      </c>
      <c r="AK1151" t="n">
        <v>20</v>
      </c>
      <c r="AL1151" t="n">
        <v>0</v>
      </c>
      <c r="AM1151" t="n">
        <v>3</v>
      </c>
      <c r="AN1151" t="n">
        <v>2</v>
      </c>
      <c r="AO1151" t="n">
        <v>3</v>
      </c>
      <c r="AP1151" t="inlineStr">
        <is>
          <t>No</t>
        </is>
      </c>
      <c r="AQ1151" t="inlineStr">
        <is>
          <t>No</t>
        </is>
      </c>
      <c r="AS1151">
        <f>HYPERLINK("https://creighton-primo.hosted.exlibrisgroup.com/primo-explore/search?tab=default_tab&amp;search_scope=EVERYTHING&amp;vid=01CRU&amp;lang=en_US&amp;offset=0&amp;query=any,contains,991005045269702656","Catalog Record")</f>
        <v/>
      </c>
      <c r="AT1151">
        <f>HYPERLINK("http://www.worldcat.org/oclc/1130790","WorldCat Record")</f>
        <v/>
      </c>
      <c r="AU1151" t="inlineStr">
        <is>
          <t>2045202:eng</t>
        </is>
      </c>
      <c r="AV1151" t="inlineStr">
        <is>
          <t>1130790</t>
        </is>
      </c>
      <c r="AW1151" t="inlineStr">
        <is>
          <t>991005045269702656</t>
        </is>
      </c>
      <c r="AX1151" t="inlineStr">
        <is>
          <t>991005045269702656</t>
        </is>
      </c>
      <c r="AY1151" t="inlineStr">
        <is>
          <t>2260417210002656</t>
        </is>
      </c>
      <c r="AZ1151" t="inlineStr">
        <is>
          <t>BOOK</t>
        </is>
      </c>
      <c r="BC1151" t="inlineStr">
        <is>
          <t>32285000543180</t>
        </is>
      </c>
      <c r="BD1151" t="inlineStr">
        <is>
          <t>893801633</t>
        </is>
      </c>
    </row>
    <row r="1152">
      <c r="A1152" t="inlineStr">
        <is>
          <t>No</t>
        </is>
      </c>
      <c r="B1152" t="inlineStr">
        <is>
          <t>E332 .L75</t>
        </is>
      </c>
      <c r="C1152" t="inlineStr">
        <is>
          <t>0                      E  0332000L  75</t>
        </is>
      </c>
      <c r="D1152" t="inlineStr">
        <is>
          <t>The life of Thomas Jefferson, author of the Declaration of Independence, and third President of the United States / by William Linn, Esq.</t>
        </is>
      </c>
      <c r="F1152" t="inlineStr">
        <is>
          <t>No</t>
        </is>
      </c>
      <c r="G1152" t="inlineStr">
        <is>
          <t>1</t>
        </is>
      </c>
      <c r="H1152" t="inlineStr">
        <is>
          <t>No</t>
        </is>
      </c>
      <c r="I1152" t="inlineStr">
        <is>
          <t>No</t>
        </is>
      </c>
      <c r="J1152" t="inlineStr">
        <is>
          <t>0</t>
        </is>
      </c>
      <c r="K1152" t="inlineStr">
        <is>
          <t>Linn, William, 1790-1867.</t>
        </is>
      </c>
      <c r="L1152" t="inlineStr">
        <is>
          <t>Mobile : Published by J.S. Kellogg and Co., Dauphin Street, 1835.</t>
        </is>
      </c>
      <c r="M1152" t="inlineStr">
        <is>
          <t>1835</t>
        </is>
      </c>
      <c r="O1152" t="inlineStr">
        <is>
          <t>eng</t>
        </is>
      </c>
      <c r="P1152" t="inlineStr">
        <is>
          <t>alu</t>
        </is>
      </c>
      <c r="R1152" t="inlineStr">
        <is>
          <t xml:space="preserve">E  </t>
        </is>
      </c>
      <c r="S1152" t="n">
        <v>3</v>
      </c>
      <c r="T1152" t="n">
        <v>3</v>
      </c>
      <c r="U1152" t="inlineStr">
        <is>
          <t>1998-10-14</t>
        </is>
      </c>
      <c r="V1152" t="inlineStr">
        <is>
          <t>1998-10-14</t>
        </is>
      </c>
      <c r="W1152" t="inlineStr">
        <is>
          <t>1997-04-14</t>
        </is>
      </c>
      <c r="X1152" t="inlineStr">
        <is>
          <t>1997-04-14</t>
        </is>
      </c>
      <c r="Y1152" t="n">
        <v>6</v>
      </c>
      <c r="Z1152" t="n">
        <v>6</v>
      </c>
      <c r="AA1152" t="n">
        <v>346</v>
      </c>
      <c r="AB1152" t="n">
        <v>1</v>
      </c>
      <c r="AC1152" t="n">
        <v>4</v>
      </c>
      <c r="AD1152" t="n">
        <v>0</v>
      </c>
      <c r="AE1152" t="n">
        <v>16</v>
      </c>
      <c r="AF1152" t="n">
        <v>0</v>
      </c>
      <c r="AG1152" t="n">
        <v>3</v>
      </c>
      <c r="AH1152" t="n">
        <v>0</v>
      </c>
      <c r="AI1152" t="n">
        <v>4</v>
      </c>
      <c r="AJ1152" t="n">
        <v>0</v>
      </c>
      <c r="AK1152" t="n">
        <v>4</v>
      </c>
      <c r="AL1152" t="n">
        <v>0</v>
      </c>
      <c r="AM1152" t="n">
        <v>2</v>
      </c>
      <c r="AN1152" t="n">
        <v>0</v>
      </c>
      <c r="AO1152" t="n">
        <v>5</v>
      </c>
      <c r="AP1152" t="inlineStr">
        <is>
          <t>No</t>
        </is>
      </c>
      <c r="AQ1152" t="inlineStr">
        <is>
          <t>No</t>
        </is>
      </c>
      <c r="AS1152">
        <f>HYPERLINK("https://creighton-primo.hosted.exlibrisgroup.com/primo-explore/search?tab=default_tab&amp;search_scope=EVERYTHING&amp;vid=01CRU&amp;lang=en_US&amp;offset=0&amp;query=any,contains,991001113319702656","Catalog Record")</f>
        <v/>
      </c>
      <c r="AT1152">
        <f>HYPERLINK("http://www.worldcat.org/oclc/16504725","WorldCat Record")</f>
        <v/>
      </c>
      <c r="AU1152" t="inlineStr">
        <is>
          <t>3949060:eng</t>
        </is>
      </c>
      <c r="AV1152" t="inlineStr">
        <is>
          <t>16504725</t>
        </is>
      </c>
      <c r="AW1152" t="inlineStr">
        <is>
          <t>991001113319702656</t>
        </is>
      </c>
      <c r="AX1152" t="inlineStr">
        <is>
          <t>991001113319702656</t>
        </is>
      </c>
      <c r="AY1152" t="inlineStr">
        <is>
          <t>2257608820002656</t>
        </is>
      </c>
      <c r="AZ1152" t="inlineStr">
        <is>
          <t>BOOK</t>
        </is>
      </c>
      <c r="BC1152" t="inlineStr">
        <is>
          <t>32285002532124</t>
        </is>
      </c>
      <c r="BD1152" t="inlineStr">
        <is>
          <t>893596199</t>
        </is>
      </c>
    </row>
    <row r="1153">
      <c r="A1153" t="inlineStr">
        <is>
          <t>No</t>
        </is>
      </c>
      <c r="B1153" t="inlineStr">
        <is>
          <t>E332 .M255</t>
        </is>
      </c>
      <c r="C1153" t="inlineStr">
        <is>
          <t>0                      E  0332000M  255</t>
        </is>
      </c>
      <c r="D1153" t="inlineStr">
        <is>
          <t>Malone &amp; Jefferson : the biographer and the sage.</t>
        </is>
      </c>
      <c r="F1153" t="inlineStr">
        <is>
          <t>No</t>
        </is>
      </c>
      <c r="G1153" t="inlineStr">
        <is>
          <t>1</t>
        </is>
      </c>
      <c r="H1153" t="inlineStr">
        <is>
          <t>No</t>
        </is>
      </c>
      <c r="I1153" t="inlineStr">
        <is>
          <t>No</t>
        </is>
      </c>
      <c r="J1153" t="inlineStr">
        <is>
          <t>0</t>
        </is>
      </c>
      <c r="K1153" t="inlineStr">
        <is>
          <t>Malone, Dumas, 1892-1986.</t>
        </is>
      </c>
      <c r="L1153" t="inlineStr">
        <is>
          <t>Charlottesville : University of Virginia Library, 1981.</t>
        </is>
      </c>
      <c r="M1153" t="inlineStr">
        <is>
          <t>1981</t>
        </is>
      </c>
      <c r="O1153" t="inlineStr">
        <is>
          <t>eng</t>
        </is>
      </c>
      <c r="P1153" t="inlineStr">
        <is>
          <t>vau</t>
        </is>
      </c>
      <c r="R1153" t="inlineStr">
        <is>
          <t xml:space="preserve">E  </t>
        </is>
      </c>
      <c r="S1153" t="n">
        <v>3</v>
      </c>
      <c r="T1153" t="n">
        <v>3</v>
      </c>
      <c r="U1153" t="inlineStr">
        <is>
          <t>1997-07-21</t>
        </is>
      </c>
      <c r="V1153" t="inlineStr">
        <is>
          <t>1997-07-21</t>
        </is>
      </c>
      <c r="W1153" t="inlineStr">
        <is>
          <t>1991-04-16</t>
        </is>
      </c>
      <c r="X1153" t="inlineStr">
        <is>
          <t>1991-04-16</t>
        </is>
      </c>
      <c r="Y1153" t="n">
        <v>91</v>
      </c>
      <c r="Z1153" t="n">
        <v>90</v>
      </c>
      <c r="AA1153" t="n">
        <v>92</v>
      </c>
      <c r="AB1153" t="n">
        <v>1</v>
      </c>
      <c r="AC1153" t="n">
        <v>1</v>
      </c>
      <c r="AD1153" t="n">
        <v>3</v>
      </c>
      <c r="AE1153" t="n">
        <v>3</v>
      </c>
      <c r="AF1153" t="n">
        <v>3</v>
      </c>
      <c r="AG1153" t="n">
        <v>3</v>
      </c>
      <c r="AH1153" t="n">
        <v>0</v>
      </c>
      <c r="AI1153" t="n">
        <v>0</v>
      </c>
      <c r="AJ1153" t="n">
        <v>0</v>
      </c>
      <c r="AK1153" t="n">
        <v>0</v>
      </c>
      <c r="AL1153" t="n">
        <v>0</v>
      </c>
      <c r="AM1153" t="n">
        <v>0</v>
      </c>
      <c r="AN1153" t="n">
        <v>0</v>
      </c>
      <c r="AO1153" t="n">
        <v>0</v>
      </c>
      <c r="AP1153" t="inlineStr">
        <is>
          <t>No</t>
        </is>
      </c>
      <c r="AQ1153" t="inlineStr">
        <is>
          <t>Yes</t>
        </is>
      </c>
      <c r="AR1153">
        <f>HYPERLINK("http://catalog.hathitrust.org/Record/006003008","HathiTrust Record")</f>
        <v/>
      </c>
      <c r="AS1153">
        <f>HYPERLINK("https://creighton-primo.hosted.exlibrisgroup.com/primo-explore/search?tab=default_tab&amp;search_scope=EVERYTHING&amp;vid=01CRU&amp;lang=en_US&amp;offset=0&amp;query=any,contains,991005170429702656","Catalog Record")</f>
        <v/>
      </c>
      <c r="AT1153">
        <f>HYPERLINK("http://www.worldcat.org/oclc/7856867","WorldCat Record")</f>
        <v/>
      </c>
      <c r="AU1153" t="inlineStr">
        <is>
          <t>427340401:eng</t>
        </is>
      </c>
      <c r="AV1153" t="inlineStr">
        <is>
          <t>7856867</t>
        </is>
      </c>
      <c r="AW1153" t="inlineStr">
        <is>
          <t>991005170429702656</t>
        </is>
      </c>
      <c r="AX1153" t="inlineStr">
        <is>
          <t>991005170429702656</t>
        </is>
      </c>
      <c r="AY1153" t="inlineStr">
        <is>
          <t>2271130150002656</t>
        </is>
      </c>
      <c r="AZ1153" t="inlineStr">
        <is>
          <t>BOOK</t>
        </is>
      </c>
      <c r="BC1153" t="inlineStr">
        <is>
          <t>32285000543255</t>
        </is>
      </c>
      <c r="BD1153" t="inlineStr">
        <is>
          <t>893877052</t>
        </is>
      </c>
    </row>
    <row r="1154">
      <c r="A1154" t="inlineStr">
        <is>
          <t>No</t>
        </is>
      </c>
      <c r="B1154" t="inlineStr">
        <is>
          <t>E332 .M29 1991</t>
        </is>
      </c>
      <c r="C1154" t="inlineStr">
        <is>
          <t>0                      E  0332000M  29          1991</t>
        </is>
      </c>
      <c r="D1154" t="inlineStr">
        <is>
          <t>Thomas Jefferson : passionate pilgrim : the presidency, the founding of the University, and the private battle / Alf J. Mapp, Jr.</t>
        </is>
      </c>
      <c r="F1154" t="inlineStr">
        <is>
          <t>No</t>
        </is>
      </c>
      <c r="G1154" t="inlineStr">
        <is>
          <t>1</t>
        </is>
      </c>
      <c r="H1154" t="inlineStr">
        <is>
          <t>No</t>
        </is>
      </c>
      <c r="I1154" t="inlineStr">
        <is>
          <t>No</t>
        </is>
      </c>
      <c r="J1154" t="inlineStr">
        <is>
          <t>0</t>
        </is>
      </c>
      <c r="K1154" t="inlineStr">
        <is>
          <t>Mapp, Alf J., Jr. (Alf Johnson), 1925-2011.</t>
        </is>
      </c>
      <c r="L1154" t="inlineStr">
        <is>
          <t>Lanham, Md : Madison Books, 1991.</t>
        </is>
      </c>
      <c r="M1154" t="inlineStr">
        <is>
          <t>1991</t>
        </is>
      </c>
      <c r="O1154" t="inlineStr">
        <is>
          <t>eng</t>
        </is>
      </c>
      <c r="P1154" t="inlineStr">
        <is>
          <t>mdu</t>
        </is>
      </c>
      <c r="R1154" t="inlineStr">
        <is>
          <t xml:space="preserve">E  </t>
        </is>
      </c>
      <c r="S1154" t="n">
        <v>6</v>
      </c>
      <c r="T1154" t="n">
        <v>6</v>
      </c>
      <c r="U1154" t="inlineStr">
        <is>
          <t>1994-11-01</t>
        </is>
      </c>
      <c r="V1154" t="inlineStr">
        <is>
          <t>1994-11-01</t>
        </is>
      </c>
      <c r="W1154" t="inlineStr">
        <is>
          <t>1992-01-21</t>
        </is>
      </c>
      <c r="X1154" t="inlineStr">
        <is>
          <t>1992-01-21</t>
        </is>
      </c>
      <c r="Y1154" t="n">
        <v>863</v>
      </c>
      <c r="Z1154" t="n">
        <v>847</v>
      </c>
      <c r="AA1154" t="n">
        <v>899</v>
      </c>
      <c r="AB1154" t="n">
        <v>8</v>
      </c>
      <c r="AC1154" t="n">
        <v>9</v>
      </c>
      <c r="AD1154" t="n">
        <v>30</v>
      </c>
      <c r="AE1154" t="n">
        <v>32</v>
      </c>
      <c r="AF1154" t="n">
        <v>9</v>
      </c>
      <c r="AG1154" t="n">
        <v>11</v>
      </c>
      <c r="AH1154" t="n">
        <v>7</v>
      </c>
      <c r="AI1154" t="n">
        <v>7</v>
      </c>
      <c r="AJ1154" t="n">
        <v>12</v>
      </c>
      <c r="AK1154" t="n">
        <v>12</v>
      </c>
      <c r="AL1154" t="n">
        <v>4</v>
      </c>
      <c r="AM1154" t="n">
        <v>4</v>
      </c>
      <c r="AN1154" t="n">
        <v>4</v>
      </c>
      <c r="AO1154" t="n">
        <v>4</v>
      </c>
      <c r="AP1154" t="inlineStr">
        <is>
          <t>No</t>
        </is>
      </c>
      <c r="AQ1154" t="inlineStr">
        <is>
          <t>Yes</t>
        </is>
      </c>
      <c r="AR1154">
        <f>HYPERLINK("http://catalog.hathitrust.org/Record/002503144","HathiTrust Record")</f>
        <v/>
      </c>
      <c r="AS1154">
        <f>HYPERLINK("https://creighton-primo.hosted.exlibrisgroup.com/primo-explore/search?tab=default_tab&amp;search_scope=EVERYTHING&amp;vid=01CRU&amp;lang=en_US&amp;offset=0&amp;query=any,contains,991001799749702656","Catalog Record")</f>
        <v/>
      </c>
      <c r="AT1154">
        <f>HYPERLINK("http://www.worldcat.org/oclc/22629240","WorldCat Record")</f>
        <v/>
      </c>
      <c r="AU1154" t="inlineStr">
        <is>
          <t>24348581:eng</t>
        </is>
      </c>
      <c r="AV1154" t="inlineStr">
        <is>
          <t>22629240</t>
        </is>
      </c>
      <c r="AW1154" t="inlineStr">
        <is>
          <t>991001799749702656</t>
        </is>
      </c>
      <c r="AX1154" t="inlineStr">
        <is>
          <t>991001799749702656</t>
        </is>
      </c>
      <c r="AY1154" t="inlineStr">
        <is>
          <t>2269202660002656</t>
        </is>
      </c>
      <c r="AZ1154" t="inlineStr">
        <is>
          <t>BOOK</t>
        </is>
      </c>
      <c r="BB1154" t="inlineStr">
        <is>
          <t>9780819180537</t>
        </is>
      </c>
      <c r="BC1154" t="inlineStr">
        <is>
          <t>32285000865500</t>
        </is>
      </c>
      <c r="BD1154" t="inlineStr">
        <is>
          <t>893803916</t>
        </is>
      </c>
    </row>
    <row r="1155">
      <c r="A1155" t="inlineStr">
        <is>
          <t>No</t>
        </is>
      </c>
      <c r="B1155" t="inlineStr">
        <is>
          <t>E332 .R27</t>
        </is>
      </c>
      <c r="C1155" t="inlineStr">
        <is>
          <t>0                      E  0332000R  27</t>
        </is>
      </c>
      <c r="D1155" t="inlineStr">
        <is>
          <t>Life of Thomas Jefferson, with selections from the most valuable portions of his voluminous and unrivalled private correspondence. By B. L. Rayner.</t>
        </is>
      </c>
      <c r="F1155" t="inlineStr">
        <is>
          <t>No</t>
        </is>
      </c>
      <c r="G1155" t="inlineStr">
        <is>
          <t>1</t>
        </is>
      </c>
      <c r="H1155" t="inlineStr">
        <is>
          <t>No</t>
        </is>
      </c>
      <c r="I1155" t="inlineStr">
        <is>
          <t>No</t>
        </is>
      </c>
      <c r="J1155" t="inlineStr">
        <is>
          <t>0</t>
        </is>
      </c>
      <c r="K1155" t="inlineStr">
        <is>
          <t>Rayner, B. L. (Benjamin Lester), 1802-1862.</t>
        </is>
      </c>
      <c r="L1155" t="inlineStr">
        <is>
          <t>Boston, Lilly, Wait, Colman, &amp; Holden, 1834.</t>
        </is>
      </c>
      <c r="M1155" t="inlineStr">
        <is>
          <t>1834</t>
        </is>
      </c>
      <c r="O1155" t="inlineStr">
        <is>
          <t>eng</t>
        </is>
      </c>
      <c r="P1155" t="inlineStr">
        <is>
          <t xml:space="preserve">xx </t>
        </is>
      </c>
      <c r="R1155" t="inlineStr">
        <is>
          <t xml:space="preserve">E  </t>
        </is>
      </c>
      <c r="S1155" t="n">
        <v>0</v>
      </c>
      <c r="T1155" t="n">
        <v>0</v>
      </c>
      <c r="U1155" t="inlineStr">
        <is>
          <t>2000-06-27</t>
        </is>
      </c>
      <c r="V1155" t="inlineStr">
        <is>
          <t>2000-06-27</t>
        </is>
      </c>
      <c r="W1155" t="inlineStr">
        <is>
          <t>1997-04-14</t>
        </is>
      </c>
      <c r="X1155" t="inlineStr">
        <is>
          <t>1997-04-14</t>
        </is>
      </c>
      <c r="Y1155" t="n">
        <v>78</v>
      </c>
      <c r="Z1155" t="n">
        <v>74</v>
      </c>
      <c r="AA1155" t="n">
        <v>137</v>
      </c>
      <c r="AB1155" t="n">
        <v>1</v>
      </c>
      <c r="AC1155" t="n">
        <v>2</v>
      </c>
      <c r="AD1155" t="n">
        <v>1</v>
      </c>
      <c r="AE1155" t="n">
        <v>4</v>
      </c>
      <c r="AF1155" t="n">
        <v>0</v>
      </c>
      <c r="AG1155" t="n">
        <v>0</v>
      </c>
      <c r="AH1155" t="n">
        <v>0</v>
      </c>
      <c r="AI1155" t="n">
        <v>1</v>
      </c>
      <c r="AJ1155" t="n">
        <v>1</v>
      </c>
      <c r="AK1155" t="n">
        <v>2</v>
      </c>
      <c r="AL1155" t="n">
        <v>0</v>
      </c>
      <c r="AM1155" t="n">
        <v>1</v>
      </c>
      <c r="AN1155" t="n">
        <v>0</v>
      </c>
      <c r="AO1155" t="n">
        <v>0</v>
      </c>
      <c r="AP1155" t="inlineStr">
        <is>
          <t>Yes</t>
        </is>
      </c>
      <c r="AQ1155" t="inlineStr">
        <is>
          <t>No</t>
        </is>
      </c>
      <c r="AR1155">
        <f>HYPERLINK("http://catalog.hathitrust.org/Record/006540057","HathiTrust Record")</f>
        <v/>
      </c>
      <c r="AS1155">
        <f>HYPERLINK("https://creighton-primo.hosted.exlibrisgroup.com/primo-explore/search?tab=default_tab&amp;search_scope=EVERYTHING&amp;vid=01CRU&amp;lang=en_US&amp;offset=0&amp;query=any,contains,991004501369702656","Catalog Record")</f>
        <v/>
      </c>
      <c r="AT1155">
        <f>HYPERLINK("http://www.worldcat.org/oclc/3720925","WorldCat Record")</f>
        <v/>
      </c>
      <c r="AU1155" t="inlineStr">
        <is>
          <t>24739993:eng</t>
        </is>
      </c>
      <c r="AV1155" t="inlineStr">
        <is>
          <t>3720925</t>
        </is>
      </c>
      <c r="AW1155" t="inlineStr">
        <is>
          <t>991004501369702656</t>
        </is>
      </c>
      <c r="AX1155" t="inlineStr">
        <is>
          <t>991004501369702656</t>
        </is>
      </c>
      <c r="AY1155" t="inlineStr">
        <is>
          <t>2260561020002656</t>
        </is>
      </c>
      <c r="AZ1155" t="inlineStr">
        <is>
          <t>BOOK</t>
        </is>
      </c>
      <c r="BC1155" t="inlineStr">
        <is>
          <t>32285002532199</t>
        </is>
      </c>
      <c r="BD1155" t="inlineStr">
        <is>
          <t>893253758</t>
        </is>
      </c>
    </row>
    <row r="1156">
      <c r="A1156" t="inlineStr">
        <is>
          <t>No</t>
        </is>
      </c>
      <c r="B1156" t="inlineStr">
        <is>
          <t>E332 .R57 1994</t>
        </is>
      </c>
      <c r="C1156" t="inlineStr">
        <is>
          <t>0                      E  0332000R  57          1994</t>
        </is>
      </c>
      <c r="D1156" t="inlineStr">
        <is>
          <t>Thomas Jefferson / Norman K. Risjord.</t>
        </is>
      </c>
      <c r="F1156" t="inlineStr">
        <is>
          <t>No</t>
        </is>
      </c>
      <c r="G1156" t="inlineStr">
        <is>
          <t>1</t>
        </is>
      </c>
      <c r="H1156" t="inlineStr">
        <is>
          <t>No</t>
        </is>
      </c>
      <c r="I1156" t="inlineStr">
        <is>
          <t>No</t>
        </is>
      </c>
      <c r="J1156" t="inlineStr">
        <is>
          <t>0</t>
        </is>
      </c>
      <c r="K1156" t="inlineStr">
        <is>
          <t>Risjord, Norman K.</t>
        </is>
      </c>
      <c r="L1156" t="inlineStr">
        <is>
          <t>Madison, Wis. : Madison House, 1994.</t>
        </is>
      </c>
      <c r="M1156" t="inlineStr">
        <is>
          <t>1994</t>
        </is>
      </c>
      <c r="N1156" t="inlineStr">
        <is>
          <t>1st ed.</t>
        </is>
      </c>
      <c r="O1156" t="inlineStr">
        <is>
          <t>eng</t>
        </is>
      </c>
      <c r="P1156" t="inlineStr">
        <is>
          <t>wiu</t>
        </is>
      </c>
      <c r="Q1156" t="inlineStr">
        <is>
          <t>American profiles</t>
        </is>
      </c>
      <c r="R1156" t="inlineStr">
        <is>
          <t xml:space="preserve">E  </t>
        </is>
      </c>
      <c r="S1156" t="n">
        <v>4</v>
      </c>
      <c r="T1156" t="n">
        <v>4</v>
      </c>
      <c r="U1156" t="inlineStr">
        <is>
          <t>1995-10-23</t>
        </is>
      </c>
      <c r="V1156" t="inlineStr">
        <is>
          <t>1995-10-23</t>
        </is>
      </c>
      <c r="W1156" t="inlineStr">
        <is>
          <t>1995-02-02</t>
        </is>
      </c>
      <c r="X1156" t="inlineStr">
        <is>
          <t>1995-02-02</t>
        </is>
      </c>
      <c r="Y1156" t="n">
        <v>466</v>
      </c>
      <c r="Z1156" t="n">
        <v>433</v>
      </c>
      <c r="AA1156" t="n">
        <v>442</v>
      </c>
      <c r="AB1156" t="n">
        <v>4</v>
      </c>
      <c r="AC1156" t="n">
        <v>4</v>
      </c>
      <c r="AD1156" t="n">
        <v>28</v>
      </c>
      <c r="AE1156" t="n">
        <v>28</v>
      </c>
      <c r="AF1156" t="n">
        <v>10</v>
      </c>
      <c r="AG1156" t="n">
        <v>10</v>
      </c>
      <c r="AH1156" t="n">
        <v>5</v>
      </c>
      <c r="AI1156" t="n">
        <v>5</v>
      </c>
      <c r="AJ1156" t="n">
        <v>15</v>
      </c>
      <c r="AK1156" t="n">
        <v>15</v>
      </c>
      <c r="AL1156" t="n">
        <v>3</v>
      </c>
      <c r="AM1156" t="n">
        <v>3</v>
      </c>
      <c r="AN1156" t="n">
        <v>2</v>
      </c>
      <c r="AO1156" t="n">
        <v>2</v>
      </c>
      <c r="AP1156" t="inlineStr">
        <is>
          <t>No</t>
        </is>
      </c>
      <c r="AQ1156" t="inlineStr">
        <is>
          <t>Yes</t>
        </is>
      </c>
      <c r="AR1156">
        <f>HYPERLINK("http://catalog.hathitrust.org/Record/002862188","HathiTrust Record")</f>
        <v/>
      </c>
      <c r="AS1156">
        <f>HYPERLINK("https://creighton-primo.hosted.exlibrisgroup.com/primo-explore/search?tab=default_tab&amp;search_scope=EVERYTHING&amp;vid=01CRU&amp;lang=en_US&amp;offset=0&amp;query=any,contains,991002305459702656","Catalog Record")</f>
        <v/>
      </c>
      <c r="AT1156">
        <f>HYPERLINK("http://www.worldcat.org/oclc/29908772","WorldCat Record")</f>
        <v/>
      </c>
      <c r="AU1156" t="inlineStr">
        <is>
          <t>17338796:eng</t>
        </is>
      </c>
      <c r="AV1156" t="inlineStr">
        <is>
          <t>29908772</t>
        </is>
      </c>
      <c r="AW1156" t="inlineStr">
        <is>
          <t>991002305459702656</t>
        </is>
      </c>
      <c r="AX1156" t="inlineStr">
        <is>
          <t>991002305459702656</t>
        </is>
      </c>
      <c r="AY1156" t="inlineStr">
        <is>
          <t>2259935120002656</t>
        </is>
      </c>
      <c r="AZ1156" t="inlineStr">
        <is>
          <t>BOOK</t>
        </is>
      </c>
      <c r="BB1156" t="inlineStr">
        <is>
          <t>9780945612384</t>
        </is>
      </c>
      <c r="BC1156" t="inlineStr">
        <is>
          <t>32285001996825</t>
        </is>
      </c>
      <c r="BD1156" t="inlineStr">
        <is>
          <t>893504262</t>
        </is>
      </c>
    </row>
    <row r="1157">
      <c r="A1157" t="inlineStr">
        <is>
          <t>No</t>
        </is>
      </c>
      <c r="B1157" t="inlineStr">
        <is>
          <t>E332 .S54 1992</t>
        </is>
      </c>
      <c r="C1157" t="inlineStr">
        <is>
          <t>0                      E  0332000S  54          1992</t>
        </is>
      </c>
      <c r="D1157" t="inlineStr">
        <is>
          <t>Thomas Jefferson, 1981-1990 : an annotated bibliography / Frank Shuffelton.</t>
        </is>
      </c>
      <c r="F1157" t="inlineStr">
        <is>
          <t>No</t>
        </is>
      </c>
      <c r="G1157" t="inlineStr">
        <is>
          <t>1</t>
        </is>
      </c>
      <c r="H1157" t="inlineStr">
        <is>
          <t>No</t>
        </is>
      </c>
      <c r="I1157" t="inlineStr">
        <is>
          <t>No</t>
        </is>
      </c>
      <c r="J1157" t="inlineStr">
        <is>
          <t>0</t>
        </is>
      </c>
      <c r="K1157" t="inlineStr">
        <is>
          <t>Shuffelton, Frank, 1940-</t>
        </is>
      </c>
      <c r="L1157" t="inlineStr">
        <is>
          <t>New York : Garland Pub., 1992.</t>
        </is>
      </c>
      <c r="M1157" t="inlineStr">
        <is>
          <t>1992</t>
        </is>
      </c>
      <c r="O1157" t="inlineStr">
        <is>
          <t>eng</t>
        </is>
      </c>
      <c r="P1157" t="inlineStr">
        <is>
          <t>nyu</t>
        </is>
      </c>
      <c r="Q1157" t="inlineStr">
        <is>
          <t>Garland reference library of the humanities ; vol. 1217</t>
        </is>
      </c>
      <c r="R1157" t="inlineStr">
        <is>
          <t xml:space="preserve">E  </t>
        </is>
      </c>
      <c r="S1157" t="n">
        <v>5</v>
      </c>
      <c r="T1157" t="n">
        <v>5</v>
      </c>
      <c r="U1157" t="inlineStr">
        <is>
          <t>1995-05-30</t>
        </is>
      </c>
      <c r="V1157" t="inlineStr">
        <is>
          <t>1995-05-30</t>
        </is>
      </c>
      <c r="W1157" t="inlineStr">
        <is>
          <t>1992-11-19</t>
        </is>
      </c>
      <c r="X1157" t="inlineStr">
        <is>
          <t>1992-11-19</t>
        </is>
      </c>
      <c r="Y1157" t="n">
        <v>159</v>
      </c>
      <c r="Z1157" t="n">
        <v>127</v>
      </c>
      <c r="AA1157" t="n">
        <v>127</v>
      </c>
      <c r="AB1157" t="n">
        <v>1</v>
      </c>
      <c r="AC1157" t="n">
        <v>1</v>
      </c>
      <c r="AD1157" t="n">
        <v>3</v>
      </c>
      <c r="AE1157" t="n">
        <v>3</v>
      </c>
      <c r="AF1157" t="n">
        <v>0</v>
      </c>
      <c r="AG1157" t="n">
        <v>0</v>
      </c>
      <c r="AH1157" t="n">
        <v>1</v>
      </c>
      <c r="AI1157" t="n">
        <v>1</v>
      </c>
      <c r="AJ1157" t="n">
        <v>3</v>
      </c>
      <c r="AK1157" t="n">
        <v>3</v>
      </c>
      <c r="AL1157" t="n">
        <v>0</v>
      </c>
      <c r="AM1157" t="n">
        <v>0</v>
      </c>
      <c r="AN1157" t="n">
        <v>0</v>
      </c>
      <c r="AO1157" t="n">
        <v>0</v>
      </c>
      <c r="AP1157" t="inlineStr">
        <is>
          <t>No</t>
        </is>
      </c>
      <c r="AQ1157" t="inlineStr">
        <is>
          <t>No</t>
        </is>
      </c>
      <c r="AS1157">
        <f>HYPERLINK("https://creighton-primo.hosted.exlibrisgroup.com/primo-explore/search?tab=default_tab&amp;search_scope=EVERYTHING&amp;vid=01CRU&amp;lang=en_US&amp;offset=0&amp;query=any,contains,991001992739702656","Catalog Record")</f>
        <v/>
      </c>
      <c r="AT1157">
        <f>HYPERLINK("http://www.worldcat.org/oclc/25316363","WorldCat Record")</f>
        <v/>
      </c>
      <c r="AU1157" t="inlineStr">
        <is>
          <t>836871856:eng</t>
        </is>
      </c>
      <c r="AV1157" t="inlineStr">
        <is>
          <t>25316363</t>
        </is>
      </c>
      <c r="AW1157" t="inlineStr">
        <is>
          <t>991001992739702656</t>
        </is>
      </c>
      <c r="AX1157" t="inlineStr">
        <is>
          <t>991001992739702656</t>
        </is>
      </c>
      <c r="AY1157" t="inlineStr">
        <is>
          <t>2268066520002656</t>
        </is>
      </c>
      <c r="AZ1157" t="inlineStr">
        <is>
          <t>BOOK</t>
        </is>
      </c>
      <c r="BB1157" t="inlineStr">
        <is>
          <t>9780824053475</t>
        </is>
      </c>
      <c r="BC1157" t="inlineStr">
        <is>
          <t>32285001363430</t>
        </is>
      </c>
      <c r="BD1157" t="inlineStr">
        <is>
          <t>893872979</t>
        </is>
      </c>
    </row>
    <row r="1158">
      <c r="A1158" t="inlineStr">
        <is>
          <t>No</t>
        </is>
      </c>
      <c r="B1158" t="inlineStr">
        <is>
          <t>E332 .S55 1983</t>
        </is>
      </c>
      <c r="C1158" t="inlineStr">
        <is>
          <t>0                      E  0332000S  55          1983</t>
        </is>
      </c>
      <c r="D1158" t="inlineStr">
        <is>
          <t>Thomas Jefferson : a comprehensive, annotated bibliography of writings about him (1826-1980) / Frank Shuffelton.</t>
        </is>
      </c>
      <c r="F1158" t="inlineStr">
        <is>
          <t>No</t>
        </is>
      </c>
      <c r="G1158" t="inlineStr">
        <is>
          <t>1</t>
        </is>
      </c>
      <c r="H1158" t="inlineStr">
        <is>
          <t>No</t>
        </is>
      </c>
      <c r="I1158" t="inlineStr">
        <is>
          <t>No</t>
        </is>
      </c>
      <c r="J1158" t="inlineStr">
        <is>
          <t>0</t>
        </is>
      </c>
      <c r="K1158" t="inlineStr">
        <is>
          <t>Shuffelton, Frank, 1940-</t>
        </is>
      </c>
      <c r="L1158" t="inlineStr">
        <is>
          <t>New York : Garland Pub., 1983.</t>
        </is>
      </c>
      <c r="M1158" t="inlineStr">
        <is>
          <t>1983</t>
        </is>
      </c>
      <c r="O1158" t="inlineStr">
        <is>
          <t>eng</t>
        </is>
      </c>
      <c r="P1158" t="inlineStr">
        <is>
          <t>nyu</t>
        </is>
      </c>
      <c r="Q1158" t="inlineStr">
        <is>
          <t>Garland reference library of social science ; vol. 184</t>
        </is>
      </c>
      <c r="R1158" t="inlineStr">
        <is>
          <t xml:space="preserve">E  </t>
        </is>
      </c>
      <c r="S1158" t="n">
        <v>5</v>
      </c>
      <c r="T1158" t="n">
        <v>5</v>
      </c>
      <c r="U1158" t="inlineStr">
        <is>
          <t>1995-05-30</t>
        </is>
      </c>
      <c r="V1158" t="inlineStr">
        <is>
          <t>1995-05-30</t>
        </is>
      </c>
      <c r="W1158" t="inlineStr">
        <is>
          <t>1990-02-02</t>
        </is>
      </c>
      <c r="X1158" t="inlineStr">
        <is>
          <t>1990-02-02</t>
        </is>
      </c>
      <c r="Y1158" t="n">
        <v>429</v>
      </c>
      <c r="Z1158" t="n">
        <v>373</v>
      </c>
      <c r="AA1158" t="n">
        <v>380</v>
      </c>
      <c r="AB1158" t="n">
        <v>2</v>
      </c>
      <c r="AC1158" t="n">
        <v>2</v>
      </c>
      <c r="AD1158" t="n">
        <v>16</v>
      </c>
      <c r="AE1158" t="n">
        <v>16</v>
      </c>
      <c r="AF1158" t="n">
        <v>3</v>
      </c>
      <c r="AG1158" t="n">
        <v>3</v>
      </c>
      <c r="AH1158" t="n">
        <v>5</v>
      </c>
      <c r="AI1158" t="n">
        <v>5</v>
      </c>
      <c r="AJ1158" t="n">
        <v>12</v>
      </c>
      <c r="AK1158" t="n">
        <v>12</v>
      </c>
      <c r="AL1158" t="n">
        <v>1</v>
      </c>
      <c r="AM1158" t="n">
        <v>1</v>
      </c>
      <c r="AN1158" t="n">
        <v>0</v>
      </c>
      <c r="AO1158" t="n">
        <v>0</v>
      </c>
      <c r="AP1158" t="inlineStr">
        <is>
          <t>No</t>
        </is>
      </c>
      <c r="AQ1158" t="inlineStr">
        <is>
          <t>Yes</t>
        </is>
      </c>
      <c r="AR1158">
        <f>HYPERLINK("http://catalog.hathitrust.org/Record/000207124","HathiTrust Record")</f>
        <v/>
      </c>
      <c r="AS1158">
        <f>HYPERLINK("https://creighton-primo.hosted.exlibrisgroup.com/primo-explore/search?tab=default_tab&amp;search_scope=EVERYTHING&amp;vid=01CRU&amp;lang=en_US&amp;offset=0&amp;query=any,contains,991000242009702656","Catalog Record")</f>
        <v/>
      </c>
      <c r="AT1158">
        <f>HYPERLINK("http://www.worldcat.org/oclc/9684927","WorldCat Record")</f>
        <v/>
      </c>
      <c r="AU1158" t="inlineStr">
        <is>
          <t>836624059:eng</t>
        </is>
      </c>
      <c r="AV1158" t="inlineStr">
        <is>
          <t>9684927</t>
        </is>
      </c>
      <c r="AW1158" t="inlineStr">
        <is>
          <t>991000242009702656</t>
        </is>
      </c>
      <c r="AX1158" t="inlineStr">
        <is>
          <t>991000242009702656</t>
        </is>
      </c>
      <c r="AY1158" t="inlineStr">
        <is>
          <t>2260780830002656</t>
        </is>
      </c>
      <c r="AZ1158" t="inlineStr">
        <is>
          <t>BOOK</t>
        </is>
      </c>
      <c r="BB1158" t="inlineStr">
        <is>
          <t>9780824090784</t>
        </is>
      </c>
      <c r="BC1158" t="inlineStr">
        <is>
          <t>32285000038512</t>
        </is>
      </c>
      <c r="BD1158" t="inlineStr">
        <is>
          <t>893249204</t>
        </is>
      </c>
    </row>
    <row r="1159">
      <c r="A1159" t="inlineStr">
        <is>
          <t>No</t>
        </is>
      </c>
      <c r="B1159" t="inlineStr">
        <is>
          <t>E332 .S63</t>
        </is>
      </c>
      <c r="C1159" t="inlineStr">
        <is>
          <t>0                      E  0332000S  63</t>
        </is>
      </c>
      <c r="D1159" t="inlineStr">
        <is>
          <t>Jefferson : a revealing biography / by Page Smith.</t>
        </is>
      </c>
      <c r="F1159" t="inlineStr">
        <is>
          <t>No</t>
        </is>
      </c>
      <c r="G1159" t="inlineStr">
        <is>
          <t>1</t>
        </is>
      </c>
      <c r="H1159" t="inlineStr">
        <is>
          <t>No</t>
        </is>
      </c>
      <c r="I1159" t="inlineStr">
        <is>
          <t>No</t>
        </is>
      </c>
      <c r="J1159" t="inlineStr">
        <is>
          <t>0</t>
        </is>
      </c>
      <c r="K1159" t="inlineStr">
        <is>
          <t>Smith, Page.</t>
        </is>
      </c>
      <c r="L1159" t="inlineStr">
        <is>
          <t>New York : American Heritage Pub. Co. : book trade distribution by McGraw-Hill, c1976.</t>
        </is>
      </c>
      <c r="M1159" t="inlineStr">
        <is>
          <t>1976</t>
        </is>
      </c>
      <c r="O1159" t="inlineStr">
        <is>
          <t>eng</t>
        </is>
      </c>
      <c r="P1159" t="inlineStr">
        <is>
          <t>nyu</t>
        </is>
      </c>
      <c r="R1159" t="inlineStr">
        <is>
          <t xml:space="preserve">E  </t>
        </is>
      </c>
      <c r="S1159" t="n">
        <v>6</v>
      </c>
      <c r="T1159" t="n">
        <v>6</v>
      </c>
      <c r="U1159" t="inlineStr">
        <is>
          <t>1996-02-11</t>
        </is>
      </c>
      <c r="V1159" t="inlineStr">
        <is>
          <t>1996-02-11</t>
        </is>
      </c>
      <c r="W1159" t="inlineStr">
        <is>
          <t>1990-04-04</t>
        </is>
      </c>
      <c r="X1159" t="inlineStr">
        <is>
          <t>1990-04-04</t>
        </is>
      </c>
      <c r="Y1159" t="n">
        <v>1087</v>
      </c>
      <c r="Z1159" t="n">
        <v>1061</v>
      </c>
      <c r="AA1159" t="n">
        <v>1072</v>
      </c>
      <c r="AB1159" t="n">
        <v>6</v>
      </c>
      <c r="AC1159" t="n">
        <v>6</v>
      </c>
      <c r="AD1159" t="n">
        <v>26</v>
      </c>
      <c r="AE1159" t="n">
        <v>26</v>
      </c>
      <c r="AF1159" t="n">
        <v>11</v>
      </c>
      <c r="AG1159" t="n">
        <v>11</v>
      </c>
      <c r="AH1159" t="n">
        <v>6</v>
      </c>
      <c r="AI1159" t="n">
        <v>6</v>
      </c>
      <c r="AJ1159" t="n">
        <v>15</v>
      </c>
      <c r="AK1159" t="n">
        <v>15</v>
      </c>
      <c r="AL1159" t="n">
        <v>3</v>
      </c>
      <c r="AM1159" t="n">
        <v>3</v>
      </c>
      <c r="AN1159" t="n">
        <v>0</v>
      </c>
      <c r="AO1159" t="n">
        <v>0</v>
      </c>
      <c r="AP1159" t="inlineStr">
        <is>
          <t>No</t>
        </is>
      </c>
      <c r="AQ1159" t="inlineStr">
        <is>
          <t>Yes</t>
        </is>
      </c>
      <c r="AR1159">
        <f>HYPERLINK("http://catalog.hathitrust.org/Record/000685152","HathiTrust Record")</f>
        <v/>
      </c>
      <c r="AS1159">
        <f>HYPERLINK("https://creighton-primo.hosted.exlibrisgroup.com/primo-explore/search?tab=default_tab&amp;search_scope=EVERYTHING&amp;vid=01CRU&amp;lang=en_US&amp;offset=0&amp;query=any,contains,991003988139702656","Catalog Record")</f>
        <v/>
      </c>
      <c r="AT1159">
        <f>HYPERLINK("http://www.worldcat.org/oclc/2035189","WorldCat Record")</f>
        <v/>
      </c>
      <c r="AU1159" t="inlineStr">
        <is>
          <t>909783039:eng</t>
        </is>
      </c>
      <c r="AV1159" t="inlineStr">
        <is>
          <t>2035189</t>
        </is>
      </c>
      <c r="AW1159" t="inlineStr">
        <is>
          <t>991003988139702656</t>
        </is>
      </c>
      <c r="AX1159" t="inlineStr">
        <is>
          <t>991003988139702656</t>
        </is>
      </c>
      <c r="AY1159" t="inlineStr">
        <is>
          <t>2268788640002656</t>
        </is>
      </c>
      <c r="AZ1159" t="inlineStr">
        <is>
          <t>BOOK</t>
        </is>
      </c>
      <c r="BB1159" t="inlineStr">
        <is>
          <t>9780070584617</t>
        </is>
      </c>
      <c r="BC1159" t="inlineStr">
        <is>
          <t>32285000102003</t>
        </is>
      </c>
      <c r="BD1159" t="inlineStr">
        <is>
          <t>893605495</t>
        </is>
      </c>
    </row>
    <row r="1160">
      <c r="A1160" t="inlineStr">
        <is>
          <t>No</t>
        </is>
      </c>
      <c r="B1160" t="inlineStr">
        <is>
          <t>E332 .T43 1986</t>
        </is>
      </c>
      <c r="C1160" t="inlineStr">
        <is>
          <t>0                      E  0332000T  43          1986</t>
        </is>
      </c>
      <c r="D1160" t="inlineStr">
        <is>
          <t>Thomas Jefferson : a reference biography / Merrill D. Peterson, editor.</t>
        </is>
      </c>
      <c r="F1160" t="inlineStr">
        <is>
          <t>No</t>
        </is>
      </c>
      <c r="G1160" t="inlineStr">
        <is>
          <t>1</t>
        </is>
      </c>
      <c r="H1160" t="inlineStr">
        <is>
          <t>No</t>
        </is>
      </c>
      <c r="I1160" t="inlineStr">
        <is>
          <t>No</t>
        </is>
      </c>
      <c r="J1160" t="inlineStr">
        <is>
          <t>0</t>
        </is>
      </c>
      <c r="L1160" t="inlineStr">
        <is>
          <t>New York : Scribner, c1986.</t>
        </is>
      </c>
      <c r="M1160" t="inlineStr">
        <is>
          <t>1986</t>
        </is>
      </c>
      <c r="O1160" t="inlineStr">
        <is>
          <t>eng</t>
        </is>
      </c>
      <c r="P1160" t="inlineStr">
        <is>
          <t>nyu</t>
        </is>
      </c>
      <c r="R1160" t="inlineStr">
        <is>
          <t xml:space="preserve">E  </t>
        </is>
      </c>
      <c r="S1160" t="n">
        <v>4</v>
      </c>
      <c r="T1160" t="n">
        <v>4</v>
      </c>
      <c r="U1160" t="inlineStr">
        <is>
          <t>1998-03-01</t>
        </is>
      </c>
      <c r="V1160" t="inlineStr">
        <is>
          <t>1998-03-01</t>
        </is>
      </c>
      <c r="W1160" t="inlineStr">
        <is>
          <t>1990-01-30</t>
        </is>
      </c>
      <c r="X1160" t="inlineStr">
        <is>
          <t>1990-01-30</t>
        </is>
      </c>
      <c r="Y1160" t="n">
        <v>813</v>
      </c>
      <c r="Z1160" t="n">
        <v>765</v>
      </c>
      <c r="AA1160" t="n">
        <v>767</v>
      </c>
      <c r="AB1160" t="n">
        <v>5</v>
      </c>
      <c r="AC1160" t="n">
        <v>5</v>
      </c>
      <c r="AD1160" t="n">
        <v>24</v>
      </c>
      <c r="AE1160" t="n">
        <v>24</v>
      </c>
      <c r="AF1160" t="n">
        <v>9</v>
      </c>
      <c r="AG1160" t="n">
        <v>9</v>
      </c>
      <c r="AH1160" t="n">
        <v>5</v>
      </c>
      <c r="AI1160" t="n">
        <v>5</v>
      </c>
      <c r="AJ1160" t="n">
        <v>14</v>
      </c>
      <c r="AK1160" t="n">
        <v>14</v>
      </c>
      <c r="AL1160" t="n">
        <v>4</v>
      </c>
      <c r="AM1160" t="n">
        <v>4</v>
      </c>
      <c r="AN1160" t="n">
        <v>0</v>
      </c>
      <c r="AO1160" t="n">
        <v>0</v>
      </c>
      <c r="AP1160" t="inlineStr">
        <is>
          <t>No</t>
        </is>
      </c>
      <c r="AQ1160" t="inlineStr">
        <is>
          <t>Yes</t>
        </is>
      </c>
      <c r="AR1160">
        <f>HYPERLINK("http://catalog.hathitrust.org/Record/000492271","HathiTrust Record")</f>
        <v/>
      </c>
      <c r="AS1160">
        <f>HYPERLINK("https://creighton-primo.hosted.exlibrisgroup.com/primo-explore/search?tab=default_tab&amp;search_scope=EVERYTHING&amp;vid=01CRU&amp;lang=en_US&amp;offset=0&amp;query=any,contains,991000832189702656","Catalog Record")</f>
        <v/>
      </c>
      <c r="AT1160">
        <f>HYPERLINK("http://www.worldcat.org/oclc/13455794","WorldCat Record")</f>
        <v/>
      </c>
      <c r="AU1160" t="inlineStr">
        <is>
          <t>6841756:eng</t>
        </is>
      </c>
      <c r="AV1160" t="inlineStr">
        <is>
          <t>13455794</t>
        </is>
      </c>
      <c r="AW1160" t="inlineStr">
        <is>
          <t>991000832189702656</t>
        </is>
      </c>
      <c r="AX1160" t="inlineStr">
        <is>
          <t>991000832189702656</t>
        </is>
      </c>
      <c r="AY1160" t="inlineStr">
        <is>
          <t>2263532180002656</t>
        </is>
      </c>
      <c r="AZ1160" t="inlineStr">
        <is>
          <t>BOOK</t>
        </is>
      </c>
      <c r="BB1160" t="inlineStr">
        <is>
          <t>9780684180694</t>
        </is>
      </c>
      <c r="BC1160" t="inlineStr">
        <is>
          <t>32285000031152</t>
        </is>
      </c>
      <c r="BD1160" t="inlineStr">
        <is>
          <t>893321389</t>
        </is>
      </c>
    </row>
    <row r="1161">
      <c r="A1161" t="inlineStr">
        <is>
          <t>No</t>
        </is>
      </c>
      <c r="B1161" t="inlineStr">
        <is>
          <t>E332 .V28</t>
        </is>
      </c>
      <c r="C1161" t="inlineStr">
        <is>
          <t>0                      E  0332000V  28</t>
        </is>
      </c>
      <c r="D1161" t="inlineStr">
        <is>
          <t>Fighters for freedom : Jefferson and Bolivar / written and illustrated by Hendrik Willem van Loon.</t>
        </is>
      </c>
      <c r="F1161" t="inlineStr">
        <is>
          <t>No</t>
        </is>
      </c>
      <c r="G1161" t="inlineStr">
        <is>
          <t>1</t>
        </is>
      </c>
      <c r="H1161" t="inlineStr">
        <is>
          <t>No</t>
        </is>
      </c>
      <c r="I1161" t="inlineStr">
        <is>
          <t>No</t>
        </is>
      </c>
      <c r="J1161" t="inlineStr">
        <is>
          <t>0</t>
        </is>
      </c>
      <c r="K1161" t="inlineStr">
        <is>
          <t>Van Loon, Hendrik Willem, 1882-1944.</t>
        </is>
      </c>
      <c r="L1161" t="inlineStr">
        <is>
          <t>New York : Dodd, Mead, [1962]</t>
        </is>
      </c>
      <c r="M1161" t="inlineStr">
        <is>
          <t>1962</t>
        </is>
      </c>
      <c r="O1161" t="inlineStr">
        <is>
          <t>eng</t>
        </is>
      </c>
      <c r="P1161" t="inlineStr">
        <is>
          <t>nyu</t>
        </is>
      </c>
      <c r="R1161" t="inlineStr">
        <is>
          <t xml:space="preserve">E  </t>
        </is>
      </c>
      <c r="S1161" t="n">
        <v>5</v>
      </c>
      <c r="T1161" t="n">
        <v>5</v>
      </c>
      <c r="U1161" t="inlineStr">
        <is>
          <t>1993-12-08</t>
        </is>
      </c>
      <c r="V1161" t="inlineStr">
        <is>
          <t>1993-12-08</t>
        </is>
      </c>
      <c r="W1161" t="inlineStr">
        <is>
          <t>1991-12-23</t>
        </is>
      </c>
      <c r="X1161" t="inlineStr">
        <is>
          <t>1991-12-23</t>
        </is>
      </c>
      <c r="Y1161" t="n">
        <v>229</v>
      </c>
      <c r="Z1161" t="n">
        <v>217</v>
      </c>
      <c r="AA1161" t="n">
        <v>220</v>
      </c>
      <c r="AB1161" t="n">
        <v>1</v>
      </c>
      <c r="AC1161" t="n">
        <v>1</v>
      </c>
      <c r="AD1161" t="n">
        <v>2</v>
      </c>
      <c r="AE1161" t="n">
        <v>2</v>
      </c>
      <c r="AF1161" t="n">
        <v>0</v>
      </c>
      <c r="AG1161" t="n">
        <v>0</v>
      </c>
      <c r="AH1161" t="n">
        <v>2</v>
      </c>
      <c r="AI1161" t="n">
        <v>2</v>
      </c>
      <c r="AJ1161" t="n">
        <v>0</v>
      </c>
      <c r="AK1161" t="n">
        <v>0</v>
      </c>
      <c r="AL1161" t="n">
        <v>0</v>
      </c>
      <c r="AM1161" t="n">
        <v>0</v>
      </c>
      <c r="AN1161" t="n">
        <v>0</v>
      </c>
      <c r="AO1161" t="n">
        <v>0</v>
      </c>
      <c r="AP1161" t="inlineStr">
        <is>
          <t>No</t>
        </is>
      </c>
      <c r="AQ1161" t="inlineStr">
        <is>
          <t>No</t>
        </is>
      </c>
      <c r="AR1161">
        <f>HYPERLINK("http://catalog.hathitrust.org/Record/006223348","HathiTrust Record")</f>
        <v/>
      </c>
      <c r="AS1161">
        <f>HYPERLINK("https://creighton-primo.hosted.exlibrisgroup.com/primo-explore/search?tab=default_tab&amp;search_scope=EVERYTHING&amp;vid=01CRU&amp;lang=en_US&amp;offset=0&amp;query=any,contains,991002401749702656","Catalog Record")</f>
        <v/>
      </c>
      <c r="AT1161">
        <f>HYPERLINK("http://www.worldcat.org/oclc/337081","WorldCat Record")</f>
        <v/>
      </c>
      <c r="AU1161" t="inlineStr">
        <is>
          <t>293412271:eng</t>
        </is>
      </c>
      <c r="AV1161" t="inlineStr">
        <is>
          <t>337081</t>
        </is>
      </c>
      <c r="AW1161" t="inlineStr">
        <is>
          <t>991002401749702656</t>
        </is>
      </c>
      <c r="AX1161" t="inlineStr">
        <is>
          <t>991002401749702656</t>
        </is>
      </c>
      <c r="AY1161" t="inlineStr">
        <is>
          <t>2255766180002656</t>
        </is>
      </c>
      <c r="AZ1161" t="inlineStr">
        <is>
          <t>BOOK</t>
        </is>
      </c>
      <c r="BC1161" t="inlineStr">
        <is>
          <t>32285000879212</t>
        </is>
      </c>
      <c r="BD1161" t="inlineStr">
        <is>
          <t>893510686</t>
        </is>
      </c>
    </row>
    <row r="1162">
      <c r="A1162" t="inlineStr">
        <is>
          <t>No</t>
        </is>
      </c>
      <c r="B1162" t="inlineStr">
        <is>
          <t>E332 .W34</t>
        </is>
      </c>
      <c r="C1162" t="inlineStr">
        <is>
          <t>0                      E  0332000W  34</t>
        </is>
      </c>
      <c r="D1162" t="inlineStr">
        <is>
          <t>The life and times of Thomas Jefferson.</t>
        </is>
      </c>
      <c r="F1162" t="inlineStr">
        <is>
          <t>No</t>
        </is>
      </c>
      <c r="G1162" t="inlineStr">
        <is>
          <t>1</t>
        </is>
      </c>
      <c r="H1162" t="inlineStr">
        <is>
          <t>No</t>
        </is>
      </c>
      <c r="I1162" t="inlineStr">
        <is>
          <t>No</t>
        </is>
      </c>
      <c r="J1162" t="inlineStr">
        <is>
          <t>0</t>
        </is>
      </c>
      <c r="K1162" t="inlineStr">
        <is>
          <t>Watson, Thomas E. (Thomas Edward), 1856-1922.</t>
        </is>
      </c>
      <c r="L1162" t="inlineStr">
        <is>
          <t>New York : Dodd, Mead, 1927 [c1903]</t>
        </is>
      </c>
      <c r="M1162" t="inlineStr">
        <is>
          <t>1927</t>
        </is>
      </c>
      <c r="N1162" t="inlineStr">
        <is>
          <t>Rev. ed.</t>
        </is>
      </c>
      <c r="O1162" t="inlineStr">
        <is>
          <t>eng</t>
        </is>
      </c>
      <c r="P1162" t="inlineStr">
        <is>
          <t>nyu</t>
        </is>
      </c>
      <c r="R1162" t="inlineStr">
        <is>
          <t xml:space="preserve">E  </t>
        </is>
      </c>
      <c r="S1162" t="n">
        <v>1</v>
      </c>
      <c r="T1162" t="n">
        <v>1</v>
      </c>
      <c r="U1162" t="inlineStr">
        <is>
          <t>1993-10-26</t>
        </is>
      </c>
      <c r="V1162" t="inlineStr">
        <is>
          <t>1993-10-26</t>
        </is>
      </c>
      <c r="W1162" t="inlineStr">
        <is>
          <t>1991-12-17</t>
        </is>
      </c>
      <c r="X1162" t="inlineStr">
        <is>
          <t>1991-12-17</t>
        </is>
      </c>
      <c r="Y1162" t="n">
        <v>62</v>
      </c>
      <c r="Z1162" t="n">
        <v>60</v>
      </c>
      <c r="AA1162" t="n">
        <v>460</v>
      </c>
      <c r="AB1162" t="n">
        <v>1</v>
      </c>
      <c r="AC1162" t="n">
        <v>3</v>
      </c>
      <c r="AD1162" t="n">
        <v>4</v>
      </c>
      <c r="AE1162" t="n">
        <v>16</v>
      </c>
      <c r="AF1162" t="n">
        <v>2</v>
      </c>
      <c r="AG1162" t="n">
        <v>7</v>
      </c>
      <c r="AH1162" t="n">
        <v>1</v>
      </c>
      <c r="AI1162" t="n">
        <v>4</v>
      </c>
      <c r="AJ1162" t="n">
        <v>2</v>
      </c>
      <c r="AK1162" t="n">
        <v>5</v>
      </c>
      <c r="AL1162" t="n">
        <v>0</v>
      </c>
      <c r="AM1162" t="n">
        <v>2</v>
      </c>
      <c r="AN1162" t="n">
        <v>0</v>
      </c>
      <c r="AO1162" t="n">
        <v>1</v>
      </c>
      <c r="AP1162" t="inlineStr">
        <is>
          <t>No</t>
        </is>
      </c>
      <c r="AQ1162" t="inlineStr">
        <is>
          <t>Yes</t>
        </is>
      </c>
      <c r="AR1162">
        <f>HYPERLINK("http://catalog.hathitrust.org/Record/006578512","HathiTrust Record")</f>
        <v/>
      </c>
      <c r="AS1162">
        <f>HYPERLINK("https://creighton-primo.hosted.exlibrisgroup.com/primo-explore/search?tab=default_tab&amp;search_scope=EVERYTHING&amp;vid=01CRU&amp;lang=en_US&amp;offset=0&amp;query=any,contains,991003958259702656","Catalog Record")</f>
        <v/>
      </c>
      <c r="AT1162">
        <f>HYPERLINK("http://www.worldcat.org/oclc/1973170","WorldCat Record")</f>
        <v/>
      </c>
      <c r="AU1162" t="inlineStr">
        <is>
          <t>2325292:eng</t>
        </is>
      </c>
      <c r="AV1162" t="inlineStr">
        <is>
          <t>1973170</t>
        </is>
      </c>
      <c r="AW1162" t="inlineStr">
        <is>
          <t>991003958259702656</t>
        </is>
      </c>
      <c r="AX1162" t="inlineStr">
        <is>
          <t>991003958259702656</t>
        </is>
      </c>
      <c r="AY1162" t="inlineStr">
        <is>
          <t>2266155460002656</t>
        </is>
      </c>
      <c r="AZ1162" t="inlineStr">
        <is>
          <t>BOOK</t>
        </is>
      </c>
      <c r="BC1162" t="inlineStr">
        <is>
          <t>32285000849603</t>
        </is>
      </c>
      <c r="BD1162" t="inlineStr">
        <is>
          <t>893410939</t>
        </is>
      </c>
    </row>
    <row r="1163">
      <c r="A1163" t="inlineStr">
        <is>
          <t>No</t>
        </is>
      </c>
      <c r="B1163" t="inlineStr">
        <is>
          <t>E332.15 .B4 1967</t>
        </is>
      </c>
      <c r="C1163" t="inlineStr">
        <is>
          <t>0                      E  0332150B  4           1967</t>
        </is>
      </c>
      <c r="D1163" t="inlineStr">
        <is>
          <t>Jefferson at Monticello / edited, with an introduction, by James A. Bear, Jr.</t>
        </is>
      </c>
      <c r="F1163" t="inlineStr">
        <is>
          <t>No</t>
        </is>
      </c>
      <c r="G1163" t="inlineStr">
        <is>
          <t>1</t>
        </is>
      </c>
      <c r="H1163" t="inlineStr">
        <is>
          <t>No</t>
        </is>
      </c>
      <c r="I1163" t="inlineStr">
        <is>
          <t>No</t>
        </is>
      </c>
      <c r="J1163" t="inlineStr">
        <is>
          <t>0</t>
        </is>
      </c>
      <c r="K1163" t="inlineStr">
        <is>
          <t>Bear, James A., Jr., 1919-2013, compiler.</t>
        </is>
      </c>
      <c r="L1163" t="inlineStr">
        <is>
          <t>Charlottesville : University Press of Virginia, c1967, 1985 printing.</t>
        </is>
      </c>
      <c r="M1163" t="inlineStr">
        <is>
          <t>1967</t>
        </is>
      </c>
      <c r="O1163" t="inlineStr">
        <is>
          <t>eng</t>
        </is>
      </c>
      <c r="P1163" t="inlineStr">
        <is>
          <t>vau</t>
        </is>
      </c>
      <c r="R1163" t="inlineStr">
        <is>
          <t xml:space="preserve">E  </t>
        </is>
      </c>
      <c r="S1163" t="n">
        <v>3</v>
      </c>
      <c r="T1163" t="n">
        <v>3</v>
      </c>
      <c r="U1163" t="inlineStr">
        <is>
          <t>1998-03-02</t>
        </is>
      </c>
      <c r="V1163" t="inlineStr">
        <is>
          <t>1998-03-02</t>
        </is>
      </c>
      <c r="W1163" t="inlineStr">
        <is>
          <t>1990-05-01</t>
        </is>
      </c>
      <c r="X1163" t="inlineStr">
        <is>
          <t>1990-05-01</t>
        </is>
      </c>
      <c r="Y1163" t="n">
        <v>599</v>
      </c>
      <c r="Z1163" t="n">
        <v>574</v>
      </c>
      <c r="AA1163" t="n">
        <v>584</v>
      </c>
      <c r="AB1163" t="n">
        <v>6</v>
      </c>
      <c r="AC1163" t="n">
        <v>6</v>
      </c>
      <c r="AD1163" t="n">
        <v>19</v>
      </c>
      <c r="AE1163" t="n">
        <v>19</v>
      </c>
      <c r="AF1163" t="n">
        <v>5</v>
      </c>
      <c r="AG1163" t="n">
        <v>5</v>
      </c>
      <c r="AH1163" t="n">
        <v>2</v>
      </c>
      <c r="AI1163" t="n">
        <v>2</v>
      </c>
      <c r="AJ1163" t="n">
        <v>10</v>
      </c>
      <c r="AK1163" t="n">
        <v>10</v>
      </c>
      <c r="AL1163" t="n">
        <v>4</v>
      </c>
      <c r="AM1163" t="n">
        <v>4</v>
      </c>
      <c r="AN1163" t="n">
        <v>0</v>
      </c>
      <c r="AO1163" t="n">
        <v>0</v>
      </c>
      <c r="AP1163" t="inlineStr">
        <is>
          <t>No</t>
        </is>
      </c>
      <c r="AQ1163" t="inlineStr">
        <is>
          <t>Yes</t>
        </is>
      </c>
      <c r="AR1163">
        <f>HYPERLINK("http://catalog.hathitrust.org/Record/000732148","HathiTrust Record")</f>
        <v/>
      </c>
      <c r="AS1163">
        <f>HYPERLINK("https://creighton-primo.hosted.exlibrisgroup.com/primo-explore/search?tab=default_tab&amp;search_scope=EVERYTHING&amp;vid=01CRU&amp;lang=en_US&amp;offset=0&amp;query=any,contains,991004137449702656","Catalog Record")</f>
        <v/>
      </c>
      <c r="AT1163">
        <f>HYPERLINK("http://www.worldcat.org/oclc/948979","WorldCat Record")</f>
        <v/>
      </c>
      <c r="AU1163" t="inlineStr">
        <is>
          <t>3834478:eng</t>
        </is>
      </c>
      <c r="AV1163" t="inlineStr">
        <is>
          <t>948979</t>
        </is>
      </c>
      <c r="AW1163" t="inlineStr">
        <is>
          <t>991004137449702656</t>
        </is>
      </c>
      <c r="AX1163" t="inlineStr">
        <is>
          <t>991004137449702656</t>
        </is>
      </c>
      <c r="AY1163" t="inlineStr">
        <is>
          <t>2255806900002656</t>
        </is>
      </c>
      <c r="AZ1163" t="inlineStr">
        <is>
          <t>BOOK</t>
        </is>
      </c>
      <c r="BC1163" t="inlineStr">
        <is>
          <t>32285000146117</t>
        </is>
      </c>
      <c r="BD1163" t="inlineStr">
        <is>
          <t>893888333</t>
        </is>
      </c>
    </row>
    <row r="1164">
      <c r="A1164" t="inlineStr">
        <is>
          <t>No</t>
        </is>
      </c>
      <c r="B1164" t="inlineStr">
        <is>
          <t>E332.15 .P54 1971</t>
        </is>
      </c>
      <c r="C1164" t="inlineStr">
        <is>
          <t>0                      E  0332150P  54          1971</t>
        </is>
      </c>
      <c r="D1164" t="inlineStr">
        <is>
          <t>Jefferson at Monticello : the private life of Thomas Jefferson / by Hamilton W. Pierson.</t>
        </is>
      </c>
      <c r="F1164" t="inlineStr">
        <is>
          <t>No</t>
        </is>
      </c>
      <c r="G1164" t="inlineStr">
        <is>
          <t>1</t>
        </is>
      </c>
      <c r="H1164" t="inlineStr">
        <is>
          <t>No</t>
        </is>
      </c>
      <c r="I1164" t="inlineStr">
        <is>
          <t>No</t>
        </is>
      </c>
      <c r="J1164" t="inlineStr">
        <is>
          <t>0</t>
        </is>
      </c>
      <c r="K1164" t="inlineStr">
        <is>
          <t>Pierson, Hamilton W. (Hamilton Wilcox), 1817-1888.</t>
        </is>
      </c>
      <c r="L1164" t="inlineStr">
        <is>
          <t>Freeport, N.Y. : Books for Libraries Press, [1971]</t>
        </is>
      </c>
      <c r="M1164" t="inlineStr">
        <is>
          <t>1971</t>
        </is>
      </c>
      <c r="O1164" t="inlineStr">
        <is>
          <t>eng</t>
        </is>
      </c>
      <c r="P1164" t="inlineStr">
        <is>
          <t>nyu</t>
        </is>
      </c>
      <c r="R1164" t="inlineStr">
        <is>
          <t xml:space="preserve">E  </t>
        </is>
      </c>
      <c r="S1164" t="n">
        <v>3</v>
      </c>
      <c r="T1164" t="n">
        <v>3</v>
      </c>
      <c r="U1164" t="inlineStr">
        <is>
          <t>1995-10-12</t>
        </is>
      </c>
      <c r="V1164" t="inlineStr">
        <is>
          <t>1995-10-12</t>
        </is>
      </c>
      <c r="W1164" t="inlineStr">
        <is>
          <t>1990-04-10</t>
        </is>
      </c>
      <c r="X1164" t="inlineStr">
        <is>
          <t>1990-04-10</t>
        </is>
      </c>
      <c r="Y1164" t="n">
        <v>89</v>
      </c>
      <c r="Z1164" t="n">
        <v>84</v>
      </c>
      <c r="AA1164" t="n">
        <v>293</v>
      </c>
      <c r="AB1164" t="n">
        <v>1</v>
      </c>
      <c r="AC1164" t="n">
        <v>4</v>
      </c>
      <c r="AD1164" t="n">
        <v>1</v>
      </c>
      <c r="AE1164" t="n">
        <v>9</v>
      </c>
      <c r="AF1164" t="n">
        <v>0</v>
      </c>
      <c r="AG1164" t="n">
        <v>2</v>
      </c>
      <c r="AH1164" t="n">
        <v>1</v>
      </c>
      <c r="AI1164" t="n">
        <v>3</v>
      </c>
      <c r="AJ1164" t="n">
        <v>0</v>
      </c>
      <c r="AK1164" t="n">
        <v>2</v>
      </c>
      <c r="AL1164" t="n">
        <v>0</v>
      </c>
      <c r="AM1164" t="n">
        <v>2</v>
      </c>
      <c r="AN1164" t="n">
        <v>0</v>
      </c>
      <c r="AO1164" t="n">
        <v>0</v>
      </c>
      <c r="AP1164" t="inlineStr">
        <is>
          <t>No</t>
        </is>
      </c>
      <c r="AQ1164" t="inlineStr">
        <is>
          <t>No</t>
        </is>
      </c>
      <c r="AS1164">
        <f>HYPERLINK("https://creighton-primo.hosted.exlibrisgroup.com/primo-explore/search?tab=default_tab&amp;search_scope=EVERYTHING&amp;vid=01CRU&amp;lang=en_US&amp;offset=0&amp;query=any,contains,991000823499702656","Catalog Record")</f>
        <v/>
      </c>
      <c r="AT1164">
        <f>HYPERLINK("http://www.worldcat.org/oclc/145821","WorldCat Record")</f>
        <v/>
      </c>
      <c r="AU1164" t="inlineStr">
        <is>
          <t>3901060379:eng</t>
        </is>
      </c>
      <c r="AV1164" t="inlineStr">
        <is>
          <t>145821</t>
        </is>
      </c>
      <c r="AW1164" t="inlineStr">
        <is>
          <t>991000823499702656</t>
        </is>
      </c>
      <c r="AX1164" t="inlineStr">
        <is>
          <t>991000823499702656</t>
        </is>
      </c>
      <c r="AY1164" t="inlineStr">
        <is>
          <t>2258106460002656</t>
        </is>
      </c>
      <c r="AZ1164" t="inlineStr">
        <is>
          <t>BOOK</t>
        </is>
      </c>
      <c r="BB1164" t="inlineStr">
        <is>
          <t>9780836957778</t>
        </is>
      </c>
      <c r="BC1164" t="inlineStr">
        <is>
          <t>32285000114925</t>
        </is>
      </c>
      <c r="BD1164" t="inlineStr">
        <is>
          <t>893602093</t>
        </is>
      </c>
    </row>
    <row r="1165">
      <c r="A1165" t="inlineStr">
        <is>
          <t>No</t>
        </is>
      </c>
      <c r="B1165" t="inlineStr">
        <is>
          <t>E332.2 .B37 1990</t>
        </is>
      </c>
      <c r="C1165" t="inlineStr">
        <is>
          <t>0                      E  0332200B  37          1990</t>
        </is>
      </c>
      <c r="D1165" t="inlineStr">
        <is>
          <t>Thomas Jefferson : statesman of science / Silvio A. Bedini.</t>
        </is>
      </c>
      <c r="F1165" t="inlineStr">
        <is>
          <t>No</t>
        </is>
      </c>
      <c r="G1165" t="inlineStr">
        <is>
          <t>1</t>
        </is>
      </c>
      <c r="H1165" t="inlineStr">
        <is>
          <t>No</t>
        </is>
      </c>
      <c r="I1165" t="inlineStr">
        <is>
          <t>No</t>
        </is>
      </c>
      <c r="J1165" t="inlineStr">
        <is>
          <t>0</t>
        </is>
      </c>
      <c r="K1165" t="inlineStr">
        <is>
          <t>Bedini, Silvio A.</t>
        </is>
      </c>
      <c r="L1165" t="inlineStr">
        <is>
          <t>New York : Macmillan, c1990.</t>
        </is>
      </c>
      <c r="M1165" t="inlineStr">
        <is>
          <t>1990</t>
        </is>
      </c>
      <c r="O1165" t="inlineStr">
        <is>
          <t>eng</t>
        </is>
      </c>
      <c r="P1165" t="inlineStr">
        <is>
          <t>nyu</t>
        </is>
      </c>
      <c r="R1165" t="inlineStr">
        <is>
          <t xml:space="preserve">E  </t>
        </is>
      </c>
      <c r="S1165" t="n">
        <v>1</v>
      </c>
      <c r="T1165" t="n">
        <v>1</v>
      </c>
      <c r="U1165" t="inlineStr">
        <is>
          <t>1992-03-09</t>
        </is>
      </c>
      <c r="V1165" t="inlineStr">
        <is>
          <t>1992-03-09</t>
        </is>
      </c>
      <c r="W1165" t="inlineStr">
        <is>
          <t>1990-11-26</t>
        </is>
      </c>
      <c r="X1165" t="inlineStr">
        <is>
          <t>1990-11-26</t>
        </is>
      </c>
      <c r="Y1165" t="n">
        <v>701</v>
      </c>
      <c r="Z1165" t="n">
        <v>648</v>
      </c>
      <c r="AA1165" t="n">
        <v>655</v>
      </c>
      <c r="AB1165" t="n">
        <v>4</v>
      </c>
      <c r="AC1165" t="n">
        <v>4</v>
      </c>
      <c r="AD1165" t="n">
        <v>31</v>
      </c>
      <c r="AE1165" t="n">
        <v>31</v>
      </c>
      <c r="AF1165" t="n">
        <v>13</v>
      </c>
      <c r="AG1165" t="n">
        <v>13</v>
      </c>
      <c r="AH1165" t="n">
        <v>8</v>
      </c>
      <c r="AI1165" t="n">
        <v>8</v>
      </c>
      <c r="AJ1165" t="n">
        <v>18</v>
      </c>
      <c r="AK1165" t="n">
        <v>18</v>
      </c>
      <c r="AL1165" t="n">
        <v>3</v>
      </c>
      <c r="AM1165" t="n">
        <v>3</v>
      </c>
      <c r="AN1165" t="n">
        <v>0</v>
      </c>
      <c r="AO1165" t="n">
        <v>0</v>
      </c>
      <c r="AP1165" t="inlineStr">
        <is>
          <t>No</t>
        </is>
      </c>
      <c r="AQ1165" t="inlineStr">
        <is>
          <t>Yes</t>
        </is>
      </c>
      <c r="AR1165">
        <f>HYPERLINK("http://catalog.hathitrust.org/Record/001943279","HathiTrust Record")</f>
        <v/>
      </c>
      <c r="AS1165">
        <f>HYPERLINK("https://creighton-primo.hosted.exlibrisgroup.com/primo-explore/search?tab=default_tab&amp;search_scope=EVERYTHING&amp;vid=01CRU&amp;lang=en_US&amp;offset=0&amp;query=any,contains,991001589269702656","Catalog Record")</f>
        <v/>
      </c>
      <c r="AT1165">
        <f>HYPERLINK("http://www.worldcat.org/oclc/20563767","WorldCat Record")</f>
        <v/>
      </c>
      <c r="AU1165" t="inlineStr">
        <is>
          <t>307802420:eng</t>
        </is>
      </c>
      <c r="AV1165" t="inlineStr">
        <is>
          <t>20563767</t>
        </is>
      </c>
      <c r="AW1165" t="inlineStr">
        <is>
          <t>991001589269702656</t>
        </is>
      </c>
      <c r="AX1165" t="inlineStr">
        <is>
          <t>991001589269702656</t>
        </is>
      </c>
      <c r="AY1165" t="inlineStr">
        <is>
          <t>2257358390002656</t>
        </is>
      </c>
      <c r="AZ1165" t="inlineStr">
        <is>
          <t>BOOK</t>
        </is>
      </c>
      <c r="BB1165" t="inlineStr">
        <is>
          <t>9780028970417</t>
        </is>
      </c>
      <c r="BC1165" t="inlineStr">
        <is>
          <t>32285000356385</t>
        </is>
      </c>
      <c r="BD1165" t="inlineStr">
        <is>
          <t>893709371</t>
        </is>
      </c>
    </row>
    <row r="1166">
      <c r="A1166" t="inlineStr">
        <is>
          <t>No</t>
        </is>
      </c>
      <c r="B1166" t="inlineStr">
        <is>
          <t>E332.2 .B58</t>
        </is>
      </c>
      <c r="C1166" t="inlineStr">
        <is>
          <t>0                      E  0332200B  58</t>
        </is>
      </c>
      <c r="D1166" t="inlineStr">
        <is>
          <t>Thomas Jefferson / by William K. Bottorff.</t>
        </is>
      </c>
      <c r="F1166" t="inlineStr">
        <is>
          <t>No</t>
        </is>
      </c>
      <c r="G1166" t="inlineStr">
        <is>
          <t>1</t>
        </is>
      </c>
      <c r="H1166" t="inlineStr">
        <is>
          <t>No</t>
        </is>
      </c>
      <c r="I1166" t="inlineStr">
        <is>
          <t>No</t>
        </is>
      </c>
      <c r="J1166" t="inlineStr">
        <is>
          <t>0</t>
        </is>
      </c>
      <c r="K1166" t="inlineStr">
        <is>
          <t>Bottorff, William K., 1931-2007.</t>
        </is>
      </c>
      <c r="L1166" t="inlineStr">
        <is>
          <t>Boston : Twayne Publishers, 1979.</t>
        </is>
      </c>
      <c r="M1166" t="inlineStr">
        <is>
          <t>1979</t>
        </is>
      </c>
      <c r="O1166" t="inlineStr">
        <is>
          <t>eng</t>
        </is>
      </c>
      <c r="P1166" t="inlineStr">
        <is>
          <t>mau</t>
        </is>
      </c>
      <c r="Q1166" t="inlineStr">
        <is>
          <t>Twayne's United States authors series ; TUSAS 327</t>
        </is>
      </c>
      <c r="R1166" t="inlineStr">
        <is>
          <t xml:space="preserve">E  </t>
        </is>
      </c>
      <c r="S1166" t="n">
        <v>1</v>
      </c>
      <c r="T1166" t="n">
        <v>1</v>
      </c>
      <c r="U1166" t="inlineStr">
        <is>
          <t>1993-01-26</t>
        </is>
      </c>
      <c r="V1166" t="inlineStr">
        <is>
          <t>1993-01-26</t>
        </is>
      </c>
      <c r="W1166" t="inlineStr">
        <is>
          <t>1990-04-04</t>
        </is>
      </c>
      <c r="X1166" t="inlineStr">
        <is>
          <t>1990-04-04</t>
        </is>
      </c>
      <c r="Y1166" t="n">
        <v>855</v>
      </c>
      <c r="Z1166" t="n">
        <v>784</v>
      </c>
      <c r="AA1166" t="n">
        <v>790</v>
      </c>
      <c r="AB1166" t="n">
        <v>11</v>
      </c>
      <c r="AC1166" t="n">
        <v>11</v>
      </c>
      <c r="AD1166" t="n">
        <v>34</v>
      </c>
      <c r="AE1166" t="n">
        <v>34</v>
      </c>
      <c r="AF1166" t="n">
        <v>13</v>
      </c>
      <c r="AG1166" t="n">
        <v>13</v>
      </c>
      <c r="AH1166" t="n">
        <v>6</v>
      </c>
      <c r="AI1166" t="n">
        <v>6</v>
      </c>
      <c r="AJ1166" t="n">
        <v>17</v>
      </c>
      <c r="AK1166" t="n">
        <v>17</v>
      </c>
      <c r="AL1166" t="n">
        <v>6</v>
      </c>
      <c r="AM1166" t="n">
        <v>6</v>
      </c>
      <c r="AN1166" t="n">
        <v>0</v>
      </c>
      <c r="AO1166" t="n">
        <v>0</v>
      </c>
      <c r="AP1166" t="inlineStr">
        <is>
          <t>No</t>
        </is>
      </c>
      <c r="AQ1166" t="inlineStr">
        <is>
          <t>Yes</t>
        </is>
      </c>
      <c r="AR1166">
        <f>HYPERLINK("http://catalog.hathitrust.org/Record/000216515","HathiTrust Record")</f>
        <v/>
      </c>
      <c r="AS1166">
        <f>HYPERLINK("https://creighton-primo.hosted.exlibrisgroup.com/primo-explore/search?tab=default_tab&amp;search_scope=EVERYTHING&amp;vid=01CRU&amp;lang=en_US&amp;offset=0&amp;query=any,contains,991004610389702656","Catalog Record")</f>
        <v/>
      </c>
      <c r="AT1166">
        <f>HYPERLINK("http://www.worldcat.org/oclc/4211165","WorldCat Record")</f>
        <v/>
      </c>
      <c r="AU1166" t="inlineStr">
        <is>
          <t>4776387164:eng</t>
        </is>
      </c>
      <c r="AV1166" t="inlineStr">
        <is>
          <t>4211165</t>
        </is>
      </c>
      <c r="AW1166" t="inlineStr">
        <is>
          <t>991004610389702656</t>
        </is>
      </c>
      <c r="AX1166" t="inlineStr">
        <is>
          <t>991004610389702656</t>
        </is>
      </c>
      <c r="AY1166" t="inlineStr">
        <is>
          <t>2256559470002656</t>
        </is>
      </c>
      <c r="AZ1166" t="inlineStr">
        <is>
          <t>BOOK</t>
        </is>
      </c>
      <c r="BB1166" t="inlineStr">
        <is>
          <t>9780805772609</t>
        </is>
      </c>
      <c r="BC1166" t="inlineStr">
        <is>
          <t>32285000110766</t>
        </is>
      </c>
      <c r="BD1166" t="inlineStr">
        <is>
          <t>893869906</t>
        </is>
      </c>
    </row>
    <row r="1167">
      <c r="A1167" t="inlineStr">
        <is>
          <t>No</t>
        </is>
      </c>
      <c r="B1167" t="inlineStr">
        <is>
          <t>E332.2 .B87 1993</t>
        </is>
      </c>
      <c r="C1167" t="inlineStr">
        <is>
          <t>0                      E  0332200B  87          1993</t>
        </is>
      </c>
      <c r="D1167" t="inlineStr">
        <is>
          <t>Understanding Thomas Jefferson : studies in economics, law, and philosophy / M.L. Burstein.</t>
        </is>
      </c>
      <c r="F1167" t="inlineStr">
        <is>
          <t>No</t>
        </is>
      </c>
      <c r="G1167" t="inlineStr">
        <is>
          <t>1</t>
        </is>
      </c>
      <c r="H1167" t="inlineStr">
        <is>
          <t>Yes</t>
        </is>
      </c>
      <c r="I1167" t="inlineStr">
        <is>
          <t>No</t>
        </is>
      </c>
      <c r="J1167" t="inlineStr">
        <is>
          <t>0</t>
        </is>
      </c>
      <c r="K1167" t="inlineStr">
        <is>
          <t>Burstein, M. L. (Meyer Louis), 1926-</t>
        </is>
      </c>
      <c r="L1167" t="inlineStr">
        <is>
          <t>New York : St. Martin's Press, 1993.</t>
        </is>
      </c>
      <c r="M1167" t="inlineStr">
        <is>
          <t>1993</t>
        </is>
      </c>
      <c r="O1167" t="inlineStr">
        <is>
          <t>eng</t>
        </is>
      </c>
      <c r="P1167" t="inlineStr">
        <is>
          <t>nyu</t>
        </is>
      </c>
      <c r="R1167" t="inlineStr">
        <is>
          <t xml:space="preserve">E  </t>
        </is>
      </c>
      <c r="S1167" t="n">
        <v>2</v>
      </c>
      <c r="T1167" t="n">
        <v>2</v>
      </c>
      <c r="U1167" t="inlineStr">
        <is>
          <t>2002-03-14</t>
        </is>
      </c>
      <c r="V1167" t="inlineStr">
        <is>
          <t>2002-03-14</t>
        </is>
      </c>
      <c r="W1167" t="inlineStr">
        <is>
          <t>1994-04-20</t>
        </is>
      </c>
      <c r="X1167" t="inlineStr">
        <is>
          <t>1994-08-16</t>
        </is>
      </c>
      <c r="Y1167" t="n">
        <v>238</v>
      </c>
      <c r="Z1167" t="n">
        <v>220</v>
      </c>
      <c r="AA1167" t="n">
        <v>248</v>
      </c>
      <c r="AB1167" t="n">
        <v>3</v>
      </c>
      <c r="AC1167" t="n">
        <v>3</v>
      </c>
      <c r="AD1167" t="n">
        <v>16</v>
      </c>
      <c r="AE1167" t="n">
        <v>17</v>
      </c>
      <c r="AF1167" t="n">
        <v>1</v>
      </c>
      <c r="AG1167" t="n">
        <v>1</v>
      </c>
      <c r="AH1167" t="n">
        <v>3</v>
      </c>
      <c r="AI1167" t="n">
        <v>4</v>
      </c>
      <c r="AJ1167" t="n">
        <v>6</v>
      </c>
      <c r="AK1167" t="n">
        <v>7</v>
      </c>
      <c r="AL1167" t="n">
        <v>1</v>
      </c>
      <c r="AM1167" t="n">
        <v>1</v>
      </c>
      <c r="AN1167" t="n">
        <v>7</v>
      </c>
      <c r="AO1167" t="n">
        <v>7</v>
      </c>
      <c r="AP1167" t="inlineStr">
        <is>
          <t>No</t>
        </is>
      </c>
      <c r="AQ1167" t="inlineStr">
        <is>
          <t>No</t>
        </is>
      </c>
      <c r="AS1167">
        <f>HYPERLINK("https://creighton-primo.hosted.exlibrisgroup.com/primo-explore/search?tab=default_tab&amp;search_scope=EVERYTHING&amp;vid=01CRU&amp;lang=en_US&amp;offset=0&amp;query=any,contains,991001657569702656","Catalog Record")</f>
        <v/>
      </c>
      <c r="AT1167">
        <f>HYPERLINK("http://www.worldcat.org/oclc/27728193","WorldCat Record")</f>
        <v/>
      </c>
      <c r="AU1167" t="inlineStr">
        <is>
          <t>330401:eng</t>
        </is>
      </c>
      <c r="AV1167" t="inlineStr">
        <is>
          <t>27728193</t>
        </is>
      </c>
      <c r="AW1167" t="inlineStr">
        <is>
          <t>991001657569702656</t>
        </is>
      </c>
      <c r="AX1167" t="inlineStr">
        <is>
          <t>991001657569702656</t>
        </is>
      </c>
      <c r="AY1167" t="inlineStr">
        <is>
          <t>2266421710002656</t>
        </is>
      </c>
      <c r="AZ1167" t="inlineStr">
        <is>
          <t>BOOK</t>
        </is>
      </c>
      <c r="BB1167" t="inlineStr">
        <is>
          <t>9780312086930</t>
        </is>
      </c>
      <c r="BC1167" t="inlineStr">
        <is>
          <t>32285001875615</t>
        </is>
      </c>
      <c r="BD1167" t="inlineStr">
        <is>
          <t>893721087</t>
        </is>
      </c>
    </row>
    <row r="1168">
      <c r="A1168" t="inlineStr">
        <is>
          <t>No</t>
        </is>
      </c>
      <c r="B1168" t="inlineStr">
        <is>
          <t>E332.2 .D3</t>
        </is>
      </c>
      <c r="C1168" t="inlineStr">
        <is>
          <t>0                      E  0332200D  3</t>
        </is>
      </c>
      <c r="D1168" t="inlineStr">
        <is>
          <t>The Jefferson scandals : a rebuttal / by Virginius Dabney.</t>
        </is>
      </c>
      <c r="F1168" t="inlineStr">
        <is>
          <t>No</t>
        </is>
      </c>
      <c r="G1168" t="inlineStr">
        <is>
          <t>1</t>
        </is>
      </c>
      <c r="H1168" t="inlineStr">
        <is>
          <t>No</t>
        </is>
      </c>
      <c r="I1168" t="inlineStr">
        <is>
          <t>No</t>
        </is>
      </c>
      <c r="J1168" t="inlineStr">
        <is>
          <t>0</t>
        </is>
      </c>
      <c r="K1168" t="inlineStr">
        <is>
          <t>Dabney, Virginius, 1901-1995.</t>
        </is>
      </c>
      <c r="L1168" t="inlineStr">
        <is>
          <t>New York : Dodd, Mead, c1981.</t>
        </is>
      </c>
      <c r="M1168" t="inlineStr">
        <is>
          <t>1981</t>
        </is>
      </c>
      <c r="O1168" t="inlineStr">
        <is>
          <t>eng</t>
        </is>
      </c>
      <c r="P1168" t="inlineStr">
        <is>
          <t>nyu</t>
        </is>
      </c>
      <c r="R1168" t="inlineStr">
        <is>
          <t xml:space="preserve">E  </t>
        </is>
      </c>
      <c r="S1168" t="n">
        <v>11</v>
      </c>
      <c r="T1168" t="n">
        <v>11</v>
      </c>
      <c r="U1168" t="inlineStr">
        <is>
          <t>2003-03-02</t>
        </is>
      </c>
      <c r="V1168" t="inlineStr">
        <is>
          <t>2003-03-02</t>
        </is>
      </c>
      <c r="W1168" t="inlineStr">
        <is>
          <t>1990-02-05</t>
        </is>
      </c>
      <c r="X1168" t="inlineStr">
        <is>
          <t>1990-02-05</t>
        </is>
      </c>
      <c r="Y1168" t="n">
        <v>1027</v>
      </c>
      <c r="Z1168" t="n">
        <v>986</v>
      </c>
      <c r="AA1168" t="n">
        <v>1100</v>
      </c>
      <c r="AB1168" t="n">
        <v>8</v>
      </c>
      <c r="AC1168" t="n">
        <v>9</v>
      </c>
      <c r="AD1168" t="n">
        <v>28</v>
      </c>
      <c r="AE1168" t="n">
        <v>35</v>
      </c>
      <c r="AF1168" t="n">
        <v>11</v>
      </c>
      <c r="AG1168" t="n">
        <v>14</v>
      </c>
      <c r="AH1168" t="n">
        <v>6</v>
      </c>
      <c r="AI1168" t="n">
        <v>6</v>
      </c>
      <c r="AJ1168" t="n">
        <v>13</v>
      </c>
      <c r="AK1168" t="n">
        <v>16</v>
      </c>
      <c r="AL1168" t="n">
        <v>4</v>
      </c>
      <c r="AM1168" t="n">
        <v>5</v>
      </c>
      <c r="AN1168" t="n">
        <v>2</v>
      </c>
      <c r="AO1168" t="n">
        <v>2</v>
      </c>
      <c r="AP1168" t="inlineStr">
        <is>
          <t>No</t>
        </is>
      </c>
      <c r="AQ1168" t="inlineStr">
        <is>
          <t>Yes</t>
        </is>
      </c>
      <c r="AR1168">
        <f>HYPERLINK("http://catalog.hathitrust.org/Record/000099871","HathiTrust Record")</f>
        <v/>
      </c>
      <c r="AS1168">
        <f>HYPERLINK("https://creighton-primo.hosted.exlibrisgroup.com/primo-explore/search?tab=default_tab&amp;search_scope=EVERYTHING&amp;vid=01CRU&amp;lang=en_US&amp;offset=0&amp;query=any,contains,991005096139702656","Catalog Record")</f>
        <v/>
      </c>
      <c r="AT1168">
        <f>HYPERLINK("http://www.worldcat.org/oclc/7273617","WorldCat Record")</f>
        <v/>
      </c>
      <c r="AU1168" t="inlineStr">
        <is>
          <t>195456018:eng</t>
        </is>
      </c>
      <c r="AV1168" t="inlineStr">
        <is>
          <t>7273617</t>
        </is>
      </c>
      <c r="AW1168" t="inlineStr">
        <is>
          <t>991005096139702656</t>
        </is>
      </c>
      <c r="AX1168" t="inlineStr">
        <is>
          <t>991005096139702656</t>
        </is>
      </c>
      <c r="AY1168" t="inlineStr">
        <is>
          <t>2258353760002656</t>
        </is>
      </c>
      <c r="AZ1168" t="inlineStr">
        <is>
          <t>BOOK</t>
        </is>
      </c>
      <c r="BB1168" t="inlineStr">
        <is>
          <t>9780396079644</t>
        </is>
      </c>
      <c r="BC1168" t="inlineStr">
        <is>
          <t>32285000005974</t>
        </is>
      </c>
      <c r="BD1168" t="inlineStr">
        <is>
          <t>893520413</t>
        </is>
      </c>
    </row>
    <row r="1169">
      <c r="A1169" t="inlineStr">
        <is>
          <t>No</t>
        </is>
      </c>
      <c r="B1169" t="inlineStr">
        <is>
          <t>E332.2 .H45 1990</t>
        </is>
      </c>
      <c r="C1169" t="inlineStr">
        <is>
          <t>0                      E  0332200H  45          1990</t>
        </is>
      </c>
      <c r="D1169" t="inlineStr">
        <is>
          <t>The unfinished revolution : education and politics in the thought of Thomas Jefferson / Harold Hellenbrand.</t>
        </is>
      </c>
      <c r="F1169" t="inlineStr">
        <is>
          <t>No</t>
        </is>
      </c>
      <c r="G1169" t="inlineStr">
        <is>
          <t>1</t>
        </is>
      </c>
      <c r="H1169" t="inlineStr">
        <is>
          <t>No</t>
        </is>
      </c>
      <c r="I1169" t="inlineStr">
        <is>
          <t>No</t>
        </is>
      </c>
      <c r="J1169" t="inlineStr">
        <is>
          <t>0</t>
        </is>
      </c>
      <c r="K1169" t="inlineStr">
        <is>
          <t>Hellenbrand, Harold, 1953-</t>
        </is>
      </c>
      <c r="L1169" t="inlineStr">
        <is>
          <t>Newark : University of Delaware Press ; London : Associated University Presses, c1990.</t>
        </is>
      </c>
      <c r="M1169" t="inlineStr">
        <is>
          <t>1990</t>
        </is>
      </c>
      <c r="O1169" t="inlineStr">
        <is>
          <t>eng</t>
        </is>
      </c>
      <c r="P1169" t="inlineStr">
        <is>
          <t>deu</t>
        </is>
      </c>
      <c r="R1169" t="inlineStr">
        <is>
          <t xml:space="preserve">E  </t>
        </is>
      </c>
      <c r="S1169" t="n">
        <v>2</v>
      </c>
      <c r="T1169" t="n">
        <v>2</v>
      </c>
      <c r="U1169" t="inlineStr">
        <is>
          <t>2001-02-05</t>
        </is>
      </c>
      <c r="V1169" t="inlineStr">
        <is>
          <t>2001-02-05</t>
        </is>
      </c>
      <c r="W1169" t="inlineStr">
        <is>
          <t>1991-06-11</t>
        </is>
      </c>
      <c r="X1169" t="inlineStr">
        <is>
          <t>1991-06-11</t>
        </is>
      </c>
      <c r="Y1169" t="n">
        <v>403</v>
      </c>
      <c r="Z1169" t="n">
        <v>359</v>
      </c>
      <c r="AA1169" t="n">
        <v>370</v>
      </c>
      <c r="AB1169" t="n">
        <v>5</v>
      </c>
      <c r="AC1169" t="n">
        <v>5</v>
      </c>
      <c r="AD1169" t="n">
        <v>19</v>
      </c>
      <c r="AE1169" t="n">
        <v>19</v>
      </c>
      <c r="AF1169" t="n">
        <v>7</v>
      </c>
      <c r="AG1169" t="n">
        <v>7</v>
      </c>
      <c r="AH1169" t="n">
        <v>5</v>
      </c>
      <c r="AI1169" t="n">
        <v>5</v>
      </c>
      <c r="AJ1169" t="n">
        <v>10</v>
      </c>
      <c r="AK1169" t="n">
        <v>10</v>
      </c>
      <c r="AL1169" t="n">
        <v>4</v>
      </c>
      <c r="AM1169" t="n">
        <v>4</v>
      </c>
      <c r="AN1169" t="n">
        <v>0</v>
      </c>
      <c r="AO1169" t="n">
        <v>0</v>
      </c>
      <c r="AP1169" t="inlineStr">
        <is>
          <t>No</t>
        </is>
      </c>
      <c r="AQ1169" t="inlineStr">
        <is>
          <t>Yes</t>
        </is>
      </c>
      <c r="AR1169">
        <f>HYPERLINK("http://catalog.hathitrust.org/Record/001837309","HathiTrust Record")</f>
        <v/>
      </c>
      <c r="AS1169">
        <f>HYPERLINK("https://creighton-primo.hosted.exlibrisgroup.com/primo-explore/search?tab=default_tab&amp;search_scope=EVERYTHING&amp;vid=01CRU&amp;lang=en_US&amp;offset=0&amp;query=any,contains,991001444179702656","Catalog Record")</f>
        <v/>
      </c>
      <c r="AT1169">
        <f>HYPERLINK("http://www.worldcat.org/oclc/19267181","WorldCat Record")</f>
        <v/>
      </c>
      <c r="AU1169" t="inlineStr">
        <is>
          <t>21391156:eng</t>
        </is>
      </c>
      <c r="AV1169" t="inlineStr">
        <is>
          <t>19267181</t>
        </is>
      </c>
      <c r="AW1169" t="inlineStr">
        <is>
          <t>991001444179702656</t>
        </is>
      </c>
      <c r="AX1169" t="inlineStr">
        <is>
          <t>991001444179702656</t>
        </is>
      </c>
      <c r="AY1169" t="inlineStr">
        <is>
          <t>2266262640002656</t>
        </is>
      </c>
      <c r="AZ1169" t="inlineStr">
        <is>
          <t>BOOK</t>
        </is>
      </c>
      <c r="BB1169" t="inlineStr">
        <is>
          <t>9780874133707</t>
        </is>
      </c>
      <c r="BC1169" t="inlineStr">
        <is>
          <t>32285000594258</t>
        </is>
      </c>
      <c r="BD1169" t="inlineStr">
        <is>
          <t>893715453</t>
        </is>
      </c>
    </row>
    <row r="1170">
      <c r="A1170" t="inlineStr">
        <is>
          <t>No</t>
        </is>
      </c>
      <c r="B1170" t="inlineStr">
        <is>
          <t>E332.2 .J32 1981</t>
        </is>
      </c>
      <c r="C1170" t="inlineStr">
        <is>
          <t>0                      E  0332200J  32          1981</t>
        </is>
      </c>
      <c r="D1170" t="inlineStr">
        <is>
          <t>Thomas Jefferson &amp; the Stony Mountains : exploring the West from Monticello / Donald Jackson.</t>
        </is>
      </c>
      <c r="F1170" t="inlineStr">
        <is>
          <t>No</t>
        </is>
      </c>
      <c r="G1170" t="inlineStr">
        <is>
          <t>1</t>
        </is>
      </c>
      <c r="H1170" t="inlineStr">
        <is>
          <t>No</t>
        </is>
      </c>
      <c r="I1170" t="inlineStr">
        <is>
          <t>No</t>
        </is>
      </c>
      <c r="J1170" t="inlineStr">
        <is>
          <t>0</t>
        </is>
      </c>
      <c r="K1170" t="inlineStr">
        <is>
          <t>Jackson, Donald, 1919-1987.</t>
        </is>
      </c>
      <c r="L1170" t="inlineStr">
        <is>
          <t>Urbana : University of Illinois Press, c1981.</t>
        </is>
      </c>
      <c r="M1170" t="inlineStr">
        <is>
          <t>1981</t>
        </is>
      </c>
      <c r="O1170" t="inlineStr">
        <is>
          <t>eng</t>
        </is>
      </c>
      <c r="P1170" t="inlineStr">
        <is>
          <t>ilu</t>
        </is>
      </c>
      <c r="R1170" t="inlineStr">
        <is>
          <t xml:space="preserve">E  </t>
        </is>
      </c>
      <c r="S1170" t="n">
        <v>4</v>
      </c>
      <c r="T1170" t="n">
        <v>4</v>
      </c>
      <c r="U1170" t="inlineStr">
        <is>
          <t>1995-01-16</t>
        </is>
      </c>
      <c r="V1170" t="inlineStr">
        <is>
          <t>1995-01-16</t>
        </is>
      </c>
      <c r="W1170" t="inlineStr">
        <is>
          <t>1991-09-27</t>
        </is>
      </c>
      <c r="X1170" t="inlineStr">
        <is>
          <t>1991-09-27</t>
        </is>
      </c>
      <c r="Y1170" t="n">
        <v>662</v>
      </c>
      <c r="Z1170" t="n">
        <v>606</v>
      </c>
      <c r="AA1170" t="n">
        <v>679</v>
      </c>
      <c r="AB1170" t="n">
        <v>6</v>
      </c>
      <c r="AC1170" t="n">
        <v>8</v>
      </c>
      <c r="AD1170" t="n">
        <v>26</v>
      </c>
      <c r="AE1170" t="n">
        <v>31</v>
      </c>
      <c r="AF1170" t="n">
        <v>6</v>
      </c>
      <c r="AG1170" t="n">
        <v>10</v>
      </c>
      <c r="AH1170" t="n">
        <v>7</v>
      </c>
      <c r="AI1170" t="n">
        <v>7</v>
      </c>
      <c r="AJ1170" t="n">
        <v>14</v>
      </c>
      <c r="AK1170" t="n">
        <v>16</v>
      </c>
      <c r="AL1170" t="n">
        <v>4</v>
      </c>
      <c r="AM1170" t="n">
        <v>5</v>
      </c>
      <c r="AN1170" t="n">
        <v>2</v>
      </c>
      <c r="AO1170" t="n">
        <v>2</v>
      </c>
      <c r="AP1170" t="inlineStr">
        <is>
          <t>No</t>
        </is>
      </c>
      <c r="AQ1170" t="inlineStr">
        <is>
          <t>No</t>
        </is>
      </c>
      <c r="AS1170">
        <f>HYPERLINK("https://creighton-primo.hosted.exlibrisgroup.com/primo-explore/search?tab=default_tab&amp;search_scope=EVERYTHING&amp;vid=01CRU&amp;lang=en_US&amp;offset=0&amp;query=any,contains,991004915489702656","Catalog Record")</f>
        <v/>
      </c>
      <c r="AT1170">
        <f>HYPERLINK("http://www.worldcat.org/oclc/6016119","WorldCat Record")</f>
        <v/>
      </c>
      <c r="AU1170" t="inlineStr">
        <is>
          <t>503083022:eng</t>
        </is>
      </c>
      <c r="AV1170" t="inlineStr">
        <is>
          <t>6016119</t>
        </is>
      </c>
      <c r="AW1170" t="inlineStr">
        <is>
          <t>991004915489702656</t>
        </is>
      </c>
      <c r="AX1170" t="inlineStr">
        <is>
          <t>991004915489702656</t>
        </is>
      </c>
      <c r="AY1170" t="inlineStr">
        <is>
          <t>2269529440002656</t>
        </is>
      </c>
      <c r="AZ1170" t="inlineStr">
        <is>
          <t>BOOK</t>
        </is>
      </c>
      <c r="BB1170" t="inlineStr">
        <is>
          <t>9780252008238</t>
        </is>
      </c>
      <c r="BC1170" t="inlineStr">
        <is>
          <t>32285000725142</t>
        </is>
      </c>
      <c r="BD1170" t="inlineStr">
        <is>
          <t>893801496</t>
        </is>
      </c>
    </row>
    <row r="1171">
      <c r="A1171" t="inlineStr">
        <is>
          <t>No</t>
        </is>
      </c>
      <c r="B1171" t="inlineStr">
        <is>
          <t>E332.2 .J46 1976</t>
        </is>
      </c>
      <c r="C1171" t="inlineStr">
        <is>
          <t>0                      E  0332200J  46          1976</t>
        </is>
      </c>
      <c r="D1171" t="inlineStr">
        <is>
          <t>Jefferson and the arts : an extended view / edited and with introductions by William Howard Adams.</t>
        </is>
      </c>
      <c r="F1171" t="inlineStr">
        <is>
          <t>No</t>
        </is>
      </c>
      <c r="G1171" t="inlineStr">
        <is>
          <t>1</t>
        </is>
      </c>
      <c r="H1171" t="inlineStr">
        <is>
          <t>No</t>
        </is>
      </c>
      <c r="I1171" t="inlineStr">
        <is>
          <t>No</t>
        </is>
      </c>
      <c r="J1171" t="inlineStr">
        <is>
          <t>0</t>
        </is>
      </c>
      <c r="L1171" t="inlineStr">
        <is>
          <t>Washington : National Gallery of Art, 1976.</t>
        </is>
      </c>
      <c r="M1171" t="inlineStr">
        <is>
          <t>1976</t>
        </is>
      </c>
      <c r="O1171" t="inlineStr">
        <is>
          <t>eng</t>
        </is>
      </c>
      <c r="P1171" t="inlineStr">
        <is>
          <t>dcu</t>
        </is>
      </c>
      <c r="R1171" t="inlineStr">
        <is>
          <t xml:space="preserve">E  </t>
        </is>
      </c>
      <c r="S1171" t="n">
        <v>3</v>
      </c>
      <c r="T1171" t="n">
        <v>3</v>
      </c>
      <c r="U1171" t="inlineStr">
        <is>
          <t>1994-02-14</t>
        </is>
      </c>
      <c r="V1171" t="inlineStr">
        <is>
          <t>1994-02-14</t>
        </is>
      </c>
      <c r="W1171" t="inlineStr">
        <is>
          <t>1990-06-21</t>
        </is>
      </c>
      <c r="X1171" t="inlineStr">
        <is>
          <t>1990-06-21</t>
        </is>
      </c>
      <c r="Y1171" t="n">
        <v>619</v>
      </c>
      <c r="Z1171" t="n">
        <v>585</v>
      </c>
      <c r="AA1171" t="n">
        <v>597</v>
      </c>
      <c r="AB1171" t="n">
        <v>3</v>
      </c>
      <c r="AC1171" t="n">
        <v>3</v>
      </c>
      <c r="AD1171" t="n">
        <v>25</v>
      </c>
      <c r="AE1171" t="n">
        <v>25</v>
      </c>
      <c r="AF1171" t="n">
        <v>7</v>
      </c>
      <c r="AG1171" t="n">
        <v>7</v>
      </c>
      <c r="AH1171" t="n">
        <v>7</v>
      </c>
      <c r="AI1171" t="n">
        <v>7</v>
      </c>
      <c r="AJ1171" t="n">
        <v>16</v>
      </c>
      <c r="AK1171" t="n">
        <v>16</v>
      </c>
      <c r="AL1171" t="n">
        <v>2</v>
      </c>
      <c r="AM1171" t="n">
        <v>2</v>
      </c>
      <c r="AN1171" t="n">
        <v>0</v>
      </c>
      <c r="AO1171" t="n">
        <v>0</v>
      </c>
      <c r="AP1171" t="inlineStr">
        <is>
          <t>Yes</t>
        </is>
      </c>
      <c r="AQ1171" t="inlineStr">
        <is>
          <t>No</t>
        </is>
      </c>
      <c r="AR1171">
        <f>HYPERLINK("http://catalog.hathitrust.org/Record/000760303","HathiTrust Record")</f>
        <v/>
      </c>
      <c r="AS1171">
        <f>HYPERLINK("https://creighton-primo.hosted.exlibrisgroup.com/primo-explore/search?tab=default_tab&amp;search_scope=EVERYTHING&amp;vid=01CRU&amp;lang=en_US&amp;offset=0&amp;query=any,contains,991004194379702656","Catalog Record")</f>
        <v/>
      </c>
      <c r="AT1171">
        <f>HYPERLINK("http://www.worldcat.org/oclc/2640966","WorldCat Record")</f>
        <v/>
      </c>
      <c r="AU1171" t="inlineStr">
        <is>
          <t>909886231:eng</t>
        </is>
      </c>
      <c r="AV1171" t="inlineStr">
        <is>
          <t>2640966</t>
        </is>
      </c>
      <c r="AW1171" t="inlineStr">
        <is>
          <t>991004194379702656</t>
        </is>
      </c>
      <c r="AX1171" t="inlineStr">
        <is>
          <t>991004194379702656</t>
        </is>
      </c>
      <c r="AY1171" t="inlineStr">
        <is>
          <t>2259370480002656</t>
        </is>
      </c>
      <c r="AZ1171" t="inlineStr">
        <is>
          <t>BOOK</t>
        </is>
      </c>
      <c r="BC1171" t="inlineStr">
        <is>
          <t>32285000210905</t>
        </is>
      </c>
      <c r="BD1171" t="inlineStr">
        <is>
          <t>893875796</t>
        </is>
      </c>
    </row>
    <row r="1172">
      <c r="A1172" t="inlineStr">
        <is>
          <t>No</t>
        </is>
      </c>
      <c r="B1172" t="inlineStr">
        <is>
          <t>E332.2 .J48 1993</t>
        </is>
      </c>
      <c r="C1172" t="inlineStr">
        <is>
          <t>0                      E  0332200J  48          1993</t>
        </is>
      </c>
      <c r="D1172" t="inlineStr">
        <is>
          <t>Jeffersonian legacies / edited by Peter S. Onuf ; with a foreword by Daniel P. Jordan and afterword by Merrill D. Peterson.</t>
        </is>
      </c>
      <c r="F1172" t="inlineStr">
        <is>
          <t>No</t>
        </is>
      </c>
      <c r="G1172" t="inlineStr">
        <is>
          <t>1</t>
        </is>
      </c>
      <c r="H1172" t="inlineStr">
        <is>
          <t>Yes</t>
        </is>
      </c>
      <c r="I1172" t="inlineStr">
        <is>
          <t>No</t>
        </is>
      </c>
      <c r="J1172" t="inlineStr">
        <is>
          <t>0</t>
        </is>
      </c>
      <c r="L1172" t="inlineStr">
        <is>
          <t>Charlottesville : University Press of Virginia, 1993.</t>
        </is>
      </c>
      <c r="M1172" t="inlineStr">
        <is>
          <t>1993</t>
        </is>
      </c>
      <c r="O1172" t="inlineStr">
        <is>
          <t>eng</t>
        </is>
      </c>
      <c r="P1172" t="inlineStr">
        <is>
          <t>vau</t>
        </is>
      </c>
      <c r="R1172" t="inlineStr">
        <is>
          <t xml:space="preserve">E  </t>
        </is>
      </c>
      <c r="S1172" t="n">
        <v>11</v>
      </c>
      <c r="T1172" t="n">
        <v>11</v>
      </c>
      <c r="U1172" t="inlineStr">
        <is>
          <t>2003-04-22</t>
        </is>
      </c>
      <c r="V1172" t="inlineStr">
        <is>
          <t>2003-04-22</t>
        </is>
      </c>
      <c r="W1172" t="inlineStr">
        <is>
          <t>1994-05-26</t>
        </is>
      </c>
      <c r="X1172" t="inlineStr">
        <is>
          <t>1994-05-26</t>
        </is>
      </c>
      <c r="Y1172" t="n">
        <v>968</v>
      </c>
      <c r="Z1172" t="n">
        <v>875</v>
      </c>
      <c r="AA1172" t="n">
        <v>876</v>
      </c>
      <c r="AB1172" t="n">
        <v>9</v>
      </c>
      <c r="AC1172" t="n">
        <v>9</v>
      </c>
      <c r="AD1172" t="n">
        <v>45</v>
      </c>
      <c r="AE1172" t="n">
        <v>45</v>
      </c>
      <c r="AF1172" t="n">
        <v>14</v>
      </c>
      <c r="AG1172" t="n">
        <v>14</v>
      </c>
      <c r="AH1172" t="n">
        <v>8</v>
      </c>
      <c r="AI1172" t="n">
        <v>8</v>
      </c>
      <c r="AJ1172" t="n">
        <v>22</v>
      </c>
      <c r="AK1172" t="n">
        <v>22</v>
      </c>
      <c r="AL1172" t="n">
        <v>6</v>
      </c>
      <c r="AM1172" t="n">
        <v>6</v>
      </c>
      <c r="AN1172" t="n">
        <v>4</v>
      </c>
      <c r="AO1172" t="n">
        <v>4</v>
      </c>
      <c r="AP1172" t="inlineStr">
        <is>
          <t>No</t>
        </is>
      </c>
      <c r="AQ1172" t="inlineStr">
        <is>
          <t>No</t>
        </is>
      </c>
      <c r="AS1172">
        <f>HYPERLINK("https://creighton-primo.hosted.exlibrisgroup.com/primo-explore/search?tab=default_tab&amp;search_scope=EVERYTHING&amp;vid=01CRU&amp;lang=en_US&amp;offset=0&amp;query=any,contains,991001655709702656","Catalog Record")</f>
        <v/>
      </c>
      <c r="AT1172">
        <f>HYPERLINK("http://www.worldcat.org/oclc/27069104","WorldCat Record")</f>
        <v/>
      </c>
      <c r="AU1172" t="inlineStr">
        <is>
          <t>354251:eng</t>
        </is>
      </c>
      <c r="AV1172" t="inlineStr">
        <is>
          <t>27069104</t>
        </is>
      </c>
      <c r="AW1172" t="inlineStr">
        <is>
          <t>991001655709702656</t>
        </is>
      </c>
      <c r="AX1172" t="inlineStr">
        <is>
          <t>991001655709702656</t>
        </is>
      </c>
      <c r="AY1172" t="inlineStr">
        <is>
          <t>2254731340002656</t>
        </is>
      </c>
      <c r="AZ1172" t="inlineStr">
        <is>
          <t>BOOK</t>
        </is>
      </c>
      <c r="BB1172" t="inlineStr">
        <is>
          <t>9780813914626</t>
        </is>
      </c>
      <c r="BC1172" t="inlineStr">
        <is>
          <t>32285001898757</t>
        </is>
      </c>
      <c r="BD1172" t="inlineStr">
        <is>
          <t>893529083</t>
        </is>
      </c>
    </row>
    <row r="1173">
      <c r="A1173" t="inlineStr">
        <is>
          <t>No</t>
        </is>
      </c>
      <c r="B1173" t="inlineStr">
        <is>
          <t>E332.2 .M36 1987</t>
        </is>
      </c>
      <c r="C1173" t="inlineStr">
        <is>
          <t>0                      E  0332200M  36          1987</t>
        </is>
      </c>
      <c r="D1173" t="inlineStr">
        <is>
          <t>Thomas Jefferson : a strange case of mistaken identity / Alf J. Mapp, Jr.</t>
        </is>
      </c>
      <c r="F1173" t="inlineStr">
        <is>
          <t>No</t>
        </is>
      </c>
      <c r="G1173" t="inlineStr">
        <is>
          <t>1</t>
        </is>
      </c>
      <c r="H1173" t="inlineStr">
        <is>
          <t>No</t>
        </is>
      </c>
      <c r="I1173" t="inlineStr">
        <is>
          <t>No</t>
        </is>
      </c>
      <c r="J1173" t="inlineStr">
        <is>
          <t>0</t>
        </is>
      </c>
      <c r="K1173" t="inlineStr">
        <is>
          <t>Mapp, Alf J., Jr. (Alf Johnson), 1925-2011.</t>
        </is>
      </c>
      <c r="L1173" t="inlineStr">
        <is>
          <t>New York : Madison Books, c1987.</t>
        </is>
      </c>
      <c r="M1173" t="inlineStr">
        <is>
          <t>1987</t>
        </is>
      </c>
      <c r="O1173" t="inlineStr">
        <is>
          <t>eng</t>
        </is>
      </c>
      <c r="P1173" t="inlineStr">
        <is>
          <t>nyu</t>
        </is>
      </c>
      <c r="R1173" t="inlineStr">
        <is>
          <t xml:space="preserve">E  </t>
        </is>
      </c>
      <c r="S1173" t="n">
        <v>4</v>
      </c>
      <c r="T1173" t="n">
        <v>4</v>
      </c>
      <c r="U1173" t="inlineStr">
        <is>
          <t>2002-05-05</t>
        </is>
      </c>
      <c r="V1173" t="inlineStr">
        <is>
          <t>2002-05-05</t>
        </is>
      </c>
      <c r="W1173" t="inlineStr">
        <is>
          <t>1990-06-21</t>
        </is>
      </c>
      <c r="X1173" t="inlineStr">
        <is>
          <t>1990-06-21</t>
        </is>
      </c>
      <c r="Y1173" t="n">
        <v>1183</v>
      </c>
      <c r="Z1173" t="n">
        <v>1137</v>
      </c>
      <c r="AA1173" t="n">
        <v>1189</v>
      </c>
      <c r="AB1173" t="n">
        <v>11</v>
      </c>
      <c r="AC1173" t="n">
        <v>11</v>
      </c>
      <c r="AD1173" t="n">
        <v>33</v>
      </c>
      <c r="AE1173" t="n">
        <v>34</v>
      </c>
      <c r="AF1173" t="n">
        <v>11</v>
      </c>
      <c r="AG1173" t="n">
        <v>11</v>
      </c>
      <c r="AH1173" t="n">
        <v>7</v>
      </c>
      <c r="AI1173" t="n">
        <v>7</v>
      </c>
      <c r="AJ1173" t="n">
        <v>12</v>
      </c>
      <c r="AK1173" t="n">
        <v>13</v>
      </c>
      <c r="AL1173" t="n">
        <v>8</v>
      </c>
      <c r="AM1173" t="n">
        <v>8</v>
      </c>
      <c r="AN1173" t="n">
        <v>2</v>
      </c>
      <c r="AO1173" t="n">
        <v>2</v>
      </c>
      <c r="AP1173" t="inlineStr">
        <is>
          <t>No</t>
        </is>
      </c>
      <c r="AQ1173" t="inlineStr">
        <is>
          <t>Yes</t>
        </is>
      </c>
      <c r="AR1173">
        <f>HYPERLINK("http://catalog.hathitrust.org/Record/000902386","HathiTrust Record")</f>
        <v/>
      </c>
      <c r="AS1173">
        <f>HYPERLINK("https://creighton-primo.hosted.exlibrisgroup.com/primo-explore/search?tab=default_tab&amp;search_scope=EVERYTHING&amp;vid=01CRU&amp;lang=en_US&amp;offset=0&amp;query=any,contains,991000995079702656","Catalog Record")</f>
        <v/>
      </c>
      <c r="AT1173">
        <f>HYPERLINK("http://www.worldcat.org/oclc/15132716","WorldCat Record")</f>
        <v/>
      </c>
      <c r="AU1173" t="inlineStr">
        <is>
          <t>836721924:eng</t>
        </is>
      </c>
      <c r="AV1173" t="inlineStr">
        <is>
          <t>15132716</t>
        </is>
      </c>
      <c r="AW1173" t="inlineStr">
        <is>
          <t>991000995079702656</t>
        </is>
      </c>
      <c r="AX1173" t="inlineStr">
        <is>
          <t>991000995079702656</t>
        </is>
      </c>
      <c r="AY1173" t="inlineStr">
        <is>
          <t>2254900290002656</t>
        </is>
      </c>
      <c r="AZ1173" t="inlineStr">
        <is>
          <t>BOOK</t>
        </is>
      </c>
      <c r="BB1173" t="inlineStr">
        <is>
          <t>9780819157829</t>
        </is>
      </c>
      <c r="BC1173" t="inlineStr">
        <is>
          <t>32285000210913</t>
        </is>
      </c>
      <c r="BD1173" t="inlineStr">
        <is>
          <t>893503007</t>
        </is>
      </c>
    </row>
    <row r="1174">
      <c r="A1174" t="inlineStr">
        <is>
          <t>No</t>
        </is>
      </c>
      <c r="B1174" t="inlineStr">
        <is>
          <t>E332.2 .M42 1991</t>
        </is>
      </c>
      <c r="C1174" t="inlineStr">
        <is>
          <t>0                      E  0332200M  42          1991</t>
        </is>
      </c>
      <c r="D1174" t="inlineStr">
        <is>
          <t>Thomas Jefferson, farmer / by Barbara McEwan.</t>
        </is>
      </c>
      <c r="F1174" t="inlineStr">
        <is>
          <t>No</t>
        </is>
      </c>
      <c r="G1174" t="inlineStr">
        <is>
          <t>1</t>
        </is>
      </c>
      <c r="H1174" t="inlineStr">
        <is>
          <t>No</t>
        </is>
      </c>
      <c r="I1174" t="inlineStr">
        <is>
          <t>No</t>
        </is>
      </c>
      <c r="J1174" t="inlineStr">
        <is>
          <t>0</t>
        </is>
      </c>
      <c r="K1174" t="inlineStr">
        <is>
          <t>McEwan, Barbara.</t>
        </is>
      </c>
      <c r="L1174" t="inlineStr">
        <is>
          <t>Jefferson, N.C. : McFarland, c1991.</t>
        </is>
      </c>
      <c r="M1174" t="inlineStr">
        <is>
          <t>1991</t>
        </is>
      </c>
      <c r="O1174" t="inlineStr">
        <is>
          <t>eng</t>
        </is>
      </c>
      <c r="P1174" t="inlineStr">
        <is>
          <t>ncu</t>
        </is>
      </c>
      <c r="R1174" t="inlineStr">
        <is>
          <t xml:space="preserve">E  </t>
        </is>
      </c>
      <c r="S1174" t="n">
        <v>4</v>
      </c>
      <c r="T1174" t="n">
        <v>4</v>
      </c>
      <c r="U1174" t="inlineStr">
        <is>
          <t>1998-05-02</t>
        </is>
      </c>
      <c r="V1174" t="inlineStr">
        <is>
          <t>1998-05-02</t>
        </is>
      </c>
      <c r="W1174" t="inlineStr">
        <is>
          <t>1992-10-07</t>
        </is>
      </c>
      <c r="X1174" t="inlineStr">
        <is>
          <t>1992-10-07</t>
        </is>
      </c>
      <c r="Y1174" t="n">
        <v>280</v>
      </c>
      <c r="Z1174" t="n">
        <v>253</v>
      </c>
      <c r="AA1174" t="n">
        <v>264</v>
      </c>
      <c r="AB1174" t="n">
        <v>2</v>
      </c>
      <c r="AC1174" t="n">
        <v>2</v>
      </c>
      <c r="AD1174" t="n">
        <v>11</v>
      </c>
      <c r="AE1174" t="n">
        <v>11</v>
      </c>
      <c r="AF1174" t="n">
        <v>3</v>
      </c>
      <c r="AG1174" t="n">
        <v>3</v>
      </c>
      <c r="AH1174" t="n">
        <v>2</v>
      </c>
      <c r="AI1174" t="n">
        <v>2</v>
      </c>
      <c r="AJ1174" t="n">
        <v>7</v>
      </c>
      <c r="AK1174" t="n">
        <v>7</v>
      </c>
      <c r="AL1174" t="n">
        <v>1</v>
      </c>
      <c r="AM1174" t="n">
        <v>1</v>
      </c>
      <c r="AN1174" t="n">
        <v>1</v>
      </c>
      <c r="AO1174" t="n">
        <v>1</v>
      </c>
      <c r="AP1174" t="inlineStr">
        <is>
          <t>No</t>
        </is>
      </c>
      <c r="AQ1174" t="inlineStr">
        <is>
          <t>Yes</t>
        </is>
      </c>
      <c r="AR1174">
        <f>HYPERLINK("http://catalog.hathitrust.org/Record/002495263","HathiTrust Record")</f>
        <v/>
      </c>
      <c r="AS1174">
        <f>HYPERLINK("https://creighton-primo.hosted.exlibrisgroup.com/primo-explore/search?tab=default_tab&amp;search_scope=EVERYTHING&amp;vid=01CRU&amp;lang=en_US&amp;offset=0&amp;query=any,contains,991001903349702656","Catalog Record")</f>
        <v/>
      </c>
      <c r="AT1174">
        <f>HYPERLINK("http://www.worldcat.org/oclc/24065192","WorldCat Record")</f>
        <v/>
      </c>
      <c r="AU1174" t="inlineStr">
        <is>
          <t>25081382:eng</t>
        </is>
      </c>
      <c r="AV1174" t="inlineStr">
        <is>
          <t>24065192</t>
        </is>
      </c>
      <c r="AW1174" t="inlineStr">
        <is>
          <t>991001903349702656</t>
        </is>
      </c>
      <c r="AX1174" t="inlineStr">
        <is>
          <t>991001903349702656</t>
        </is>
      </c>
      <c r="AY1174" t="inlineStr">
        <is>
          <t>2263917270002656</t>
        </is>
      </c>
      <c r="AZ1174" t="inlineStr">
        <is>
          <t>BOOK</t>
        </is>
      </c>
      <c r="BB1174" t="inlineStr">
        <is>
          <t>9780899506333</t>
        </is>
      </c>
      <c r="BC1174" t="inlineStr">
        <is>
          <t>32285001315729</t>
        </is>
      </c>
      <c r="BD1174" t="inlineStr">
        <is>
          <t>893709615</t>
        </is>
      </c>
    </row>
    <row r="1175">
      <c r="A1175" t="inlineStr">
        <is>
          <t>No</t>
        </is>
      </c>
      <c r="B1175" t="inlineStr">
        <is>
          <t>E332.2 .M43 1988</t>
        </is>
      </c>
      <c r="C1175" t="inlineStr">
        <is>
          <t>0                      E  0332200M  43          1988</t>
        </is>
      </c>
      <c r="D1175" t="inlineStr">
        <is>
          <t>Jefferson and Monticello : the biography of a builder / Jack McLaughlin.</t>
        </is>
      </c>
      <c r="F1175" t="inlineStr">
        <is>
          <t>No</t>
        </is>
      </c>
      <c r="G1175" t="inlineStr">
        <is>
          <t>1</t>
        </is>
      </c>
      <c r="H1175" t="inlineStr">
        <is>
          <t>No</t>
        </is>
      </c>
      <c r="I1175" t="inlineStr">
        <is>
          <t>No</t>
        </is>
      </c>
      <c r="J1175" t="inlineStr">
        <is>
          <t>0</t>
        </is>
      </c>
      <c r="K1175" t="inlineStr">
        <is>
          <t>McLaughlin, Jack, 1926-</t>
        </is>
      </c>
      <c r="L1175" t="inlineStr">
        <is>
          <t>New York : H. Holt, c1988.</t>
        </is>
      </c>
      <c r="M1175" t="inlineStr">
        <is>
          <t>1988</t>
        </is>
      </c>
      <c r="N1175" t="inlineStr">
        <is>
          <t>1st ed.</t>
        </is>
      </c>
      <c r="O1175" t="inlineStr">
        <is>
          <t>eng</t>
        </is>
      </c>
      <c r="P1175" t="inlineStr">
        <is>
          <t>nyu</t>
        </is>
      </c>
      <c r="R1175" t="inlineStr">
        <is>
          <t xml:space="preserve">E  </t>
        </is>
      </c>
      <c r="S1175" t="n">
        <v>7</v>
      </c>
      <c r="T1175" t="n">
        <v>7</v>
      </c>
      <c r="U1175" t="inlineStr">
        <is>
          <t>1998-02-25</t>
        </is>
      </c>
      <c r="V1175" t="inlineStr">
        <is>
          <t>1998-02-25</t>
        </is>
      </c>
      <c r="W1175" t="inlineStr">
        <is>
          <t>1990-05-03</t>
        </is>
      </c>
      <c r="X1175" t="inlineStr">
        <is>
          <t>1990-05-03</t>
        </is>
      </c>
      <c r="Y1175" t="n">
        <v>1608</v>
      </c>
      <c r="Z1175" t="n">
        <v>1546</v>
      </c>
      <c r="AA1175" t="n">
        <v>1668</v>
      </c>
      <c r="AB1175" t="n">
        <v>12</v>
      </c>
      <c r="AC1175" t="n">
        <v>12</v>
      </c>
      <c r="AD1175" t="n">
        <v>43</v>
      </c>
      <c r="AE1175" t="n">
        <v>44</v>
      </c>
      <c r="AF1175" t="n">
        <v>17</v>
      </c>
      <c r="AG1175" t="n">
        <v>18</v>
      </c>
      <c r="AH1175" t="n">
        <v>9</v>
      </c>
      <c r="AI1175" t="n">
        <v>9</v>
      </c>
      <c r="AJ1175" t="n">
        <v>18</v>
      </c>
      <c r="AK1175" t="n">
        <v>19</v>
      </c>
      <c r="AL1175" t="n">
        <v>7</v>
      </c>
      <c r="AM1175" t="n">
        <v>7</v>
      </c>
      <c r="AN1175" t="n">
        <v>0</v>
      </c>
      <c r="AO1175" t="n">
        <v>0</v>
      </c>
      <c r="AP1175" t="inlineStr">
        <is>
          <t>No</t>
        </is>
      </c>
      <c r="AQ1175" t="inlineStr">
        <is>
          <t>No</t>
        </is>
      </c>
      <c r="AS1175">
        <f>HYPERLINK("https://creighton-primo.hosted.exlibrisgroup.com/primo-explore/search?tab=default_tab&amp;search_scope=EVERYTHING&amp;vid=01CRU&amp;lang=en_US&amp;offset=0&amp;query=any,contains,991001120109702656","Catalog Record")</f>
        <v/>
      </c>
      <c r="AT1175">
        <f>HYPERLINK("http://www.worldcat.org/oclc/16579367","WorldCat Record")</f>
        <v/>
      </c>
      <c r="AU1175" t="inlineStr">
        <is>
          <t>12425735:eng</t>
        </is>
      </c>
      <c r="AV1175" t="inlineStr">
        <is>
          <t>16579367</t>
        </is>
      </c>
      <c r="AW1175" t="inlineStr">
        <is>
          <t>991001120109702656</t>
        </is>
      </c>
      <c r="AX1175" t="inlineStr">
        <is>
          <t>991001120109702656</t>
        </is>
      </c>
      <c r="AY1175" t="inlineStr">
        <is>
          <t>2269722210002656</t>
        </is>
      </c>
      <c r="AZ1175" t="inlineStr">
        <is>
          <t>BOOK</t>
        </is>
      </c>
      <c r="BB1175" t="inlineStr">
        <is>
          <t>9780805004823</t>
        </is>
      </c>
      <c r="BC1175" t="inlineStr">
        <is>
          <t>32285000148436</t>
        </is>
      </c>
      <c r="BD1175" t="inlineStr">
        <is>
          <t>893778571</t>
        </is>
      </c>
    </row>
    <row r="1176">
      <c r="A1176" t="inlineStr">
        <is>
          <t>No</t>
        </is>
      </c>
      <c r="B1176" t="inlineStr">
        <is>
          <t>E332.2 .N53 1978</t>
        </is>
      </c>
      <c r="C1176" t="inlineStr">
        <is>
          <t>0                      E  0332200N  53          1978</t>
        </is>
      </c>
      <c r="D1176" t="inlineStr">
        <is>
          <t>Thomas Jefferson, landscape architect / Frederick Doveton Nichols and Ralph E. Griswold.</t>
        </is>
      </c>
      <c r="F1176" t="inlineStr">
        <is>
          <t>No</t>
        </is>
      </c>
      <c r="G1176" t="inlineStr">
        <is>
          <t>1</t>
        </is>
      </c>
      <c r="H1176" t="inlineStr">
        <is>
          <t>No</t>
        </is>
      </c>
      <c r="I1176" t="inlineStr">
        <is>
          <t>No</t>
        </is>
      </c>
      <c r="J1176" t="inlineStr">
        <is>
          <t>0</t>
        </is>
      </c>
      <c r="K1176" t="inlineStr">
        <is>
          <t>Nichols, Frederick Doveton.</t>
        </is>
      </c>
      <c r="L1176" t="inlineStr">
        <is>
          <t>Charlottesville : University Press of Virginia, c1978, 1981 printing.</t>
        </is>
      </c>
      <c r="M1176" t="inlineStr">
        <is>
          <t>1978</t>
        </is>
      </c>
      <c r="O1176" t="inlineStr">
        <is>
          <t>eng</t>
        </is>
      </c>
      <c r="P1176" t="inlineStr">
        <is>
          <t>vau</t>
        </is>
      </c>
      <c r="Q1176" t="inlineStr">
        <is>
          <t>Monticello monograph series</t>
        </is>
      </c>
      <c r="R1176" t="inlineStr">
        <is>
          <t xml:space="preserve">E  </t>
        </is>
      </c>
      <c r="S1176" t="n">
        <v>10</v>
      </c>
      <c r="T1176" t="n">
        <v>10</v>
      </c>
      <c r="U1176" t="inlineStr">
        <is>
          <t>1998-03-01</t>
        </is>
      </c>
      <c r="V1176" t="inlineStr">
        <is>
          <t>1998-03-01</t>
        </is>
      </c>
      <c r="W1176" t="inlineStr">
        <is>
          <t>1991-04-16</t>
        </is>
      </c>
      <c r="X1176" t="inlineStr">
        <is>
          <t>1991-04-16</t>
        </is>
      </c>
      <c r="Y1176" t="n">
        <v>741</v>
      </c>
      <c r="Z1176" t="n">
        <v>674</v>
      </c>
      <c r="AA1176" t="n">
        <v>686</v>
      </c>
      <c r="AB1176" t="n">
        <v>4</v>
      </c>
      <c r="AC1176" t="n">
        <v>4</v>
      </c>
      <c r="AD1176" t="n">
        <v>24</v>
      </c>
      <c r="AE1176" t="n">
        <v>24</v>
      </c>
      <c r="AF1176" t="n">
        <v>8</v>
      </c>
      <c r="AG1176" t="n">
        <v>8</v>
      </c>
      <c r="AH1176" t="n">
        <v>5</v>
      </c>
      <c r="AI1176" t="n">
        <v>5</v>
      </c>
      <c r="AJ1176" t="n">
        <v>15</v>
      </c>
      <c r="AK1176" t="n">
        <v>15</v>
      </c>
      <c r="AL1176" t="n">
        <v>3</v>
      </c>
      <c r="AM1176" t="n">
        <v>3</v>
      </c>
      <c r="AN1176" t="n">
        <v>0</v>
      </c>
      <c r="AO1176" t="n">
        <v>0</v>
      </c>
      <c r="AP1176" t="inlineStr">
        <is>
          <t>No</t>
        </is>
      </c>
      <c r="AQ1176" t="inlineStr">
        <is>
          <t>Yes</t>
        </is>
      </c>
      <c r="AR1176">
        <f>HYPERLINK("http://catalog.hathitrust.org/Record/000037500","HathiTrust Record")</f>
        <v/>
      </c>
      <c r="AS1176">
        <f>HYPERLINK("https://creighton-primo.hosted.exlibrisgroup.com/primo-explore/search?tab=default_tab&amp;search_scope=EVERYTHING&amp;vid=01CRU&amp;lang=en_US&amp;offset=0&amp;query=any,contains,991004375179702656","Catalog Record")</f>
        <v/>
      </c>
      <c r="AT1176">
        <f>HYPERLINK("http://www.worldcat.org/oclc/3204466","WorldCat Record")</f>
        <v/>
      </c>
      <c r="AU1176" t="inlineStr">
        <is>
          <t>3769002067:eng</t>
        </is>
      </c>
      <c r="AV1176" t="inlineStr">
        <is>
          <t>3204466</t>
        </is>
      </c>
      <c r="AW1176" t="inlineStr">
        <is>
          <t>991004375179702656</t>
        </is>
      </c>
      <c r="AX1176" t="inlineStr">
        <is>
          <t>991004375179702656</t>
        </is>
      </c>
      <c r="AY1176" t="inlineStr">
        <is>
          <t>2270724590002656</t>
        </is>
      </c>
      <c r="AZ1176" t="inlineStr">
        <is>
          <t>BOOK</t>
        </is>
      </c>
      <c r="BB1176" t="inlineStr">
        <is>
          <t>9780813906034</t>
        </is>
      </c>
      <c r="BC1176" t="inlineStr">
        <is>
          <t>32285000543289</t>
        </is>
      </c>
      <c r="BD1176" t="inlineStr">
        <is>
          <t>893722399</t>
        </is>
      </c>
    </row>
    <row r="1177">
      <c r="A1177" t="inlineStr">
        <is>
          <t>No</t>
        </is>
      </c>
      <c r="B1177" t="inlineStr">
        <is>
          <t>E332.2 .P4</t>
        </is>
      </c>
      <c r="C1177" t="inlineStr">
        <is>
          <t>0                      E  0332200P  4</t>
        </is>
      </c>
      <c r="D1177" t="inlineStr">
        <is>
          <t>The Jefferson image in the American mind.</t>
        </is>
      </c>
      <c r="F1177" t="inlineStr">
        <is>
          <t>No</t>
        </is>
      </c>
      <c r="G1177" t="inlineStr">
        <is>
          <t>1</t>
        </is>
      </c>
      <c r="H1177" t="inlineStr">
        <is>
          <t>No</t>
        </is>
      </c>
      <c r="I1177" t="inlineStr">
        <is>
          <t>Yes</t>
        </is>
      </c>
      <c r="J1177" t="inlineStr">
        <is>
          <t>0</t>
        </is>
      </c>
      <c r="K1177" t="inlineStr">
        <is>
          <t>Peterson, Merrill D.</t>
        </is>
      </c>
      <c r="L1177" t="inlineStr">
        <is>
          <t>New York : Oxford University Press, 1960.</t>
        </is>
      </c>
      <c r="M1177" t="inlineStr">
        <is>
          <t>1960</t>
        </is>
      </c>
      <c r="O1177" t="inlineStr">
        <is>
          <t>eng</t>
        </is>
      </c>
      <c r="P1177" t="inlineStr">
        <is>
          <t>nyu</t>
        </is>
      </c>
      <c r="R1177" t="inlineStr">
        <is>
          <t xml:space="preserve">E  </t>
        </is>
      </c>
      <c r="S1177" t="n">
        <v>6</v>
      </c>
      <c r="T1177" t="n">
        <v>6</v>
      </c>
      <c r="U1177" t="inlineStr">
        <is>
          <t>1998-03-17</t>
        </is>
      </c>
      <c r="V1177" t="inlineStr">
        <is>
          <t>1998-03-17</t>
        </is>
      </c>
      <c r="W1177" t="inlineStr">
        <is>
          <t>1993-12-01</t>
        </is>
      </c>
      <c r="X1177" t="inlineStr">
        <is>
          <t>1993-12-01</t>
        </is>
      </c>
      <c r="Y1177" t="n">
        <v>1320</v>
      </c>
      <c r="Z1177" t="n">
        <v>1215</v>
      </c>
      <c r="AA1177" t="n">
        <v>1428</v>
      </c>
      <c r="AB1177" t="n">
        <v>14</v>
      </c>
      <c r="AC1177" t="n">
        <v>14</v>
      </c>
      <c r="AD1177" t="n">
        <v>59</v>
      </c>
      <c r="AE1177" t="n">
        <v>65</v>
      </c>
      <c r="AF1177" t="n">
        <v>25</v>
      </c>
      <c r="AG1177" t="n">
        <v>26</v>
      </c>
      <c r="AH1177" t="n">
        <v>9</v>
      </c>
      <c r="AI1177" t="n">
        <v>10</v>
      </c>
      <c r="AJ1177" t="n">
        <v>21</v>
      </c>
      <c r="AK1177" t="n">
        <v>26</v>
      </c>
      <c r="AL1177" t="n">
        <v>12</v>
      </c>
      <c r="AM1177" t="n">
        <v>12</v>
      </c>
      <c r="AN1177" t="n">
        <v>4</v>
      </c>
      <c r="AO1177" t="n">
        <v>4</v>
      </c>
      <c r="AP1177" t="inlineStr">
        <is>
          <t>No</t>
        </is>
      </c>
      <c r="AQ1177" t="inlineStr">
        <is>
          <t>Yes</t>
        </is>
      </c>
      <c r="AR1177">
        <f>HYPERLINK("http://catalog.hathitrust.org/Record/000367501","HathiTrust Record")</f>
        <v/>
      </c>
      <c r="AS1177">
        <f>HYPERLINK("https://creighton-primo.hosted.exlibrisgroup.com/primo-explore/search?tab=default_tab&amp;search_scope=EVERYTHING&amp;vid=01CRU&amp;lang=en_US&amp;offset=0&amp;query=any,contains,991002756179702656","Catalog Record")</f>
        <v/>
      </c>
      <c r="AT1177">
        <f>HYPERLINK("http://www.worldcat.org/oclc/426519","WorldCat Record")</f>
        <v/>
      </c>
      <c r="AU1177" t="inlineStr">
        <is>
          <t>414675:eng</t>
        </is>
      </c>
      <c r="AV1177" t="inlineStr">
        <is>
          <t>426519</t>
        </is>
      </c>
      <c r="AW1177" t="inlineStr">
        <is>
          <t>991002756179702656</t>
        </is>
      </c>
      <c r="AX1177" t="inlineStr">
        <is>
          <t>991002756179702656</t>
        </is>
      </c>
      <c r="AY1177" t="inlineStr">
        <is>
          <t>2265310860002656</t>
        </is>
      </c>
      <c r="AZ1177" t="inlineStr">
        <is>
          <t>BOOK</t>
        </is>
      </c>
      <c r="BC1177" t="inlineStr">
        <is>
          <t>32285001805356</t>
        </is>
      </c>
      <c r="BD1177" t="inlineStr">
        <is>
          <t>893323336</t>
        </is>
      </c>
    </row>
    <row r="1178">
      <c r="A1178" t="inlineStr">
        <is>
          <t>No</t>
        </is>
      </c>
      <c r="B1178" t="inlineStr">
        <is>
          <t>E332.2 .S54 1991</t>
        </is>
      </c>
      <c r="C1178" t="inlineStr">
        <is>
          <t>0                      E  0332200S  54          1991</t>
        </is>
      </c>
      <c r="D1178" t="inlineStr">
        <is>
          <t>The political philosophy of Thomas Jefferson / by Garrett Ward Sheldon.</t>
        </is>
      </c>
      <c r="F1178" t="inlineStr">
        <is>
          <t>No</t>
        </is>
      </c>
      <c r="G1178" t="inlineStr">
        <is>
          <t>1</t>
        </is>
      </c>
      <c r="H1178" t="inlineStr">
        <is>
          <t>No</t>
        </is>
      </c>
      <c r="I1178" t="inlineStr">
        <is>
          <t>No</t>
        </is>
      </c>
      <c r="J1178" t="inlineStr">
        <is>
          <t>0</t>
        </is>
      </c>
      <c r="K1178" t="inlineStr">
        <is>
          <t>Sheldon, Garrett Ward, 1954-</t>
        </is>
      </c>
      <c r="L1178" t="inlineStr">
        <is>
          <t>Baltimore : Johns Hopkins University Press, c1991.</t>
        </is>
      </c>
      <c r="M1178" t="inlineStr">
        <is>
          <t>1991</t>
        </is>
      </c>
      <c r="O1178" t="inlineStr">
        <is>
          <t>eng</t>
        </is>
      </c>
      <c r="P1178" t="inlineStr">
        <is>
          <t>mdu</t>
        </is>
      </c>
      <c r="R1178" t="inlineStr">
        <is>
          <t xml:space="preserve">E  </t>
        </is>
      </c>
      <c r="S1178" t="n">
        <v>15</v>
      </c>
      <c r="T1178" t="n">
        <v>15</v>
      </c>
      <c r="U1178" t="inlineStr">
        <is>
          <t>1999-04-15</t>
        </is>
      </c>
      <c r="V1178" t="inlineStr">
        <is>
          <t>1999-04-15</t>
        </is>
      </c>
      <c r="W1178" t="inlineStr">
        <is>
          <t>1991-08-06</t>
        </is>
      </c>
      <c r="X1178" t="inlineStr">
        <is>
          <t>1991-08-06</t>
        </is>
      </c>
      <c r="Y1178" t="n">
        <v>699</v>
      </c>
      <c r="Z1178" t="n">
        <v>617</v>
      </c>
      <c r="AA1178" t="n">
        <v>726</v>
      </c>
      <c r="AB1178" t="n">
        <v>6</v>
      </c>
      <c r="AC1178" t="n">
        <v>7</v>
      </c>
      <c r="AD1178" t="n">
        <v>48</v>
      </c>
      <c r="AE1178" t="n">
        <v>51</v>
      </c>
      <c r="AF1178" t="n">
        <v>20</v>
      </c>
      <c r="AG1178" t="n">
        <v>21</v>
      </c>
      <c r="AH1178" t="n">
        <v>9</v>
      </c>
      <c r="AI1178" t="n">
        <v>9</v>
      </c>
      <c r="AJ1178" t="n">
        <v>21</v>
      </c>
      <c r="AK1178" t="n">
        <v>21</v>
      </c>
      <c r="AL1178" t="n">
        <v>5</v>
      </c>
      <c r="AM1178" t="n">
        <v>6</v>
      </c>
      <c r="AN1178" t="n">
        <v>5</v>
      </c>
      <c r="AO1178" t="n">
        <v>6</v>
      </c>
      <c r="AP1178" t="inlineStr">
        <is>
          <t>No</t>
        </is>
      </c>
      <c r="AQ1178" t="inlineStr">
        <is>
          <t>Yes</t>
        </is>
      </c>
      <c r="AR1178">
        <f>HYPERLINK("http://catalog.hathitrust.org/Record/002463447","HathiTrust Record")</f>
        <v/>
      </c>
      <c r="AS1178">
        <f>HYPERLINK("https://creighton-primo.hosted.exlibrisgroup.com/primo-explore/search?tab=default_tab&amp;search_scope=EVERYTHING&amp;vid=01CRU&amp;lang=en_US&amp;offset=0&amp;query=any,contains,991001785079702656","Catalog Record")</f>
        <v/>
      </c>
      <c r="AT1178">
        <f>HYPERLINK("http://www.worldcat.org/oclc/22494126","WorldCat Record")</f>
        <v/>
      </c>
      <c r="AU1178" t="inlineStr">
        <is>
          <t>20609160:eng</t>
        </is>
      </c>
      <c r="AV1178" t="inlineStr">
        <is>
          <t>22494126</t>
        </is>
      </c>
      <c r="AW1178" t="inlineStr">
        <is>
          <t>991001785079702656</t>
        </is>
      </c>
      <c r="AX1178" t="inlineStr">
        <is>
          <t>991001785079702656</t>
        </is>
      </c>
      <c r="AY1178" t="inlineStr">
        <is>
          <t>2258641360002656</t>
        </is>
      </c>
      <c r="AZ1178" t="inlineStr">
        <is>
          <t>BOOK</t>
        </is>
      </c>
      <c r="BB1178" t="inlineStr">
        <is>
          <t>9780801841422</t>
        </is>
      </c>
      <c r="BC1178" t="inlineStr">
        <is>
          <t>32285000664788</t>
        </is>
      </c>
      <c r="BD1178" t="inlineStr">
        <is>
          <t>893590643</t>
        </is>
      </c>
    </row>
    <row r="1179">
      <c r="A1179" t="inlineStr">
        <is>
          <t>No</t>
        </is>
      </c>
      <c r="B1179" t="inlineStr">
        <is>
          <t>E332.2 .S84 1993</t>
        </is>
      </c>
      <c r="C1179" t="inlineStr">
        <is>
          <t>0                      E  0332200S  84          1993</t>
        </is>
      </c>
      <c r="D1179" t="inlineStr">
        <is>
          <t>The worlds of Thomas Jefferson at Monticello / Susan R. Stein.</t>
        </is>
      </c>
      <c r="F1179" t="inlineStr">
        <is>
          <t>No</t>
        </is>
      </c>
      <c r="G1179" t="inlineStr">
        <is>
          <t>1</t>
        </is>
      </c>
      <c r="H1179" t="inlineStr">
        <is>
          <t>No</t>
        </is>
      </c>
      <c r="I1179" t="inlineStr">
        <is>
          <t>No</t>
        </is>
      </c>
      <c r="J1179" t="inlineStr">
        <is>
          <t>0</t>
        </is>
      </c>
      <c r="K1179" t="inlineStr">
        <is>
          <t>Stein, Susan, 1949-</t>
        </is>
      </c>
      <c r="L1179" t="inlineStr">
        <is>
          <t>New York : H.N. Abrams, in association with the Thomas Jefferson Memorial Foundation, Inc., 1993.</t>
        </is>
      </c>
      <c r="M1179" t="inlineStr">
        <is>
          <t>1993</t>
        </is>
      </c>
      <c r="O1179" t="inlineStr">
        <is>
          <t>eng</t>
        </is>
      </c>
      <c r="P1179" t="inlineStr">
        <is>
          <t>nyu</t>
        </is>
      </c>
      <c r="R1179" t="inlineStr">
        <is>
          <t xml:space="preserve">E  </t>
        </is>
      </c>
      <c r="S1179" t="n">
        <v>2</v>
      </c>
      <c r="T1179" t="n">
        <v>2</v>
      </c>
      <c r="U1179" t="inlineStr">
        <is>
          <t>1998-03-01</t>
        </is>
      </c>
      <c r="V1179" t="inlineStr">
        <is>
          <t>1998-03-01</t>
        </is>
      </c>
      <c r="W1179" t="inlineStr">
        <is>
          <t>1994-05-09</t>
        </is>
      </c>
      <c r="X1179" t="inlineStr">
        <is>
          <t>1994-05-09</t>
        </is>
      </c>
      <c r="Y1179" t="n">
        <v>699</v>
      </c>
      <c r="Z1179" t="n">
        <v>654</v>
      </c>
      <c r="AA1179" t="n">
        <v>656</v>
      </c>
      <c r="AB1179" t="n">
        <v>2</v>
      </c>
      <c r="AC1179" t="n">
        <v>2</v>
      </c>
      <c r="AD1179" t="n">
        <v>17</v>
      </c>
      <c r="AE1179" t="n">
        <v>17</v>
      </c>
      <c r="AF1179" t="n">
        <v>7</v>
      </c>
      <c r="AG1179" t="n">
        <v>7</v>
      </c>
      <c r="AH1179" t="n">
        <v>5</v>
      </c>
      <c r="AI1179" t="n">
        <v>5</v>
      </c>
      <c r="AJ1179" t="n">
        <v>12</v>
      </c>
      <c r="AK1179" t="n">
        <v>12</v>
      </c>
      <c r="AL1179" t="n">
        <v>0</v>
      </c>
      <c r="AM1179" t="n">
        <v>0</v>
      </c>
      <c r="AN1179" t="n">
        <v>0</v>
      </c>
      <c r="AO1179" t="n">
        <v>0</v>
      </c>
      <c r="AP1179" t="inlineStr">
        <is>
          <t>No</t>
        </is>
      </c>
      <c r="AQ1179" t="inlineStr">
        <is>
          <t>Yes</t>
        </is>
      </c>
      <c r="AR1179">
        <f>HYPERLINK("http://catalog.hathitrust.org/Record/002698518","HathiTrust Record")</f>
        <v/>
      </c>
      <c r="AS1179">
        <f>HYPERLINK("https://creighton-primo.hosted.exlibrisgroup.com/primo-explore/search?tab=default_tab&amp;search_scope=EVERYTHING&amp;vid=01CRU&amp;lang=en_US&amp;offset=0&amp;query=any,contains,991002079709702656","Catalog Record")</f>
        <v/>
      </c>
      <c r="AT1179">
        <f>HYPERLINK("http://www.worldcat.org/oclc/26672731","WorldCat Record")</f>
        <v/>
      </c>
      <c r="AU1179" t="inlineStr">
        <is>
          <t>29490421:eng</t>
        </is>
      </c>
      <c r="AV1179" t="inlineStr">
        <is>
          <t>26672731</t>
        </is>
      </c>
      <c r="AW1179" t="inlineStr">
        <is>
          <t>991002079709702656</t>
        </is>
      </c>
      <c r="AX1179" t="inlineStr">
        <is>
          <t>991002079709702656</t>
        </is>
      </c>
      <c r="AY1179" t="inlineStr">
        <is>
          <t>2268706770002656</t>
        </is>
      </c>
      <c r="AZ1179" t="inlineStr">
        <is>
          <t>BOOK</t>
        </is>
      </c>
      <c r="BB1179" t="inlineStr">
        <is>
          <t>9780810939677</t>
        </is>
      </c>
      <c r="BC1179" t="inlineStr">
        <is>
          <t>32285001879807</t>
        </is>
      </c>
      <c r="BD1179" t="inlineStr">
        <is>
          <t>893873073</t>
        </is>
      </c>
    </row>
    <row r="1180">
      <c r="A1180" t="inlineStr">
        <is>
          <t>No</t>
        </is>
      </c>
      <c r="B1180" t="inlineStr">
        <is>
          <t>E332.2 .T43  2000</t>
        </is>
      </c>
      <c r="C1180" t="inlineStr">
        <is>
          <t>0                      E  0332200T  43          2000</t>
        </is>
      </c>
      <c r="D1180" t="inlineStr">
        <is>
          <t>Thomas Jefferson and the politics of nature / Thomas S. Engeman, editor.</t>
        </is>
      </c>
      <c r="F1180" t="inlineStr">
        <is>
          <t>No</t>
        </is>
      </c>
      <c r="G1180" t="inlineStr">
        <is>
          <t>1</t>
        </is>
      </c>
      <c r="H1180" t="inlineStr">
        <is>
          <t>No</t>
        </is>
      </c>
      <c r="I1180" t="inlineStr">
        <is>
          <t>No</t>
        </is>
      </c>
      <c r="J1180" t="inlineStr">
        <is>
          <t>0</t>
        </is>
      </c>
      <c r="L1180" t="inlineStr">
        <is>
          <t>Notre Dame, Ind. : University of Notre Dame Press, 2000.</t>
        </is>
      </c>
      <c r="M1180" t="inlineStr">
        <is>
          <t>2000</t>
        </is>
      </c>
      <c r="O1180" t="inlineStr">
        <is>
          <t>eng</t>
        </is>
      </c>
      <c r="P1180" t="inlineStr">
        <is>
          <t>inu</t>
        </is>
      </c>
      <c r="Q1180" t="inlineStr">
        <is>
          <t>Loyola topics in political philosophy</t>
        </is>
      </c>
      <c r="R1180" t="inlineStr">
        <is>
          <t xml:space="preserve">E  </t>
        </is>
      </c>
      <c r="S1180" t="n">
        <v>1</v>
      </c>
      <c r="T1180" t="n">
        <v>1</v>
      </c>
      <c r="U1180" t="inlineStr">
        <is>
          <t>2002-05-13</t>
        </is>
      </c>
      <c r="V1180" t="inlineStr">
        <is>
          <t>2002-05-13</t>
        </is>
      </c>
      <c r="W1180" t="inlineStr">
        <is>
          <t>2002-05-06</t>
        </is>
      </c>
      <c r="X1180" t="inlineStr">
        <is>
          <t>2002-05-06</t>
        </is>
      </c>
      <c r="Y1180" t="n">
        <v>506</v>
      </c>
      <c r="Z1180" t="n">
        <v>458</v>
      </c>
      <c r="AA1180" t="n">
        <v>1275</v>
      </c>
      <c r="AB1180" t="n">
        <v>2</v>
      </c>
      <c r="AC1180" t="n">
        <v>42</v>
      </c>
      <c r="AD1180" t="n">
        <v>29</v>
      </c>
      <c r="AE1180" t="n">
        <v>45</v>
      </c>
      <c r="AF1180" t="n">
        <v>14</v>
      </c>
      <c r="AG1180" t="n">
        <v>19</v>
      </c>
      <c r="AH1180" t="n">
        <v>6</v>
      </c>
      <c r="AI1180" t="n">
        <v>7</v>
      </c>
      <c r="AJ1180" t="n">
        <v>14</v>
      </c>
      <c r="AK1180" t="n">
        <v>16</v>
      </c>
      <c r="AL1180" t="n">
        <v>1</v>
      </c>
      <c r="AM1180" t="n">
        <v>11</v>
      </c>
      <c r="AN1180" t="n">
        <v>1</v>
      </c>
      <c r="AO1180" t="n">
        <v>1</v>
      </c>
      <c r="AP1180" t="inlineStr">
        <is>
          <t>No</t>
        </is>
      </c>
      <c r="AQ1180" t="inlineStr">
        <is>
          <t>Yes</t>
        </is>
      </c>
      <c r="AR1180">
        <f>HYPERLINK("http://catalog.hathitrust.org/Record/004111544","HathiTrust Record")</f>
        <v/>
      </c>
      <c r="AS1180">
        <f>HYPERLINK("https://creighton-primo.hosted.exlibrisgroup.com/primo-explore/search?tab=default_tab&amp;search_scope=EVERYTHING&amp;vid=01CRU&amp;lang=en_US&amp;offset=0&amp;query=any,contains,991003787889702656","Catalog Record")</f>
        <v/>
      </c>
      <c r="AT1180">
        <f>HYPERLINK("http://www.worldcat.org/oclc/44634169","WorldCat Record")</f>
        <v/>
      </c>
      <c r="AU1180" t="inlineStr">
        <is>
          <t>413014271:eng</t>
        </is>
      </c>
      <c r="AV1180" t="inlineStr">
        <is>
          <t>44634169</t>
        </is>
      </c>
      <c r="AW1180" t="inlineStr">
        <is>
          <t>991003787889702656</t>
        </is>
      </c>
      <c r="AX1180" t="inlineStr">
        <is>
          <t>991003787889702656</t>
        </is>
      </c>
      <c r="AY1180" t="inlineStr">
        <is>
          <t>2257267380002656</t>
        </is>
      </c>
      <c r="AZ1180" t="inlineStr">
        <is>
          <t>BOOK</t>
        </is>
      </c>
      <c r="BB1180" t="inlineStr">
        <is>
          <t>9780268042110</t>
        </is>
      </c>
      <c r="BC1180" t="inlineStr">
        <is>
          <t>32285004485792</t>
        </is>
      </c>
      <c r="BD1180" t="inlineStr">
        <is>
          <t>893806214</t>
        </is>
      </c>
    </row>
    <row r="1181">
      <c r="A1181" t="inlineStr">
        <is>
          <t>No</t>
        </is>
      </c>
      <c r="B1181" t="inlineStr">
        <is>
          <t>E332.45 .A32 1997</t>
        </is>
      </c>
      <c r="C1181" t="inlineStr">
        <is>
          <t>0                      E  0332450A  32          1997</t>
        </is>
      </c>
      <c r="D1181" t="inlineStr">
        <is>
          <t>The Paris years of Thomas Jefferson / William Howard Adams ; original photography by Adelaide De Menil.</t>
        </is>
      </c>
      <c r="F1181" t="inlineStr">
        <is>
          <t>No</t>
        </is>
      </c>
      <c r="G1181" t="inlineStr">
        <is>
          <t>1</t>
        </is>
      </c>
      <c r="H1181" t="inlineStr">
        <is>
          <t>No</t>
        </is>
      </c>
      <c r="I1181" t="inlineStr">
        <is>
          <t>No</t>
        </is>
      </c>
      <c r="J1181" t="inlineStr">
        <is>
          <t>0</t>
        </is>
      </c>
      <c r="K1181" t="inlineStr">
        <is>
          <t>Adams, William Howard.</t>
        </is>
      </c>
      <c r="L1181" t="inlineStr">
        <is>
          <t>New Haven : Yale University Press, c1997.</t>
        </is>
      </c>
      <c r="M1181" t="inlineStr">
        <is>
          <t>1997</t>
        </is>
      </c>
      <c r="O1181" t="inlineStr">
        <is>
          <t>eng</t>
        </is>
      </c>
      <c r="P1181" t="inlineStr">
        <is>
          <t>ctu</t>
        </is>
      </c>
      <c r="R1181" t="inlineStr">
        <is>
          <t xml:space="preserve">E  </t>
        </is>
      </c>
      <c r="S1181" t="n">
        <v>2</v>
      </c>
      <c r="T1181" t="n">
        <v>2</v>
      </c>
      <c r="U1181" t="inlineStr">
        <is>
          <t>1998-11-09</t>
        </is>
      </c>
      <c r="V1181" t="inlineStr">
        <is>
          <t>1998-11-09</t>
        </is>
      </c>
      <c r="W1181" t="inlineStr">
        <is>
          <t>1998-10-26</t>
        </is>
      </c>
      <c r="X1181" t="inlineStr">
        <is>
          <t>1998-10-26</t>
        </is>
      </c>
      <c r="Y1181" t="n">
        <v>1011</v>
      </c>
      <c r="Z1181" t="n">
        <v>916</v>
      </c>
      <c r="AA1181" t="n">
        <v>1068</v>
      </c>
      <c r="AB1181" t="n">
        <v>5</v>
      </c>
      <c r="AC1181" t="n">
        <v>5</v>
      </c>
      <c r="AD1181" t="n">
        <v>37</v>
      </c>
      <c r="AE1181" t="n">
        <v>43</v>
      </c>
      <c r="AF1181" t="n">
        <v>16</v>
      </c>
      <c r="AG1181" t="n">
        <v>20</v>
      </c>
      <c r="AH1181" t="n">
        <v>9</v>
      </c>
      <c r="AI1181" t="n">
        <v>10</v>
      </c>
      <c r="AJ1181" t="n">
        <v>20</v>
      </c>
      <c r="AK1181" t="n">
        <v>21</v>
      </c>
      <c r="AL1181" t="n">
        <v>3</v>
      </c>
      <c r="AM1181" t="n">
        <v>3</v>
      </c>
      <c r="AN1181" t="n">
        <v>1</v>
      </c>
      <c r="AO1181" t="n">
        <v>1</v>
      </c>
      <c r="AP1181" t="inlineStr">
        <is>
          <t>No</t>
        </is>
      </c>
      <c r="AQ1181" t="inlineStr">
        <is>
          <t>No</t>
        </is>
      </c>
      <c r="AS1181">
        <f>HYPERLINK("https://creighton-primo.hosted.exlibrisgroup.com/primo-explore/search?tab=default_tab&amp;search_scope=EVERYTHING&amp;vid=01CRU&amp;lang=en_US&amp;offset=0&amp;query=any,contains,991002786189702656","Catalog Record")</f>
        <v/>
      </c>
      <c r="AT1181">
        <f>HYPERLINK("http://www.worldcat.org/oclc/36582149","WorldCat Record")</f>
        <v/>
      </c>
      <c r="AU1181" t="inlineStr">
        <is>
          <t>605906:eng</t>
        </is>
      </c>
      <c r="AV1181" t="inlineStr">
        <is>
          <t>36582149</t>
        </is>
      </c>
      <c r="AW1181" t="inlineStr">
        <is>
          <t>991002786189702656</t>
        </is>
      </c>
      <c r="AX1181" t="inlineStr">
        <is>
          <t>991002786189702656</t>
        </is>
      </c>
      <c r="AY1181" t="inlineStr">
        <is>
          <t>2263372550002656</t>
        </is>
      </c>
      <c r="AZ1181" t="inlineStr">
        <is>
          <t>BOOK</t>
        </is>
      </c>
      <c r="BB1181" t="inlineStr">
        <is>
          <t>9780300069037</t>
        </is>
      </c>
      <c r="BC1181" t="inlineStr">
        <is>
          <t>32285003477469</t>
        </is>
      </c>
      <c r="BD1181" t="inlineStr">
        <is>
          <t>893867709</t>
        </is>
      </c>
    </row>
    <row r="1182">
      <c r="A1182" t="inlineStr">
        <is>
          <t>No</t>
        </is>
      </c>
      <c r="B1182" t="inlineStr">
        <is>
          <t>E332.45 .K3</t>
        </is>
      </c>
      <c r="C1182" t="inlineStr">
        <is>
          <t>0                      E  0332450K  3</t>
        </is>
      </c>
      <c r="D1182" t="inlineStr">
        <is>
          <t>Jefferson and France; an essay on politics and political ideas, by Lawrence S. Kaplan.</t>
        </is>
      </c>
      <c r="F1182" t="inlineStr">
        <is>
          <t>No</t>
        </is>
      </c>
      <c r="G1182" t="inlineStr">
        <is>
          <t>1</t>
        </is>
      </c>
      <c r="H1182" t="inlineStr">
        <is>
          <t>No</t>
        </is>
      </c>
      <c r="I1182" t="inlineStr">
        <is>
          <t>No</t>
        </is>
      </c>
      <c r="J1182" t="inlineStr">
        <is>
          <t>0</t>
        </is>
      </c>
      <c r="K1182" t="inlineStr">
        <is>
          <t>Kaplan, Lawrence S.</t>
        </is>
      </c>
      <c r="L1182" t="inlineStr">
        <is>
          <t>New Haven, Yale University Press, 1967.</t>
        </is>
      </c>
      <c r="M1182" t="inlineStr">
        <is>
          <t>1967</t>
        </is>
      </c>
      <c r="O1182" t="inlineStr">
        <is>
          <t>eng</t>
        </is>
      </c>
      <c r="P1182" t="inlineStr">
        <is>
          <t>ctu</t>
        </is>
      </c>
      <c r="Q1182" t="inlineStr">
        <is>
          <t>Yale historical publications. The Wallace Notestein essays, 5</t>
        </is>
      </c>
      <c r="R1182" t="inlineStr">
        <is>
          <t xml:space="preserve">E  </t>
        </is>
      </c>
      <c r="S1182" t="n">
        <v>3</v>
      </c>
      <c r="T1182" t="n">
        <v>3</v>
      </c>
      <c r="U1182" t="inlineStr">
        <is>
          <t>1995-03-03</t>
        </is>
      </c>
      <c r="V1182" t="inlineStr">
        <is>
          <t>1995-03-03</t>
        </is>
      </c>
      <c r="W1182" t="inlineStr">
        <is>
          <t>1992-10-27</t>
        </is>
      </c>
      <c r="X1182" t="inlineStr">
        <is>
          <t>1992-10-27</t>
        </is>
      </c>
      <c r="Y1182" t="n">
        <v>842</v>
      </c>
      <c r="Z1182" t="n">
        <v>737</v>
      </c>
      <c r="AA1182" t="n">
        <v>789</v>
      </c>
      <c r="AB1182" t="n">
        <v>10</v>
      </c>
      <c r="AC1182" t="n">
        <v>10</v>
      </c>
      <c r="AD1182" t="n">
        <v>40</v>
      </c>
      <c r="AE1182" t="n">
        <v>41</v>
      </c>
      <c r="AF1182" t="n">
        <v>16</v>
      </c>
      <c r="AG1182" t="n">
        <v>17</v>
      </c>
      <c r="AH1182" t="n">
        <v>7</v>
      </c>
      <c r="AI1182" t="n">
        <v>8</v>
      </c>
      <c r="AJ1182" t="n">
        <v>17</v>
      </c>
      <c r="AK1182" t="n">
        <v>17</v>
      </c>
      <c r="AL1182" t="n">
        <v>9</v>
      </c>
      <c r="AM1182" t="n">
        <v>9</v>
      </c>
      <c r="AN1182" t="n">
        <v>0</v>
      </c>
      <c r="AO1182" t="n">
        <v>0</v>
      </c>
      <c r="AP1182" t="inlineStr">
        <is>
          <t>No</t>
        </is>
      </c>
      <c r="AQ1182" t="inlineStr">
        <is>
          <t>Yes</t>
        </is>
      </c>
      <c r="AR1182">
        <f>HYPERLINK("http://catalog.hathitrust.org/Record/000367200","HathiTrust Record")</f>
        <v/>
      </c>
      <c r="AS1182">
        <f>HYPERLINK("https://creighton-primo.hosted.exlibrisgroup.com/primo-explore/search?tab=default_tab&amp;search_scope=EVERYTHING&amp;vid=01CRU&amp;lang=en_US&amp;offset=0&amp;query=any,contains,991001946179702656","Catalog Record")</f>
        <v/>
      </c>
      <c r="AT1182">
        <f>HYPERLINK("http://www.worldcat.org/oclc/250910","WorldCat Record")</f>
        <v/>
      </c>
      <c r="AU1182" t="inlineStr">
        <is>
          <t>799451449:eng</t>
        </is>
      </c>
      <c r="AV1182" t="inlineStr">
        <is>
          <t>250910</t>
        </is>
      </c>
      <c r="AW1182" t="inlineStr">
        <is>
          <t>991001946179702656</t>
        </is>
      </c>
      <c r="AX1182" t="inlineStr">
        <is>
          <t>991001946179702656</t>
        </is>
      </c>
      <c r="AY1182" t="inlineStr">
        <is>
          <t>2268328110002656</t>
        </is>
      </c>
      <c r="AZ1182" t="inlineStr">
        <is>
          <t>BOOK</t>
        </is>
      </c>
      <c r="BC1182" t="inlineStr">
        <is>
          <t>32285001385664</t>
        </is>
      </c>
      <c r="BD1182" t="inlineStr">
        <is>
          <t>893898212</t>
        </is>
      </c>
    </row>
    <row r="1183">
      <c r="A1183" t="inlineStr">
        <is>
          <t>No</t>
        </is>
      </c>
      <c r="B1183" t="inlineStr">
        <is>
          <t>E332.45 .K34 1999</t>
        </is>
      </c>
      <c r="C1183" t="inlineStr">
        <is>
          <t>0                      E  0332450K  34          1999</t>
        </is>
      </c>
      <c r="D1183" t="inlineStr">
        <is>
          <t>Thomas Jefferson : westward the course of empire / Lawrence S. Kaplan.</t>
        </is>
      </c>
      <c r="F1183" t="inlineStr">
        <is>
          <t>No</t>
        </is>
      </c>
      <c r="G1183" t="inlineStr">
        <is>
          <t>1</t>
        </is>
      </c>
      <c r="H1183" t="inlineStr">
        <is>
          <t>No</t>
        </is>
      </c>
      <c r="I1183" t="inlineStr">
        <is>
          <t>No</t>
        </is>
      </c>
      <c r="J1183" t="inlineStr">
        <is>
          <t>0</t>
        </is>
      </c>
      <c r="K1183" t="inlineStr">
        <is>
          <t>Kaplan, Lawrence S.</t>
        </is>
      </c>
      <c r="L1183" t="inlineStr">
        <is>
          <t>Wilmington, Del. : SR Books, 1999.</t>
        </is>
      </c>
      <c r="M1183" t="inlineStr">
        <is>
          <t>1999</t>
        </is>
      </c>
      <c r="O1183" t="inlineStr">
        <is>
          <t>eng</t>
        </is>
      </c>
      <c r="P1183" t="inlineStr">
        <is>
          <t>deu</t>
        </is>
      </c>
      <c r="Q1183" t="inlineStr">
        <is>
          <t>Biographies in American foreign policy ; no. 1</t>
        </is>
      </c>
      <c r="R1183" t="inlineStr">
        <is>
          <t xml:space="preserve">E  </t>
        </is>
      </c>
      <c r="S1183" t="n">
        <v>1</v>
      </c>
      <c r="T1183" t="n">
        <v>1</v>
      </c>
      <c r="U1183" t="inlineStr">
        <is>
          <t>2002-05-05</t>
        </is>
      </c>
      <c r="V1183" t="inlineStr">
        <is>
          <t>2002-05-05</t>
        </is>
      </c>
      <c r="W1183" t="inlineStr">
        <is>
          <t>1999-12-09</t>
        </is>
      </c>
      <c r="X1183" t="inlineStr">
        <is>
          <t>1999-12-09</t>
        </is>
      </c>
      <c r="Y1183" t="n">
        <v>387</v>
      </c>
      <c r="Z1183" t="n">
        <v>358</v>
      </c>
      <c r="AA1183" t="n">
        <v>379</v>
      </c>
      <c r="AB1183" t="n">
        <v>4</v>
      </c>
      <c r="AC1183" t="n">
        <v>4</v>
      </c>
      <c r="AD1183" t="n">
        <v>18</v>
      </c>
      <c r="AE1183" t="n">
        <v>18</v>
      </c>
      <c r="AF1183" t="n">
        <v>8</v>
      </c>
      <c r="AG1183" t="n">
        <v>8</v>
      </c>
      <c r="AH1183" t="n">
        <v>5</v>
      </c>
      <c r="AI1183" t="n">
        <v>5</v>
      </c>
      <c r="AJ1183" t="n">
        <v>9</v>
      </c>
      <c r="AK1183" t="n">
        <v>9</v>
      </c>
      <c r="AL1183" t="n">
        <v>3</v>
      </c>
      <c r="AM1183" t="n">
        <v>3</v>
      </c>
      <c r="AN1183" t="n">
        <v>0</v>
      </c>
      <c r="AO1183" t="n">
        <v>0</v>
      </c>
      <c r="AP1183" t="inlineStr">
        <is>
          <t>No</t>
        </is>
      </c>
      <c r="AQ1183" t="inlineStr">
        <is>
          <t>Yes</t>
        </is>
      </c>
      <c r="AR1183">
        <f>HYPERLINK("http://catalog.hathitrust.org/Record/004016171","HathiTrust Record")</f>
        <v/>
      </c>
      <c r="AS1183">
        <f>HYPERLINK("https://creighton-primo.hosted.exlibrisgroup.com/primo-explore/search?tab=default_tab&amp;search_scope=EVERYTHING&amp;vid=01CRU&amp;lang=en_US&amp;offset=0&amp;query=any,contains,991002936899702656","Catalog Record")</f>
        <v/>
      </c>
      <c r="AT1183">
        <f>HYPERLINK("http://www.worldcat.org/oclc/39069262","WorldCat Record")</f>
        <v/>
      </c>
      <c r="AU1183" t="inlineStr">
        <is>
          <t>41901076:eng</t>
        </is>
      </c>
      <c r="AV1183" t="inlineStr">
        <is>
          <t>39069262</t>
        </is>
      </c>
      <c r="AW1183" t="inlineStr">
        <is>
          <t>991002936899702656</t>
        </is>
      </c>
      <c r="AX1183" t="inlineStr">
        <is>
          <t>991002936899702656</t>
        </is>
      </c>
      <c r="AY1183" t="inlineStr">
        <is>
          <t>2259766590002656</t>
        </is>
      </c>
      <c r="AZ1183" t="inlineStr">
        <is>
          <t>BOOK</t>
        </is>
      </c>
      <c r="BB1183" t="inlineStr">
        <is>
          <t>9780842026291</t>
        </is>
      </c>
      <c r="BC1183" t="inlineStr">
        <is>
          <t>32285003631891</t>
        </is>
      </c>
      <c r="BD1183" t="inlineStr">
        <is>
          <t>893524223</t>
        </is>
      </c>
    </row>
    <row r="1184">
      <c r="A1184" t="inlineStr">
        <is>
          <t>No</t>
        </is>
      </c>
      <c r="B1184" t="inlineStr">
        <is>
          <t>E332.5 .M3 1979</t>
        </is>
      </c>
      <c r="C1184" t="inlineStr">
        <is>
          <t>0                      E  0332500M  3           1979</t>
        </is>
      </c>
      <c r="D1184" t="inlineStr">
        <is>
          <t>Thomas Jefferson as political leader / by Dumas Malone.</t>
        </is>
      </c>
      <c r="F1184" t="inlineStr">
        <is>
          <t>No</t>
        </is>
      </c>
      <c r="G1184" t="inlineStr">
        <is>
          <t>1</t>
        </is>
      </c>
      <c r="H1184" t="inlineStr">
        <is>
          <t>No</t>
        </is>
      </c>
      <c r="I1184" t="inlineStr">
        <is>
          <t>No</t>
        </is>
      </c>
      <c r="J1184" t="inlineStr">
        <is>
          <t>0</t>
        </is>
      </c>
      <c r="K1184" t="inlineStr">
        <is>
          <t>Malone, Dumas, 1892-1986.</t>
        </is>
      </c>
      <c r="L1184" t="inlineStr">
        <is>
          <t>Westport, Conn. : Greenwood Press, 1979, c1963.</t>
        </is>
      </c>
      <c r="M1184" t="inlineStr">
        <is>
          <t>1979</t>
        </is>
      </c>
      <c r="O1184" t="inlineStr">
        <is>
          <t>eng</t>
        </is>
      </c>
      <c r="P1184" t="inlineStr">
        <is>
          <t>ctu</t>
        </is>
      </c>
      <c r="R1184" t="inlineStr">
        <is>
          <t xml:space="preserve">E  </t>
        </is>
      </c>
      <c r="S1184" t="n">
        <v>3</v>
      </c>
      <c r="T1184" t="n">
        <v>3</v>
      </c>
      <c r="U1184" t="inlineStr">
        <is>
          <t>1993-11-03</t>
        </is>
      </c>
      <c r="V1184" t="inlineStr">
        <is>
          <t>1993-11-03</t>
        </is>
      </c>
      <c r="W1184" t="inlineStr">
        <is>
          <t>1990-04-04</t>
        </is>
      </c>
      <c r="X1184" t="inlineStr">
        <is>
          <t>1990-04-04</t>
        </is>
      </c>
      <c r="Y1184" t="n">
        <v>84</v>
      </c>
      <c r="Z1184" t="n">
        <v>77</v>
      </c>
      <c r="AA1184" t="n">
        <v>790</v>
      </c>
      <c r="AB1184" t="n">
        <v>1</v>
      </c>
      <c r="AC1184" t="n">
        <v>9</v>
      </c>
      <c r="AD1184" t="n">
        <v>4</v>
      </c>
      <c r="AE1184" t="n">
        <v>41</v>
      </c>
      <c r="AF1184" t="n">
        <v>1</v>
      </c>
      <c r="AG1184" t="n">
        <v>12</v>
      </c>
      <c r="AH1184" t="n">
        <v>0</v>
      </c>
      <c r="AI1184" t="n">
        <v>10</v>
      </c>
      <c r="AJ1184" t="n">
        <v>3</v>
      </c>
      <c r="AK1184" t="n">
        <v>16</v>
      </c>
      <c r="AL1184" t="n">
        <v>0</v>
      </c>
      <c r="AM1184" t="n">
        <v>7</v>
      </c>
      <c r="AN1184" t="n">
        <v>1</v>
      </c>
      <c r="AO1184" t="n">
        <v>5</v>
      </c>
      <c r="AP1184" t="inlineStr">
        <is>
          <t>No</t>
        </is>
      </c>
      <c r="AQ1184" t="inlineStr">
        <is>
          <t>No</t>
        </is>
      </c>
      <c r="AS1184">
        <f>HYPERLINK("https://creighton-primo.hosted.exlibrisgroup.com/primo-explore/search?tab=default_tab&amp;search_scope=EVERYTHING&amp;vid=01CRU&amp;lang=en_US&amp;offset=0&amp;query=any,contains,991004652929702656","Catalog Record")</f>
        <v/>
      </c>
      <c r="AT1184">
        <f>HYPERLINK("http://www.worldcat.org/oclc/4494480","WorldCat Record")</f>
        <v/>
      </c>
      <c r="AU1184" t="inlineStr">
        <is>
          <t>48374281:eng</t>
        </is>
      </c>
      <c r="AV1184" t="inlineStr">
        <is>
          <t>4494480</t>
        </is>
      </c>
      <c r="AW1184" t="inlineStr">
        <is>
          <t>991004652929702656</t>
        </is>
      </c>
      <c r="AX1184" t="inlineStr">
        <is>
          <t>991004652929702656</t>
        </is>
      </c>
      <c r="AY1184" t="inlineStr">
        <is>
          <t>2267621840002656</t>
        </is>
      </c>
      <c r="AZ1184" t="inlineStr">
        <is>
          <t>BOOK</t>
        </is>
      </c>
      <c r="BB1184" t="inlineStr">
        <is>
          <t>9780313207303</t>
        </is>
      </c>
      <c r="BC1184" t="inlineStr">
        <is>
          <t>32285000110774</t>
        </is>
      </c>
      <c r="BD1184" t="inlineStr">
        <is>
          <t>893241697</t>
        </is>
      </c>
    </row>
    <row r="1185">
      <c r="A1185" t="inlineStr">
        <is>
          <t>No</t>
        </is>
      </c>
      <c r="B1185" t="inlineStr">
        <is>
          <t>E332.74 .L36 1987</t>
        </is>
      </c>
      <c r="C1185" t="inlineStr">
        <is>
          <t>0                      E  0332740L  36          1987</t>
        </is>
      </c>
      <c r="D1185" t="inlineStr">
        <is>
          <t>Monticello, a family story / by Elizabeth Langhorne.</t>
        </is>
      </c>
      <c r="F1185" t="inlineStr">
        <is>
          <t>No</t>
        </is>
      </c>
      <c r="G1185" t="inlineStr">
        <is>
          <t>1</t>
        </is>
      </c>
      <c r="H1185" t="inlineStr">
        <is>
          <t>No</t>
        </is>
      </c>
      <c r="I1185" t="inlineStr">
        <is>
          <t>No</t>
        </is>
      </c>
      <c r="J1185" t="inlineStr">
        <is>
          <t>0</t>
        </is>
      </c>
      <c r="K1185" t="inlineStr">
        <is>
          <t>Langhorne, Elizabeth Coles.</t>
        </is>
      </c>
      <c r="L1185" t="inlineStr">
        <is>
          <t>Chapel Hill, N.C. : Algonquin Books of Chapel Hill, 1987.</t>
        </is>
      </c>
      <c r="M1185" t="inlineStr">
        <is>
          <t>1987</t>
        </is>
      </c>
      <c r="O1185" t="inlineStr">
        <is>
          <t>eng</t>
        </is>
      </c>
      <c r="P1185" t="inlineStr">
        <is>
          <t>ncu</t>
        </is>
      </c>
      <c r="R1185" t="inlineStr">
        <is>
          <t xml:space="preserve">E  </t>
        </is>
      </c>
      <c r="S1185" t="n">
        <v>2</v>
      </c>
      <c r="T1185" t="n">
        <v>2</v>
      </c>
      <c r="U1185" t="inlineStr">
        <is>
          <t>1998-03-01</t>
        </is>
      </c>
      <c r="V1185" t="inlineStr">
        <is>
          <t>1998-03-01</t>
        </is>
      </c>
      <c r="W1185" t="inlineStr">
        <is>
          <t>1991-04-16</t>
        </is>
      </c>
      <c r="X1185" t="inlineStr">
        <is>
          <t>1991-04-16</t>
        </is>
      </c>
      <c r="Y1185" t="n">
        <v>639</v>
      </c>
      <c r="Z1185" t="n">
        <v>634</v>
      </c>
      <c r="AA1185" t="n">
        <v>727</v>
      </c>
      <c r="AB1185" t="n">
        <v>2</v>
      </c>
      <c r="AC1185" t="n">
        <v>2</v>
      </c>
      <c r="AD1185" t="n">
        <v>14</v>
      </c>
      <c r="AE1185" t="n">
        <v>17</v>
      </c>
      <c r="AF1185" t="n">
        <v>5</v>
      </c>
      <c r="AG1185" t="n">
        <v>6</v>
      </c>
      <c r="AH1185" t="n">
        <v>6</v>
      </c>
      <c r="AI1185" t="n">
        <v>8</v>
      </c>
      <c r="AJ1185" t="n">
        <v>6</v>
      </c>
      <c r="AK1185" t="n">
        <v>8</v>
      </c>
      <c r="AL1185" t="n">
        <v>1</v>
      </c>
      <c r="AM1185" t="n">
        <v>1</v>
      </c>
      <c r="AN1185" t="n">
        <v>0</v>
      </c>
      <c r="AO1185" t="n">
        <v>0</v>
      </c>
      <c r="AP1185" t="inlineStr">
        <is>
          <t>No</t>
        </is>
      </c>
      <c r="AQ1185" t="inlineStr">
        <is>
          <t>Yes</t>
        </is>
      </c>
      <c r="AR1185">
        <f>HYPERLINK("http://catalog.hathitrust.org/Record/000832180","HathiTrust Record")</f>
        <v/>
      </c>
      <c r="AS1185">
        <f>HYPERLINK("https://creighton-primo.hosted.exlibrisgroup.com/primo-explore/search?tab=default_tab&amp;search_scope=EVERYTHING&amp;vid=01CRU&amp;lang=en_US&amp;offset=0&amp;query=any,contains,991000912069702656","Catalog Record")</f>
        <v/>
      </c>
      <c r="AT1185">
        <f>HYPERLINK("http://www.worldcat.org/oclc/14134937","WorldCat Record")</f>
        <v/>
      </c>
      <c r="AU1185" t="inlineStr">
        <is>
          <t>7651018:eng</t>
        </is>
      </c>
      <c r="AV1185" t="inlineStr">
        <is>
          <t>14134937</t>
        </is>
      </c>
      <c r="AW1185" t="inlineStr">
        <is>
          <t>991000912069702656</t>
        </is>
      </c>
      <c r="AX1185" t="inlineStr">
        <is>
          <t>991000912069702656</t>
        </is>
      </c>
      <c r="AY1185" t="inlineStr">
        <is>
          <t>2265863500002656</t>
        </is>
      </c>
      <c r="AZ1185" t="inlineStr">
        <is>
          <t>BOOK</t>
        </is>
      </c>
      <c r="BB1185" t="inlineStr">
        <is>
          <t>9780912697581</t>
        </is>
      </c>
      <c r="BC1185" t="inlineStr">
        <is>
          <t>32285000543313</t>
        </is>
      </c>
      <c r="BD1185" t="inlineStr">
        <is>
          <t>893589858</t>
        </is>
      </c>
    </row>
    <row r="1186">
      <c r="A1186" t="inlineStr">
        <is>
          <t>No</t>
        </is>
      </c>
      <c r="B1186" t="inlineStr">
        <is>
          <t>E332.74 .N5</t>
        </is>
      </c>
      <c r="C1186" t="inlineStr">
        <is>
          <t>0                      E  0332740N  5</t>
        </is>
      </c>
      <c r="D1186" t="inlineStr">
        <is>
          <t>Monticello / by Frederick D. Nichols and James A. Bear, Jr.</t>
        </is>
      </c>
      <c r="F1186" t="inlineStr">
        <is>
          <t>No</t>
        </is>
      </c>
      <c r="G1186" t="inlineStr">
        <is>
          <t>1</t>
        </is>
      </c>
      <c r="H1186" t="inlineStr">
        <is>
          <t>No</t>
        </is>
      </c>
      <c r="I1186" t="inlineStr">
        <is>
          <t>No</t>
        </is>
      </c>
      <c r="J1186" t="inlineStr">
        <is>
          <t>0</t>
        </is>
      </c>
      <c r="K1186" t="inlineStr">
        <is>
          <t>Nichols, Frederick Doveton.</t>
        </is>
      </c>
      <c r="L1186" t="inlineStr">
        <is>
          <t>Monticello, Va. : Thomas Jefferson Memorial Foundation, 1967.</t>
        </is>
      </c>
      <c r="M1186" t="inlineStr">
        <is>
          <t>1967</t>
        </is>
      </c>
      <c r="O1186" t="inlineStr">
        <is>
          <t>eng</t>
        </is>
      </c>
      <c r="P1186" t="inlineStr">
        <is>
          <t>vau</t>
        </is>
      </c>
      <c r="R1186" t="inlineStr">
        <is>
          <t xml:space="preserve">E  </t>
        </is>
      </c>
      <c r="S1186" t="n">
        <v>3</v>
      </c>
      <c r="T1186" t="n">
        <v>3</v>
      </c>
      <c r="U1186" t="inlineStr">
        <is>
          <t>1998-03-01</t>
        </is>
      </c>
      <c r="V1186" t="inlineStr">
        <is>
          <t>1998-03-01</t>
        </is>
      </c>
      <c r="W1186" t="inlineStr">
        <is>
          <t>1991-04-16</t>
        </is>
      </c>
      <c r="X1186" t="inlineStr">
        <is>
          <t>1991-04-16</t>
        </is>
      </c>
      <c r="Y1186" t="n">
        <v>241</v>
      </c>
      <c r="Z1186" t="n">
        <v>236</v>
      </c>
      <c r="AA1186" t="n">
        <v>339</v>
      </c>
      <c r="AB1186" t="n">
        <v>1</v>
      </c>
      <c r="AC1186" t="n">
        <v>1</v>
      </c>
      <c r="AD1186" t="n">
        <v>7</v>
      </c>
      <c r="AE1186" t="n">
        <v>7</v>
      </c>
      <c r="AF1186" t="n">
        <v>3</v>
      </c>
      <c r="AG1186" t="n">
        <v>3</v>
      </c>
      <c r="AH1186" t="n">
        <v>2</v>
      </c>
      <c r="AI1186" t="n">
        <v>2</v>
      </c>
      <c r="AJ1186" t="n">
        <v>6</v>
      </c>
      <c r="AK1186" t="n">
        <v>6</v>
      </c>
      <c r="AL1186" t="n">
        <v>0</v>
      </c>
      <c r="AM1186" t="n">
        <v>0</v>
      </c>
      <c r="AN1186" t="n">
        <v>0</v>
      </c>
      <c r="AO1186" t="n">
        <v>0</v>
      </c>
      <c r="AP1186" t="inlineStr">
        <is>
          <t>No</t>
        </is>
      </c>
      <c r="AQ1186" t="inlineStr">
        <is>
          <t>Yes</t>
        </is>
      </c>
      <c r="AR1186">
        <f>HYPERLINK("http://catalog.hathitrust.org/Record/000367202","HathiTrust Record")</f>
        <v/>
      </c>
      <c r="AS1186">
        <f>HYPERLINK("https://creighton-primo.hosted.exlibrisgroup.com/primo-explore/search?tab=default_tab&amp;search_scope=EVERYTHING&amp;vid=01CRU&amp;lang=en_US&amp;offset=0&amp;query=any,contains,991003117639702656","Catalog Record")</f>
        <v/>
      </c>
      <c r="AT1186">
        <f>HYPERLINK("http://www.worldcat.org/oclc/663875","WorldCat Record")</f>
        <v/>
      </c>
      <c r="AU1186" t="inlineStr">
        <is>
          <t>1666000:eng</t>
        </is>
      </c>
      <c r="AV1186" t="inlineStr">
        <is>
          <t>663875</t>
        </is>
      </c>
      <c r="AW1186" t="inlineStr">
        <is>
          <t>991003117639702656</t>
        </is>
      </c>
      <c r="AX1186" t="inlineStr">
        <is>
          <t>991003117639702656</t>
        </is>
      </c>
      <c r="AY1186" t="inlineStr">
        <is>
          <t>2271648720002656</t>
        </is>
      </c>
      <c r="AZ1186" t="inlineStr">
        <is>
          <t>BOOK</t>
        </is>
      </c>
      <c r="BC1186" t="inlineStr">
        <is>
          <t>32285000543339</t>
        </is>
      </c>
      <c r="BD1186" t="inlineStr">
        <is>
          <t>893899639</t>
        </is>
      </c>
    </row>
    <row r="1187">
      <c r="A1187" t="inlineStr">
        <is>
          <t>No</t>
        </is>
      </c>
      <c r="B1187" t="inlineStr">
        <is>
          <t>E332.74 .T48 2002</t>
        </is>
      </c>
      <c r="C1187" t="inlineStr">
        <is>
          <t>0                      E  0332740T  48          2002</t>
        </is>
      </c>
      <c r="D1187" t="inlineStr">
        <is>
          <t>Thomas Jefferson's Monticello.</t>
        </is>
      </c>
      <c r="F1187" t="inlineStr">
        <is>
          <t>No</t>
        </is>
      </c>
      <c r="G1187" t="inlineStr">
        <is>
          <t>1</t>
        </is>
      </c>
      <c r="H1187" t="inlineStr">
        <is>
          <t>No</t>
        </is>
      </c>
      <c r="I1187" t="inlineStr">
        <is>
          <t>No</t>
        </is>
      </c>
      <c r="J1187" t="inlineStr">
        <is>
          <t>0</t>
        </is>
      </c>
      <c r="L1187" t="inlineStr">
        <is>
          <t>Chapel Hill, N.C. : London : University of North Carolina Press, 2002.</t>
        </is>
      </c>
      <c r="M1187" t="inlineStr">
        <is>
          <t>2002</t>
        </is>
      </c>
      <c r="O1187" t="inlineStr">
        <is>
          <t>eng</t>
        </is>
      </c>
      <c r="P1187" t="inlineStr">
        <is>
          <t>ncu</t>
        </is>
      </c>
      <c r="R1187" t="inlineStr">
        <is>
          <t xml:space="preserve">E  </t>
        </is>
      </c>
      <c r="S1187" t="n">
        <v>1</v>
      </c>
      <c r="T1187" t="n">
        <v>1</v>
      </c>
      <c r="U1187" t="inlineStr">
        <is>
          <t>2002-10-16</t>
        </is>
      </c>
      <c r="V1187" t="inlineStr">
        <is>
          <t>2002-10-16</t>
        </is>
      </c>
      <c r="W1187" t="inlineStr">
        <is>
          <t>2002-06-18</t>
        </is>
      </c>
      <c r="X1187" t="inlineStr">
        <is>
          <t>2002-06-18</t>
        </is>
      </c>
      <c r="Y1187" t="n">
        <v>570</v>
      </c>
      <c r="Z1187" t="n">
        <v>554</v>
      </c>
      <c r="AA1187" t="n">
        <v>700</v>
      </c>
      <c r="AB1187" t="n">
        <v>3</v>
      </c>
      <c r="AC1187" t="n">
        <v>6</v>
      </c>
      <c r="AD1187" t="n">
        <v>9</v>
      </c>
      <c r="AE1187" t="n">
        <v>18</v>
      </c>
      <c r="AF1187" t="n">
        <v>4</v>
      </c>
      <c r="AG1187" t="n">
        <v>4</v>
      </c>
      <c r="AH1187" t="n">
        <v>2</v>
      </c>
      <c r="AI1187" t="n">
        <v>7</v>
      </c>
      <c r="AJ1187" t="n">
        <v>4</v>
      </c>
      <c r="AK1187" t="n">
        <v>7</v>
      </c>
      <c r="AL1187" t="n">
        <v>1</v>
      </c>
      <c r="AM1187" t="n">
        <v>4</v>
      </c>
      <c r="AN1187" t="n">
        <v>0</v>
      </c>
      <c r="AO1187" t="n">
        <v>0</v>
      </c>
      <c r="AP1187" t="inlineStr">
        <is>
          <t>No</t>
        </is>
      </c>
      <c r="AQ1187" t="inlineStr">
        <is>
          <t>No</t>
        </is>
      </c>
      <c r="AS1187">
        <f>HYPERLINK("https://creighton-primo.hosted.exlibrisgroup.com/primo-explore/search?tab=default_tab&amp;search_scope=EVERYTHING&amp;vid=01CRU&amp;lang=en_US&amp;offset=0&amp;query=any,contains,991003755429702656","Catalog Record")</f>
        <v/>
      </c>
      <c r="AT1187">
        <f>HYPERLINK("http://www.worldcat.org/oclc/50291085","WorldCat Record")</f>
        <v/>
      </c>
      <c r="AU1187" t="inlineStr">
        <is>
          <t>353900601:eng</t>
        </is>
      </c>
      <c r="AV1187" t="inlineStr">
        <is>
          <t>50291085</t>
        </is>
      </c>
      <c r="AW1187" t="inlineStr">
        <is>
          <t>991003755429702656</t>
        </is>
      </c>
      <c r="AX1187" t="inlineStr">
        <is>
          <t>991003755429702656</t>
        </is>
      </c>
      <c r="AY1187" t="inlineStr">
        <is>
          <t>2258491670002656</t>
        </is>
      </c>
      <c r="AZ1187" t="inlineStr">
        <is>
          <t>BOOK</t>
        </is>
      </c>
      <c r="BB1187" t="inlineStr">
        <is>
          <t>9781882886180</t>
        </is>
      </c>
      <c r="BC1187" t="inlineStr">
        <is>
          <t>32285004495171</t>
        </is>
      </c>
      <c r="BD1187" t="inlineStr">
        <is>
          <t>893627751</t>
        </is>
      </c>
    </row>
    <row r="1188">
      <c r="A1188" t="inlineStr">
        <is>
          <t>No</t>
        </is>
      </c>
      <c r="B1188" t="inlineStr">
        <is>
          <t>E332.745 .S53 1995</t>
        </is>
      </c>
      <c r="C1188" t="inlineStr">
        <is>
          <t>0                      E  0332745S  53          1995</t>
        </is>
      </c>
      <c r="D1188" t="inlineStr">
        <is>
          <t>Thomas Jefferson's travels in Europe, 1784-1789 : a synthesis of his travel accounts and correspondence as well as those of some of his contemporaries / George Green Shackelford.</t>
        </is>
      </c>
      <c r="F1188" t="inlineStr">
        <is>
          <t>No</t>
        </is>
      </c>
      <c r="G1188" t="inlineStr">
        <is>
          <t>1</t>
        </is>
      </c>
      <c r="H1188" t="inlineStr">
        <is>
          <t>No</t>
        </is>
      </c>
      <c r="I1188" t="inlineStr">
        <is>
          <t>No</t>
        </is>
      </c>
      <c r="J1188" t="inlineStr">
        <is>
          <t>0</t>
        </is>
      </c>
      <c r="K1188" t="inlineStr">
        <is>
          <t>Shackelford, George Green.</t>
        </is>
      </c>
      <c r="L1188" t="inlineStr">
        <is>
          <t>Baltimore : Johns Hopkins University Press, c1995.</t>
        </is>
      </c>
      <c r="M1188" t="inlineStr">
        <is>
          <t>1995</t>
        </is>
      </c>
      <c r="O1188" t="inlineStr">
        <is>
          <t>eng</t>
        </is>
      </c>
      <c r="P1188" t="inlineStr">
        <is>
          <t>mdu</t>
        </is>
      </c>
      <c r="R1188" t="inlineStr">
        <is>
          <t xml:space="preserve">E  </t>
        </is>
      </c>
      <c r="S1188" t="n">
        <v>3</v>
      </c>
      <c r="T1188" t="n">
        <v>3</v>
      </c>
      <c r="U1188" t="inlineStr">
        <is>
          <t>1995-04-13</t>
        </is>
      </c>
      <c r="V1188" t="inlineStr">
        <is>
          <t>1995-04-13</t>
        </is>
      </c>
      <c r="W1188" t="inlineStr">
        <is>
          <t>1995-04-13</t>
        </is>
      </c>
      <c r="X1188" t="inlineStr">
        <is>
          <t>1995-04-13</t>
        </is>
      </c>
      <c r="Y1188" t="n">
        <v>526</v>
      </c>
      <c r="Z1188" t="n">
        <v>463</v>
      </c>
      <c r="AA1188" t="n">
        <v>465</v>
      </c>
      <c r="AB1188" t="n">
        <v>2</v>
      </c>
      <c r="AC1188" t="n">
        <v>2</v>
      </c>
      <c r="AD1188" t="n">
        <v>24</v>
      </c>
      <c r="AE1188" t="n">
        <v>24</v>
      </c>
      <c r="AF1188" t="n">
        <v>9</v>
      </c>
      <c r="AG1188" t="n">
        <v>9</v>
      </c>
      <c r="AH1188" t="n">
        <v>5</v>
      </c>
      <c r="AI1188" t="n">
        <v>5</v>
      </c>
      <c r="AJ1188" t="n">
        <v>16</v>
      </c>
      <c r="AK1188" t="n">
        <v>16</v>
      </c>
      <c r="AL1188" t="n">
        <v>1</v>
      </c>
      <c r="AM1188" t="n">
        <v>1</v>
      </c>
      <c r="AN1188" t="n">
        <v>0</v>
      </c>
      <c r="AO1188" t="n">
        <v>0</v>
      </c>
      <c r="AP1188" t="inlineStr">
        <is>
          <t>No</t>
        </is>
      </c>
      <c r="AQ1188" t="inlineStr">
        <is>
          <t>Yes</t>
        </is>
      </c>
      <c r="AR1188">
        <f>HYPERLINK("http://catalog.hathitrust.org/Record/002969755","HathiTrust Record")</f>
        <v/>
      </c>
      <c r="AS1188">
        <f>HYPERLINK("https://creighton-primo.hosted.exlibrisgroup.com/primo-explore/search?tab=default_tab&amp;search_scope=EVERYTHING&amp;vid=01CRU&amp;lang=en_US&amp;offset=0&amp;query=any,contains,991002386879702656","Catalog Record")</f>
        <v/>
      </c>
      <c r="AT1188">
        <f>HYPERLINK("http://www.worldcat.org/oclc/31011823","WorldCat Record")</f>
        <v/>
      </c>
      <c r="AU1188" t="inlineStr">
        <is>
          <t>641371:eng</t>
        </is>
      </c>
      <c r="AV1188" t="inlineStr">
        <is>
          <t>31011823</t>
        </is>
      </c>
      <c r="AW1188" t="inlineStr">
        <is>
          <t>991002386879702656</t>
        </is>
      </c>
      <c r="AX1188" t="inlineStr">
        <is>
          <t>991002386879702656</t>
        </is>
      </c>
      <c r="AY1188" t="inlineStr">
        <is>
          <t>2266094010002656</t>
        </is>
      </c>
      <c r="AZ1188" t="inlineStr">
        <is>
          <t>BOOK</t>
        </is>
      </c>
      <c r="BC1188" t="inlineStr">
        <is>
          <t>32285000617802</t>
        </is>
      </c>
      <c r="BD1188" t="inlineStr">
        <is>
          <t>893347441</t>
        </is>
      </c>
    </row>
    <row r="1189">
      <c r="A1189" t="inlineStr">
        <is>
          <t>No</t>
        </is>
      </c>
      <c r="B1189" t="inlineStr">
        <is>
          <t>E332.76 .B68 1983</t>
        </is>
      </c>
      <c r="C1189" t="inlineStr">
        <is>
          <t>0                      E  0332760B  68          1983</t>
        </is>
      </c>
      <c r="D1189" t="inlineStr">
        <is>
          <t>The heritage of Jefferson / Claude G. Bowers, Earl Browder, Francis Franklin.</t>
        </is>
      </c>
      <c r="F1189" t="inlineStr">
        <is>
          <t>No</t>
        </is>
      </c>
      <c r="G1189" t="inlineStr">
        <is>
          <t>1</t>
        </is>
      </c>
      <c r="H1189" t="inlineStr">
        <is>
          <t>No</t>
        </is>
      </c>
      <c r="I1189" t="inlineStr">
        <is>
          <t>No</t>
        </is>
      </c>
      <c r="J1189" t="inlineStr">
        <is>
          <t>0</t>
        </is>
      </c>
      <c r="K1189" t="inlineStr">
        <is>
          <t>Bowers, Claude G. (Claude Gernade), 1879-1958.</t>
        </is>
      </c>
      <c r="L1189" t="inlineStr">
        <is>
          <t>Westport, Conn. : Greenwood Press, 1983, c1944.</t>
        </is>
      </c>
      <c r="M1189" t="inlineStr">
        <is>
          <t>1983</t>
        </is>
      </c>
      <c r="O1189" t="inlineStr">
        <is>
          <t>eng</t>
        </is>
      </c>
      <c r="P1189" t="inlineStr">
        <is>
          <t>ctu</t>
        </is>
      </c>
      <c r="R1189" t="inlineStr">
        <is>
          <t xml:space="preserve">E  </t>
        </is>
      </c>
      <c r="S1189" t="n">
        <v>6</v>
      </c>
      <c r="T1189" t="n">
        <v>6</v>
      </c>
      <c r="U1189" t="inlineStr">
        <is>
          <t>2000-10-26</t>
        </is>
      </c>
      <c r="V1189" t="inlineStr">
        <is>
          <t>2000-10-26</t>
        </is>
      </c>
      <c r="W1189" t="inlineStr">
        <is>
          <t>1991-04-16</t>
        </is>
      </c>
      <c r="X1189" t="inlineStr">
        <is>
          <t>1991-04-16</t>
        </is>
      </c>
      <c r="Y1189" t="n">
        <v>74</v>
      </c>
      <c r="Z1189" t="n">
        <v>70</v>
      </c>
      <c r="AA1189" t="n">
        <v>109</v>
      </c>
      <c r="AB1189" t="n">
        <v>1</v>
      </c>
      <c r="AC1189" t="n">
        <v>1</v>
      </c>
      <c r="AD1189" t="n">
        <v>6</v>
      </c>
      <c r="AE1189" t="n">
        <v>7</v>
      </c>
      <c r="AF1189" t="n">
        <v>1</v>
      </c>
      <c r="AG1189" t="n">
        <v>1</v>
      </c>
      <c r="AH1189" t="n">
        <v>2</v>
      </c>
      <c r="AI1189" t="n">
        <v>3</v>
      </c>
      <c r="AJ1189" t="n">
        <v>3</v>
      </c>
      <c r="AK1189" t="n">
        <v>3</v>
      </c>
      <c r="AL1189" t="n">
        <v>0</v>
      </c>
      <c r="AM1189" t="n">
        <v>0</v>
      </c>
      <c r="AN1189" t="n">
        <v>2</v>
      </c>
      <c r="AO1189" t="n">
        <v>2</v>
      </c>
      <c r="AP1189" t="inlineStr">
        <is>
          <t>No</t>
        </is>
      </c>
      <c r="AQ1189" t="inlineStr">
        <is>
          <t>No</t>
        </is>
      </c>
      <c r="AS1189">
        <f>HYPERLINK("https://creighton-primo.hosted.exlibrisgroup.com/primo-explore/search?tab=default_tab&amp;search_scope=EVERYTHING&amp;vid=01CRU&amp;lang=en_US&amp;offset=0&amp;query=any,contains,991000131609702656","Catalog Record")</f>
        <v/>
      </c>
      <c r="AT1189">
        <f>HYPERLINK("http://www.worldcat.org/oclc/9111620","WorldCat Record")</f>
        <v/>
      </c>
      <c r="AU1189" t="inlineStr">
        <is>
          <t>2605114:eng</t>
        </is>
      </c>
      <c r="AV1189" t="inlineStr">
        <is>
          <t>9111620</t>
        </is>
      </c>
      <c r="AW1189" t="inlineStr">
        <is>
          <t>991000131609702656</t>
        </is>
      </c>
      <c r="AX1189" t="inlineStr">
        <is>
          <t>991000131609702656</t>
        </is>
      </c>
      <c r="AY1189" t="inlineStr">
        <is>
          <t>2266778260002656</t>
        </is>
      </c>
      <c r="AZ1189" t="inlineStr">
        <is>
          <t>BOOK</t>
        </is>
      </c>
      <c r="BB1189" t="inlineStr">
        <is>
          <t>9780313238390</t>
        </is>
      </c>
      <c r="BC1189" t="inlineStr">
        <is>
          <t>32285000543347</t>
        </is>
      </c>
      <c r="BD1189" t="inlineStr">
        <is>
          <t>893495949</t>
        </is>
      </c>
    </row>
    <row r="1190">
      <c r="A1190" t="inlineStr">
        <is>
          <t>No</t>
        </is>
      </c>
      <c r="B1190" t="inlineStr">
        <is>
          <t>E332.79 .B76 1998</t>
        </is>
      </c>
      <c r="C1190" t="inlineStr">
        <is>
          <t>0                      E  0332790B  76          1998</t>
        </is>
      </c>
      <c r="D1190" t="inlineStr">
        <is>
          <t>Thomas Jefferson, a biographical companion / David S. Brown.</t>
        </is>
      </c>
      <c r="F1190" t="inlineStr">
        <is>
          <t>No</t>
        </is>
      </c>
      <c r="G1190" t="inlineStr">
        <is>
          <t>1</t>
        </is>
      </c>
      <c r="H1190" t="inlineStr">
        <is>
          <t>No</t>
        </is>
      </c>
      <c r="I1190" t="inlineStr">
        <is>
          <t>No</t>
        </is>
      </c>
      <c r="J1190" t="inlineStr">
        <is>
          <t>0</t>
        </is>
      </c>
      <c r="K1190" t="inlineStr">
        <is>
          <t>Brown, David S. (David Scott), 1966-</t>
        </is>
      </c>
      <c r="L1190" t="inlineStr">
        <is>
          <t>Santa Barbara, Calif. : ABC-CLIO, c1998.</t>
        </is>
      </c>
      <c r="M1190" t="inlineStr">
        <is>
          <t>1998</t>
        </is>
      </c>
      <c r="O1190" t="inlineStr">
        <is>
          <t>eng</t>
        </is>
      </c>
      <c r="P1190" t="inlineStr">
        <is>
          <t>cau</t>
        </is>
      </c>
      <c r="Q1190" t="inlineStr">
        <is>
          <t>ABC-CLIO biographical companion</t>
        </is>
      </c>
      <c r="R1190" t="inlineStr">
        <is>
          <t xml:space="preserve">E  </t>
        </is>
      </c>
      <c r="S1190" t="n">
        <v>1</v>
      </c>
      <c r="T1190" t="n">
        <v>1</v>
      </c>
      <c r="U1190" t="inlineStr">
        <is>
          <t>2002-05-05</t>
        </is>
      </c>
      <c r="V1190" t="inlineStr">
        <is>
          <t>2002-05-05</t>
        </is>
      </c>
      <c r="W1190" t="inlineStr">
        <is>
          <t>1999-01-11</t>
        </is>
      </c>
      <c r="X1190" t="inlineStr">
        <is>
          <t>1999-01-11</t>
        </is>
      </c>
      <c r="Y1190" t="n">
        <v>448</v>
      </c>
      <c r="Z1190" t="n">
        <v>417</v>
      </c>
      <c r="AA1190" t="n">
        <v>424</v>
      </c>
      <c r="AB1190" t="n">
        <v>3</v>
      </c>
      <c r="AC1190" t="n">
        <v>3</v>
      </c>
      <c r="AD1190" t="n">
        <v>15</v>
      </c>
      <c r="AE1190" t="n">
        <v>15</v>
      </c>
      <c r="AF1190" t="n">
        <v>4</v>
      </c>
      <c r="AG1190" t="n">
        <v>4</v>
      </c>
      <c r="AH1190" t="n">
        <v>6</v>
      </c>
      <c r="AI1190" t="n">
        <v>6</v>
      </c>
      <c r="AJ1190" t="n">
        <v>9</v>
      </c>
      <c r="AK1190" t="n">
        <v>9</v>
      </c>
      <c r="AL1190" t="n">
        <v>2</v>
      </c>
      <c r="AM1190" t="n">
        <v>2</v>
      </c>
      <c r="AN1190" t="n">
        <v>0</v>
      </c>
      <c r="AO1190" t="n">
        <v>0</v>
      </c>
      <c r="AP1190" t="inlineStr">
        <is>
          <t>No</t>
        </is>
      </c>
      <c r="AQ1190" t="inlineStr">
        <is>
          <t>Yes</t>
        </is>
      </c>
      <c r="AR1190">
        <f>HYPERLINK("http://catalog.hathitrust.org/Record/004013826","HathiTrust Record")</f>
        <v/>
      </c>
      <c r="AS1190">
        <f>HYPERLINK("https://creighton-primo.hosted.exlibrisgroup.com/primo-explore/search?tab=default_tab&amp;search_scope=EVERYTHING&amp;vid=01CRU&amp;lang=en_US&amp;offset=0&amp;query=any,contains,991002943229702656","Catalog Record")</f>
        <v/>
      </c>
      <c r="AT1190">
        <f>HYPERLINK("http://www.worldcat.org/oclc/39189767","WorldCat Record")</f>
        <v/>
      </c>
      <c r="AU1190" t="inlineStr">
        <is>
          <t>42457261:eng</t>
        </is>
      </c>
      <c r="AV1190" t="inlineStr">
        <is>
          <t>39189767</t>
        </is>
      </c>
      <c r="AW1190" t="inlineStr">
        <is>
          <t>991002943229702656</t>
        </is>
      </c>
      <c r="AX1190" t="inlineStr">
        <is>
          <t>991002943229702656</t>
        </is>
      </c>
      <c r="AY1190" t="inlineStr">
        <is>
          <t>2257829990002656</t>
        </is>
      </c>
      <c r="AZ1190" t="inlineStr">
        <is>
          <t>BOOK</t>
        </is>
      </c>
      <c r="BB1190" t="inlineStr">
        <is>
          <t>9780874369496</t>
        </is>
      </c>
      <c r="BC1190" t="inlineStr">
        <is>
          <t>32285003511234</t>
        </is>
      </c>
      <c r="BD1190" t="inlineStr">
        <is>
          <t>893530670</t>
        </is>
      </c>
    </row>
    <row r="1191">
      <c r="A1191" t="inlineStr">
        <is>
          <t>No</t>
        </is>
      </c>
      <c r="B1191" t="inlineStr">
        <is>
          <t>E332.86 .J44 1977</t>
        </is>
      </c>
      <c r="C1191" t="inlineStr">
        <is>
          <t>0                      E  0332860J  44          1977</t>
        </is>
      </c>
      <c r="D1191" t="inlineStr">
        <is>
          <t>The essence of Jefferson / Martin A. Larson.</t>
        </is>
      </c>
      <c r="F1191" t="inlineStr">
        <is>
          <t>No</t>
        </is>
      </c>
      <c r="G1191" t="inlineStr">
        <is>
          <t>1</t>
        </is>
      </c>
      <c r="H1191" t="inlineStr">
        <is>
          <t>No</t>
        </is>
      </c>
      <c r="I1191" t="inlineStr">
        <is>
          <t>No</t>
        </is>
      </c>
      <c r="J1191" t="inlineStr">
        <is>
          <t>0</t>
        </is>
      </c>
      <c r="K1191" t="inlineStr">
        <is>
          <t>Jefferson, Thomas, 1743-1826.</t>
        </is>
      </c>
      <c r="L1191" t="inlineStr">
        <is>
          <t>Washington, N. Y. : J. Binns, 1977.</t>
        </is>
      </c>
      <c r="M1191" t="inlineStr">
        <is>
          <t>1977</t>
        </is>
      </c>
      <c r="O1191" t="inlineStr">
        <is>
          <t>eng</t>
        </is>
      </c>
      <c r="P1191" t="inlineStr">
        <is>
          <t>nyu</t>
        </is>
      </c>
      <c r="R1191" t="inlineStr">
        <is>
          <t xml:space="preserve">E  </t>
        </is>
      </c>
      <c r="S1191" t="n">
        <v>4</v>
      </c>
      <c r="T1191" t="n">
        <v>4</v>
      </c>
      <c r="U1191" t="inlineStr">
        <is>
          <t>2005-09-21</t>
        </is>
      </c>
      <c r="V1191" t="inlineStr">
        <is>
          <t>2005-09-21</t>
        </is>
      </c>
      <c r="W1191" t="inlineStr">
        <is>
          <t>1990-03-06</t>
        </is>
      </c>
      <c r="X1191" t="inlineStr">
        <is>
          <t>1990-03-06</t>
        </is>
      </c>
      <c r="Y1191" t="n">
        <v>120</v>
      </c>
      <c r="Z1191" t="n">
        <v>116</v>
      </c>
      <c r="AA1191" t="n">
        <v>122</v>
      </c>
      <c r="AB1191" t="n">
        <v>2</v>
      </c>
      <c r="AC1191" t="n">
        <v>2</v>
      </c>
      <c r="AD1191" t="n">
        <v>4</v>
      </c>
      <c r="AE1191" t="n">
        <v>4</v>
      </c>
      <c r="AF1191" t="n">
        <v>1</v>
      </c>
      <c r="AG1191" t="n">
        <v>1</v>
      </c>
      <c r="AH1191" t="n">
        <v>1</v>
      </c>
      <c r="AI1191" t="n">
        <v>1</v>
      </c>
      <c r="AJ1191" t="n">
        <v>2</v>
      </c>
      <c r="AK1191" t="n">
        <v>2</v>
      </c>
      <c r="AL1191" t="n">
        <v>1</v>
      </c>
      <c r="AM1191" t="n">
        <v>1</v>
      </c>
      <c r="AN1191" t="n">
        <v>1</v>
      </c>
      <c r="AO1191" t="n">
        <v>1</v>
      </c>
      <c r="AP1191" t="inlineStr">
        <is>
          <t>No</t>
        </is>
      </c>
      <c r="AQ1191" t="inlineStr">
        <is>
          <t>No</t>
        </is>
      </c>
      <c r="AS1191">
        <f>HYPERLINK("https://creighton-primo.hosted.exlibrisgroup.com/primo-explore/search?tab=default_tab&amp;search_scope=EVERYTHING&amp;vid=01CRU&amp;lang=en_US&amp;offset=0&amp;query=any,contains,991004577139702656","Catalog Record")</f>
        <v/>
      </c>
      <c r="AT1191">
        <f>HYPERLINK("http://www.worldcat.org/oclc/4047024","WorldCat Record")</f>
        <v/>
      </c>
      <c r="AU1191" t="inlineStr">
        <is>
          <t>14378815:eng</t>
        </is>
      </c>
      <c r="AV1191" t="inlineStr">
        <is>
          <t>4047024</t>
        </is>
      </c>
      <c r="AW1191" t="inlineStr">
        <is>
          <t>991004577139702656</t>
        </is>
      </c>
      <c r="AX1191" t="inlineStr">
        <is>
          <t>991004577139702656</t>
        </is>
      </c>
      <c r="AY1191" t="inlineStr">
        <is>
          <t>2269180760002656</t>
        </is>
      </c>
      <c r="AZ1191" t="inlineStr">
        <is>
          <t>BOOK</t>
        </is>
      </c>
      <c r="BB1191" t="inlineStr">
        <is>
          <t>9780896740006</t>
        </is>
      </c>
      <c r="BC1191" t="inlineStr">
        <is>
          <t>32285000078153</t>
        </is>
      </c>
      <c r="BD1191" t="inlineStr">
        <is>
          <t>893624867</t>
        </is>
      </c>
    </row>
    <row r="1192">
      <c r="A1192" t="inlineStr">
        <is>
          <t>No</t>
        </is>
      </c>
      <c r="B1192" t="inlineStr">
        <is>
          <t>E332.88 .C67 1999</t>
        </is>
      </c>
      <c r="C1192" t="inlineStr">
        <is>
          <t>0                      E  0332880C  67          1999</t>
        </is>
      </c>
      <c r="D1192" t="inlineStr">
        <is>
          <t>Jefferson in love : the love letters between Thomas Jefferson &amp; Maria Cosway / edited by John P. Kaminski.</t>
        </is>
      </c>
      <c r="F1192" t="inlineStr">
        <is>
          <t>No</t>
        </is>
      </c>
      <c r="G1192" t="inlineStr">
        <is>
          <t>1</t>
        </is>
      </c>
      <c r="H1192" t="inlineStr">
        <is>
          <t>No</t>
        </is>
      </c>
      <c r="I1192" t="inlineStr">
        <is>
          <t>No</t>
        </is>
      </c>
      <c r="J1192" t="inlineStr">
        <is>
          <t>0</t>
        </is>
      </c>
      <c r="K1192" t="inlineStr">
        <is>
          <t>Jefferson, Thomas, 1743-1826.</t>
        </is>
      </c>
      <c r="L1192" t="inlineStr">
        <is>
          <t>Madison, WI : Madison House, 1999.</t>
        </is>
      </c>
      <c r="M1192" t="inlineStr">
        <is>
          <t>1999</t>
        </is>
      </c>
      <c r="N1192" t="inlineStr">
        <is>
          <t>1st ed.</t>
        </is>
      </c>
      <c r="O1192" t="inlineStr">
        <is>
          <t>eng</t>
        </is>
      </c>
      <c r="P1192" t="inlineStr">
        <is>
          <t>wiu</t>
        </is>
      </c>
      <c r="R1192" t="inlineStr">
        <is>
          <t xml:space="preserve">E  </t>
        </is>
      </c>
      <c r="S1192" t="n">
        <v>1</v>
      </c>
      <c r="T1192" t="n">
        <v>1</v>
      </c>
      <c r="U1192" t="inlineStr">
        <is>
          <t>2003-01-28</t>
        </is>
      </c>
      <c r="V1192" t="inlineStr">
        <is>
          <t>2003-01-28</t>
        </is>
      </c>
      <c r="W1192" t="inlineStr">
        <is>
          <t>1999-03-11</t>
        </is>
      </c>
      <c r="X1192" t="inlineStr">
        <is>
          <t>1999-03-11</t>
        </is>
      </c>
      <c r="Y1192" t="n">
        <v>231</v>
      </c>
      <c r="Z1192" t="n">
        <v>225</v>
      </c>
      <c r="AA1192" t="n">
        <v>236</v>
      </c>
      <c r="AB1192" t="n">
        <v>3</v>
      </c>
      <c r="AC1192" t="n">
        <v>3</v>
      </c>
      <c r="AD1192" t="n">
        <v>16</v>
      </c>
      <c r="AE1192" t="n">
        <v>16</v>
      </c>
      <c r="AF1192" t="n">
        <v>5</v>
      </c>
      <c r="AG1192" t="n">
        <v>5</v>
      </c>
      <c r="AH1192" t="n">
        <v>4</v>
      </c>
      <c r="AI1192" t="n">
        <v>4</v>
      </c>
      <c r="AJ1192" t="n">
        <v>8</v>
      </c>
      <c r="AK1192" t="n">
        <v>8</v>
      </c>
      <c r="AL1192" t="n">
        <v>2</v>
      </c>
      <c r="AM1192" t="n">
        <v>2</v>
      </c>
      <c r="AN1192" t="n">
        <v>0</v>
      </c>
      <c r="AO1192" t="n">
        <v>0</v>
      </c>
      <c r="AP1192" t="inlineStr">
        <is>
          <t>No</t>
        </is>
      </c>
      <c r="AQ1192" t="inlineStr">
        <is>
          <t>Yes</t>
        </is>
      </c>
      <c r="AR1192">
        <f>HYPERLINK("http://catalog.hathitrust.org/Record/004022316","HathiTrust Record")</f>
        <v/>
      </c>
      <c r="AS1192">
        <f>HYPERLINK("https://creighton-primo.hosted.exlibrisgroup.com/primo-explore/search?tab=default_tab&amp;search_scope=EVERYTHING&amp;vid=01CRU&amp;lang=en_US&amp;offset=0&amp;query=any,contains,991002987539702656","Catalog Record")</f>
        <v/>
      </c>
      <c r="AT1192">
        <f>HYPERLINK("http://www.worldcat.org/oclc/40268733","WorldCat Record")</f>
        <v/>
      </c>
      <c r="AU1192" t="inlineStr">
        <is>
          <t>660043:eng</t>
        </is>
      </c>
      <c r="AV1192" t="inlineStr">
        <is>
          <t>40268733</t>
        </is>
      </c>
      <c r="AW1192" t="inlineStr">
        <is>
          <t>991002987539702656</t>
        </is>
      </c>
      <c r="AX1192" t="inlineStr">
        <is>
          <t>991002987539702656</t>
        </is>
      </c>
      <c r="AY1192" t="inlineStr">
        <is>
          <t>2256920940002656</t>
        </is>
      </c>
      <c r="AZ1192" t="inlineStr">
        <is>
          <t>BOOK</t>
        </is>
      </c>
      <c r="BB1192" t="inlineStr">
        <is>
          <t>9780945612568</t>
        </is>
      </c>
      <c r="BC1192" t="inlineStr">
        <is>
          <t>32285003531216</t>
        </is>
      </c>
      <c r="BD1192" t="inlineStr">
        <is>
          <t>893887003</t>
        </is>
      </c>
    </row>
    <row r="1193">
      <c r="A1193" t="inlineStr">
        <is>
          <t>No</t>
        </is>
      </c>
      <c r="B1193" t="inlineStr">
        <is>
          <t>E333 .C465 2003</t>
        </is>
      </c>
      <c r="C1193" t="inlineStr">
        <is>
          <t>0                      E  0333000C  465         2003</t>
        </is>
      </c>
      <c r="D1193" t="inlineStr">
        <is>
          <t>Jefferson's great gamble : the remarkable story of Jefferson, Napoleon and the men behind the Louisiana Purchase / Charles A. Cerami.</t>
        </is>
      </c>
      <c r="F1193" t="inlineStr">
        <is>
          <t>No</t>
        </is>
      </c>
      <c r="G1193" t="inlineStr">
        <is>
          <t>1</t>
        </is>
      </c>
      <c r="H1193" t="inlineStr">
        <is>
          <t>No</t>
        </is>
      </c>
      <c r="I1193" t="inlineStr">
        <is>
          <t>No</t>
        </is>
      </c>
      <c r="J1193" t="inlineStr">
        <is>
          <t>0</t>
        </is>
      </c>
      <c r="K1193" t="inlineStr">
        <is>
          <t>Cerami, Charles A.</t>
        </is>
      </c>
      <c r="L1193" t="inlineStr">
        <is>
          <t>Naperville, Ill. : Sourcebooks, c2003.</t>
        </is>
      </c>
      <c r="M1193" t="inlineStr">
        <is>
          <t>2003</t>
        </is>
      </c>
      <c r="O1193" t="inlineStr">
        <is>
          <t>eng</t>
        </is>
      </c>
      <c r="P1193" t="inlineStr">
        <is>
          <t>ilu</t>
        </is>
      </c>
      <c r="R1193" t="inlineStr">
        <is>
          <t xml:space="preserve">E  </t>
        </is>
      </c>
      <c r="S1193" t="n">
        <v>2</v>
      </c>
      <c r="T1193" t="n">
        <v>2</v>
      </c>
      <c r="U1193" t="inlineStr">
        <is>
          <t>2003-04-01</t>
        </is>
      </c>
      <c r="V1193" t="inlineStr">
        <is>
          <t>2003-04-01</t>
        </is>
      </c>
      <c r="W1193" t="inlineStr">
        <is>
          <t>2003-03-11</t>
        </is>
      </c>
      <c r="X1193" t="inlineStr">
        <is>
          <t>2003-03-11</t>
        </is>
      </c>
      <c r="Y1193" t="n">
        <v>1328</v>
      </c>
      <c r="Z1193" t="n">
        <v>1307</v>
      </c>
      <c r="AA1193" t="n">
        <v>1385</v>
      </c>
      <c r="AB1193" t="n">
        <v>16</v>
      </c>
      <c r="AC1193" t="n">
        <v>16</v>
      </c>
      <c r="AD1193" t="n">
        <v>25</v>
      </c>
      <c r="AE1193" t="n">
        <v>26</v>
      </c>
      <c r="AF1193" t="n">
        <v>7</v>
      </c>
      <c r="AG1193" t="n">
        <v>8</v>
      </c>
      <c r="AH1193" t="n">
        <v>4</v>
      </c>
      <c r="AI1193" t="n">
        <v>5</v>
      </c>
      <c r="AJ1193" t="n">
        <v>9</v>
      </c>
      <c r="AK1193" t="n">
        <v>9</v>
      </c>
      <c r="AL1193" t="n">
        <v>7</v>
      </c>
      <c r="AM1193" t="n">
        <v>7</v>
      </c>
      <c r="AN1193" t="n">
        <v>0</v>
      </c>
      <c r="AO1193" t="n">
        <v>0</v>
      </c>
      <c r="AP1193" t="inlineStr">
        <is>
          <t>No</t>
        </is>
      </c>
      <c r="AQ1193" t="inlineStr">
        <is>
          <t>Yes</t>
        </is>
      </c>
      <c r="AR1193">
        <f>HYPERLINK("http://catalog.hathitrust.org/Record/008989342","HathiTrust Record")</f>
        <v/>
      </c>
      <c r="AS1193">
        <f>HYPERLINK("https://creighton-primo.hosted.exlibrisgroup.com/primo-explore/search?tab=default_tab&amp;search_scope=EVERYTHING&amp;vid=01CRU&amp;lang=en_US&amp;offset=0&amp;query=any,contains,991004002519702656","Catalog Record")</f>
        <v/>
      </c>
      <c r="AT1193">
        <f>HYPERLINK("http://www.worldcat.org/oclc/50960773","WorldCat Record")</f>
        <v/>
      </c>
      <c r="AU1193" t="inlineStr">
        <is>
          <t>793879330:eng</t>
        </is>
      </c>
      <c r="AV1193" t="inlineStr">
        <is>
          <t>50960773</t>
        </is>
      </c>
      <c r="AW1193" t="inlineStr">
        <is>
          <t>991004002519702656</t>
        </is>
      </c>
      <c r="AX1193" t="inlineStr">
        <is>
          <t>991004002519702656</t>
        </is>
      </c>
      <c r="AY1193" t="inlineStr">
        <is>
          <t>2256157760002656</t>
        </is>
      </c>
      <c r="AZ1193" t="inlineStr">
        <is>
          <t>BOOK</t>
        </is>
      </c>
      <c r="BB1193" t="inlineStr">
        <is>
          <t>9781570719455</t>
        </is>
      </c>
      <c r="BC1193" t="inlineStr">
        <is>
          <t>32285004683602</t>
        </is>
      </c>
      <c r="BD1193" t="inlineStr">
        <is>
          <t>893900669</t>
        </is>
      </c>
    </row>
    <row r="1194">
      <c r="A1194" t="inlineStr">
        <is>
          <t>No</t>
        </is>
      </c>
      <c r="B1194" t="inlineStr">
        <is>
          <t>E335 .B256</t>
        </is>
      </c>
      <c r="C1194" t="inlineStr">
        <is>
          <t>0                      E  0335000B  256</t>
        </is>
      </c>
      <c r="D1194" t="inlineStr">
        <is>
          <t>The tragic career of Commodore James Barron, U.S. Navy (1769-1851) by Paul Barron Watson.</t>
        </is>
      </c>
      <c r="F1194" t="inlineStr">
        <is>
          <t>No</t>
        </is>
      </c>
      <c r="G1194" t="inlineStr">
        <is>
          <t>1</t>
        </is>
      </c>
      <c r="H1194" t="inlineStr">
        <is>
          <t>No</t>
        </is>
      </c>
      <c r="I1194" t="inlineStr">
        <is>
          <t>No</t>
        </is>
      </c>
      <c r="J1194" t="inlineStr">
        <is>
          <t>0</t>
        </is>
      </c>
      <c r="K1194" t="inlineStr">
        <is>
          <t>Watson, Paul Barron, 1861-1948.</t>
        </is>
      </c>
      <c r="L1194" t="inlineStr">
        <is>
          <t>New York, Coward-McCann, Inc. [1942]</t>
        </is>
      </c>
      <c r="M1194" t="inlineStr">
        <is>
          <t>1942</t>
        </is>
      </c>
      <c r="O1194" t="inlineStr">
        <is>
          <t>eng</t>
        </is>
      </c>
      <c r="P1194" t="inlineStr">
        <is>
          <t>nyu</t>
        </is>
      </c>
      <c r="R1194" t="inlineStr">
        <is>
          <t xml:space="preserve">E  </t>
        </is>
      </c>
      <c r="S1194" t="n">
        <v>2</v>
      </c>
      <c r="T1194" t="n">
        <v>2</v>
      </c>
      <c r="U1194" t="inlineStr">
        <is>
          <t>1997-07-26</t>
        </is>
      </c>
      <c r="V1194" t="inlineStr">
        <is>
          <t>1997-07-26</t>
        </is>
      </c>
      <c r="W1194" t="inlineStr">
        <is>
          <t>1997-04-14</t>
        </is>
      </c>
      <c r="X1194" t="inlineStr">
        <is>
          <t>1997-04-14</t>
        </is>
      </c>
      <c r="Y1194" t="n">
        <v>114</v>
      </c>
      <c r="Z1194" t="n">
        <v>113</v>
      </c>
      <c r="AA1194" t="n">
        <v>119</v>
      </c>
      <c r="AB1194" t="n">
        <v>2</v>
      </c>
      <c r="AC1194" t="n">
        <v>2</v>
      </c>
      <c r="AD1194" t="n">
        <v>7</v>
      </c>
      <c r="AE1194" t="n">
        <v>7</v>
      </c>
      <c r="AF1194" t="n">
        <v>3</v>
      </c>
      <c r="AG1194" t="n">
        <v>3</v>
      </c>
      <c r="AH1194" t="n">
        <v>0</v>
      </c>
      <c r="AI1194" t="n">
        <v>0</v>
      </c>
      <c r="AJ1194" t="n">
        <v>5</v>
      </c>
      <c r="AK1194" t="n">
        <v>5</v>
      </c>
      <c r="AL1194" t="n">
        <v>1</v>
      </c>
      <c r="AM1194" t="n">
        <v>1</v>
      </c>
      <c r="AN1194" t="n">
        <v>0</v>
      </c>
      <c r="AO1194" t="n">
        <v>0</v>
      </c>
      <c r="AP1194" t="inlineStr">
        <is>
          <t>No</t>
        </is>
      </c>
      <c r="AQ1194" t="inlineStr">
        <is>
          <t>No</t>
        </is>
      </c>
      <c r="AR1194">
        <f>HYPERLINK("http://catalog.hathitrust.org/Record/000367633","HathiTrust Record")</f>
        <v/>
      </c>
      <c r="AS1194">
        <f>HYPERLINK("https://creighton-primo.hosted.exlibrisgroup.com/primo-explore/search?tab=default_tab&amp;search_scope=EVERYTHING&amp;vid=01CRU&amp;lang=en_US&amp;offset=0&amp;query=any,contains,991004430709702656","Catalog Record")</f>
        <v/>
      </c>
      <c r="AT1194">
        <f>HYPERLINK("http://www.worldcat.org/oclc/3417740","WorldCat Record")</f>
        <v/>
      </c>
      <c r="AU1194" t="inlineStr">
        <is>
          <t>10094814:eng</t>
        </is>
      </c>
      <c r="AV1194" t="inlineStr">
        <is>
          <t>3417740</t>
        </is>
      </c>
      <c r="AW1194" t="inlineStr">
        <is>
          <t>991004430709702656</t>
        </is>
      </c>
      <c r="AX1194" t="inlineStr">
        <is>
          <t>991004430709702656</t>
        </is>
      </c>
      <c r="AY1194" t="inlineStr">
        <is>
          <t>2263624930002656</t>
        </is>
      </c>
      <c r="AZ1194" t="inlineStr">
        <is>
          <t>BOOK</t>
        </is>
      </c>
      <c r="BC1194" t="inlineStr">
        <is>
          <t>32285002532264</t>
        </is>
      </c>
      <c r="BD1194" t="inlineStr">
        <is>
          <t>893718886</t>
        </is>
      </c>
    </row>
    <row r="1195">
      <c r="A1195" t="inlineStr">
        <is>
          <t>No</t>
        </is>
      </c>
      <c r="B1195" t="inlineStr">
        <is>
          <t>E335 .K57 1993</t>
        </is>
      </c>
      <c r="C1195" t="inlineStr">
        <is>
          <t>0                      E  0335000K  57          1993</t>
        </is>
      </c>
      <c r="D1195" t="inlineStr">
        <is>
          <t>Tripoli and the United States at war : a history of American relations with the Barbary states, 1785-1805 / by Michael L.S. Kitzen.</t>
        </is>
      </c>
      <c r="F1195" t="inlineStr">
        <is>
          <t>No</t>
        </is>
      </c>
      <c r="G1195" t="inlineStr">
        <is>
          <t>1</t>
        </is>
      </c>
      <c r="H1195" t="inlineStr">
        <is>
          <t>No</t>
        </is>
      </c>
      <c r="I1195" t="inlineStr">
        <is>
          <t>No</t>
        </is>
      </c>
      <c r="J1195" t="inlineStr">
        <is>
          <t>0</t>
        </is>
      </c>
      <c r="K1195" t="inlineStr">
        <is>
          <t>Kitzen, Michael L. S., 1962-</t>
        </is>
      </c>
      <c r="L1195" t="inlineStr">
        <is>
          <t>Jefferson, N.C. : McFarland, [1993?]</t>
        </is>
      </c>
      <c r="M1195" t="inlineStr">
        <is>
          <t>1993</t>
        </is>
      </c>
      <c r="O1195" t="inlineStr">
        <is>
          <t>eng</t>
        </is>
      </c>
      <c r="P1195" t="inlineStr">
        <is>
          <t>ncu</t>
        </is>
      </c>
      <c r="R1195" t="inlineStr">
        <is>
          <t xml:space="preserve">E  </t>
        </is>
      </c>
      <c r="S1195" t="n">
        <v>6</v>
      </c>
      <c r="T1195" t="n">
        <v>6</v>
      </c>
      <c r="U1195" t="inlineStr">
        <is>
          <t>2002-05-05</t>
        </is>
      </c>
      <c r="V1195" t="inlineStr">
        <is>
          <t>2002-05-05</t>
        </is>
      </c>
      <c r="W1195" t="inlineStr">
        <is>
          <t>1994-05-19</t>
        </is>
      </c>
      <c r="X1195" t="inlineStr">
        <is>
          <t>1994-05-19</t>
        </is>
      </c>
      <c r="Y1195" t="n">
        <v>238</v>
      </c>
      <c r="Z1195" t="n">
        <v>212</v>
      </c>
      <c r="AA1195" t="n">
        <v>213</v>
      </c>
      <c r="AB1195" t="n">
        <v>2</v>
      </c>
      <c r="AC1195" t="n">
        <v>2</v>
      </c>
      <c r="AD1195" t="n">
        <v>10</v>
      </c>
      <c r="AE1195" t="n">
        <v>10</v>
      </c>
      <c r="AF1195" t="n">
        <v>3</v>
      </c>
      <c r="AG1195" t="n">
        <v>3</v>
      </c>
      <c r="AH1195" t="n">
        <v>5</v>
      </c>
      <c r="AI1195" t="n">
        <v>5</v>
      </c>
      <c r="AJ1195" t="n">
        <v>5</v>
      </c>
      <c r="AK1195" t="n">
        <v>5</v>
      </c>
      <c r="AL1195" t="n">
        <v>1</v>
      </c>
      <c r="AM1195" t="n">
        <v>1</v>
      </c>
      <c r="AN1195" t="n">
        <v>0</v>
      </c>
      <c r="AO1195" t="n">
        <v>0</v>
      </c>
      <c r="AP1195" t="inlineStr">
        <is>
          <t>No</t>
        </is>
      </c>
      <c r="AQ1195" t="inlineStr">
        <is>
          <t>Yes</t>
        </is>
      </c>
      <c r="AR1195">
        <f>HYPERLINK("http://catalog.hathitrust.org/Record/002630760","HathiTrust Record")</f>
        <v/>
      </c>
      <c r="AS1195">
        <f>HYPERLINK("https://creighton-primo.hosted.exlibrisgroup.com/primo-explore/search?tab=default_tab&amp;search_scope=EVERYTHING&amp;vid=01CRU&amp;lang=en_US&amp;offset=0&amp;query=any,contains,991002105839702656","Catalog Record")</f>
        <v/>
      </c>
      <c r="AT1195">
        <f>HYPERLINK("http://www.worldcat.org/oclc/27012926","WorldCat Record")</f>
        <v/>
      </c>
      <c r="AU1195" t="inlineStr">
        <is>
          <t>380330:eng</t>
        </is>
      </c>
      <c r="AV1195" t="inlineStr">
        <is>
          <t>27012926</t>
        </is>
      </c>
      <c r="AW1195" t="inlineStr">
        <is>
          <t>991002105839702656</t>
        </is>
      </c>
      <c r="AX1195" t="inlineStr">
        <is>
          <t>991002105839702656</t>
        </is>
      </c>
      <c r="AY1195" t="inlineStr">
        <is>
          <t>2259320710002656</t>
        </is>
      </c>
      <c r="AZ1195" t="inlineStr">
        <is>
          <t>BOOK</t>
        </is>
      </c>
      <c r="BB1195" t="inlineStr">
        <is>
          <t>9780899508238</t>
        </is>
      </c>
      <c r="BC1195" t="inlineStr">
        <is>
          <t>32285001897247</t>
        </is>
      </c>
      <c r="BD1195" t="inlineStr">
        <is>
          <t>893609469</t>
        </is>
      </c>
    </row>
    <row r="1196">
      <c r="A1196" t="inlineStr">
        <is>
          <t>No</t>
        </is>
      </c>
      <c r="B1196" t="inlineStr">
        <is>
          <t>E335 .W7</t>
        </is>
      </c>
      <c r="C1196" t="inlineStr">
        <is>
          <t>0                      E  0335000W  7</t>
        </is>
      </c>
      <c r="D1196" t="inlineStr">
        <is>
          <t>The first Americans in North Africa; William Eaton's struggle for a vigorous policy against the Barbary pirates, 1799-1805, by Louis B. Wright and Julia H. Macleod.</t>
        </is>
      </c>
      <c r="F1196" t="inlineStr">
        <is>
          <t>No</t>
        </is>
      </c>
      <c r="G1196" t="inlineStr">
        <is>
          <t>1</t>
        </is>
      </c>
      <c r="H1196" t="inlineStr">
        <is>
          <t>No</t>
        </is>
      </c>
      <c r="I1196" t="inlineStr">
        <is>
          <t>No</t>
        </is>
      </c>
      <c r="J1196" t="inlineStr">
        <is>
          <t>0</t>
        </is>
      </c>
      <c r="K1196" t="inlineStr">
        <is>
          <t>Wright, Louis B. (Louis Booker), 1899-1984.</t>
        </is>
      </c>
      <c r="L1196" t="inlineStr">
        <is>
          <t>Princeton, Princeton University Press, 1945.</t>
        </is>
      </c>
      <c r="M1196" t="inlineStr">
        <is>
          <t>1945</t>
        </is>
      </c>
      <c r="O1196" t="inlineStr">
        <is>
          <t>eng</t>
        </is>
      </c>
      <c r="P1196" t="inlineStr">
        <is>
          <t>nju</t>
        </is>
      </c>
      <c r="R1196" t="inlineStr">
        <is>
          <t xml:space="preserve">E  </t>
        </is>
      </c>
      <c r="S1196" t="n">
        <v>1</v>
      </c>
      <c r="T1196" t="n">
        <v>1</v>
      </c>
      <c r="U1196" t="inlineStr">
        <is>
          <t>2002-03-13</t>
        </is>
      </c>
      <c r="V1196" t="inlineStr">
        <is>
          <t>2002-03-13</t>
        </is>
      </c>
      <c r="W1196" t="inlineStr">
        <is>
          <t>1997-04-14</t>
        </is>
      </c>
      <c r="X1196" t="inlineStr">
        <is>
          <t>1997-04-14</t>
        </is>
      </c>
      <c r="Y1196" t="n">
        <v>352</v>
      </c>
      <c r="Z1196" t="n">
        <v>329</v>
      </c>
      <c r="AA1196" t="n">
        <v>501</v>
      </c>
      <c r="AB1196" t="n">
        <v>4</v>
      </c>
      <c r="AC1196" t="n">
        <v>4</v>
      </c>
      <c r="AD1196" t="n">
        <v>19</v>
      </c>
      <c r="AE1196" t="n">
        <v>26</v>
      </c>
      <c r="AF1196" t="n">
        <v>7</v>
      </c>
      <c r="AG1196" t="n">
        <v>8</v>
      </c>
      <c r="AH1196" t="n">
        <v>3</v>
      </c>
      <c r="AI1196" t="n">
        <v>6</v>
      </c>
      <c r="AJ1196" t="n">
        <v>10</v>
      </c>
      <c r="AK1196" t="n">
        <v>14</v>
      </c>
      <c r="AL1196" t="n">
        <v>3</v>
      </c>
      <c r="AM1196" t="n">
        <v>3</v>
      </c>
      <c r="AN1196" t="n">
        <v>1</v>
      </c>
      <c r="AO1196" t="n">
        <v>1</v>
      </c>
      <c r="AP1196" t="inlineStr">
        <is>
          <t>Yes</t>
        </is>
      </c>
      <c r="AQ1196" t="inlineStr">
        <is>
          <t>No</t>
        </is>
      </c>
      <c r="AR1196">
        <f>HYPERLINK("http://catalog.hathitrust.org/Record/000367643","HathiTrust Record")</f>
        <v/>
      </c>
      <c r="AS1196">
        <f>HYPERLINK("https://creighton-primo.hosted.exlibrisgroup.com/primo-explore/search?tab=default_tab&amp;search_scope=EVERYTHING&amp;vid=01CRU&amp;lang=en_US&amp;offset=0&amp;query=any,contains,991004217589702656","Catalog Record")</f>
        <v/>
      </c>
      <c r="AT1196">
        <f>HYPERLINK("http://www.worldcat.org/oclc/2702048","WorldCat Record")</f>
        <v/>
      </c>
      <c r="AU1196" t="inlineStr">
        <is>
          <t>69775783:eng</t>
        </is>
      </c>
      <c r="AV1196" t="inlineStr">
        <is>
          <t>2702048</t>
        </is>
      </c>
      <c r="AW1196" t="inlineStr">
        <is>
          <t>991004217589702656</t>
        </is>
      </c>
      <c r="AX1196" t="inlineStr">
        <is>
          <t>991004217589702656</t>
        </is>
      </c>
      <c r="AY1196" t="inlineStr">
        <is>
          <t>2255515350002656</t>
        </is>
      </c>
      <c r="AZ1196" t="inlineStr">
        <is>
          <t>BOOK</t>
        </is>
      </c>
      <c r="BC1196" t="inlineStr">
        <is>
          <t>32285002532272</t>
        </is>
      </c>
      <c r="BD1196" t="inlineStr">
        <is>
          <t>893519384</t>
        </is>
      </c>
    </row>
    <row r="1197">
      <c r="A1197" t="inlineStr">
        <is>
          <t>No</t>
        </is>
      </c>
      <c r="B1197" t="inlineStr">
        <is>
          <t>E336.5 .S42 1966</t>
        </is>
      </c>
      <c r="C1197" t="inlineStr">
        <is>
          <t>0                      E  0336500S  42          1966</t>
        </is>
      </c>
      <c r="D1197" t="inlineStr">
        <is>
          <t>Jefferson and the Embargo.</t>
        </is>
      </c>
      <c r="F1197" t="inlineStr">
        <is>
          <t>No</t>
        </is>
      </c>
      <c r="G1197" t="inlineStr">
        <is>
          <t>1</t>
        </is>
      </c>
      <c r="H1197" t="inlineStr">
        <is>
          <t>No</t>
        </is>
      </c>
      <c r="I1197" t="inlineStr">
        <is>
          <t>No</t>
        </is>
      </c>
      <c r="J1197" t="inlineStr">
        <is>
          <t>0</t>
        </is>
      </c>
      <c r="K1197" t="inlineStr">
        <is>
          <t>Sears, Louis Martin, 1885-1960.</t>
        </is>
      </c>
      <c r="L1197" t="inlineStr">
        <is>
          <t>New York : Octagon Books, 1966 [c1927]</t>
        </is>
      </c>
      <c r="M1197" t="inlineStr">
        <is>
          <t>1966</t>
        </is>
      </c>
      <c r="O1197" t="inlineStr">
        <is>
          <t>eng</t>
        </is>
      </c>
      <c r="P1197" t="inlineStr">
        <is>
          <t>nyu</t>
        </is>
      </c>
      <c r="R1197" t="inlineStr">
        <is>
          <t xml:space="preserve">E  </t>
        </is>
      </c>
      <c r="S1197" t="n">
        <v>1</v>
      </c>
      <c r="T1197" t="n">
        <v>1</v>
      </c>
      <c r="U1197" t="inlineStr">
        <is>
          <t>1993-12-12</t>
        </is>
      </c>
      <c r="V1197" t="inlineStr">
        <is>
          <t>1993-12-12</t>
        </is>
      </c>
      <c r="W1197" t="inlineStr">
        <is>
          <t>1993-05-05</t>
        </is>
      </c>
      <c r="X1197" t="inlineStr">
        <is>
          <t>1993-05-05</t>
        </is>
      </c>
      <c r="Y1197" t="n">
        <v>517</v>
      </c>
      <c r="Z1197" t="n">
        <v>485</v>
      </c>
      <c r="AA1197" t="n">
        <v>739</v>
      </c>
      <c r="AB1197" t="n">
        <v>6</v>
      </c>
      <c r="AC1197" t="n">
        <v>8</v>
      </c>
      <c r="AD1197" t="n">
        <v>28</v>
      </c>
      <c r="AE1197" t="n">
        <v>37</v>
      </c>
      <c r="AF1197" t="n">
        <v>9</v>
      </c>
      <c r="AG1197" t="n">
        <v>11</v>
      </c>
      <c r="AH1197" t="n">
        <v>5</v>
      </c>
      <c r="AI1197" t="n">
        <v>9</v>
      </c>
      <c r="AJ1197" t="n">
        <v>14</v>
      </c>
      <c r="AK1197" t="n">
        <v>17</v>
      </c>
      <c r="AL1197" t="n">
        <v>5</v>
      </c>
      <c r="AM1197" t="n">
        <v>7</v>
      </c>
      <c r="AN1197" t="n">
        <v>0</v>
      </c>
      <c r="AO1197" t="n">
        <v>0</v>
      </c>
      <c r="AP1197" t="inlineStr">
        <is>
          <t>No</t>
        </is>
      </c>
      <c r="AQ1197" t="inlineStr">
        <is>
          <t>Yes</t>
        </is>
      </c>
      <c r="AR1197">
        <f>HYPERLINK("http://catalog.hathitrust.org/Record/000098076","HathiTrust Record")</f>
        <v/>
      </c>
      <c r="AS1197">
        <f>HYPERLINK("https://creighton-primo.hosted.exlibrisgroup.com/primo-explore/search?tab=default_tab&amp;search_scope=EVERYTHING&amp;vid=01CRU&amp;lang=en_US&amp;offset=0&amp;query=any,contains,991002753299702656","Catalog Record")</f>
        <v/>
      </c>
      <c r="AT1197">
        <f>HYPERLINK("http://www.worldcat.org/oclc/425579","WorldCat Record")</f>
        <v/>
      </c>
      <c r="AU1197" t="inlineStr">
        <is>
          <t>1518004:eng</t>
        </is>
      </c>
      <c r="AV1197" t="inlineStr">
        <is>
          <t>425579</t>
        </is>
      </c>
      <c r="AW1197" t="inlineStr">
        <is>
          <t>991002753299702656</t>
        </is>
      </c>
      <c r="AX1197" t="inlineStr">
        <is>
          <t>991002753299702656</t>
        </is>
      </c>
      <c r="AY1197" t="inlineStr">
        <is>
          <t>2267939470002656</t>
        </is>
      </c>
      <c r="AZ1197" t="inlineStr">
        <is>
          <t>BOOK</t>
        </is>
      </c>
      <c r="BC1197" t="inlineStr">
        <is>
          <t>32285001634491</t>
        </is>
      </c>
      <c r="BD1197" t="inlineStr">
        <is>
          <t>893347886</t>
        </is>
      </c>
    </row>
    <row r="1198">
      <c r="A1198" t="inlineStr">
        <is>
          <t>No</t>
        </is>
      </c>
      <c r="B1198" t="inlineStr">
        <is>
          <t>E337.5 .W5</t>
        </is>
      </c>
      <c r="C1198" t="inlineStr">
        <is>
          <t>0                      E  0337500W  5</t>
        </is>
      </c>
      <c r="D1198" t="inlineStr">
        <is>
          <t>Canada views the United States : nineteenth-century political attitudes / by S. F. Wise and Robert Craig Brown. With an introd. by Richard A. Preston and a commentary by David M. Potter.</t>
        </is>
      </c>
      <c r="F1198" t="inlineStr">
        <is>
          <t>No</t>
        </is>
      </c>
      <c r="G1198" t="inlineStr">
        <is>
          <t>1</t>
        </is>
      </c>
      <c r="H1198" t="inlineStr">
        <is>
          <t>No</t>
        </is>
      </c>
      <c r="I1198" t="inlineStr">
        <is>
          <t>No</t>
        </is>
      </c>
      <c r="J1198" t="inlineStr">
        <is>
          <t>0</t>
        </is>
      </c>
      <c r="K1198" t="inlineStr">
        <is>
          <t>Wise, S. F. (Sydney F.), 1924-</t>
        </is>
      </c>
      <c r="L1198" t="inlineStr">
        <is>
          <t>Seattle : University of Washington Press, [1967]</t>
        </is>
      </c>
      <c r="M1198" t="inlineStr">
        <is>
          <t>1967</t>
        </is>
      </c>
      <c r="O1198" t="inlineStr">
        <is>
          <t>eng</t>
        </is>
      </c>
      <c r="P1198" t="inlineStr">
        <is>
          <t>wau</t>
        </is>
      </c>
      <c r="R1198" t="inlineStr">
        <is>
          <t xml:space="preserve">E  </t>
        </is>
      </c>
      <c r="S1198" t="n">
        <v>3</v>
      </c>
      <c r="T1198" t="n">
        <v>3</v>
      </c>
      <c r="U1198" t="inlineStr">
        <is>
          <t>1993-03-25</t>
        </is>
      </c>
      <c r="V1198" t="inlineStr">
        <is>
          <t>1993-03-25</t>
        </is>
      </c>
      <c r="W1198" t="inlineStr">
        <is>
          <t>1991-12-09</t>
        </is>
      </c>
      <c r="X1198" t="inlineStr">
        <is>
          <t>1991-12-09</t>
        </is>
      </c>
      <c r="Y1198" t="n">
        <v>516</v>
      </c>
      <c r="Z1198" t="n">
        <v>419</v>
      </c>
      <c r="AA1198" t="n">
        <v>440</v>
      </c>
      <c r="AB1198" t="n">
        <v>5</v>
      </c>
      <c r="AC1198" t="n">
        <v>5</v>
      </c>
      <c r="AD1198" t="n">
        <v>18</v>
      </c>
      <c r="AE1198" t="n">
        <v>18</v>
      </c>
      <c r="AF1198" t="n">
        <v>3</v>
      </c>
      <c r="AG1198" t="n">
        <v>3</v>
      </c>
      <c r="AH1198" t="n">
        <v>3</v>
      </c>
      <c r="AI1198" t="n">
        <v>3</v>
      </c>
      <c r="AJ1198" t="n">
        <v>12</v>
      </c>
      <c r="AK1198" t="n">
        <v>12</v>
      </c>
      <c r="AL1198" t="n">
        <v>4</v>
      </c>
      <c r="AM1198" t="n">
        <v>4</v>
      </c>
      <c r="AN1198" t="n">
        <v>0</v>
      </c>
      <c r="AO1198" t="n">
        <v>0</v>
      </c>
      <c r="AP1198" t="inlineStr">
        <is>
          <t>No</t>
        </is>
      </c>
      <c r="AQ1198" t="inlineStr">
        <is>
          <t>Yes</t>
        </is>
      </c>
      <c r="AR1198">
        <f>HYPERLINK("http://catalog.hathitrust.org/Record/000367599","HathiTrust Record")</f>
        <v/>
      </c>
      <c r="AS1198">
        <f>HYPERLINK("https://creighton-primo.hosted.exlibrisgroup.com/primo-explore/search?tab=default_tab&amp;search_scope=EVERYTHING&amp;vid=01CRU&amp;lang=en_US&amp;offset=0&amp;query=any,contains,991002753329702656","Catalog Record")</f>
        <v/>
      </c>
      <c r="AT1198">
        <f>HYPERLINK("http://www.worldcat.org/oclc/425582","WorldCat Record")</f>
        <v/>
      </c>
      <c r="AU1198" t="inlineStr">
        <is>
          <t>1518011:eng</t>
        </is>
      </c>
      <c r="AV1198" t="inlineStr">
        <is>
          <t>425582</t>
        </is>
      </c>
      <c r="AW1198" t="inlineStr">
        <is>
          <t>991002753329702656</t>
        </is>
      </c>
      <c r="AX1198" t="inlineStr">
        <is>
          <t>991002753329702656</t>
        </is>
      </c>
      <c r="AY1198" t="inlineStr">
        <is>
          <t>2267939000002656</t>
        </is>
      </c>
      <c r="AZ1198" t="inlineStr">
        <is>
          <t>BOOK</t>
        </is>
      </c>
      <c r="BC1198" t="inlineStr">
        <is>
          <t>32285000849587</t>
        </is>
      </c>
      <c r="BD1198" t="inlineStr">
        <is>
          <t>893698217</t>
        </is>
      </c>
    </row>
    <row r="1199">
      <c r="A1199" t="inlineStr">
        <is>
          <t>No</t>
        </is>
      </c>
      <c r="B1199" t="inlineStr">
        <is>
          <t>E338 .E35 1951</t>
        </is>
      </c>
      <c r="C1199" t="inlineStr">
        <is>
          <t>0                      E  0338000E  35          1951</t>
        </is>
      </c>
      <c r="D1199" t="inlineStr">
        <is>
          <t>The idea of progress in America, 1815-1860 / Arthur Alphonse Ekirch, Jr.</t>
        </is>
      </c>
      <c r="F1199" t="inlineStr">
        <is>
          <t>No</t>
        </is>
      </c>
      <c r="G1199" t="inlineStr">
        <is>
          <t>1</t>
        </is>
      </c>
      <c r="H1199" t="inlineStr">
        <is>
          <t>No</t>
        </is>
      </c>
      <c r="I1199" t="inlineStr">
        <is>
          <t>No</t>
        </is>
      </c>
      <c r="J1199" t="inlineStr">
        <is>
          <t>0</t>
        </is>
      </c>
      <c r="K1199" t="inlineStr">
        <is>
          <t>Ekirch, Arthur Alphonse, 1915-2000.</t>
        </is>
      </c>
      <c r="L1199" t="inlineStr">
        <is>
          <t>New York : P. Smith, 1951.</t>
        </is>
      </c>
      <c r="M1199" t="inlineStr">
        <is>
          <t>1951</t>
        </is>
      </c>
      <c r="O1199" t="inlineStr">
        <is>
          <t>eng</t>
        </is>
      </c>
      <c r="P1199" t="inlineStr">
        <is>
          <t>nyu</t>
        </is>
      </c>
      <c r="Q1199" t="inlineStr">
        <is>
          <t>Studies in history, economics and public law, ed. by the Faculty of political science of Columbia University. no. 511</t>
        </is>
      </c>
      <c r="R1199" t="inlineStr">
        <is>
          <t xml:space="preserve">E  </t>
        </is>
      </c>
      <c r="S1199" t="n">
        <v>3</v>
      </c>
      <c r="T1199" t="n">
        <v>3</v>
      </c>
      <c r="U1199" t="inlineStr">
        <is>
          <t>1998-01-16</t>
        </is>
      </c>
      <c r="V1199" t="inlineStr">
        <is>
          <t>1998-01-16</t>
        </is>
      </c>
      <c r="W1199" t="inlineStr">
        <is>
          <t>1997-04-14</t>
        </is>
      </c>
      <c r="X1199" t="inlineStr">
        <is>
          <t>1997-04-14</t>
        </is>
      </c>
      <c r="Y1199" t="n">
        <v>530</v>
      </c>
      <c r="Z1199" t="n">
        <v>482</v>
      </c>
      <c r="AA1199" t="n">
        <v>941</v>
      </c>
      <c r="AB1199" t="n">
        <v>2</v>
      </c>
      <c r="AC1199" t="n">
        <v>4</v>
      </c>
      <c r="AD1199" t="n">
        <v>22</v>
      </c>
      <c r="AE1199" t="n">
        <v>42</v>
      </c>
      <c r="AF1199" t="n">
        <v>12</v>
      </c>
      <c r="AG1199" t="n">
        <v>17</v>
      </c>
      <c r="AH1199" t="n">
        <v>5</v>
      </c>
      <c r="AI1199" t="n">
        <v>8</v>
      </c>
      <c r="AJ1199" t="n">
        <v>10</v>
      </c>
      <c r="AK1199" t="n">
        <v>20</v>
      </c>
      <c r="AL1199" t="n">
        <v>1</v>
      </c>
      <c r="AM1199" t="n">
        <v>2</v>
      </c>
      <c r="AN1199" t="n">
        <v>0</v>
      </c>
      <c r="AO1199" t="n">
        <v>5</v>
      </c>
      <c r="AP1199" t="inlineStr">
        <is>
          <t>No</t>
        </is>
      </c>
      <c r="AQ1199" t="inlineStr">
        <is>
          <t>Yes</t>
        </is>
      </c>
      <c r="AR1199">
        <f>HYPERLINK("http://catalog.hathitrust.org/Record/001642103","HathiTrust Record")</f>
        <v/>
      </c>
      <c r="AS1199">
        <f>HYPERLINK("https://creighton-primo.hosted.exlibrisgroup.com/primo-explore/search?tab=default_tab&amp;search_scope=EVERYTHING&amp;vid=01CRU&amp;lang=en_US&amp;offset=0&amp;query=any,contains,991001925749702656","Catalog Record")</f>
        <v/>
      </c>
      <c r="AT1199">
        <f>HYPERLINK("http://www.worldcat.org/oclc/246443","WorldCat Record")</f>
        <v/>
      </c>
      <c r="AU1199" t="inlineStr">
        <is>
          <t>477648912:eng</t>
        </is>
      </c>
      <c r="AV1199" t="inlineStr">
        <is>
          <t>246443</t>
        </is>
      </c>
      <c r="AW1199" t="inlineStr">
        <is>
          <t>991001925749702656</t>
        </is>
      </c>
      <c r="AX1199" t="inlineStr">
        <is>
          <t>991001925749702656</t>
        </is>
      </c>
      <c r="AY1199" t="inlineStr">
        <is>
          <t>2257371210002656</t>
        </is>
      </c>
      <c r="AZ1199" t="inlineStr">
        <is>
          <t>BOOK</t>
        </is>
      </c>
      <c r="BC1199" t="inlineStr">
        <is>
          <t>32285002532769</t>
        </is>
      </c>
      <c r="BD1199" t="inlineStr">
        <is>
          <t>893433260</t>
        </is>
      </c>
    </row>
    <row r="1200">
      <c r="A1200" t="inlineStr">
        <is>
          <t>No</t>
        </is>
      </c>
      <c r="B1200" t="inlineStr">
        <is>
          <t>E338 .F73 1938</t>
        </is>
      </c>
      <c r="C1200" t="inlineStr">
        <is>
          <t>0                      E  0338000F  73          1938</t>
        </is>
      </c>
      <c r="D1200" t="inlineStr">
        <is>
          <t>Democracy in the making : the Jackson-Tyler era / by Hugh Russell Fraser.</t>
        </is>
      </c>
      <c r="F1200" t="inlineStr">
        <is>
          <t>No</t>
        </is>
      </c>
      <c r="G1200" t="inlineStr">
        <is>
          <t>1</t>
        </is>
      </c>
      <c r="H1200" t="inlineStr">
        <is>
          <t>No</t>
        </is>
      </c>
      <c r="I1200" t="inlineStr">
        <is>
          <t>No</t>
        </is>
      </c>
      <c r="J1200" t="inlineStr">
        <is>
          <t>0</t>
        </is>
      </c>
      <c r="K1200" t="inlineStr">
        <is>
          <t>Fraser, Hugh Russell.</t>
        </is>
      </c>
      <c r="L1200" t="inlineStr">
        <is>
          <t>Indianapolis, New York, : The Bobbs-Merrill Company, [c1938]</t>
        </is>
      </c>
      <c r="M1200" t="inlineStr">
        <is>
          <t>1938</t>
        </is>
      </c>
      <c r="N1200" t="inlineStr">
        <is>
          <t>1st ed.</t>
        </is>
      </c>
      <c r="O1200" t="inlineStr">
        <is>
          <t>eng</t>
        </is>
      </c>
      <c r="P1200" t="inlineStr">
        <is>
          <t>inu</t>
        </is>
      </c>
      <c r="R1200" t="inlineStr">
        <is>
          <t xml:space="preserve">E  </t>
        </is>
      </c>
      <c r="S1200" t="n">
        <v>1</v>
      </c>
      <c r="T1200" t="n">
        <v>1</v>
      </c>
      <c r="U1200" t="inlineStr">
        <is>
          <t>1992-11-06</t>
        </is>
      </c>
      <c r="V1200" t="inlineStr">
        <is>
          <t>1992-11-06</t>
        </is>
      </c>
      <c r="W1200" t="inlineStr">
        <is>
          <t>1991-04-18</t>
        </is>
      </c>
      <c r="X1200" t="inlineStr">
        <is>
          <t>1991-04-18</t>
        </is>
      </c>
      <c r="Y1200" t="n">
        <v>399</v>
      </c>
      <c r="Z1200" t="n">
        <v>379</v>
      </c>
      <c r="AA1200" t="n">
        <v>471</v>
      </c>
      <c r="AB1200" t="n">
        <v>4</v>
      </c>
      <c r="AC1200" t="n">
        <v>4</v>
      </c>
      <c r="AD1200" t="n">
        <v>20</v>
      </c>
      <c r="AE1200" t="n">
        <v>24</v>
      </c>
      <c r="AF1200" t="n">
        <v>5</v>
      </c>
      <c r="AG1200" t="n">
        <v>7</v>
      </c>
      <c r="AH1200" t="n">
        <v>6</v>
      </c>
      <c r="AI1200" t="n">
        <v>7</v>
      </c>
      <c r="AJ1200" t="n">
        <v>12</v>
      </c>
      <c r="AK1200" t="n">
        <v>14</v>
      </c>
      <c r="AL1200" t="n">
        <v>3</v>
      </c>
      <c r="AM1200" t="n">
        <v>3</v>
      </c>
      <c r="AN1200" t="n">
        <v>1</v>
      </c>
      <c r="AO1200" t="n">
        <v>1</v>
      </c>
      <c r="AP1200" t="inlineStr">
        <is>
          <t>No</t>
        </is>
      </c>
      <c r="AQ1200" t="inlineStr">
        <is>
          <t>Yes</t>
        </is>
      </c>
      <c r="AR1200">
        <f>HYPERLINK("http://catalog.hathitrust.org/Record/002709524","HathiTrust Record")</f>
        <v/>
      </c>
      <c r="AS1200">
        <f>HYPERLINK("https://creighton-primo.hosted.exlibrisgroup.com/primo-explore/search?tab=default_tab&amp;search_scope=EVERYTHING&amp;vid=01CRU&amp;lang=en_US&amp;offset=0&amp;query=any,contains,991004099719702656","Catalog Record")</f>
        <v/>
      </c>
      <c r="AT1200">
        <f>HYPERLINK("http://www.worldcat.org/oclc/2370798","WorldCat Record")</f>
        <v/>
      </c>
      <c r="AU1200" t="inlineStr">
        <is>
          <t>1775329:eng</t>
        </is>
      </c>
      <c r="AV1200" t="inlineStr">
        <is>
          <t>2370798</t>
        </is>
      </c>
      <c r="AW1200" t="inlineStr">
        <is>
          <t>991004099719702656</t>
        </is>
      </c>
      <c r="AX1200" t="inlineStr">
        <is>
          <t>991004099719702656</t>
        </is>
      </c>
      <c r="AY1200" t="inlineStr">
        <is>
          <t>2255892150002656</t>
        </is>
      </c>
      <c r="AZ1200" t="inlineStr">
        <is>
          <t>BOOK</t>
        </is>
      </c>
      <c r="BC1200" t="inlineStr">
        <is>
          <t>32285000543628</t>
        </is>
      </c>
      <c r="BD1200" t="inlineStr">
        <is>
          <t>893875673</t>
        </is>
      </c>
    </row>
    <row r="1201">
      <c r="A1201" t="inlineStr">
        <is>
          <t>No</t>
        </is>
      </c>
      <c r="B1201" t="inlineStr">
        <is>
          <t>E338 .P4</t>
        </is>
      </c>
      <c r="C1201" t="inlineStr">
        <is>
          <t>0                      E  0338000P  4</t>
        </is>
      </c>
      <c r="D1201" t="inlineStr">
        <is>
          <t>Jacksonian America; society, personality, and politics.</t>
        </is>
      </c>
      <c r="F1201" t="inlineStr">
        <is>
          <t>No</t>
        </is>
      </c>
      <c r="G1201" t="inlineStr">
        <is>
          <t>1</t>
        </is>
      </c>
      <c r="H1201" t="inlineStr">
        <is>
          <t>No</t>
        </is>
      </c>
      <c r="I1201" t="inlineStr">
        <is>
          <t>No</t>
        </is>
      </c>
      <c r="J1201" t="inlineStr">
        <is>
          <t>0</t>
        </is>
      </c>
      <c r="K1201" t="inlineStr">
        <is>
          <t>Pessen, Edward, 1920-1992.</t>
        </is>
      </c>
      <c r="L1201" t="inlineStr">
        <is>
          <t>Homewood, Ill., Dorsey Press, 1969.</t>
        </is>
      </c>
      <c r="M1201" t="inlineStr">
        <is>
          <t>1969</t>
        </is>
      </c>
      <c r="O1201" t="inlineStr">
        <is>
          <t>eng</t>
        </is>
      </c>
      <c r="P1201" t="inlineStr">
        <is>
          <t>ilu</t>
        </is>
      </c>
      <c r="Q1201" t="inlineStr">
        <is>
          <t>The Dorsey series in American history</t>
        </is>
      </c>
      <c r="R1201" t="inlineStr">
        <is>
          <t xml:space="preserve">E  </t>
        </is>
      </c>
      <c r="S1201" t="n">
        <v>1</v>
      </c>
      <c r="T1201" t="n">
        <v>1</v>
      </c>
      <c r="U1201" t="inlineStr">
        <is>
          <t>1997-05-28</t>
        </is>
      </c>
      <c r="V1201" t="inlineStr">
        <is>
          <t>1997-05-28</t>
        </is>
      </c>
      <c r="W1201" t="inlineStr">
        <is>
          <t>1997-04-14</t>
        </is>
      </c>
      <c r="X1201" t="inlineStr">
        <is>
          <t>1997-04-14</t>
        </is>
      </c>
      <c r="Y1201" t="n">
        <v>1007</v>
      </c>
      <c r="Z1201" t="n">
        <v>897</v>
      </c>
      <c r="AA1201" t="n">
        <v>1316</v>
      </c>
      <c r="AB1201" t="n">
        <v>11</v>
      </c>
      <c r="AC1201" t="n">
        <v>13</v>
      </c>
      <c r="AD1201" t="n">
        <v>39</v>
      </c>
      <c r="AE1201" t="n">
        <v>54</v>
      </c>
      <c r="AF1201" t="n">
        <v>14</v>
      </c>
      <c r="AG1201" t="n">
        <v>22</v>
      </c>
      <c r="AH1201" t="n">
        <v>7</v>
      </c>
      <c r="AI1201" t="n">
        <v>11</v>
      </c>
      <c r="AJ1201" t="n">
        <v>14</v>
      </c>
      <c r="AK1201" t="n">
        <v>23</v>
      </c>
      <c r="AL1201" t="n">
        <v>10</v>
      </c>
      <c r="AM1201" t="n">
        <v>11</v>
      </c>
      <c r="AN1201" t="n">
        <v>0</v>
      </c>
      <c r="AO1201" t="n">
        <v>0</v>
      </c>
      <c r="AP1201" t="inlineStr">
        <is>
          <t>No</t>
        </is>
      </c>
      <c r="AQ1201" t="inlineStr">
        <is>
          <t>Yes</t>
        </is>
      </c>
      <c r="AR1201">
        <f>HYPERLINK("http://catalog.hathitrust.org/Record/000405624","HathiTrust Record")</f>
        <v/>
      </c>
      <c r="AS1201">
        <f>HYPERLINK("https://creighton-primo.hosted.exlibrisgroup.com/primo-explore/search?tab=default_tab&amp;search_scope=EVERYTHING&amp;vid=01CRU&amp;lang=en_US&amp;offset=0&amp;query=any,contains,991005434949702656","Catalog Record")</f>
        <v/>
      </c>
      <c r="AT1201">
        <f>HYPERLINK("http://www.worldcat.org/oclc/2686","WorldCat Record")</f>
        <v/>
      </c>
      <c r="AU1201" t="inlineStr">
        <is>
          <t>890162406:eng</t>
        </is>
      </c>
      <c r="AV1201" t="inlineStr">
        <is>
          <t>2686</t>
        </is>
      </c>
      <c r="AW1201" t="inlineStr">
        <is>
          <t>991005434949702656</t>
        </is>
      </c>
      <c r="AX1201" t="inlineStr">
        <is>
          <t>991005434949702656</t>
        </is>
      </c>
      <c r="AY1201" t="inlineStr">
        <is>
          <t>2262767380002656</t>
        </is>
      </c>
      <c r="AZ1201" t="inlineStr">
        <is>
          <t>BOOK</t>
        </is>
      </c>
      <c r="BC1201" t="inlineStr">
        <is>
          <t>32285002532801</t>
        </is>
      </c>
      <c r="BD1201" t="inlineStr">
        <is>
          <t>893242745</t>
        </is>
      </c>
    </row>
    <row r="1202">
      <c r="A1202" t="inlineStr">
        <is>
          <t>No</t>
        </is>
      </c>
      <c r="B1202" t="inlineStr">
        <is>
          <t>E338 .V2</t>
        </is>
      </c>
      <c r="C1202" t="inlineStr">
        <is>
          <t>0                      E  0338000V  2</t>
        </is>
      </c>
      <c r="D1202" t="inlineStr">
        <is>
          <t>The Jacksonian era, 1828-1848.</t>
        </is>
      </c>
      <c r="F1202" t="inlineStr">
        <is>
          <t>No</t>
        </is>
      </c>
      <c r="G1202" t="inlineStr">
        <is>
          <t>1</t>
        </is>
      </c>
      <c r="H1202" t="inlineStr">
        <is>
          <t>No</t>
        </is>
      </c>
      <c r="I1202" t="inlineStr">
        <is>
          <t>No</t>
        </is>
      </c>
      <c r="J1202" t="inlineStr">
        <is>
          <t>0</t>
        </is>
      </c>
      <c r="K1202" t="inlineStr">
        <is>
          <t>Van Deusen, Glyndon G. (Glyndon Garlock), 1897-1987.</t>
        </is>
      </c>
      <c r="L1202" t="inlineStr">
        <is>
          <t>New York : Harper, [1959]</t>
        </is>
      </c>
      <c r="M1202" t="inlineStr">
        <is>
          <t>1959</t>
        </is>
      </c>
      <c r="N1202" t="inlineStr">
        <is>
          <t>[1st ed.]</t>
        </is>
      </c>
      <c r="O1202" t="inlineStr">
        <is>
          <t>eng</t>
        </is>
      </c>
      <c r="P1202" t="inlineStr">
        <is>
          <t>nyu</t>
        </is>
      </c>
      <c r="Q1202" t="inlineStr">
        <is>
          <t>The New American Nation series</t>
        </is>
      </c>
      <c r="R1202" t="inlineStr">
        <is>
          <t xml:space="preserve">E  </t>
        </is>
      </c>
      <c r="S1202" t="n">
        <v>3</v>
      </c>
      <c r="T1202" t="n">
        <v>3</v>
      </c>
      <c r="U1202" t="inlineStr">
        <is>
          <t>1994-11-12</t>
        </is>
      </c>
      <c r="V1202" t="inlineStr">
        <is>
          <t>1994-11-12</t>
        </is>
      </c>
      <c r="W1202" t="inlineStr">
        <is>
          <t>1992-11-20</t>
        </is>
      </c>
      <c r="X1202" t="inlineStr">
        <is>
          <t>1992-11-20</t>
        </is>
      </c>
      <c r="Y1202" t="n">
        <v>1976</v>
      </c>
      <c r="Z1202" t="n">
        <v>1817</v>
      </c>
      <c r="AA1202" t="n">
        <v>2001</v>
      </c>
      <c r="AB1202" t="n">
        <v>16</v>
      </c>
      <c r="AC1202" t="n">
        <v>17</v>
      </c>
      <c r="AD1202" t="n">
        <v>59</v>
      </c>
      <c r="AE1202" t="n">
        <v>60</v>
      </c>
      <c r="AF1202" t="n">
        <v>24</v>
      </c>
      <c r="AG1202" t="n">
        <v>24</v>
      </c>
      <c r="AH1202" t="n">
        <v>10</v>
      </c>
      <c r="AI1202" t="n">
        <v>10</v>
      </c>
      <c r="AJ1202" t="n">
        <v>21</v>
      </c>
      <c r="AK1202" t="n">
        <v>22</v>
      </c>
      <c r="AL1202" t="n">
        <v>14</v>
      </c>
      <c r="AM1202" t="n">
        <v>14</v>
      </c>
      <c r="AN1202" t="n">
        <v>3</v>
      </c>
      <c r="AO1202" t="n">
        <v>3</v>
      </c>
      <c r="AP1202" t="inlineStr">
        <is>
          <t>No</t>
        </is>
      </c>
      <c r="AQ1202" t="inlineStr">
        <is>
          <t>Yes</t>
        </is>
      </c>
      <c r="AR1202">
        <f>HYPERLINK("http://catalog.hathitrust.org/Record/000405642","HathiTrust Record")</f>
        <v/>
      </c>
      <c r="AS1202">
        <f>HYPERLINK("https://creighton-primo.hosted.exlibrisgroup.com/primo-explore/search?tab=default_tab&amp;search_scope=EVERYTHING&amp;vid=01CRU&amp;lang=en_US&amp;offset=0&amp;query=any,contains,991002752649702656","Catalog Record")</f>
        <v/>
      </c>
      <c r="AT1202">
        <f>HYPERLINK("http://www.worldcat.org/oclc/425298","WorldCat Record")</f>
        <v/>
      </c>
      <c r="AU1202" t="inlineStr">
        <is>
          <t>1517340:eng</t>
        </is>
      </c>
      <c r="AV1202" t="inlineStr">
        <is>
          <t>425298</t>
        </is>
      </c>
      <c r="AW1202" t="inlineStr">
        <is>
          <t>991002752649702656</t>
        </is>
      </c>
      <c r="AX1202" t="inlineStr">
        <is>
          <t>991002752649702656</t>
        </is>
      </c>
      <c r="AY1202" t="inlineStr">
        <is>
          <t>2267959110002656</t>
        </is>
      </c>
      <c r="AZ1202" t="inlineStr">
        <is>
          <t>BOOK</t>
        </is>
      </c>
      <c r="BC1202" t="inlineStr">
        <is>
          <t>32285001406973</t>
        </is>
      </c>
      <c r="BD1202" t="inlineStr">
        <is>
          <t>893530425</t>
        </is>
      </c>
    </row>
    <row r="1203">
      <c r="A1203" t="inlineStr">
        <is>
          <t>No</t>
        </is>
      </c>
      <c r="B1203" t="inlineStr">
        <is>
          <t>E339 .B76</t>
        </is>
      </c>
      <c r="C1203" t="inlineStr">
        <is>
          <t>0                      E  0339000B  76</t>
        </is>
      </c>
      <c r="D1203" t="inlineStr">
        <is>
          <t>Statesmen / by Noah Brooks.</t>
        </is>
      </c>
      <c r="F1203" t="inlineStr">
        <is>
          <t>No</t>
        </is>
      </c>
      <c r="G1203" t="inlineStr">
        <is>
          <t>1</t>
        </is>
      </c>
      <c r="H1203" t="inlineStr">
        <is>
          <t>No</t>
        </is>
      </c>
      <c r="I1203" t="inlineStr">
        <is>
          <t>No</t>
        </is>
      </c>
      <c r="J1203" t="inlineStr">
        <is>
          <t>0</t>
        </is>
      </c>
      <c r="K1203" t="inlineStr">
        <is>
          <t>Brooks, Noah, 1830-1903.</t>
        </is>
      </c>
      <c r="L1203" t="inlineStr">
        <is>
          <t>New York : C. Scribner's Sons, 1893.</t>
        </is>
      </c>
      <c r="M1203" t="inlineStr">
        <is>
          <t>1893</t>
        </is>
      </c>
      <c r="O1203" t="inlineStr">
        <is>
          <t>eng</t>
        </is>
      </c>
      <c r="P1203" t="inlineStr">
        <is>
          <t>nyu</t>
        </is>
      </c>
      <c r="Q1203" t="inlineStr">
        <is>
          <t>Men of achievement</t>
        </is>
      </c>
      <c r="R1203" t="inlineStr">
        <is>
          <t xml:space="preserve">E  </t>
        </is>
      </c>
      <c r="S1203" t="n">
        <v>1</v>
      </c>
      <c r="T1203" t="n">
        <v>1</v>
      </c>
      <c r="U1203" t="inlineStr">
        <is>
          <t>1995-09-28</t>
        </is>
      </c>
      <c r="V1203" t="inlineStr">
        <is>
          <t>1995-09-28</t>
        </is>
      </c>
      <c r="W1203" t="inlineStr">
        <is>
          <t>1990-08-15</t>
        </is>
      </c>
      <c r="X1203" t="inlineStr">
        <is>
          <t>1990-08-15</t>
        </is>
      </c>
      <c r="Y1203" t="n">
        <v>171</v>
      </c>
      <c r="Z1203" t="n">
        <v>166</v>
      </c>
      <c r="AA1203" t="n">
        <v>340</v>
      </c>
      <c r="AB1203" t="n">
        <v>4</v>
      </c>
      <c r="AC1203" t="n">
        <v>5</v>
      </c>
      <c r="AD1203" t="n">
        <v>12</v>
      </c>
      <c r="AE1203" t="n">
        <v>20</v>
      </c>
      <c r="AF1203" t="n">
        <v>1</v>
      </c>
      <c r="AG1203" t="n">
        <v>5</v>
      </c>
      <c r="AH1203" t="n">
        <v>4</v>
      </c>
      <c r="AI1203" t="n">
        <v>6</v>
      </c>
      <c r="AJ1203" t="n">
        <v>6</v>
      </c>
      <c r="AK1203" t="n">
        <v>6</v>
      </c>
      <c r="AL1203" t="n">
        <v>3</v>
      </c>
      <c r="AM1203" t="n">
        <v>3</v>
      </c>
      <c r="AN1203" t="n">
        <v>0</v>
      </c>
      <c r="AO1203" t="n">
        <v>3</v>
      </c>
      <c r="AP1203" t="inlineStr">
        <is>
          <t>Yes</t>
        </is>
      </c>
      <c r="AQ1203" t="inlineStr">
        <is>
          <t>No</t>
        </is>
      </c>
      <c r="AR1203">
        <f>HYPERLINK("http://catalog.hathitrust.org/Record/006560839","HathiTrust Record")</f>
        <v/>
      </c>
      <c r="AS1203">
        <f>HYPERLINK("https://creighton-primo.hosted.exlibrisgroup.com/primo-explore/search?tab=default_tab&amp;search_scope=EVERYTHING&amp;vid=01CRU&amp;lang=en_US&amp;offset=0&amp;query=any,contains,991003643089702656","Catalog Record")</f>
        <v/>
      </c>
      <c r="AT1203">
        <f>HYPERLINK("http://www.worldcat.org/oclc/1241349","WorldCat Record")</f>
        <v/>
      </c>
      <c r="AU1203" t="inlineStr">
        <is>
          <t>2146048:eng</t>
        </is>
      </c>
      <c r="AV1203" t="inlineStr">
        <is>
          <t>1241349</t>
        </is>
      </c>
      <c r="AW1203" t="inlineStr">
        <is>
          <t>991003643089702656</t>
        </is>
      </c>
      <c r="AX1203" t="inlineStr">
        <is>
          <t>991003643089702656</t>
        </is>
      </c>
      <c r="AY1203" t="inlineStr">
        <is>
          <t>2260968790002656</t>
        </is>
      </c>
      <c r="AZ1203" t="inlineStr">
        <is>
          <t>BOOK</t>
        </is>
      </c>
      <c r="BC1203" t="inlineStr">
        <is>
          <t>32285000281211</t>
        </is>
      </c>
      <c r="BD1203" t="inlineStr">
        <is>
          <t>893881386</t>
        </is>
      </c>
    </row>
    <row r="1204">
      <c r="A1204" t="inlineStr">
        <is>
          <t>No</t>
        </is>
      </c>
      <c r="B1204" t="inlineStr">
        <is>
          <t>E339 .H9 2000</t>
        </is>
      </c>
      <c r="C1204" t="inlineStr">
        <is>
          <t>0                      E  0339000H  9           2000</t>
        </is>
      </c>
      <c r="D1204" t="inlineStr">
        <is>
          <t>The human tradition in antebellum America / edited by Michael A. Morrison.</t>
        </is>
      </c>
      <c r="F1204" t="inlineStr">
        <is>
          <t>No</t>
        </is>
      </c>
      <c r="G1204" t="inlineStr">
        <is>
          <t>1</t>
        </is>
      </c>
      <c r="H1204" t="inlineStr">
        <is>
          <t>No</t>
        </is>
      </c>
      <c r="I1204" t="inlineStr">
        <is>
          <t>No</t>
        </is>
      </c>
      <c r="J1204" t="inlineStr">
        <is>
          <t>0</t>
        </is>
      </c>
      <c r="L1204" t="inlineStr">
        <is>
          <t>Wilmington, Del. : SR Books, 2000.</t>
        </is>
      </c>
      <c r="M1204" t="inlineStr">
        <is>
          <t>2000</t>
        </is>
      </c>
      <c r="O1204" t="inlineStr">
        <is>
          <t>eng</t>
        </is>
      </c>
      <c r="P1204" t="inlineStr">
        <is>
          <t>deu</t>
        </is>
      </c>
      <c r="Q1204" t="inlineStr">
        <is>
          <t>The human tradition in America ; no. 7</t>
        </is>
      </c>
      <c r="R1204" t="inlineStr">
        <is>
          <t xml:space="preserve">E  </t>
        </is>
      </c>
      <c r="S1204" t="n">
        <v>1</v>
      </c>
      <c r="T1204" t="n">
        <v>1</v>
      </c>
      <c r="U1204" t="inlineStr">
        <is>
          <t>2001-08-23</t>
        </is>
      </c>
      <c r="V1204" t="inlineStr">
        <is>
          <t>2001-08-23</t>
        </is>
      </c>
      <c r="W1204" t="inlineStr">
        <is>
          <t>2001-08-22</t>
        </is>
      </c>
      <c r="X1204" t="inlineStr">
        <is>
          <t>2001-08-22</t>
        </is>
      </c>
      <c r="Y1204" t="n">
        <v>378</v>
      </c>
      <c r="Z1204" t="n">
        <v>359</v>
      </c>
      <c r="AA1204" t="n">
        <v>361</v>
      </c>
      <c r="AB1204" t="n">
        <v>3</v>
      </c>
      <c r="AC1204" t="n">
        <v>3</v>
      </c>
      <c r="AD1204" t="n">
        <v>21</v>
      </c>
      <c r="AE1204" t="n">
        <v>21</v>
      </c>
      <c r="AF1204" t="n">
        <v>11</v>
      </c>
      <c r="AG1204" t="n">
        <v>11</v>
      </c>
      <c r="AH1204" t="n">
        <v>5</v>
      </c>
      <c r="AI1204" t="n">
        <v>5</v>
      </c>
      <c r="AJ1204" t="n">
        <v>9</v>
      </c>
      <c r="AK1204" t="n">
        <v>9</v>
      </c>
      <c r="AL1204" t="n">
        <v>2</v>
      </c>
      <c r="AM1204" t="n">
        <v>2</v>
      </c>
      <c r="AN1204" t="n">
        <v>0</v>
      </c>
      <c r="AO1204" t="n">
        <v>0</v>
      </c>
      <c r="AP1204" t="inlineStr">
        <is>
          <t>No</t>
        </is>
      </c>
      <c r="AQ1204" t="inlineStr">
        <is>
          <t>Yes</t>
        </is>
      </c>
      <c r="AR1204">
        <f>HYPERLINK("http://catalog.hathitrust.org/Record/004128909","HathiTrust Record")</f>
        <v/>
      </c>
      <c r="AS1204">
        <f>HYPERLINK("https://creighton-primo.hosted.exlibrisgroup.com/primo-explore/search?tab=default_tab&amp;search_scope=EVERYTHING&amp;vid=01CRU&amp;lang=en_US&amp;offset=0&amp;query=any,contains,991003581889702656","Catalog Record")</f>
        <v/>
      </c>
      <c r="AT1204">
        <f>HYPERLINK("http://www.worldcat.org/oclc/43641239","WorldCat Record")</f>
        <v/>
      </c>
      <c r="AU1204" t="inlineStr">
        <is>
          <t>45280207:eng</t>
        </is>
      </c>
      <c r="AV1204" t="inlineStr">
        <is>
          <t>43641239</t>
        </is>
      </c>
      <c r="AW1204" t="inlineStr">
        <is>
          <t>991003581889702656</t>
        </is>
      </c>
      <c r="AX1204" t="inlineStr">
        <is>
          <t>991003581889702656</t>
        </is>
      </c>
      <c r="AY1204" t="inlineStr">
        <is>
          <t>2267996330002656</t>
        </is>
      </c>
      <c r="AZ1204" t="inlineStr">
        <is>
          <t>BOOK</t>
        </is>
      </c>
      <c r="BB1204" t="inlineStr">
        <is>
          <t>9780842028349</t>
        </is>
      </c>
      <c r="BC1204" t="inlineStr">
        <is>
          <t>32285004379631</t>
        </is>
      </c>
      <c r="BD1204" t="inlineStr">
        <is>
          <t>893524983</t>
        </is>
      </c>
    </row>
    <row r="1205">
      <c r="A1205" t="inlineStr">
        <is>
          <t>No</t>
        </is>
      </c>
      <c r="B1205" t="inlineStr">
        <is>
          <t>E340.B4 R77 1972</t>
        </is>
      </c>
      <c r="C1205" t="inlineStr">
        <is>
          <t>0                      E  0340000B  4                  R  77          1972</t>
        </is>
      </c>
      <c r="D1205" t="inlineStr">
        <is>
          <t>Thomas H. Benton / by Theodore Roosevelt.</t>
        </is>
      </c>
      <c r="F1205" t="inlineStr">
        <is>
          <t>No</t>
        </is>
      </c>
      <c r="G1205" t="inlineStr">
        <is>
          <t>1</t>
        </is>
      </c>
      <c r="H1205" t="inlineStr">
        <is>
          <t>No</t>
        </is>
      </c>
      <c r="I1205" t="inlineStr">
        <is>
          <t>No</t>
        </is>
      </c>
      <c r="J1205" t="inlineStr">
        <is>
          <t>0</t>
        </is>
      </c>
      <c r="K1205" t="inlineStr">
        <is>
          <t>Roosevelt, Theodore, 1858-1919.</t>
        </is>
      </c>
      <c r="L1205" t="inlineStr">
        <is>
          <t>[New York : AMS Press, 1972]</t>
        </is>
      </c>
      <c r="M1205" t="inlineStr">
        <is>
          <t>1972</t>
        </is>
      </c>
      <c r="O1205" t="inlineStr">
        <is>
          <t>eng</t>
        </is>
      </c>
      <c r="P1205" t="inlineStr">
        <is>
          <t>nyu</t>
        </is>
      </c>
      <c r="Q1205" t="inlineStr">
        <is>
          <t>American statesmen ; v. 23</t>
        </is>
      </c>
      <c r="R1205" t="inlineStr">
        <is>
          <t xml:space="preserve">E  </t>
        </is>
      </c>
      <c r="S1205" t="n">
        <v>0</v>
      </c>
      <c r="T1205" t="n">
        <v>0</v>
      </c>
      <c r="U1205" t="inlineStr">
        <is>
          <t>2005-03-17</t>
        </is>
      </c>
      <c r="V1205" t="inlineStr">
        <is>
          <t>2005-03-17</t>
        </is>
      </c>
      <c r="W1205" t="inlineStr">
        <is>
          <t>1991-04-22</t>
        </is>
      </c>
      <c r="X1205" t="inlineStr">
        <is>
          <t>1991-04-22</t>
        </is>
      </c>
      <c r="Y1205" t="n">
        <v>76</v>
      </c>
      <c r="Z1205" t="n">
        <v>69</v>
      </c>
      <c r="AA1205" t="n">
        <v>677</v>
      </c>
      <c r="AB1205" t="n">
        <v>2</v>
      </c>
      <c r="AC1205" t="n">
        <v>7</v>
      </c>
      <c r="AD1205" t="n">
        <v>0</v>
      </c>
      <c r="AE1205" t="n">
        <v>43</v>
      </c>
      <c r="AF1205" t="n">
        <v>0</v>
      </c>
      <c r="AG1205" t="n">
        <v>11</v>
      </c>
      <c r="AH1205" t="n">
        <v>0</v>
      </c>
      <c r="AI1205" t="n">
        <v>5</v>
      </c>
      <c r="AJ1205" t="n">
        <v>0</v>
      </c>
      <c r="AK1205" t="n">
        <v>16</v>
      </c>
      <c r="AL1205" t="n">
        <v>0</v>
      </c>
      <c r="AM1205" t="n">
        <v>3</v>
      </c>
      <c r="AN1205" t="n">
        <v>0</v>
      </c>
      <c r="AO1205" t="n">
        <v>13</v>
      </c>
      <c r="AP1205" t="inlineStr">
        <is>
          <t>No</t>
        </is>
      </c>
      <c r="AQ1205" t="inlineStr">
        <is>
          <t>No</t>
        </is>
      </c>
      <c r="AS1205">
        <f>HYPERLINK("https://creighton-primo.hosted.exlibrisgroup.com/primo-explore/search?tab=default_tab&amp;search_scope=EVERYTHING&amp;vid=01CRU&amp;lang=en_US&amp;offset=0&amp;query=any,contains,991001288459702656","Catalog Record")</f>
        <v/>
      </c>
      <c r="AT1205">
        <f>HYPERLINK("http://www.worldcat.org/oclc/217351","WorldCat Record")</f>
        <v/>
      </c>
      <c r="AU1205" t="inlineStr">
        <is>
          <t>342933436:eng</t>
        </is>
      </c>
      <c r="AV1205" t="inlineStr">
        <is>
          <t>217351</t>
        </is>
      </c>
      <c r="AW1205" t="inlineStr">
        <is>
          <t>991001288459702656</t>
        </is>
      </c>
      <c r="AX1205" t="inlineStr">
        <is>
          <t>991001288459702656</t>
        </is>
      </c>
      <c r="AY1205" t="inlineStr">
        <is>
          <t>2259443870002656</t>
        </is>
      </c>
      <c r="AZ1205" t="inlineStr">
        <is>
          <t>BOOK</t>
        </is>
      </c>
      <c r="BB1205" t="inlineStr">
        <is>
          <t>9780404508739</t>
        </is>
      </c>
      <c r="BC1205" t="inlineStr">
        <is>
          <t>32285000543685</t>
        </is>
      </c>
      <c r="BD1205" t="inlineStr">
        <is>
          <t>893715342</t>
        </is>
      </c>
    </row>
    <row r="1206">
      <c r="A1206" t="inlineStr">
        <is>
          <t>No</t>
        </is>
      </c>
      <c r="B1206" t="inlineStr">
        <is>
          <t>E340.C15 W5</t>
        </is>
      </c>
      <c r="C1206" t="inlineStr">
        <is>
          <t>0                      E  0340000C  15                 W  5</t>
        </is>
      </c>
      <c r="D1206" t="inlineStr">
        <is>
          <t>John C. Calhoun / by Charles M. Wiltse.</t>
        </is>
      </c>
      <c r="E1206" t="inlineStr">
        <is>
          <t>V.2</t>
        </is>
      </c>
      <c r="F1206" t="inlineStr">
        <is>
          <t>Yes</t>
        </is>
      </c>
      <c r="G1206" t="inlineStr">
        <is>
          <t>1</t>
        </is>
      </c>
      <c r="H1206" t="inlineStr">
        <is>
          <t>No</t>
        </is>
      </c>
      <c r="I1206" t="inlineStr">
        <is>
          <t>No</t>
        </is>
      </c>
      <c r="J1206" t="inlineStr">
        <is>
          <t>0</t>
        </is>
      </c>
      <c r="K1206" t="inlineStr">
        <is>
          <t>Wiltse, Charles M. (Charles Maurice), 1907-1990.</t>
        </is>
      </c>
      <c r="L1206" t="inlineStr">
        <is>
          <t>Indianapolis : Bobbs-Merrill, c1944-c1951.</t>
        </is>
      </c>
      <c r="M1206" t="inlineStr">
        <is>
          <t>1944</t>
        </is>
      </c>
      <c r="N1206" t="inlineStr">
        <is>
          <t>[1st ed.]</t>
        </is>
      </c>
      <c r="O1206" t="inlineStr">
        <is>
          <t>eng</t>
        </is>
      </c>
      <c r="P1206" t="inlineStr">
        <is>
          <t>inu</t>
        </is>
      </c>
      <c r="R1206" t="inlineStr">
        <is>
          <t xml:space="preserve">E  </t>
        </is>
      </c>
      <c r="S1206" t="n">
        <v>1</v>
      </c>
      <c r="T1206" t="n">
        <v>1</v>
      </c>
      <c r="U1206" t="inlineStr">
        <is>
          <t>2002-11-24</t>
        </is>
      </c>
      <c r="V1206" t="inlineStr">
        <is>
          <t>2002-11-24</t>
        </is>
      </c>
      <c r="W1206" t="inlineStr">
        <is>
          <t>1997-04-14</t>
        </is>
      </c>
      <c r="X1206" t="inlineStr">
        <is>
          <t>1997-04-14</t>
        </is>
      </c>
      <c r="Y1206" t="n">
        <v>866</v>
      </c>
      <c r="Z1206" t="n">
        <v>832</v>
      </c>
      <c r="AA1206" t="n">
        <v>1071</v>
      </c>
      <c r="AB1206" t="n">
        <v>9</v>
      </c>
      <c r="AC1206" t="n">
        <v>10</v>
      </c>
      <c r="AD1206" t="n">
        <v>49</v>
      </c>
      <c r="AE1206" t="n">
        <v>54</v>
      </c>
      <c r="AF1206" t="n">
        <v>17</v>
      </c>
      <c r="AG1206" t="n">
        <v>19</v>
      </c>
      <c r="AH1206" t="n">
        <v>11</v>
      </c>
      <c r="AI1206" t="n">
        <v>11</v>
      </c>
      <c r="AJ1206" t="n">
        <v>20</v>
      </c>
      <c r="AK1206" t="n">
        <v>22</v>
      </c>
      <c r="AL1206" t="n">
        <v>8</v>
      </c>
      <c r="AM1206" t="n">
        <v>9</v>
      </c>
      <c r="AN1206" t="n">
        <v>6</v>
      </c>
      <c r="AO1206" t="n">
        <v>6</v>
      </c>
      <c r="AP1206" t="inlineStr">
        <is>
          <t>No</t>
        </is>
      </c>
      <c r="AQ1206" t="inlineStr">
        <is>
          <t>Yes</t>
        </is>
      </c>
      <c r="AR1206">
        <f>HYPERLINK("http://catalog.hathitrust.org/Record/000405818","HathiTrust Record")</f>
        <v/>
      </c>
      <c r="AS1206">
        <f>HYPERLINK("https://creighton-primo.hosted.exlibrisgroup.com/primo-explore/search?tab=default_tab&amp;search_scope=EVERYTHING&amp;vid=01CRU&amp;lang=en_US&amp;offset=0&amp;query=any,contains,991002750849702656","Catalog Record")</f>
        <v/>
      </c>
      <c r="AT1206">
        <f>HYPERLINK("http://www.worldcat.org/oclc/424661","WorldCat Record")</f>
        <v/>
      </c>
      <c r="AU1206" t="inlineStr">
        <is>
          <t>9622215499:eng</t>
        </is>
      </c>
      <c r="AV1206" t="inlineStr">
        <is>
          <t>424661</t>
        </is>
      </c>
      <c r="AW1206" t="inlineStr">
        <is>
          <t>991002750849702656</t>
        </is>
      </c>
      <c r="AX1206" t="inlineStr">
        <is>
          <t>991002750849702656</t>
        </is>
      </c>
      <c r="AY1206" t="inlineStr">
        <is>
          <t>2268370100002656</t>
        </is>
      </c>
      <c r="AZ1206" t="inlineStr">
        <is>
          <t>BOOK</t>
        </is>
      </c>
      <c r="BC1206" t="inlineStr">
        <is>
          <t>32285002533205</t>
        </is>
      </c>
      <c r="BD1206" t="inlineStr">
        <is>
          <t>893610240</t>
        </is>
      </c>
    </row>
    <row r="1207">
      <c r="A1207" t="inlineStr">
        <is>
          <t>No</t>
        </is>
      </c>
      <c r="B1207" t="inlineStr">
        <is>
          <t>E340.C15 W5</t>
        </is>
      </c>
      <c r="C1207" t="inlineStr">
        <is>
          <t>0                      E  0340000C  15                 W  5</t>
        </is>
      </c>
      <c r="D1207" t="inlineStr">
        <is>
          <t>John C. Calhoun / by Charles M. Wiltse.</t>
        </is>
      </c>
      <c r="E1207" t="inlineStr">
        <is>
          <t>V.1</t>
        </is>
      </c>
      <c r="F1207" t="inlineStr">
        <is>
          <t>Yes</t>
        </is>
      </c>
      <c r="G1207" t="inlineStr">
        <is>
          <t>1</t>
        </is>
      </c>
      <c r="H1207" t="inlineStr">
        <is>
          <t>No</t>
        </is>
      </c>
      <c r="I1207" t="inlineStr">
        <is>
          <t>No</t>
        </is>
      </c>
      <c r="J1207" t="inlineStr">
        <is>
          <t>0</t>
        </is>
      </c>
      <c r="K1207" t="inlineStr">
        <is>
          <t>Wiltse, Charles M. (Charles Maurice), 1907-1990.</t>
        </is>
      </c>
      <c r="L1207" t="inlineStr">
        <is>
          <t>Indianapolis : Bobbs-Merrill, c1944-c1951.</t>
        </is>
      </c>
      <c r="M1207" t="inlineStr">
        <is>
          <t>1944</t>
        </is>
      </c>
      <c r="N1207" t="inlineStr">
        <is>
          <t>[1st ed.]</t>
        </is>
      </c>
      <c r="O1207" t="inlineStr">
        <is>
          <t>eng</t>
        </is>
      </c>
      <c r="P1207" t="inlineStr">
        <is>
          <t>inu</t>
        </is>
      </c>
      <c r="R1207" t="inlineStr">
        <is>
          <t xml:space="preserve">E  </t>
        </is>
      </c>
      <c r="S1207" t="n">
        <v>0</v>
      </c>
      <c r="T1207" t="n">
        <v>1</v>
      </c>
      <c r="V1207" t="inlineStr">
        <is>
          <t>2002-11-24</t>
        </is>
      </c>
      <c r="W1207" t="inlineStr">
        <is>
          <t>1997-04-14</t>
        </is>
      </c>
      <c r="X1207" t="inlineStr">
        <is>
          <t>1997-04-14</t>
        </is>
      </c>
      <c r="Y1207" t="n">
        <v>866</v>
      </c>
      <c r="Z1207" t="n">
        <v>832</v>
      </c>
      <c r="AA1207" t="n">
        <v>1071</v>
      </c>
      <c r="AB1207" t="n">
        <v>9</v>
      </c>
      <c r="AC1207" t="n">
        <v>10</v>
      </c>
      <c r="AD1207" t="n">
        <v>49</v>
      </c>
      <c r="AE1207" t="n">
        <v>54</v>
      </c>
      <c r="AF1207" t="n">
        <v>17</v>
      </c>
      <c r="AG1207" t="n">
        <v>19</v>
      </c>
      <c r="AH1207" t="n">
        <v>11</v>
      </c>
      <c r="AI1207" t="n">
        <v>11</v>
      </c>
      <c r="AJ1207" t="n">
        <v>20</v>
      </c>
      <c r="AK1207" t="n">
        <v>22</v>
      </c>
      <c r="AL1207" t="n">
        <v>8</v>
      </c>
      <c r="AM1207" t="n">
        <v>9</v>
      </c>
      <c r="AN1207" t="n">
        <v>6</v>
      </c>
      <c r="AO1207" t="n">
        <v>6</v>
      </c>
      <c r="AP1207" t="inlineStr">
        <is>
          <t>No</t>
        </is>
      </c>
      <c r="AQ1207" t="inlineStr">
        <is>
          <t>Yes</t>
        </is>
      </c>
      <c r="AR1207">
        <f>HYPERLINK("http://catalog.hathitrust.org/Record/000405818","HathiTrust Record")</f>
        <v/>
      </c>
      <c r="AS1207">
        <f>HYPERLINK("https://creighton-primo.hosted.exlibrisgroup.com/primo-explore/search?tab=default_tab&amp;search_scope=EVERYTHING&amp;vid=01CRU&amp;lang=en_US&amp;offset=0&amp;query=any,contains,991002750849702656","Catalog Record")</f>
        <v/>
      </c>
      <c r="AT1207">
        <f>HYPERLINK("http://www.worldcat.org/oclc/424661","WorldCat Record")</f>
        <v/>
      </c>
      <c r="AU1207" t="inlineStr">
        <is>
          <t>9622215499:eng</t>
        </is>
      </c>
      <c r="AV1207" t="inlineStr">
        <is>
          <t>424661</t>
        </is>
      </c>
      <c r="AW1207" t="inlineStr">
        <is>
          <t>991002750849702656</t>
        </is>
      </c>
      <c r="AX1207" t="inlineStr">
        <is>
          <t>991002750849702656</t>
        </is>
      </c>
      <c r="AY1207" t="inlineStr">
        <is>
          <t>2268370100002656</t>
        </is>
      </c>
      <c r="AZ1207" t="inlineStr">
        <is>
          <t>BOOK</t>
        </is>
      </c>
      <c r="BC1207" t="inlineStr">
        <is>
          <t>32285002533197</t>
        </is>
      </c>
      <c r="BD1207" t="inlineStr">
        <is>
          <t>893616528</t>
        </is>
      </c>
    </row>
    <row r="1208">
      <c r="A1208" t="inlineStr">
        <is>
          <t>No</t>
        </is>
      </c>
      <c r="B1208" t="inlineStr">
        <is>
          <t>E340.C15 W5</t>
        </is>
      </c>
      <c r="C1208" t="inlineStr">
        <is>
          <t>0                      E  0340000C  15                 W  5</t>
        </is>
      </c>
      <c r="D1208" t="inlineStr">
        <is>
          <t>John C. Calhoun / by Charles M. Wiltse.</t>
        </is>
      </c>
      <c r="E1208" t="inlineStr">
        <is>
          <t>V.3</t>
        </is>
      </c>
      <c r="F1208" t="inlineStr">
        <is>
          <t>Yes</t>
        </is>
      </c>
      <c r="G1208" t="inlineStr">
        <is>
          <t>1</t>
        </is>
      </c>
      <c r="H1208" t="inlineStr">
        <is>
          <t>No</t>
        </is>
      </c>
      <c r="I1208" t="inlineStr">
        <is>
          <t>No</t>
        </is>
      </c>
      <c r="J1208" t="inlineStr">
        <is>
          <t>0</t>
        </is>
      </c>
      <c r="K1208" t="inlineStr">
        <is>
          <t>Wiltse, Charles M. (Charles Maurice), 1907-1990.</t>
        </is>
      </c>
      <c r="L1208" t="inlineStr">
        <is>
          <t>Indianapolis : Bobbs-Merrill, c1944-c1951.</t>
        </is>
      </c>
      <c r="M1208" t="inlineStr">
        <is>
          <t>1944</t>
        </is>
      </c>
      <c r="N1208" t="inlineStr">
        <is>
          <t>[1st ed.]</t>
        </is>
      </c>
      <c r="O1208" t="inlineStr">
        <is>
          <t>eng</t>
        </is>
      </c>
      <c r="P1208" t="inlineStr">
        <is>
          <t>inu</t>
        </is>
      </c>
      <c r="R1208" t="inlineStr">
        <is>
          <t xml:space="preserve">E  </t>
        </is>
      </c>
      <c r="S1208" t="n">
        <v>0</v>
      </c>
      <c r="T1208" t="n">
        <v>1</v>
      </c>
      <c r="V1208" t="inlineStr">
        <is>
          <t>2002-11-24</t>
        </is>
      </c>
      <c r="W1208" t="inlineStr">
        <is>
          <t>1997-04-14</t>
        </is>
      </c>
      <c r="X1208" t="inlineStr">
        <is>
          <t>1997-04-14</t>
        </is>
      </c>
      <c r="Y1208" t="n">
        <v>866</v>
      </c>
      <c r="Z1208" t="n">
        <v>832</v>
      </c>
      <c r="AA1208" t="n">
        <v>1071</v>
      </c>
      <c r="AB1208" t="n">
        <v>9</v>
      </c>
      <c r="AC1208" t="n">
        <v>10</v>
      </c>
      <c r="AD1208" t="n">
        <v>49</v>
      </c>
      <c r="AE1208" t="n">
        <v>54</v>
      </c>
      <c r="AF1208" t="n">
        <v>17</v>
      </c>
      <c r="AG1208" t="n">
        <v>19</v>
      </c>
      <c r="AH1208" t="n">
        <v>11</v>
      </c>
      <c r="AI1208" t="n">
        <v>11</v>
      </c>
      <c r="AJ1208" t="n">
        <v>20</v>
      </c>
      <c r="AK1208" t="n">
        <v>22</v>
      </c>
      <c r="AL1208" t="n">
        <v>8</v>
      </c>
      <c r="AM1208" t="n">
        <v>9</v>
      </c>
      <c r="AN1208" t="n">
        <v>6</v>
      </c>
      <c r="AO1208" t="n">
        <v>6</v>
      </c>
      <c r="AP1208" t="inlineStr">
        <is>
          <t>No</t>
        </is>
      </c>
      <c r="AQ1208" t="inlineStr">
        <is>
          <t>Yes</t>
        </is>
      </c>
      <c r="AR1208">
        <f>HYPERLINK("http://catalog.hathitrust.org/Record/000405818","HathiTrust Record")</f>
        <v/>
      </c>
      <c r="AS1208">
        <f>HYPERLINK("https://creighton-primo.hosted.exlibrisgroup.com/primo-explore/search?tab=default_tab&amp;search_scope=EVERYTHING&amp;vid=01CRU&amp;lang=en_US&amp;offset=0&amp;query=any,contains,991002750849702656","Catalog Record")</f>
        <v/>
      </c>
      <c r="AT1208">
        <f>HYPERLINK("http://www.worldcat.org/oclc/424661","WorldCat Record")</f>
        <v/>
      </c>
      <c r="AU1208" t="inlineStr">
        <is>
          <t>9622215499:eng</t>
        </is>
      </c>
      <c r="AV1208" t="inlineStr">
        <is>
          <t>424661</t>
        </is>
      </c>
      <c r="AW1208" t="inlineStr">
        <is>
          <t>991002750849702656</t>
        </is>
      </c>
      <c r="AX1208" t="inlineStr">
        <is>
          <t>991002750849702656</t>
        </is>
      </c>
      <c r="AY1208" t="inlineStr">
        <is>
          <t>2268370100002656</t>
        </is>
      </c>
      <c r="AZ1208" t="inlineStr">
        <is>
          <t>BOOK</t>
        </is>
      </c>
      <c r="BC1208" t="inlineStr">
        <is>
          <t>32285002533213</t>
        </is>
      </c>
      <c r="BD1208" t="inlineStr">
        <is>
          <t>893616527</t>
        </is>
      </c>
    </row>
    <row r="1209">
      <c r="A1209" t="inlineStr">
        <is>
          <t>No</t>
        </is>
      </c>
      <c r="B1209" t="inlineStr">
        <is>
          <t>E340.C6 C74</t>
        </is>
      </c>
      <c r="C1209" t="inlineStr">
        <is>
          <t>0                      E  0340000C  6                  C  74</t>
        </is>
      </c>
      <c r="D1209" t="inlineStr">
        <is>
          <t>The life and times of Henry Clay / by Calvin Colton.</t>
        </is>
      </c>
      <c r="E1209" t="inlineStr">
        <is>
          <t>V.2</t>
        </is>
      </c>
      <c r="F1209" t="inlineStr">
        <is>
          <t>Yes</t>
        </is>
      </c>
      <c r="G1209" t="inlineStr">
        <is>
          <t>1</t>
        </is>
      </c>
      <c r="H1209" t="inlineStr">
        <is>
          <t>No</t>
        </is>
      </c>
      <c r="I1209" t="inlineStr">
        <is>
          <t>No</t>
        </is>
      </c>
      <c r="J1209" t="inlineStr">
        <is>
          <t>0</t>
        </is>
      </c>
      <c r="K1209" t="inlineStr">
        <is>
          <t>Colton, Calvin, 1789-1857.</t>
        </is>
      </c>
      <c r="L1209" t="inlineStr">
        <is>
          <t>New York, A.S. Barnes &amp; Co., 1846.</t>
        </is>
      </c>
      <c r="M1209" t="inlineStr">
        <is>
          <t>1846</t>
        </is>
      </c>
      <c r="O1209" t="inlineStr">
        <is>
          <t>eng</t>
        </is>
      </c>
      <c r="P1209" t="inlineStr">
        <is>
          <t>nyu</t>
        </is>
      </c>
      <c r="R1209" t="inlineStr">
        <is>
          <t xml:space="preserve">E  </t>
        </is>
      </c>
      <c r="S1209" t="n">
        <v>1</v>
      </c>
      <c r="T1209" t="n">
        <v>2</v>
      </c>
      <c r="U1209" t="inlineStr">
        <is>
          <t>1997-10-23</t>
        </is>
      </c>
      <c r="V1209" t="inlineStr">
        <is>
          <t>1997-10-23</t>
        </is>
      </c>
      <c r="W1209" t="inlineStr">
        <is>
          <t>1996-08-20</t>
        </is>
      </c>
      <c r="X1209" t="inlineStr">
        <is>
          <t>1996-08-20</t>
        </is>
      </c>
      <c r="Y1209" t="n">
        <v>335</v>
      </c>
      <c r="Z1209" t="n">
        <v>318</v>
      </c>
      <c r="AA1209" t="n">
        <v>591</v>
      </c>
      <c r="AB1209" t="n">
        <v>2</v>
      </c>
      <c r="AC1209" t="n">
        <v>6</v>
      </c>
      <c r="AD1209" t="n">
        <v>18</v>
      </c>
      <c r="AE1209" t="n">
        <v>41</v>
      </c>
      <c r="AF1209" t="n">
        <v>5</v>
      </c>
      <c r="AG1209" t="n">
        <v>7</v>
      </c>
      <c r="AH1209" t="n">
        <v>4</v>
      </c>
      <c r="AI1209" t="n">
        <v>6</v>
      </c>
      <c r="AJ1209" t="n">
        <v>10</v>
      </c>
      <c r="AK1209" t="n">
        <v>12</v>
      </c>
      <c r="AL1209" t="n">
        <v>1</v>
      </c>
      <c r="AM1209" t="n">
        <v>3</v>
      </c>
      <c r="AN1209" t="n">
        <v>2</v>
      </c>
      <c r="AO1209" t="n">
        <v>17</v>
      </c>
      <c r="AP1209" t="inlineStr">
        <is>
          <t>Yes</t>
        </is>
      </c>
      <c r="AQ1209" t="inlineStr">
        <is>
          <t>No</t>
        </is>
      </c>
      <c r="AR1209">
        <f>HYPERLINK("http://catalog.hathitrust.org/Record/000367808","HathiTrust Record")</f>
        <v/>
      </c>
      <c r="AS1209">
        <f>HYPERLINK("https://creighton-primo.hosted.exlibrisgroup.com/primo-explore/search?tab=default_tab&amp;search_scope=EVERYTHING&amp;vid=01CRU&amp;lang=en_US&amp;offset=0&amp;query=any,contains,991003521859702656","Catalog Record")</f>
        <v/>
      </c>
      <c r="AT1209">
        <f>HYPERLINK("http://www.worldcat.org/oclc/1083830","WorldCat Record")</f>
        <v/>
      </c>
      <c r="AU1209" t="inlineStr">
        <is>
          <t>970401:eng</t>
        </is>
      </c>
      <c r="AV1209" t="inlineStr">
        <is>
          <t>1083830</t>
        </is>
      </c>
      <c r="AW1209" t="inlineStr">
        <is>
          <t>991003521859702656</t>
        </is>
      </c>
      <c r="AX1209" t="inlineStr">
        <is>
          <t>991003521859702656</t>
        </is>
      </c>
      <c r="AY1209" t="inlineStr">
        <is>
          <t>2267912470002656</t>
        </is>
      </c>
      <c r="AZ1209" t="inlineStr">
        <is>
          <t>BOOK</t>
        </is>
      </c>
      <c r="BC1209" t="inlineStr">
        <is>
          <t>32285002282217</t>
        </is>
      </c>
      <c r="BD1209" t="inlineStr">
        <is>
          <t>893881252</t>
        </is>
      </c>
    </row>
    <row r="1210">
      <c r="A1210" t="inlineStr">
        <is>
          <t>No</t>
        </is>
      </c>
      <c r="B1210" t="inlineStr">
        <is>
          <t>E340.C6 C74</t>
        </is>
      </c>
      <c r="C1210" t="inlineStr">
        <is>
          <t>0                      E  0340000C  6                  C  74</t>
        </is>
      </c>
      <c r="D1210" t="inlineStr">
        <is>
          <t>The life and times of Henry Clay / by Calvin Colton.</t>
        </is>
      </c>
      <c r="E1210" t="inlineStr">
        <is>
          <t>V.1</t>
        </is>
      </c>
      <c r="F1210" t="inlineStr">
        <is>
          <t>Yes</t>
        </is>
      </c>
      <c r="G1210" t="inlineStr">
        <is>
          <t>1</t>
        </is>
      </c>
      <c r="H1210" t="inlineStr">
        <is>
          <t>No</t>
        </is>
      </c>
      <c r="I1210" t="inlineStr">
        <is>
          <t>No</t>
        </is>
      </c>
      <c r="J1210" t="inlineStr">
        <is>
          <t>0</t>
        </is>
      </c>
      <c r="K1210" t="inlineStr">
        <is>
          <t>Colton, Calvin, 1789-1857.</t>
        </is>
      </c>
      <c r="L1210" t="inlineStr">
        <is>
          <t>New York, A.S. Barnes &amp; Co., 1846.</t>
        </is>
      </c>
      <c r="M1210" t="inlineStr">
        <is>
          <t>1846</t>
        </is>
      </c>
      <c r="O1210" t="inlineStr">
        <is>
          <t>eng</t>
        </is>
      </c>
      <c r="P1210" t="inlineStr">
        <is>
          <t>nyu</t>
        </is>
      </c>
      <c r="R1210" t="inlineStr">
        <is>
          <t xml:space="preserve">E  </t>
        </is>
      </c>
      <c r="S1210" t="n">
        <v>1</v>
      </c>
      <c r="T1210" t="n">
        <v>2</v>
      </c>
      <c r="U1210" t="inlineStr">
        <is>
          <t>1997-10-23</t>
        </is>
      </c>
      <c r="V1210" t="inlineStr">
        <is>
          <t>1997-10-23</t>
        </is>
      </c>
      <c r="W1210" t="inlineStr">
        <is>
          <t>1996-08-20</t>
        </is>
      </c>
      <c r="X1210" t="inlineStr">
        <is>
          <t>1996-08-20</t>
        </is>
      </c>
      <c r="Y1210" t="n">
        <v>335</v>
      </c>
      <c r="Z1210" t="n">
        <v>318</v>
      </c>
      <c r="AA1210" t="n">
        <v>591</v>
      </c>
      <c r="AB1210" t="n">
        <v>2</v>
      </c>
      <c r="AC1210" t="n">
        <v>6</v>
      </c>
      <c r="AD1210" t="n">
        <v>18</v>
      </c>
      <c r="AE1210" t="n">
        <v>41</v>
      </c>
      <c r="AF1210" t="n">
        <v>5</v>
      </c>
      <c r="AG1210" t="n">
        <v>7</v>
      </c>
      <c r="AH1210" t="n">
        <v>4</v>
      </c>
      <c r="AI1210" t="n">
        <v>6</v>
      </c>
      <c r="AJ1210" t="n">
        <v>10</v>
      </c>
      <c r="AK1210" t="n">
        <v>12</v>
      </c>
      <c r="AL1210" t="n">
        <v>1</v>
      </c>
      <c r="AM1210" t="n">
        <v>3</v>
      </c>
      <c r="AN1210" t="n">
        <v>2</v>
      </c>
      <c r="AO1210" t="n">
        <v>17</v>
      </c>
      <c r="AP1210" t="inlineStr">
        <is>
          <t>Yes</t>
        </is>
      </c>
      <c r="AQ1210" t="inlineStr">
        <is>
          <t>No</t>
        </is>
      </c>
      <c r="AR1210">
        <f>HYPERLINK("http://catalog.hathitrust.org/Record/000367808","HathiTrust Record")</f>
        <v/>
      </c>
      <c r="AS1210">
        <f>HYPERLINK("https://creighton-primo.hosted.exlibrisgroup.com/primo-explore/search?tab=default_tab&amp;search_scope=EVERYTHING&amp;vid=01CRU&amp;lang=en_US&amp;offset=0&amp;query=any,contains,991003521859702656","Catalog Record")</f>
        <v/>
      </c>
      <c r="AT1210">
        <f>HYPERLINK("http://www.worldcat.org/oclc/1083830","WorldCat Record")</f>
        <v/>
      </c>
      <c r="AU1210" t="inlineStr">
        <is>
          <t>970401:eng</t>
        </is>
      </c>
      <c r="AV1210" t="inlineStr">
        <is>
          <t>1083830</t>
        </is>
      </c>
      <c r="AW1210" t="inlineStr">
        <is>
          <t>991003521859702656</t>
        </is>
      </c>
      <c r="AX1210" t="inlineStr">
        <is>
          <t>991003521859702656</t>
        </is>
      </c>
      <c r="AY1210" t="inlineStr">
        <is>
          <t>2267912470002656</t>
        </is>
      </c>
      <c r="AZ1210" t="inlineStr">
        <is>
          <t>BOOK</t>
        </is>
      </c>
      <c r="BC1210" t="inlineStr">
        <is>
          <t>32285002282209</t>
        </is>
      </c>
      <c r="BD1210" t="inlineStr">
        <is>
          <t>893900073</t>
        </is>
      </c>
    </row>
    <row r="1211">
      <c r="A1211" t="inlineStr">
        <is>
          <t>No</t>
        </is>
      </c>
      <c r="B1211" t="inlineStr">
        <is>
          <t>E340.C6 R46 1991</t>
        </is>
      </c>
      <c r="C1211" t="inlineStr">
        <is>
          <t>0                      E  0340000C  6                  R  46          1991</t>
        </is>
      </c>
      <c r="D1211" t="inlineStr">
        <is>
          <t>Henry Clay : statesman for the Union / Robert V. Remini.</t>
        </is>
      </c>
      <c r="F1211" t="inlineStr">
        <is>
          <t>No</t>
        </is>
      </c>
      <c r="G1211" t="inlineStr">
        <is>
          <t>1</t>
        </is>
      </c>
      <c r="H1211" t="inlineStr">
        <is>
          <t>No</t>
        </is>
      </c>
      <c r="I1211" t="inlineStr">
        <is>
          <t>No</t>
        </is>
      </c>
      <c r="J1211" t="inlineStr">
        <is>
          <t>0</t>
        </is>
      </c>
      <c r="K1211" t="inlineStr">
        <is>
          <t>Remini, Robert V. (Robert Vincent), 1921-2013.</t>
        </is>
      </c>
      <c r="L1211" t="inlineStr">
        <is>
          <t>New York : W.W. Norton, 1991.</t>
        </is>
      </c>
      <c r="M1211" t="inlineStr">
        <is>
          <t>1991</t>
        </is>
      </c>
      <c r="N1211" t="inlineStr">
        <is>
          <t>1st ed.</t>
        </is>
      </c>
      <c r="O1211" t="inlineStr">
        <is>
          <t>eng</t>
        </is>
      </c>
      <c r="P1211" t="inlineStr">
        <is>
          <t>nyu</t>
        </is>
      </c>
      <c r="R1211" t="inlineStr">
        <is>
          <t xml:space="preserve">E  </t>
        </is>
      </c>
      <c r="S1211" t="n">
        <v>2</v>
      </c>
      <c r="T1211" t="n">
        <v>2</v>
      </c>
      <c r="U1211" t="inlineStr">
        <is>
          <t>1993-04-07</t>
        </is>
      </c>
      <c r="V1211" t="inlineStr">
        <is>
          <t>1993-04-07</t>
        </is>
      </c>
      <c r="W1211" t="inlineStr">
        <is>
          <t>1991-11-18</t>
        </is>
      </c>
      <c r="X1211" t="inlineStr">
        <is>
          <t>1991-11-18</t>
        </is>
      </c>
      <c r="Y1211" t="n">
        <v>1628</v>
      </c>
      <c r="Z1211" t="n">
        <v>1537</v>
      </c>
      <c r="AA1211" t="n">
        <v>1542</v>
      </c>
      <c r="AB1211" t="n">
        <v>13</v>
      </c>
      <c r="AC1211" t="n">
        <v>13</v>
      </c>
      <c r="AD1211" t="n">
        <v>51</v>
      </c>
      <c r="AE1211" t="n">
        <v>51</v>
      </c>
      <c r="AF1211" t="n">
        <v>21</v>
      </c>
      <c r="AG1211" t="n">
        <v>21</v>
      </c>
      <c r="AH1211" t="n">
        <v>10</v>
      </c>
      <c r="AI1211" t="n">
        <v>10</v>
      </c>
      <c r="AJ1211" t="n">
        <v>20</v>
      </c>
      <c r="AK1211" t="n">
        <v>20</v>
      </c>
      <c r="AL1211" t="n">
        <v>8</v>
      </c>
      <c r="AM1211" t="n">
        <v>8</v>
      </c>
      <c r="AN1211" t="n">
        <v>3</v>
      </c>
      <c r="AO1211" t="n">
        <v>3</v>
      </c>
      <c r="AP1211" t="inlineStr">
        <is>
          <t>No</t>
        </is>
      </c>
      <c r="AQ1211" t="inlineStr">
        <is>
          <t>No</t>
        </is>
      </c>
      <c r="AS1211">
        <f>HYPERLINK("https://creighton-primo.hosted.exlibrisgroup.com/primo-explore/search?tab=default_tab&amp;search_scope=EVERYTHING&amp;vid=01CRU&amp;lang=en_US&amp;offset=0&amp;query=any,contains,991001841319702656","Catalog Record")</f>
        <v/>
      </c>
      <c r="AT1211">
        <f>HYPERLINK("http://www.worldcat.org/oclc/23140589","WorldCat Record")</f>
        <v/>
      </c>
      <c r="AU1211" t="inlineStr">
        <is>
          <t>24636136:eng</t>
        </is>
      </c>
      <c r="AV1211" t="inlineStr">
        <is>
          <t>23140589</t>
        </is>
      </c>
      <c r="AW1211" t="inlineStr">
        <is>
          <t>991001841319702656</t>
        </is>
      </c>
      <c r="AX1211" t="inlineStr">
        <is>
          <t>991001841319702656</t>
        </is>
      </c>
      <c r="AY1211" t="inlineStr">
        <is>
          <t>2266702560002656</t>
        </is>
      </c>
      <c r="AZ1211" t="inlineStr">
        <is>
          <t>BOOK</t>
        </is>
      </c>
      <c r="BB1211" t="inlineStr">
        <is>
          <t>9780393030044</t>
        </is>
      </c>
      <c r="BC1211" t="inlineStr">
        <is>
          <t>32285000816115</t>
        </is>
      </c>
      <c r="BD1211" t="inlineStr">
        <is>
          <t>893420670</t>
        </is>
      </c>
    </row>
    <row r="1212">
      <c r="A1212" t="inlineStr">
        <is>
          <t>No</t>
        </is>
      </c>
      <c r="B1212" t="inlineStr">
        <is>
          <t>E340.C9 K5 1974</t>
        </is>
      </c>
      <c r="C1212" t="inlineStr">
        <is>
          <t>0                      E  0340000C  9                  K  5           1974</t>
        </is>
      </c>
      <c r="D1212" t="inlineStr">
        <is>
          <t>John J. Crittenden; the struggle for the Union [by] Albert D. Kirwan.</t>
        </is>
      </c>
      <c r="F1212" t="inlineStr">
        <is>
          <t>No</t>
        </is>
      </c>
      <c r="G1212" t="inlineStr">
        <is>
          <t>1</t>
        </is>
      </c>
      <c r="H1212" t="inlineStr">
        <is>
          <t>No</t>
        </is>
      </c>
      <c r="I1212" t="inlineStr">
        <is>
          <t>Yes</t>
        </is>
      </c>
      <c r="J1212" t="inlineStr">
        <is>
          <t>0</t>
        </is>
      </c>
      <c r="K1212" t="inlineStr">
        <is>
          <t>Kirwan, Albert Dennis.</t>
        </is>
      </c>
      <c r="L1212" t="inlineStr">
        <is>
          <t>Westport, Conn., Greenwood Press [1974, c1962]</t>
        </is>
      </c>
      <c r="M1212" t="inlineStr">
        <is>
          <t>1974</t>
        </is>
      </c>
      <c r="O1212" t="inlineStr">
        <is>
          <t>eng</t>
        </is>
      </c>
      <c r="P1212" t="inlineStr">
        <is>
          <t>ctu</t>
        </is>
      </c>
      <c r="R1212" t="inlineStr">
        <is>
          <t xml:space="preserve">E  </t>
        </is>
      </c>
      <c r="S1212" t="n">
        <v>1</v>
      </c>
      <c r="T1212" t="n">
        <v>1</v>
      </c>
      <c r="U1212" t="inlineStr">
        <is>
          <t>2004-11-15</t>
        </is>
      </c>
      <c r="V1212" t="inlineStr">
        <is>
          <t>2004-11-15</t>
        </is>
      </c>
      <c r="W1212" t="inlineStr">
        <is>
          <t>1997-04-14</t>
        </is>
      </c>
      <c r="X1212" t="inlineStr">
        <is>
          <t>1997-04-14</t>
        </is>
      </c>
      <c r="Y1212" t="n">
        <v>109</v>
      </c>
      <c r="Z1212" t="n">
        <v>100</v>
      </c>
      <c r="AA1212" t="n">
        <v>749</v>
      </c>
      <c r="AB1212" t="n">
        <v>1</v>
      </c>
      <c r="AC1212" t="n">
        <v>7</v>
      </c>
      <c r="AD1212" t="n">
        <v>4</v>
      </c>
      <c r="AE1212" t="n">
        <v>34</v>
      </c>
      <c r="AF1212" t="n">
        <v>2</v>
      </c>
      <c r="AG1212" t="n">
        <v>14</v>
      </c>
      <c r="AH1212" t="n">
        <v>0</v>
      </c>
      <c r="AI1212" t="n">
        <v>8</v>
      </c>
      <c r="AJ1212" t="n">
        <v>2</v>
      </c>
      <c r="AK1212" t="n">
        <v>16</v>
      </c>
      <c r="AL1212" t="n">
        <v>0</v>
      </c>
      <c r="AM1212" t="n">
        <v>6</v>
      </c>
      <c r="AN1212" t="n">
        <v>0</v>
      </c>
      <c r="AO1212" t="n">
        <v>0</v>
      </c>
      <c r="AP1212" t="inlineStr">
        <is>
          <t>No</t>
        </is>
      </c>
      <c r="AQ1212" t="inlineStr">
        <is>
          <t>No</t>
        </is>
      </c>
      <c r="AS1212">
        <f>HYPERLINK("https://creighton-primo.hosted.exlibrisgroup.com/primo-explore/search?tab=default_tab&amp;search_scope=EVERYTHING&amp;vid=01CRU&amp;lang=en_US&amp;offset=0&amp;query=any,contains,991003400249702656","Catalog Record")</f>
        <v/>
      </c>
      <c r="AT1212">
        <f>HYPERLINK("http://www.worldcat.org/oclc/940274","WorldCat Record")</f>
        <v/>
      </c>
      <c r="AU1212" t="inlineStr">
        <is>
          <t>366162948:eng</t>
        </is>
      </c>
      <c r="AV1212" t="inlineStr">
        <is>
          <t>940274</t>
        </is>
      </c>
      <c r="AW1212" t="inlineStr">
        <is>
          <t>991003400249702656</t>
        </is>
      </c>
      <c r="AX1212" t="inlineStr">
        <is>
          <t>991003400249702656</t>
        </is>
      </c>
      <c r="AY1212" t="inlineStr">
        <is>
          <t>2261662750002656</t>
        </is>
      </c>
      <c r="AZ1212" t="inlineStr">
        <is>
          <t>BOOK</t>
        </is>
      </c>
      <c r="BB1212" t="inlineStr">
        <is>
          <t>9780837169224</t>
        </is>
      </c>
      <c r="BC1212" t="inlineStr">
        <is>
          <t>32285002533296</t>
        </is>
      </c>
      <c r="BD1212" t="inlineStr">
        <is>
          <t>893604763</t>
        </is>
      </c>
    </row>
    <row r="1213">
      <c r="A1213" t="inlineStr">
        <is>
          <t>No</t>
        </is>
      </c>
      <c r="B1213" t="inlineStr">
        <is>
          <t>E340.E8 F8 1971</t>
        </is>
      </c>
      <c r="C1213" t="inlineStr">
        <is>
          <t>0                      E  0340000E  8                  F  8           1971</t>
        </is>
      </c>
      <c r="D1213" t="inlineStr">
        <is>
          <t>Edward Everett, orator and statesman.</t>
        </is>
      </c>
      <c r="F1213" t="inlineStr">
        <is>
          <t>No</t>
        </is>
      </c>
      <c r="G1213" t="inlineStr">
        <is>
          <t>1</t>
        </is>
      </c>
      <c r="H1213" t="inlineStr">
        <is>
          <t>No</t>
        </is>
      </c>
      <c r="I1213" t="inlineStr">
        <is>
          <t>No</t>
        </is>
      </c>
      <c r="J1213" t="inlineStr">
        <is>
          <t>0</t>
        </is>
      </c>
      <c r="K1213" t="inlineStr">
        <is>
          <t>Frothingham, Paul Revere, 1864-1926.</t>
        </is>
      </c>
      <c r="L1213" t="inlineStr">
        <is>
          <t>Port Washington, N.Y., Kennikat Press [1971]</t>
        </is>
      </c>
      <c r="M1213" t="inlineStr">
        <is>
          <t>1971</t>
        </is>
      </c>
      <c r="O1213" t="inlineStr">
        <is>
          <t>eng</t>
        </is>
      </c>
      <c r="P1213" t="inlineStr">
        <is>
          <t>nyu</t>
        </is>
      </c>
      <c r="Q1213" t="inlineStr">
        <is>
          <t>Kennikat series on American history and culture in the nineteenth century</t>
        </is>
      </c>
      <c r="R1213" t="inlineStr">
        <is>
          <t xml:space="preserve">E  </t>
        </is>
      </c>
      <c r="S1213" t="n">
        <v>1</v>
      </c>
      <c r="T1213" t="n">
        <v>1</v>
      </c>
      <c r="U1213" t="inlineStr">
        <is>
          <t>2004-11-15</t>
        </is>
      </c>
      <c r="V1213" t="inlineStr">
        <is>
          <t>2004-11-15</t>
        </is>
      </c>
      <c r="W1213" t="inlineStr">
        <is>
          <t>1997-04-14</t>
        </is>
      </c>
      <c r="X1213" t="inlineStr">
        <is>
          <t>1997-04-14</t>
        </is>
      </c>
      <c r="Y1213" t="n">
        <v>111</v>
      </c>
      <c r="Z1213" t="n">
        <v>103</v>
      </c>
      <c r="AA1213" t="n">
        <v>620</v>
      </c>
      <c r="AB1213" t="n">
        <v>1</v>
      </c>
      <c r="AC1213" t="n">
        <v>5</v>
      </c>
      <c r="AD1213" t="n">
        <v>4</v>
      </c>
      <c r="AE1213" t="n">
        <v>29</v>
      </c>
      <c r="AF1213" t="n">
        <v>1</v>
      </c>
      <c r="AG1213" t="n">
        <v>8</v>
      </c>
      <c r="AH1213" t="n">
        <v>2</v>
      </c>
      <c r="AI1213" t="n">
        <v>7</v>
      </c>
      <c r="AJ1213" t="n">
        <v>2</v>
      </c>
      <c r="AK1213" t="n">
        <v>8</v>
      </c>
      <c r="AL1213" t="n">
        <v>0</v>
      </c>
      <c r="AM1213" t="n">
        <v>3</v>
      </c>
      <c r="AN1213" t="n">
        <v>1</v>
      </c>
      <c r="AO1213" t="n">
        <v>10</v>
      </c>
      <c r="AP1213" t="inlineStr">
        <is>
          <t>No</t>
        </is>
      </c>
      <c r="AQ1213" t="inlineStr">
        <is>
          <t>No</t>
        </is>
      </c>
      <c r="AS1213">
        <f>HYPERLINK("https://creighton-primo.hosted.exlibrisgroup.com/primo-explore/search?tab=default_tab&amp;search_scope=EVERYTHING&amp;vid=01CRU&amp;lang=en_US&amp;offset=0&amp;query=any,contains,991000651469702656","Catalog Record")</f>
        <v/>
      </c>
      <c r="AT1213">
        <f>HYPERLINK("http://www.worldcat.org/oclc/113555","WorldCat Record")</f>
        <v/>
      </c>
      <c r="AU1213" t="inlineStr">
        <is>
          <t>1229021:eng</t>
        </is>
      </c>
      <c r="AV1213" t="inlineStr">
        <is>
          <t>113555</t>
        </is>
      </c>
      <c r="AW1213" t="inlineStr">
        <is>
          <t>991000651469702656</t>
        </is>
      </c>
      <c r="AX1213" t="inlineStr">
        <is>
          <t>991000651469702656</t>
        </is>
      </c>
      <c r="AY1213" t="inlineStr">
        <is>
          <t>2267681290002656</t>
        </is>
      </c>
      <c r="AZ1213" t="inlineStr">
        <is>
          <t>BOOK</t>
        </is>
      </c>
      <c r="BB1213" t="inlineStr">
        <is>
          <t>9780804614788</t>
        </is>
      </c>
      <c r="BC1213" t="inlineStr">
        <is>
          <t>32285002533312</t>
        </is>
      </c>
      <c r="BD1213" t="inlineStr">
        <is>
          <t>893771836</t>
        </is>
      </c>
    </row>
    <row r="1214">
      <c r="A1214" t="inlineStr">
        <is>
          <t>No</t>
        </is>
      </c>
      <c r="B1214" t="inlineStr">
        <is>
          <t>E340.T2 S8 1970</t>
        </is>
      </c>
      <c r="C1214" t="inlineStr">
        <is>
          <t>0                      E  0340000T  2                  S  8           1970</t>
        </is>
      </c>
      <c r="D1214" t="inlineStr">
        <is>
          <t>Life of Roger Brooke Taney, Chief Justice of the United States Supreme Court.</t>
        </is>
      </c>
      <c r="F1214" t="inlineStr">
        <is>
          <t>No</t>
        </is>
      </c>
      <c r="G1214" t="inlineStr">
        <is>
          <t>1</t>
        </is>
      </c>
      <c r="H1214" t="inlineStr">
        <is>
          <t>No</t>
        </is>
      </c>
      <c r="I1214" t="inlineStr">
        <is>
          <t>No</t>
        </is>
      </c>
      <c r="J1214" t="inlineStr">
        <is>
          <t>0</t>
        </is>
      </c>
      <c r="K1214" t="inlineStr">
        <is>
          <t>Steiner, Bernard C. (Bernard Christian), 1867-1926.</t>
        </is>
      </c>
      <c r="L1214" t="inlineStr">
        <is>
          <t>Westport, Conn., Greenwood Press [1970]</t>
        </is>
      </c>
      <c r="M1214" t="inlineStr">
        <is>
          <t>1970</t>
        </is>
      </c>
      <c r="O1214" t="inlineStr">
        <is>
          <t>eng</t>
        </is>
      </c>
      <c r="P1214" t="inlineStr">
        <is>
          <t>ctu</t>
        </is>
      </c>
      <c r="R1214" t="inlineStr">
        <is>
          <t xml:space="preserve">E  </t>
        </is>
      </c>
      <c r="S1214" t="n">
        <v>6</v>
      </c>
      <c r="T1214" t="n">
        <v>6</v>
      </c>
      <c r="U1214" t="inlineStr">
        <is>
          <t>2005-04-25</t>
        </is>
      </c>
      <c r="V1214" t="inlineStr">
        <is>
          <t>2005-04-25</t>
        </is>
      </c>
      <c r="W1214" t="inlineStr">
        <is>
          <t>1997-04-14</t>
        </is>
      </c>
      <c r="X1214" t="inlineStr">
        <is>
          <t>1997-04-14</t>
        </is>
      </c>
      <c r="Y1214" t="n">
        <v>264</v>
      </c>
      <c r="Z1214" t="n">
        <v>253</v>
      </c>
      <c r="AA1214" t="n">
        <v>585</v>
      </c>
      <c r="AB1214" t="n">
        <v>3</v>
      </c>
      <c r="AC1214" t="n">
        <v>7</v>
      </c>
      <c r="AD1214" t="n">
        <v>21</v>
      </c>
      <c r="AE1214" t="n">
        <v>49</v>
      </c>
      <c r="AF1214" t="n">
        <v>4</v>
      </c>
      <c r="AG1214" t="n">
        <v>8</v>
      </c>
      <c r="AH1214" t="n">
        <v>4</v>
      </c>
      <c r="AI1214" t="n">
        <v>9</v>
      </c>
      <c r="AJ1214" t="n">
        <v>9</v>
      </c>
      <c r="AK1214" t="n">
        <v>12</v>
      </c>
      <c r="AL1214" t="n">
        <v>1</v>
      </c>
      <c r="AM1214" t="n">
        <v>4</v>
      </c>
      <c r="AN1214" t="n">
        <v>7</v>
      </c>
      <c r="AO1214" t="n">
        <v>22</v>
      </c>
      <c r="AP1214" t="inlineStr">
        <is>
          <t>No</t>
        </is>
      </c>
      <c r="AQ1214" t="inlineStr">
        <is>
          <t>Yes</t>
        </is>
      </c>
      <c r="AR1214">
        <f>HYPERLINK("http://catalog.hathitrust.org/Record/000366483","HathiTrust Record")</f>
        <v/>
      </c>
      <c r="AS1214">
        <f>HYPERLINK("https://creighton-primo.hosted.exlibrisgroup.com/primo-explore/search?tab=default_tab&amp;search_scope=EVERYTHING&amp;vid=01CRU&amp;lang=en_US&amp;offset=0&amp;query=any,contains,991000895379702656","Catalog Record")</f>
        <v/>
      </c>
      <c r="AT1214">
        <f>HYPERLINK("http://www.worldcat.org/oclc/155824","WorldCat Record")</f>
        <v/>
      </c>
      <c r="AU1214" t="inlineStr">
        <is>
          <t>13885293:eng</t>
        </is>
      </c>
      <c r="AV1214" t="inlineStr">
        <is>
          <t>155824</t>
        </is>
      </c>
      <c r="AW1214" t="inlineStr">
        <is>
          <t>991000895379702656</t>
        </is>
      </c>
      <c r="AX1214" t="inlineStr">
        <is>
          <t>991000895379702656</t>
        </is>
      </c>
      <c r="AY1214" t="inlineStr">
        <is>
          <t>2256637140002656</t>
        </is>
      </c>
      <c r="AZ1214" t="inlineStr">
        <is>
          <t>BOOK</t>
        </is>
      </c>
      <c r="BB1214" t="inlineStr">
        <is>
          <t>9780837143446</t>
        </is>
      </c>
      <c r="BC1214" t="inlineStr">
        <is>
          <t>32285002533429</t>
        </is>
      </c>
      <c r="BD1214" t="inlineStr">
        <is>
          <t>893327688</t>
        </is>
      </c>
    </row>
    <row r="1215">
      <c r="A1215" t="inlineStr">
        <is>
          <t>No</t>
        </is>
      </c>
      <c r="B1215" t="inlineStr">
        <is>
          <t>E340.T2 S9</t>
        </is>
      </c>
      <c r="C1215" t="inlineStr">
        <is>
          <t>0                      E  0340000T  2                  S  9</t>
        </is>
      </c>
      <c r="D1215" t="inlineStr">
        <is>
          <t>Roger B. Taney, by Carl Brent Swisher.</t>
        </is>
      </c>
      <c r="F1215" t="inlineStr">
        <is>
          <t>No</t>
        </is>
      </c>
      <c r="G1215" t="inlineStr">
        <is>
          <t>1</t>
        </is>
      </c>
      <c r="H1215" t="inlineStr">
        <is>
          <t>No</t>
        </is>
      </c>
      <c r="I1215" t="inlineStr">
        <is>
          <t>Yes</t>
        </is>
      </c>
      <c r="J1215" t="inlineStr">
        <is>
          <t>0</t>
        </is>
      </c>
      <c r="K1215" t="inlineStr">
        <is>
          <t>Swisher, Carl Brent, 1897-1968.</t>
        </is>
      </c>
      <c r="L1215" t="inlineStr">
        <is>
          <t>New York, The Macmillan Company, 1935.</t>
        </is>
      </c>
      <c r="M1215" t="inlineStr">
        <is>
          <t>1935</t>
        </is>
      </c>
      <c r="O1215" t="inlineStr">
        <is>
          <t>eng</t>
        </is>
      </c>
      <c r="P1215" t="inlineStr">
        <is>
          <t>nyu</t>
        </is>
      </c>
      <c r="R1215" t="inlineStr">
        <is>
          <t xml:space="preserve">E  </t>
        </is>
      </c>
      <c r="S1215" t="n">
        <v>6</v>
      </c>
      <c r="T1215" t="n">
        <v>6</v>
      </c>
      <c r="U1215" t="inlineStr">
        <is>
          <t>2005-04-25</t>
        </is>
      </c>
      <c r="V1215" t="inlineStr">
        <is>
          <t>2005-04-25</t>
        </is>
      </c>
      <c r="W1215" t="inlineStr">
        <is>
          <t>1997-04-14</t>
        </is>
      </c>
      <c r="X1215" t="inlineStr">
        <is>
          <t>1997-04-14</t>
        </is>
      </c>
      <c r="Y1215" t="n">
        <v>658</v>
      </c>
      <c r="Z1215" t="n">
        <v>629</v>
      </c>
      <c r="AA1215" t="n">
        <v>1010</v>
      </c>
      <c r="AB1215" t="n">
        <v>5</v>
      </c>
      <c r="AC1215" t="n">
        <v>9</v>
      </c>
      <c r="AD1215" t="n">
        <v>45</v>
      </c>
      <c r="AE1215" t="n">
        <v>64</v>
      </c>
      <c r="AF1215" t="n">
        <v>11</v>
      </c>
      <c r="AG1215" t="n">
        <v>20</v>
      </c>
      <c r="AH1215" t="n">
        <v>8</v>
      </c>
      <c r="AI1215" t="n">
        <v>9</v>
      </c>
      <c r="AJ1215" t="n">
        <v>22</v>
      </c>
      <c r="AK1215" t="n">
        <v>25</v>
      </c>
      <c r="AL1215" t="n">
        <v>3</v>
      </c>
      <c r="AM1215" t="n">
        <v>6</v>
      </c>
      <c r="AN1215" t="n">
        <v>12</v>
      </c>
      <c r="AO1215" t="n">
        <v>17</v>
      </c>
      <c r="AP1215" t="inlineStr">
        <is>
          <t>No</t>
        </is>
      </c>
      <c r="AQ1215" t="inlineStr">
        <is>
          <t>No</t>
        </is>
      </c>
      <c r="AR1215">
        <f>HYPERLINK("http://catalog.hathitrust.org/Record/000405558","HathiTrust Record")</f>
        <v/>
      </c>
      <c r="AS1215">
        <f>HYPERLINK("https://creighton-primo.hosted.exlibrisgroup.com/primo-explore/search?tab=default_tab&amp;search_scope=EVERYTHING&amp;vid=01CRU&amp;lang=en_US&amp;offset=0&amp;query=any,contains,991002563909702656","Catalog Record")</f>
        <v/>
      </c>
      <c r="AT1215">
        <f>HYPERLINK("http://www.worldcat.org/oclc/372247","WorldCat Record")</f>
        <v/>
      </c>
      <c r="AU1215" t="inlineStr">
        <is>
          <t>1451635:eng</t>
        </is>
      </c>
      <c r="AV1215" t="inlineStr">
        <is>
          <t>372247</t>
        </is>
      </c>
      <c r="AW1215" t="inlineStr">
        <is>
          <t>991002563909702656</t>
        </is>
      </c>
      <c r="AX1215" t="inlineStr">
        <is>
          <t>991002563909702656</t>
        </is>
      </c>
      <c r="AY1215" t="inlineStr">
        <is>
          <t>2261839950002656</t>
        </is>
      </c>
      <c r="AZ1215" t="inlineStr">
        <is>
          <t>BOOK</t>
        </is>
      </c>
      <c r="BC1215" t="inlineStr">
        <is>
          <t>32285002533437</t>
        </is>
      </c>
      <c r="BD1215" t="inlineStr">
        <is>
          <t>893227001</t>
        </is>
      </c>
    </row>
    <row r="1216">
      <c r="A1216" t="inlineStr">
        <is>
          <t>No</t>
        </is>
      </c>
      <c r="B1216" t="inlineStr">
        <is>
          <t>E340.W4 R36 1997</t>
        </is>
      </c>
      <c r="C1216" t="inlineStr">
        <is>
          <t>0                      E  0340000W  4                  R  36          1997</t>
        </is>
      </c>
      <c r="D1216" t="inlineStr">
        <is>
          <t>Daniel Webster : the man and his time / Robert V. Remini.</t>
        </is>
      </c>
      <c r="F1216" t="inlineStr">
        <is>
          <t>No</t>
        </is>
      </c>
      <c r="G1216" t="inlineStr">
        <is>
          <t>1</t>
        </is>
      </c>
      <c r="H1216" t="inlineStr">
        <is>
          <t>No</t>
        </is>
      </c>
      <c r="I1216" t="inlineStr">
        <is>
          <t>No</t>
        </is>
      </c>
      <c r="J1216" t="inlineStr">
        <is>
          <t>0</t>
        </is>
      </c>
      <c r="K1216" t="inlineStr">
        <is>
          <t>Remini, Robert V. (Robert Vincent), 1921-2013.</t>
        </is>
      </c>
      <c r="L1216" t="inlineStr">
        <is>
          <t>New York : W.W. Norton &amp; Co., c1997.</t>
        </is>
      </c>
      <c r="M1216" t="inlineStr">
        <is>
          <t>1997</t>
        </is>
      </c>
      <c r="N1216" t="inlineStr">
        <is>
          <t>1st ed.</t>
        </is>
      </c>
      <c r="O1216" t="inlineStr">
        <is>
          <t>eng</t>
        </is>
      </c>
      <c r="P1216" t="inlineStr">
        <is>
          <t>nyu</t>
        </is>
      </c>
      <c r="R1216" t="inlineStr">
        <is>
          <t xml:space="preserve">E  </t>
        </is>
      </c>
      <c r="S1216" t="n">
        <v>2</v>
      </c>
      <c r="T1216" t="n">
        <v>2</v>
      </c>
      <c r="U1216" t="inlineStr">
        <is>
          <t>1998-01-09</t>
        </is>
      </c>
      <c r="V1216" t="inlineStr">
        <is>
          <t>1998-01-09</t>
        </is>
      </c>
      <c r="W1216" t="inlineStr">
        <is>
          <t>1997-12-05</t>
        </is>
      </c>
      <c r="X1216" t="inlineStr">
        <is>
          <t>1997-12-05</t>
        </is>
      </c>
      <c r="Y1216" t="n">
        <v>1422</v>
      </c>
      <c r="Z1216" t="n">
        <v>1353</v>
      </c>
      <c r="AA1216" t="n">
        <v>1354</v>
      </c>
      <c r="AB1216" t="n">
        <v>13</v>
      </c>
      <c r="AC1216" t="n">
        <v>13</v>
      </c>
      <c r="AD1216" t="n">
        <v>52</v>
      </c>
      <c r="AE1216" t="n">
        <v>52</v>
      </c>
      <c r="AF1216" t="n">
        <v>20</v>
      </c>
      <c r="AG1216" t="n">
        <v>20</v>
      </c>
      <c r="AH1216" t="n">
        <v>9</v>
      </c>
      <c r="AI1216" t="n">
        <v>9</v>
      </c>
      <c r="AJ1216" t="n">
        <v>20</v>
      </c>
      <c r="AK1216" t="n">
        <v>20</v>
      </c>
      <c r="AL1216" t="n">
        <v>10</v>
      </c>
      <c r="AM1216" t="n">
        <v>10</v>
      </c>
      <c r="AN1216" t="n">
        <v>3</v>
      </c>
      <c r="AO1216" t="n">
        <v>3</v>
      </c>
      <c r="AP1216" t="inlineStr">
        <is>
          <t>No</t>
        </is>
      </c>
      <c r="AQ1216" t="inlineStr">
        <is>
          <t>No</t>
        </is>
      </c>
      <c r="AS1216">
        <f>HYPERLINK("https://creighton-primo.hosted.exlibrisgroup.com/primo-explore/search?tab=default_tab&amp;search_scope=EVERYTHING&amp;vid=01CRU&amp;lang=en_US&amp;offset=0&amp;query=any,contains,991002820599702656","Catalog Record")</f>
        <v/>
      </c>
      <c r="AT1216">
        <f>HYPERLINK("http://www.worldcat.org/oclc/37109201","WorldCat Record")</f>
        <v/>
      </c>
      <c r="AU1216" t="inlineStr">
        <is>
          <t>537046:eng</t>
        </is>
      </c>
      <c r="AV1216" t="inlineStr">
        <is>
          <t>37109201</t>
        </is>
      </c>
      <c r="AW1216" t="inlineStr">
        <is>
          <t>991002820599702656</t>
        </is>
      </c>
      <c r="AX1216" t="inlineStr">
        <is>
          <t>991002820599702656</t>
        </is>
      </c>
      <c r="AY1216" t="inlineStr">
        <is>
          <t>2265265510002656</t>
        </is>
      </c>
      <c r="AZ1216" t="inlineStr">
        <is>
          <t>BOOK</t>
        </is>
      </c>
      <c r="BB1216" t="inlineStr">
        <is>
          <t>9780393045529</t>
        </is>
      </c>
      <c r="BC1216" t="inlineStr">
        <is>
          <t>32285003281721</t>
        </is>
      </c>
      <c r="BD1216" t="inlineStr">
        <is>
          <t>893867748</t>
        </is>
      </c>
    </row>
    <row r="1217">
      <c r="A1217" t="inlineStr">
        <is>
          <t>No</t>
        </is>
      </c>
      <c r="B1217" t="inlineStr">
        <is>
          <t>E342 .B7</t>
        </is>
      </c>
      <c r="C1217" t="inlineStr">
        <is>
          <t>0                      E  0342000B  7</t>
        </is>
      </c>
      <c r="D1217" t="inlineStr">
        <is>
          <t>James Madison.</t>
        </is>
      </c>
      <c r="E1217" t="inlineStr">
        <is>
          <t>V.1</t>
        </is>
      </c>
      <c r="F1217" t="inlineStr">
        <is>
          <t>Yes</t>
        </is>
      </c>
      <c r="G1217" t="inlineStr">
        <is>
          <t>1</t>
        </is>
      </c>
      <c r="H1217" t="inlineStr">
        <is>
          <t>No</t>
        </is>
      </c>
      <c r="I1217" t="inlineStr">
        <is>
          <t>No</t>
        </is>
      </c>
      <c r="J1217" t="inlineStr">
        <is>
          <t>0</t>
        </is>
      </c>
      <c r="K1217" t="inlineStr">
        <is>
          <t>Brant, Irving, 1885-1976.</t>
        </is>
      </c>
      <c r="L1217" t="inlineStr">
        <is>
          <t>Indianapolis, Bobbs-Merrill [1941-61]</t>
        </is>
      </c>
      <c r="M1217" t="inlineStr">
        <is>
          <t>1941</t>
        </is>
      </c>
      <c r="O1217" t="inlineStr">
        <is>
          <t>eng</t>
        </is>
      </c>
      <c r="P1217" t="inlineStr">
        <is>
          <t>inu</t>
        </is>
      </c>
      <c r="R1217" t="inlineStr">
        <is>
          <t xml:space="preserve">E  </t>
        </is>
      </c>
      <c r="S1217" t="n">
        <v>0</v>
      </c>
      <c r="T1217" t="n">
        <v>2</v>
      </c>
      <c r="V1217" t="inlineStr">
        <is>
          <t>2003-04-11</t>
        </is>
      </c>
      <c r="W1217" t="inlineStr">
        <is>
          <t>1997-04-14</t>
        </is>
      </c>
      <c r="X1217" t="inlineStr">
        <is>
          <t>1997-04-14</t>
        </is>
      </c>
      <c r="Y1217" t="n">
        <v>1659</v>
      </c>
      <c r="Z1217" t="n">
        <v>1564</v>
      </c>
      <c r="AA1217" t="n">
        <v>1625</v>
      </c>
      <c r="AB1217" t="n">
        <v>12</v>
      </c>
      <c r="AC1217" t="n">
        <v>13</v>
      </c>
      <c r="AD1217" t="n">
        <v>66</v>
      </c>
      <c r="AE1217" t="n">
        <v>67</v>
      </c>
      <c r="AF1217" t="n">
        <v>26</v>
      </c>
      <c r="AG1217" t="n">
        <v>26</v>
      </c>
      <c r="AH1217" t="n">
        <v>11</v>
      </c>
      <c r="AI1217" t="n">
        <v>11</v>
      </c>
      <c r="AJ1217" t="n">
        <v>25</v>
      </c>
      <c r="AK1217" t="n">
        <v>25</v>
      </c>
      <c r="AL1217" t="n">
        <v>8</v>
      </c>
      <c r="AM1217" t="n">
        <v>9</v>
      </c>
      <c r="AN1217" t="n">
        <v>9</v>
      </c>
      <c r="AO1217" t="n">
        <v>9</v>
      </c>
      <c r="AP1217" t="inlineStr">
        <is>
          <t>Yes</t>
        </is>
      </c>
      <c r="AQ1217" t="inlineStr">
        <is>
          <t>Yes</t>
        </is>
      </c>
      <c r="AR1217">
        <f>HYPERLINK("http://catalog.hathitrust.org/Record/000405477","HathiTrust Record")</f>
        <v/>
      </c>
      <c r="AS1217">
        <f>HYPERLINK("https://creighton-primo.hosted.exlibrisgroup.com/primo-explore/search?tab=default_tab&amp;search_scope=EVERYTHING&amp;vid=01CRU&amp;lang=en_US&amp;offset=0&amp;query=any,contains,991002751129702656","Catalog Record")</f>
        <v/>
      </c>
      <c r="AT1217">
        <f>HYPERLINK("http://www.worldcat.org/oclc/424710","WorldCat Record")</f>
        <v/>
      </c>
      <c r="AU1217" t="inlineStr">
        <is>
          <t>4095473419:eng</t>
        </is>
      </c>
      <c r="AV1217" t="inlineStr">
        <is>
          <t>424710</t>
        </is>
      </c>
      <c r="AW1217" t="inlineStr">
        <is>
          <t>991002751129702656</t>
        </is>
      </c>
      <c r="AX1217" t="inlineStr">
        <is>
          <t>991002751129702656</t>
        </is>
      </c>
      <c r="AY1217" t="inlineStr">
        <is>
          <t>2268350520002656</t>
        </is>
      </c>
      <c r="AZ1217" t="inlineStr">
        <is>
          <t>BOOK</t>
        </is>
      </c>
      <c r="BC1217" t="inlineStr">
        <is>
          <t>32285002533551</t>
        </is>
      </c>
      <c r="BD1217" t="inlineStr">
        <is>
          <t>893603972</t>
        </is>
      </c>
    </row>
    <row r="1218">
      <c r="A1218" t="inlineStr">
        <is>
          <t>No</t>
        </is>
      </c>
      <c r="B1218" t="inlineStr">
        <is>
          <t>E342 .B7</t>
        </is>
      </c>
      <c r="C1218" t="inlineStr">
        <is>
          <t>0                      E  0342000B  7</t>
        </is>
      </c>
      <c r="D1218" t="inlineStr">
        <is>
          <t>James Madison.</t>
        </is>
      </c>
      <c r="E1218" t="inlineStr">
        <is>
          <t>V.5</t>
        </is>
      </c>
      <c r="F1218" t="inlineStr">
        <is>
          <t>Yes</t>
        </is>
      </c>
      <c r="G1218" t="inlineStr">
        <is>
          <t>1</t>
        </is>
      </c>
      <c r="H1218" t="inlineStr">
        <is>
          <t>No</t>
        </is>
      </c>
      <c r="I1218" t="inlineStr">
        <is>
          <t>No</t>
        </is>
      </c>
      <c r="J1218" t="inlineStr">
        <is>
          <t>0</t>
        </is>
      </c>
      <c r="K1218" t="inlineStr">
        <is>
          <t>Brant, Irving, 1885-1976.</t>
        </is>
      </c>
      <c r="L1218" t="inlineStr">
        <is>
          <t>Indianapolis, Bobbs-Merrill [1941-61]</t>
        </is>
      </c>
      <c r="M1218" t="inlineStr">
        <is>
          <t>1941</t>
        </is>
      </c>
      <c r="O1218" t="inlineStr">
        <is>
          <t>eng</t>
        </is>
      </c>
      <c r="P1218" t="inlineStr">
        <is>
          <t>inu</t>
        </is>
      </c>
      <c r="R1218" t="inlineStr">
        <is>
          <t xml:space="preserve">E  </t>
        </is>
      </c>
      <c r="S1218" t="n">
        <v>0</v>
      </c>
      <c r="T1218" t="n">
        <v>2</v>
      </c>
      <c r="V1218" t="inlineStr">
        <is>
          <t>2003-04-11</t>
        </is>
      </c>
      <c r="W1218" t="inlineStr">
        <is>
          <t>1997-04-14</t>
        </is>
      </c>
      <c r="X1218" t="inlineStr">
        <is>
          <t>1997-04-14</t>
        </is>
      </c>
      <c r="Y1218" t="n">
        <v>1659</v>
      </c>
      <c r="Z1218" t="n">
        <v>1564</v>
      </c>
      <c r="AA1218" t="n">
        <v>1625</v>
      </c>
      <c r="AB1218" t="n">
        <v>12</v>
      </c>
      <c r="AC1218" t="n">
        <v>13</v>
      </c>
      <c r="AD1218" t="n">
        <v>66</v>
      </c>
      <c r="AE1218" t="n">
        <v>67</v>
      </c>
      <c r="AF1218" t="n">
        <v>26</v>
      </c>
      <c r="AG1218" t="n">
        <v>26</v>
      </c>
      <c r="AH1218" t="n">
        <v>11</v>
      </c>
      <c r="AI1218" t="n">
        <v>11</v>
      </c>
      <c r="AJ1218" t="n">
        <v>25</v>
      </c>
      <c r="AK1218" t="n">
        <v>25</v>
      </c>
      <c r="AL1218" t="n">
        <v>8</v>
      </c>
      <c r="AM1218" t="n">
        <v>9</v>
      </c>
      <c r="AN1218" t="n">
        <v>9</v>
      </c>
      <c r="AO1218" t="n">
        <v>9</v>
      </c>
      <c r="AP1218" t="inlineStr">
        <is>
          <t>Yes</t>
        </is>
      </c>
      <c r="AQ1218" t="inlineStr">
        <is>
          <t>Yes</t>
        </is>
      </c>
      <c r="AR1218">
        <f>HYPERLINK("http://catalog.hathitrust.org/Record/000405477","HathiTrust Record")</f>
        <v/>
      </c>
      <c r="AS1218">
        <f>HYPERLINK("https://creighton-primo.hosted.exlibrisgroup.com/primo-explore/search?tab=default_tab&amp;search_scope=EVERYTHING&amp;vid=01CRU&amp;lang=en_US&amp;offset=0&amp;query=any,contains,991002751129702656","Catalog Record")</f>
        <v/>
      </c>
      <c r="AT1218">
        <f>HYPERLINK("http://www.worldcat.org/oclc/424710","WorldCat Record")</f>
        <v/>
      </c>
      <c r="AU1218" t="inlineStr">
        <is>
          <t>4095473419:eng</t>
        </is>
      </c>
      <c r="AV1218" t="inlineStr">
        <is>
          <t>424710</t>
        </is>
      </c>
      <c r="AW1218" t="inlineStr">
        <is>
          <t>991002751129702656</t>
        </is>
      </c>
      <c r="AX1218" t="inlineStr">
        <is>
          <t>991002751129702656</t>
        </is>
      </c>
      <c r="AY1218" t="inlineStr">
        <is>
          <t>2268350520002656</t>
        </is>
      </c>
      <c r="AZ1218" t="inlineStr">
        <is>
          <t>BOOK</t>
        </is>
      </c>
      <c r="BC1218" t="inlineStr">
        <is>
          <t>32285002533593</t>
        </is>
      </c>
      <c r="BD1218" t="inlineStr">
        <is>
          <t>893622674</t>
        </is>
      </c>
    </row>
    <row r="1219">
      <c r="A1219" t="inlineStr">
        <is>
          <t>No</t>
        </is>
      </c>
      <c r="B1219" t="inlineStr">
        <is>
          <t>E342 .B7</t>
        </is>
      </c>
      <c r="C1219" t="inlineStr">
        <is>
          <t>0                      E  0342000B  7</t>
        </is>
      </c>
      <c r="D1219" t="inlineStr">
        <is>
          <t>James Madison.</t>
        </is>
      </c>
      <c r="E1219" t="inlineStr">
        <is>
          <t>V.2</t>
        </is>
      </c>
      <c r="F1219" t="inlineStr">
        <is>
          <t>Yes</t>
        </is>
      </c>
      <c r="G1219" t="inlineStr">
        <is>
          <t>1</t>
        </is>
      </c>
      <c r="H1219" t="inlineStr">
        <is>
          <t>No</t>
        </is>
      </c>
      <c r="I1219" t="inlineStr">
        <is>
          <t>No</t>
        </is>
      </c>
      <c r="J1219" t="inlineStr">
        <is>
          <t>0</t>
        </is>
      </c>
      <c r="K1219" t="inlineStr">
        <is>
          <t>Brant, Irving, 1885-1976.</t>
        </is>
      </c>
      <c r="L1219" t="inlineStr">
        <is>
          <t>Indianapolis, Bobbs-Merrill [1941-61]</t>
        </is>
      </c>
      <c r="M1219" t="inlineStr">
        <is>
          <t>1941</t>
        </is>
      </c>
      <c r="O1219" t="inlineStr">
        <is>
          <t>eng</t>
        </is>
      </c>
      <c r="P1219" t="inlineStr">
        <is>
          <t>inu</t>
        </is>
      </c>
      <c r="R1219" t="inlineStr">
        <is>
          <t xml:space="preserve">E  </t>
        </is>
      </c>
      <c r="S1219" t="n">
        <v>2</v>
      </c>
      <c r="T1219" t="n">
        <v>2</v>
      </c>
      <c r="U1219" t="inlineStr">
        <is>
          <t>2003-04-11</t>
        </is>
      </c>
      <c r="V1219" t="inlineStr">
        <is>
          <t>2003-04-11</t>
        </is>
      </c>
      <c r="W1219" t="inlineStr">
        <is>
          <t>1997-04-14</t>
        </is>
      </c>
      <c r="X1219" t="inlineStr">
        <is>
          <t>1997-04-14</t>
        </is>
      </c>
      <c r="Y1219" t="n">
        <v>1659</v>
      </c>
      <c r="Z1219" t="n">
        <v>1564</v>
      </c>
      <c r="AA1219" t="n">
        <v>1625</v>
      </c>
      <c r="AB1219" t="n">
        <v>12</v>
      </c>
      <c r="AC1219" t="n">
        <v>13</v>
      </c>
      <c r="AD1219" t="n">
        <v>66</v>
      </c>
      <c r="AE1219" t="n">
        <v>67</v>
      </c>
      <c r="AF1219" t="n">
        <v>26</v>
      </c>
      <c r="AG1219" t="n">
        <v>26</v>
      </c>
      <c r="AH1219" t="n">
        <v>11</v>
      </c>
      <c r="AI1219" t="n">
        <v>11</v>
      </c>
      <c r="AJ1219" t="n">
        <v>25</v>
      </c>
      <c r="AK1219" t="n">
        <v>25</v>
      </c>
      <c r="AL1219" t="n">
        <v>8</v>
      </c>
      <c r="AM1219" t="n">
        <v>9</v>
      </c>
      <c r="AN1219" t="n">
        <v>9</v>
      </c>
      <c r="AO1219" t="n">
        <v>9</v>
      </c>
      <c r="AP1219" t="inlineStr">
        <is>
          <t>Yes</t>
        </is>
      </c>
      <c r="AQ1219" t="inlineStr">
        <is>
          <t>Yes</t>
        </is>
      </c>
      <c r="AR1219">
        <f>HYPERLINK("http://catalog.hathitrust.org/Record/000405477","HathiTrust Record")</f>
        <v/>
      </c>
      <c r="AS1219">
        <f>HYPERLINK("https://creighton-primo.hosted.exlibrisgroup.com/primo-explore/search?tab=default_tab&amp;search_scope=EVERYTHING&amp;vid=01CRU&amp;lang=en_US&amp;offset=0&amp;query=any,contains,991002751129702656","Catalog Record")</f>
        <v/>
      </c>
      <c r="AT1219">
        <f>HYPERLINK("http://www.worldcat.org/oclc/424710","WorldCat Record")</f>
        <v/>
      </c>
      <c r="AU1219" t="inlineStr">
        <is>
          <t>4095473419:eng</t>
        </is>
      </c>
      <c r="AV1219" t="inlineStr">
        <is>
          <t>424710</t>
        </is>
      </c>
      <c r="AW1219" t="inlineStr">
        <is>
          <t>991002751129702656</t>
        </is>
      </c>
      <c r="AX1219" t="inlineStr">
        <is>
          <t>991002751129702656</t>
        </is>
      </c>
      <c r="AY1219" t="inlineStr">
        <is>
          <t>2268350520002656</t>
        </is>
      </c>
      <c r="AZ1219" t="inlineStr">
        <is>
          <t>BOOK</t>
        </is>
      </c>
      <c r="BC1219" t="inlineStr">
        <is>
          <t>32285002533569</t>
        </is>
      </c>
      <c r="BD1219" t="inlineStr">
        <is>
          <t>893591723</t>
        </is>
      </c>
    </row>
    <row r="1220">
      <c r="A1220" t="inlineStr">
        <is>
          <t>No</t>
        </is>
      </c>
      <c r="B1220" t="inlineStr">
        <is>
          <t>E342 .B7</t>
        </is>
      </c>
      <c r="C1220" t="inlineStr">
        <is>
          <t>0                      E  0342000B  7</t>
        </is>
      </c>
      <c r="D1220" t="inlineStr">
        <is>
          <t>James Madison.</t>
        </is>
      </c>
      <c r="E1220" t="inlineStr">
        <is>
          <t>V.6</t>
        </is>
      </c>
      <c r="F1220" t="inlineStr">
        <is>
          <t>Yes</t>
        </is>
      </c>
      <c r="G1220" t="inlineStr">
        <is>
          <t>1</t>
        </is>
      </c>
      <c r="H1220" t="inlineStr">
        <is>
          <t>No</t>
        </is>
      </c>
      <c r="I1220" t="inlineStr">
        <is>
          <t>No</t>
        </is>
      </c>
      <c r="J1220" t="inlineStr">
        <is>
          <t>0</t>
        </is>
      </c>
      <c r="K1220" t="inlineStr">
        <is>
          <t>Brant, Irving, 1885-1976.</t>
        </is>
      </c>
      <c r="L1220" t="inlineStr">
        <is>
          <t>Indianapolis, Bobbs-Merrill [1941-61]</t>
        </is>
      </c>
      <c r="M1220" t="inlineStr">
        <is>
          <t>1941</t>
        </is>
      </c>
      <c r="O1220" t="inlineStr">
        <is>
          <t>eng</t>
        </is>
      </c>
      <c r="P1220" t="inlineStr">
        <is>
          <t>inu</t>
        </is>
      </c>
      <c r="R1220" t="inlineStr">
        <is>
          <t xml:space="preserve">E  </t>
        </is>
      </c>
      <c r="S1220" t="n">
        <v>0</v>
      </c>
      <c r="T1220" t="n">
        <v>2</v>
      </c>
      <c r="V1220" t="inlineStr">
        <is>
          <t>2003-04-11</t>
        </is>
      </c>
      <c r="W1220" t="inlineStr">
        <is>
          <t>1997-04-14</t>
        </is>
      </c>
      <c r="X1220" t="inlineStr">
        <is>
          <t>1997-04-14</t>
        </is>
      </c>
      <c r="Y1220" t="n">
        <v>1659</v>
      </c>
      <c r="Z1220" t="n">
        <v>1564</v>
      </c>
      <c r="AA1220" t="n">
        <v>1625</v>
      </c>
      <c r="AB1220" t="n">
        <v>12</v>
      </c>
      <c r="AC1220" t="n">
        <v>13</v>
      </c>
      <c r="AD1220" t="n">
        <v>66</v>
      </c>
      <c r="AE1220" t="n">
        <v>67</v>
      </c>
      <c r="AF1220" t="n">
        <v>26</v>
      </c>
      <c r="AG1220" t="n">
        <v>26</v>
      </c>
      <c r="AH1220" t="n">
        <v>11</v>
      </c>
      <c r="AI1220" t="n">
        <v>11</v>
      </c>
      <c r="AJ1220" t="n">
        <v>25</v>
      </c>
      <c r="AK1220" t="n">
        <v>25</v>
      </c>
      <c r="AL1220" t="n">
        <v>8</v>
      </c>
      <c r="AM1220" t="n">
        <v>9</v>
      </c>
      <c r="AN1220" t="n">
        <v>9</v>
      </c>
      <c r="AO1220" t="n">
        <v>9</v>
      </c>
      <c r="AP1220" t="inlineStr">
        <is>
          <t>Yes</t>
        </is>
      </c>
      <c r="AQ1220" t="inlineStr">
        <is>
          <t>Yes</t>
        </is>
      </c>
      <c r="AR1220">
        <f>HYPERLINK("http://catalog.hathitrust.org/Record/000405477","HathiTrust Record")</f>
        <v/>
      </c>
      <c r="AS1220">
        <f>HYPERLINK("https://creighton-primo.hosted.exlibrisgroup.com/primo-explore/search?tab=default_tab&amp;search_scope=EVERYTHING&amp;vid=01CRU&amp;lang=en_US&amp;offset=0&amp;query=any,contains,991002751129702656","Catalog Record")</f>
        <v/>
      </c>
      <c r="AT1220">
        <f>HYPERLINK("http://www.worldcat.org/oclc/424710","WorldCat Record")</f>
        <v/>
      </c>
      <c r="AU1220" t="inlineStr">
        <is>
          <t>4095473419:eng</t>
        </is>
      </c>
      <c r="AV1220" t="inlineStr">
        <is>
          <t>424710</t>
        </is>
      </c>
      <c r="AW1220" t="inlineStr">
        <is>
          <t>991002751129702656</t>
        </is>
      </c>
      <c r="AX1220" t="inlineStr">
        <is>
          <t>991002751129702656</t>
        </is>
      </c>
      <c r="AY1220" t="inlineStr">
        <is>
          <t>2268350520002656</t>
        </is>
      </c>
      <c r="AZ1220" t="inlineStr">
        <is>
          <t>BOOK</t>
        </is>
      </c>
      <c r="BC1220" t="inlineStr">
        <is>
          <t>32285002533601</t>
        </is>
      </c>
      <c r="BD1220" t="inlineStr">
        <is>
          <t>893603970</t>
        </is>
      </c>
    </row>
    <row r="1221">
      <c r="A1221" t="inlineStr">
        <is>
          <t>No</t>
        </is>
      </c>
      <c r="B1221" t="inlineStr">
        <is>
          <t>E342 .B7</t>
        </is>
      </c>
      <c r="C1221" t="inlineStr">
        <is>
          <t>0                      E  0342000B  7</t>
        </is>
      </c>
      <c r="D1221" t="inlineStr">
        <is>
          <t>James Madison.</t>
        </is>
      </c>
      <c r="E1221" t="inlineStr">
        <is>
          <t>V.3</t>
        </is>
      </c>
      <c r="F1221" t="inlineStr">
        <is>
          <t>Yes</t>
        </is>
      </c>
      <c r="G1221" t="inlineStr">
        <is>
          <t>1</t>
        </is>
      </c>
      <c r="H1221" t="inlineStr">
        <is>
          <t>No</t>
        </is>
      </c>
      <c r="I1221" t="inlineStr">
        <is>
          <t>No</t>
        </is>
      </c>
      <c r="J1221" t="inlineStr">
        <is>
          <t>0</t>
        </is>
      </c>
      <c r="K1221" t="inlineStr">
        <is>
          <t>Brant, Irving, 1885-1976.</t>
        </is>
      </c>
      <c r="L1221" t="inlineStr">
        <is>
          <t>Indianapolis, Bobbs-Merrill [1941-61]</t>
        </is>
      </c>
      <c r="M1221" t="inlineStr">
        <is>
          <t>1941</t>
        </is>
      </c>
      <c r="O1221" t="inlineStr">
        <is>
          <t>eng</t>
        </is>
      </c>
      <c r="P1221" t="inlineStr">
        <is>
          <t>inu</t>
        </is>
      </c>
      <c r="R1221" t="inlineStr">
        <is>
          <t xml:space="preserve">E  </t>
        </is>
      </c>
      <c r="S1221" t="n">
        <v>0</v>
      </c>
      <c r="T1221" t="n">
        <v>2</v>
      </c>
      <c r="V1221" t="inlineStr">
        <is>
          <t>2003-04-11</t>
        </is>
      </c>
      <c r="W1221" t="inlineStr">
        <is>
          <t>1997-04-14</t>
        </is>
      </c>
      <c r="X1221" t="inlineStr">
        <is>
          <t>1997-04-14</t>
        </is>
      </c>
      <c r="Y1221" t="n">
        <v>1659</v>
      </c>
      <c r="Z1221" t="n">
        <v>1564</v>
      </c>
      <c r="AA1221" t="n">
        <v>1625</v>
      </c>
      <c r="AB1221" t="n">
        <v>12</v>
      </c>
      <c r="AC1221" t="n">
        <v>13</v>
      </c>
      <c r="AD1221" t="n">
        <v>66</v>
      </c>
      <c r="AE1221" t="n">
        <v>67</v>
      </c>
      <c r="AF1221" t="n">
        <v>26</v>
      </c>
      <c r="AG1221" t="n">
        <v>26</v>
      </c>
      <c r="AH1221" t="n">
        <v>11</v>
      </c>
      <c r="AI1221" t="n">
        <v>11</v>
      </c>
      <c r="AJ1221" t="n">
        <v>25</v>
      </c>
      <c r="AK1221" t="n">
        <v>25</v>
      </c>
      <c r="AL1221" t="n">
        <v>8</v>
      </c>
      <c r="AM1221" t="n">
        <v>9</v>
      </c>
      <c r="AN1221" t="n">
        <v>9</v>
      </c>
      <c r="AO1221" t="n">
        <v>9</v>
      </c>
      <c r="AP1221" t="inlineStr">
        <is>
          <t>Yes</t>
        </is>
      </c>
      <c r="AQ1221" t="inlineStr">
        <is>
          <t>Yes</t>
        </is>
      </c>
      <c r="AR1221">
        <f>HYPERLINK("http://catalog.hathitrust.org/Record/000405477","HathiTrust Record")</f>
        <v/>
      </c>
      <c r="AS1221">
        <f>HYPERLINK("https://creighton-primo.hosted.exlibrisgroup.com/primo-explore/search?tab=default_tab&amp;search_scope=EVERYTHING&amp;vid=01CRU&amp;lang=en_US&amp;offset=0&amp;query=any,contains,991002751129702656","Catalog Record")</f>
        <v/>
      </c>
      <c r="AT1221">
        <f>HYPERLINK("http://www.worldcat.org/oclc/424710","WorldCat Record")</f>
        <v/>
      </c>
      <c r="AU1221" t="inlineStr">
        <is>
          <t>4095473419:eng</t>
        </is>
      </c>
      <c r="AV1221" t="inlineStr">
        <is>
          <t>424710</t>
        </is>
      </c>
      <c r="AW1221" t="inlineStr">
        <is>
          <t>991002751129702656</t>
        </is>
      </c>
      <c r="AX1221" t="inlineStr">
        <is>
          <t>991002751129702656</t>
        </is>
      </c>
      <c r="AY1221" t="inlineStr">
        <is>
          <t>2268350520002656</t>
        </is>
      </c>
      <c r="AZ1221" t="inlineStr">
        <is>
          <t>BOOK</t>
        </is>
      </c>
      <c r="BC1221" t="inlineStr">
        <is>
          <t>32285002533577</t>
        </is>
      </c>
      <c r="BD1221" t="inlineStr">
        <is>
          <t>893616529</t>
        </is>
      </c>
    </row>
    <row r="1222">
      <c r="A1222" t="inlineStr">
        <is>
          <t>No</t>
        </is>
      </c>
      <c r="B1222" t="inlineStr">
        <is>
          <t>E342 .B7</t>
        </is>
      </c>
      <c r="C1222" t="inlineStr">
        <is>
          <t>0                      E  0342000B  7</t>
        </is>
      </c>
      <c r="D1222" t="inlineStr">
        <is>
          <t>James Madison.</t>
        </is>
      </c>
      <c r="E1222" t="inlineStr">
        <is>
          <t>V.4</t>
        </is>
      </c>
      <c r="F1222" t="inlineStr">
        <is>
          <t>Yes</t>
        </is>
      </c>
      <c r="G1222" t="inlineStr">
        <is>
          <t>1</t>
        </is>
      </c>
      <c r="H1222" t="inlineStr">
        <is>
          <t>No</t>
        </is>
      </c>
      <c r="I1222" t="inlineStr">
        <is>
          <t>No</t>
        </is>
      </c>
      <c r="J1222" t="inlineStr">
        <is>
          <t>0</t>
        </is>
      </c>
      <c r="K1222" t="inlineStr">
        <is>
          <t>Brant, Irving, 1885-1976.</t>
        </is>
      </c>
      <c r="L1222" t="inlineStr">
        <is>
          <t>Indianapolis, Bobbs-Merrill [1941-61]</t>
        </is>
      </c>
      <c r="M1222" t="inlineStr">
        <is>
          <t>1941</t>
        </is>
      </c>
      <c r="O1222" t="inlineStr">
        <is>
          <t>eng</t>
        </is>
      </c>
      <c r="P1222" t="inlineStr">
        <is>
          <t>inu</t>
        </is>
      </c>
      <c r="R1222" t="inlineStr">
        <is>
          <t xml:space="preserve">E  </t>
        </is>
      </c>
      <c r="S1222" t="n">
        <v>0</v>
      </c>
      <c r="T1222" t="n">
        <v>2</v>
      </c>
      <c r="V1222" t="inlineStr">
        <is>
          <t>2003-04-11</t>
        </is>
      </c>
      <c r="W1222" t="inlineStr">
        <is>
          <t>1997-04-14</t>
        </is>
      </c>
      <c r="X1222" t="inlineStr">
        <is>
          <t>1997-04-14</t>
        </is>
      </c>
      <c r="Y1222" t="n">
        <v>1659</v>
      </c>
      <c r="Z1222" t="n">
        <v>1564</v>
      </c>
      <c r="AA1222" t="n">
        <v>1625</v>
      </c>
      <c r="AB1222" t="n">
        <v>12</v>
      </c>
      <c r="AC1222" t="n">
        <v>13</v>
      </c>
      <c r="AD1222" t="n">
        <v>66</v>
      </c>
      <c r="AE1222" t="n">
        <v>67</v>
      </c>
      <c r="AF1222" t="n">
        <v>26</v>
      </c>
      <c r="AG1222" t="n">
        <v>26</v>
      </c>
      <c r="AH1222" t="n">
        <v>11</v>
      </c>
      <c r="AI1222" t="n">
        <v>11</v>
      </c>
      <c r="AJ1222" t="n">
        <v>25</v>
      </c>
      <c r="AK1222" t="n">
        <v>25</v>
      </c>
      <c r="AL1222" t="n">
        <v>8</v>
      </c>
      <c r="AM1222" t="n">
        <v>9</v>
      </c>
      <c r="AN1222" t="n">
        <v>9</v>
      </c>
      <c r="AO1222" t="n">
        <v>9</v>
      </c>
      <c r="AP1222" t="inlineStr">
        <is>
          <t>Yes</t>
        </is>
      </c>
      <c r="AQ1222" t="inlineStr">
        <is>
          <t>Yes</t>
        </is>
      </c>
      <c r="AR1222">
        <f>HYPERLINK("http://catalog.hathitrust.org/Record/000405477","HathiTrust Record")</f>
        <v/>
      </c>
      <c r="AS1222">
        <f>HYPERLINK("https://creighton-primo.hosted.exlibrisgroup.com/primo-explore/search?tab=default_tab&amp;search_scope=EVERYTHING&amp;vid=01CRU&amp;lang=en_US&amp;offset=0&amp;query=any,contains,991002751129702656","Catalog Record")</f>
        <v/>
      </c>
      <c r="AT1222">
        <f>HYPERLINK("http://www.worldcat.org/oclc/424710","WorldCat Record")</f>
        <v/>
      </c>
      <c r="AU1222" t="inlineStr">
        <is>
          <t>4095473419:eng</t>
        </is>
      </c>
      <c r="AV1222" t="inlineStr">
        <is>
          <t>424710</t>
        </is>
      </c>
      <c r="AW1222" t="inlineStr">
        <is>
          <t>991002751129702656</t>
        </is>
      </c>
      <c r="AX1222" t="inlineStr">
        <is>
          <t>991002751129702656</t>
        </is>
      </c>
      <c r="AY1222" t="inlineStr">
        <is>
          <t>2268350520002656</t>
        </is>
      </c>
      <c r="AZ1222" t="inlineStr">
        <is>
          <t>BOOK</t>
        </is>
      </c>
      <c r="BC1222" t="inlineStr">
        <is>
          <t>32285002533585</t>
        </is>
      </c>
      <c r="BD1222" t="inlineStr">
        <is>
          <t>893603971</t>
        </is>
      </c>
    </row>
    <row r="1223">
      <c r="A1223" t="inlineStr">
        <is>
          <t>No</t>
        </is>
      </c>
      <c r="B1223" t="inlineStr">
        <is>
          <t>E342 .B72</t>
        </is>
      </c>
      <c r="C1223" t="inlineStr">
        <is>
          <t>0                      E  0342000B  72</t>
        </is>
      </c>
      <c r="D1223" t="inlineStr">
        <is>
          <t>The fourth President; a life of James Madison.</t>
        </is>
      </c>
      <c r="F1223" t="inlineStr">
        <is>
          <t>No</t>
        </is>
      </c>
      <c r="G1223" t="inlineStr">
        <is>
          <t>1</t>
        </is>
      </c>
      <c r="H1223" t="inlineStr">
        <is>
          <t>Yes</t>
        </is>
      </c>
      <c r="I1223" t="inlineStr">
        <is>
          <t>No</t>
        </is>
      </c>
      <c r="J1223" t="inlineStr">
        <is>
          <t>0</t>
        </is>
      </c>
      <c r="K1223" t="inlineStr">
        <is>
          <t>Brant, Irving, 1885-1976.</t>
        </is>
      </c>
      <c r="L1223" t="inlineStr">
        <is>
          <t>Indianapolis, Bobbs-Merrill [1970]</t>
        </is>
      </c>
      <c r="M1223" t="inlineStr">
        <is>
          <t>1970</t>
        </is>
      </c>
      <c r="O1223" t="inlineStr">
        <is>
          <t>eng</t>
        </is>
      </c>
      <c r="P1223" t="inlineStr">
        <is>
          <t>inu</t>
        </is>
      </c>
      <c r="R1223" t="inlineStr">
        <is>
          <t xml:space="preserve">E  </t>
        </is>
      </c>
      <c r="S1223" t="n">
        <v>2</v>
      </c>
      <c r="T1223" t="n">
        <v>2</v>
      </c>
      <c r="U1223" t="inlineStr">
        <is>
          <t>1999-10-07</t>
        </is>
      </c>
      <c r="V1223" t="inlineStr">
        <is>
          <t>1999-10-07</t>
        </is>
      </c>
      <c r="W1223" t="inlineStr">
        <is>
          <t>1997-04-14</t>
        </is>
      </c>
      <c r="X1223" t="inlineStr">
        <is>
          <t>1997-04-14</t>
        </is>
      </c>
      <c r="Y1223" t="n">
        <v>1227</v>
      </c>
      <c r="Z1223" t="n">
        <v>1170</v>
      </c>
      <c r="AA1223" t="n">
        <v>1237</v>
      </c>
      <c r="AB1223" t="n">
        <v>7</v>
      </c>
      <c r="AC1223" t="n">
        <v>8</v>
      </c>
      <c r="AD1223" t="n">
        <v>34</v>
      </c>
      <c r="AE1223" t="n">
        <v>35</v>
      </c>
      <c r="AF1223" t="n">
        <v>15</v>
      </c>
      <c r="AG1223" t="n">
        <v>15</v>
      </c>
      <c r="AH1223" t="n">
        <v>6</v>
      </c>
      <c r="AI1223" t="n">
        <v>6</v>
      </c>
      <c r="AJ1223" t="n">
        <v>15</v>
      </c>
      <c r="AK1223" t="n">
        <v>16</v>
      </c>
      <c r="AL1223" t="n">
        <v>4</v>
      </c>
      <c r="AM1223" t="n">
        <v>4</v>
      </c>
      <c r="AN1223" t="n">
        <v>1</v>
      </c>
      <c r="AO1223" t="n">
        <v>1</v>
      </c>
      <c r="AP1223" t="inlineStr">
        <is>
          <t>No</t>
        </is>
      </c>
      <c r="AQ1223" t="inlineStr">
        <is>
          <t>Yes</t>
        </is>
      </c>
      <c r="AR1223">
        <f>HYPERLINK("http://catalog.hathitrust.org/Record/000366772","HathiTrust Record")</f>
        <v/>
      </c>
      <c r="AS1223">
        <f>HYPERLINK("https://creighton-primo.hosted.exlibrisgroup.com/primo-explore/search?tab=default_tab&amp;search_scope=EVERYTHING&amp;vid=01CRU&amp;lang=en_US&amp;offset=0&amp;query=any,contains,991001678089702656","Catalog Record")</f>
        <v/>
      </c>
      <c r="AT1223">
        <f>HYPERLINK("http://www.worldcat.org/oclc/67961","WorldCat Record")</f>
        <v/>
      </c>
      <c r="AU1223" t="inlineStr">
        <is>
          <t>196084625:eng</t>
        </is>
      </c>
      <c r="AV1223" t="inlineStr">
        <is>
          <t>67961</t>
        </is>
      </c>
      <c r="AW1223" t="inlineStr">
        <is>
          <t>991001678089702656</t>
        </is>
      </c>
      <c r="AX1223" t="inlineStr">
        <is>
          <t>991001678089702656</t>
        </is>
      </c>
      <c r="AY1223" t="inlineStr">
        <is>
          <t>2258175600002656</t>
        </is>
      </c>
      <c r="AZ1223" t="inlineStr">
        <is>
          <t>BOOK</t>
        </is>
      </c>
      <c r="BC1223" t="inlineStr">
        <is>
          <t>32285002533619</t>
        </is>
      </c>
      <c r="BD1223" t="inlineStr">
        <is>
          <t>893903521</t>
        </is>
      </c>
    </row>
    <row r="1224">
      <c r="A1224" t="inlineStr">
        <is>
          <t>No</t>
        </is>
      </c>
      <c r="B1224" t="inlineStr">
        <is>
          <t>E342 .B87 1968</t>
        </is>
      </c>
      <c r="C1224" t="inlineStr">
        <is>
          <t>0                      E  0342000B  87          1968</t>
        </is>
      </c>
      <c r="D1224" t="inlineStr">
        <is>
          <t>James Madison : philosopher of the Constitution / with a new pref. and a new chapter (IV) by the author.</t>
        </is>
      </c>
      <c r="F1224" t="inlineStr">
        <is>
          <t>No</t>
        </is>
      </c>
      <c r="G1224" t="inlineStr">
        <is>
          <t>1</t>
        </is>
      </c>
      <c r="H1224" t="inlineStr">
        <is>
          <t>No</t>
        </is>
      </c>
      <c r="I1224" t="inlineStr">
        <is>
          <t>No</t>
        </is>
      </c>
      <c r="J1224" t="inlineStr">
        <is>
          <t>0</t>
        </is>
      </c>
      <c r="K1224" t="inlineStr">
        <is>
          <t>Burns, Edward McNall, 1897-1972.</t>
        </is>
      </c>
      <c r="L1224" t="inlineStr">
        <is>
          <t>New York : Octagon Books, 1968.</t>
        </is>
      </c>
      <c r="M1224" t="inlineStr">
        <is>
          <t>1968</t>
        </is>
      </c>
      <c r="O1224" t="inlineStr">
        <is>
          <t>eng</t>
        </is>
      </c>
      <c r="P1224" t="inlineStr">
        <is>
          <t>nyu</t>
        </is>
      </c>
      <c r="Q1224" t="inlineStr">
        <is>
          <t>Rutgers University studies in history ; v. 1</t>
        </is>
      </c>
      <c r="R1224" t="inlineStr">
        <is>
          <t xml:space="preserve">E  </t>
        </is>
      </c>
      <c r="S1224" t="n">
        <v>8</v>
      </c>
      <c r="T1224" t="n">
        <v>8</v>
      </c>
      <c r="U1224" t="inlineStr">
        <is>
          <t>1998-12-08</t>
        </is>
      </c>
      <c r="V1224" t="inlineStr">
        <is>
          <t>1998-12-08</t>
        </is>
      </c>
      <c r="W1224" t="inlineStr">
        <is>
          <t>1991-12-23</t>
        </is>
      </c>
      <c r="X1224" t="inlineStr">
        <is>
          <t>1991-12-23</t>
        </is>
      </c>
      <c r="Y1224" t="n">
        <v>574</v>
      </c>
      <c r="Z1224" t="n">
        <v>542</v>
      </c>
      <c r="AA1224" t="n">
        <v>777</v>
      </c>
      <c r="AB1224" t="n">
        <v>3</v>
      </c>
      <c r="AC1224" t="n">
        <v>4</v>
      </c>
      <c r="AD1224" t="n">
        <v>30</v>
      </c>
      <c r="AE1224" t="n">
        <v>37</v>
      </c>
      <c r="AF1224" t="n">
        <v>10</v>
      </c>
      <c r="AG1224" t="n">
        <v>13</v>
      </c>
      <c r="AH1224" t="n">
        <v>7</v>
      </c>
      <c r="AI1224" t="n">
        <v>7</v>
      </c>
      <c r="AJ1224" t="n">
        <v>11</v>
      </c>
      <c r="AK1224" t="n">
        <v>15</v>
      </c>
      <c r="AL1224" t="n">
        <v>1</v>
      </c>
      <c r="AM1224" t="n">
        <v>2</v>
      </c>
      <c r="AN1224" t="n">
        <v>5</v>
      </c>
      <c r="AO1224" t="n">
        <v>6</v>
      </c>
      <c r="AP1224" t="inlineStr">
        <is>
          <t>No</t>
        </is>
      </c>
      <c r="AQ1224" t="inlineStr">
        <is>
          <t>No</t>
        </is>
      </c>
      <c r="AS1224">
        <f>HYPERLINK("https://creighton-primo.hosted.exlibrisgroup.com/primo-explore/search?tab=default_tab&amp;search_scope=EVERYTHING&amp;vid=01CRU&amp;lang=en_US&amp;offset=0&amp;query=any,contains,991002754619702656","Catalog Record")</f>
        <v/>
      </c>
      <c r="AT1224">
        <f>HYPERLINK("http://www.worldcat.org/oclc/426015","WorldCat Record")</f>
        <v/>
      </c>
      <c r="AU1224" t="inlineStr">
        <is>
          <t>1519094:eng</t>
        </is>
      </c>
      <c r="AV1224" t="inlineStr">
        <is>
          <t>426015</t>
        </is>
      </c>
      <c r="AW1224" t="inlineStr">
        <is>
          <t>991002754619702656</t>
        </is>
      </c>
      <c r="AX1224" t="inlineStr">
        <is>
          <t>991002754619702656</t>
        </is>
      </c>
      <c r="AY1224" t="inlineStr">
        <is>
          <t>2265458320002656</t>
        </is>
      </c>
      <c r="AZ1224" t="inlineStr">
        <is>
          <t>BOOK</t>
        </is>
      </c>
      <c r="BC1224" t="inlineStr">
        <is>
          <t>32285000880251</t>
        </is>
      </c>
      <c r="BD1224" t="inlineStr">
        <is>
          <t>893809650</t>
        </is>
      </c>
    </row>
    <row r="1225">
      <c r="A1225" t="inlineStr">
        <is>
          <t>No</t>
        </is>
      </c>
      <c r="B1225" t="inlineStr">
        <is>
          <t>E342 .G28 1972</t>
        </is>
      </c>
      <c r="C1225" t="inlineStr">
        <is>
          <t>0                      E  0342000G  28          1972</t>
        </is>
      </c>
      <c r="D1225" t="inlineStr">
        <is>
          <t>James Madison / by Sydney Howard Gay.</t>
        </is>
      </c>
      <c r="F1225" t="inlineStr">
        <is>
          <t>No</t>
        </is>
      </c>
      <c r="G1225" t="inlineStr">
        <is>
          <t>1</t>
        </is>
      </c>
      <c r="H1225" t="inlineStr">
        <is>
          <t>No</t>
        </is>
      </c>
      <c r="I1225" t="inlineStr">
        <is>
          <t>No</t>
        </is>
      </c>
      <c r="J1225" t="inlineStr">
        <is>
          <t>0</t>
        </is>
      </c>
      <c r="K1225" t="inlineStr">
        <is>
          <t>Gay, Sydney Howard, 1814-1888.</t>
        </is>
      </c>
      <c r="L1225" t="inlineStr">
        <is>
          <t>[New York : AMS Press, 1972]</t>
        </is>
      </c>
      <c r="M1225" t="inlineStr">
        <is>
          <t>1972</t>
        </is>
      </c>
      <c r="O1225" t="inlineStr">
        <is>
          <t>eng</t>
        </is>
      </c>
      <c r="P1225" t="inlineStr">
        <is>
          <t>nyu</t>
        </is>
      </c>
      <c r="Q1225" t="inlineStr">
        <is>
          <t>American statesmen ; v. 12</t>
        </is>
      </c>
      <c r="R1225" t="inlineStr">
        <is>
          <t xml:space="preserve">E  </t>
        </is>
      </c>
      <c r="S1225" t="n">
        <v>2</v>
      </c>
      <c r="T1225" t="n">
        <v>2</v>
      </c>
      <c r="U1225" t="inlineStr">
        <is>
          <t>1993-12-01</t>
        </is>
      </c>
      <c r="V1225" t="inlineStr">
        <is>
          <t>1993-12-01</t>
        </is>
      </c>
      <c r="W1225" t="inlineStr">
        <is>
          <t>1991-04-22</t>
        </is>
      </c>
      <c r="X1225" t="inlineStr">
        <is>
          <t>1991-04-22</t>
        </is>
      </c>
      <c r="Y1225" t="n">
        <v>93</v>
      </c>
      <c r="Z1225" t="n">
        <v>82</v>
      </c>
      <c r="AA1225" t="n">
        <v>1090</v>
      </c>
      <c r="AB1225" t="n">
        <v>1</v>
      </c>
      <c r="AC1225" t="n">
        <v>10</v>
      </c>
      <c r="AD1225" t="n">
        <v>0</v>
      </c>
      <c r="AE1225" t="n">
        <v>60</v>
      </c>
      <c r="AF1225" t="n">
        <v>0</v>
      </c>
      <c r="AG1225" t="n">
        <v>20</v>
      </c>
      <c r="AH1225" t="n">
        <v>0</v>
      </c>
      <c r="AI1225" t="n">
        <v>8</v>
      </c>
      <c r="AJ1225" t="n">
        <v>0</v>
      </c>
      <c r="AK1225" t="n">
        <v>20</v>
      </c>
      <c r="AL1225" t="n">
        <v>0</v>
      </c>
      <c r="AM1225" t="n">
        <v>7</v>
      </c>
      <c r="AN1225" t="n">
        <v>0</v>
      </c>
      <c r="AO1225" t="n">
        <v>16</v>
      </c>
      <c r="AP1225" t="inlineStr">
        <is>
          <t>No</t>
        </is>
      </c>
      <c r="AQ1225" t="inlineStr">
        <is>
          <t>No</t>
        </is>
      </c>
      <c r="AS1225">
        <f>HYPERLINK("https://creighton-primo.hosted.exlibrisgroup.com/primo-explore/search?tab=default_tab&amp;search_scope=EVERYTHING&amp;vid=01CRU&amp;lang=en_US&amp;offset=0&amp;query=any,contains,991001286679702656","Catalog Record")</f>
        <v/>
      </c>
      <c r="AT1225">
        <f>HYPERLINK("http://www.worldcat.org/oclc/216576","WorldCat Record")</f>
        <v/>
      </c>
      <c r="AU1225" t="inlineStr">
        <is>
          <t>513650:eng</t>
        </is>
      </c>
      <c r="AV1225" t="inlineStr">
        <is>
          <t>216576</t>
        </is>
      </c>
      <c r="AW1225" t="inlineStr">
        <is>
          <t>991001286679702656</t>
        </is>
      </c>
      <c r="AX1225" t="inlineStr">
        <is>
          <t>991001286679702656</t>
        </is>
      </c>
      <c r="AY1225" t="inlineStr">
        <is>
          <t>2256785500002656</t>
        </is>
      </c>
      <c r="AZ1225" t="inlineStr">
        <is>
          <t>BOOK</t>
        </is>
      </c>
      <c r="BB1225" t="inlineStr">
        <is>
          <t>9780404508623</t>
        </is>
      </c>
      <c r="BC1225" t="inlineStr">
        <is>
          <t>32285000543735</t>
        </is>
      </c>
      <c r="BD1225" t="inlineStr">
        <is>
          <t>893602495</t>
        </is>
      </c>
    </row>
    <row r="1226">
      <c r="A1226" t="inlineStr">
        <is>
          <t>No</t>
        </is>
      </c>
      <c r="B1226" t="inlineStr">
        <is>
          <t>E342 .R622</t>
        </is>
      </c>
      <c r="C1226" t="inlineStr">
        <is>
          <t>0                      E  0342000R  622</t>
        </is>
      </c>
      <c r="D1226" t="inlineStr">
        <is>
          <t>History of the life and times of James Madison / by William C. Rives.</t>
        </is>
      </c>
      <c r="E1226" t="inlineStr">
        <is>
          <t>V.2</t>
        </is>
      </c>
      <c r="F1226" t="inlineStr">
        <is>
          <t>Yes</t>
        </is>
      </c>
      <c r="G1226" t="inlineStr">
        <is>
          <t>1</t>
        </is>
      </c>
      <c r="H1226" t="inlineStr">
        <is>
          <t>No</t>
        </is>
      </c>
      <c r="I1226" t="inlineStr">
        <is>
          <t>No</t>
        </is>
      </c>
      <c r="J1226" t="inlineStr">
        <is>
          <t>0</t>
        </is>
      </c>
      <c r="K1226" t="inlineStr">
        <is>
          <t>Rives, William C. (William Cabell), 1793-1868.</t>
        </is>
      </c>
      <c r="L1226" t="inlineStr">
        <is>
          <t>Boston, Little, Brown and company, 1859-68.</t>
        </is>
      </c>
      <c r="M1226" t="inlineStr">
        <is>
          <t>1859</t>
        </is>
      </c>
      <c r="O1226" t="inlineStr">
        <is>
          <t>eng</t>
        </is>
      </c>
      <c r="P1226" t="inlineStr">
        <is>
          <t xml:space="preserve">xx </t>
        </is>
      </c>
      <c r="R1226" t="inlineStr">
        <is>
          <t xml:space="preserve">E  </t>
        </is>
      </c>
      <c r="S1226" t="n">
        <v>0</v>
      </c>
      <c r="T1226" t="n">
        <v>1</v>
      </c>
      <c r="V1226" t="inlineStr">
        <is>
          <t>1997-10-28</t>
        </is>
      </c>
      <c r="W1226" t="inlineStr">
        <is>
          <t>1996-08-21</t>
        </is>
      </c>
      <c r="X1226" t="inlineStr">
        <is>
          <t>1996-08-21</t>
        </is>
      </c>
      <c r="Y1226" t="n">
        <v>161</v>
      </c>
      <c r="Z1226" t="n">
        <v>151</v>
      </c>
      <c r="AA1226" t="n">
        <v>370</v>
      </c>
      <c r="AB1226" t="n">
        <v>1</v>
      </c>
      <c r="AC1226" t="n">
        <v>5</v>
      </c>
      <c r="AD1226" t="n">
        <v>5</v>
      </c>
      <c r="AE1226" t="n">
        <v>20</v>
      </c>
      <c r="AF1226" t="n">
        <v>1</v>
      </c>
      <c r="AG1226" t="n">
        <v>4</v>
      </c>
      <c r="AH1226" t="n">
        <v>0</v>
      </c>
      <c r="AI1226" t="n">
        <v>4</v>
      </c>
      <c r="AJ1226" t="n">
        <v>4</v>
      </c>
      <c r="AK1226" t="n">
        <v>6</v>
      </c>
      <c r="AL1226" t="n">
        <v>0</v>
      </c>
      <c r="AM1226" t="n">
        <v>3</v>
      </c>
      <c r="AN1226" t="n">
        <v>0</v>
      </c>
      <c r="AO1226" t="n">
        <v>5</v>
      </c>
      <c r="AP1226" t="inlineStr">
        <is>
          <t>Yes</t>
        </is>
      </c>
      <c r="AQ1226" t="inlineStr">
        <is>
          <t>No</t>
        </is>
      </c>
      <c r="AR1226">
        <f>HYPERLINK("http://catalog.hathitrust.org/Record/000406757","HathiTrust Record")</f>
        <v/>
      </c>
      <c r="AS1226">
        <f>HYPERLINK("https://creighton-primo.hosted.exlibrisgroup.com/primo-explore/search?tab=default_tab&amp;search_scope=EVERYTHING&amp;vid=01CRU&amp;lang=en_US&amp;offset=0&amp;query=any,contains,991004311799702656","Catalog Record")</f>
        <v/>
      </c>
      <c r="AT1226">
        <f>HYPERLINK("http://www.worldcat.org/oclc/2999439","WorldCat Record")</f>
        <v/>
      </c>
      <c r="AU1226" t="inlineStr">
        <is>
          <t>3373274866:eng</t>
        </is>
      </c>
      <c r="AV1226" t="inlineStr">
        <is>
          <t>2999439</t>
        </is>
      </c>
      <c r="AW1226" t="inlineStr">
        <is>
          <t>991004311799702656</t>
        </is>
      </c>
      <c r="AX1226" t="inlineStr">
        <is>
          <t>991004311799702656</t>
        </is>
      </c>
      <c r="AY1226" t="inlineStr">
        <is>
          <t>2263619570002656</t>
        </is>
      </c>
      <c r="AZ1226" t="inlineStr">
        <is>
          <t>BOOK</t>
        </is>
      </c>
      <c r="BC1226" t="inlineStr">
        <is>
          <t>32285002282290</t>
        </is>
      </c>
      <c r="BD1226" t="inlineStr">
        <is>
          <t>893706237</t>
        </is>
      </c>
    </row>
    <row r="1227">
      <c r="A1227" t="inlineStr">
        <is>
          <t>No</t>
        </is>
      </c>
      <c r="B1227" t="inlineStr">
        <is>
          <t>E342 .R622</t>
        </is>
      </c>
      <c r="C1227" t="inlineStr">
        <is>
          <t>0                      E  0342000R  622</t>
        </is>
      </c>
      <c r="D1227" t="inlineStr">
        <is>
          <t>History of the life and times of James Madison / by William C. Rives.</t>
        </is>
      </c>
      <c r="E1227" t="inlineStr">
        <is>
          <t>V.3</t>
        </is>
      </c>
      <c r="F1227" t="inlineStr">
        <is>
          <t>Yes</t>
        </is>
      </c>
      <c r="G1227" t="inlineStr">
        <is>
          <t>1</t>
        </is>
      </c>
      <c r="H1227" t="inlineStr">
        <is>
          <t>No</t>
        </is>
      </c>
      <c r="I1227" t="inlineStr">
        <is>
          <t>No</t>
        </is>
      </c>
      <c r="J1227" t="inlineStr">
        <is>
          <t>0</t>
        </is>
      </c>
      <c r="K1227" t="inlineStr">
        <is>
          <t>Rives, William C. (William Cabell), 1793-1868.</t>
        </is>
      </c>
      <c r="L1227" t="inlineStr">
        <is>
          <t>Boston, Little, Brown and company, 1859-68.</t>
        </is>
      </c>
      <c r="M1227" t="inlineStr">
        <is>
          <t>1859</t>
        </is>
      </c>
      <c r="O1227" t="inlineStr">
        <is>
          <t>eng</t>
        </is>
      </c>
      <c r="P1227" t="inlineStr">
        <is>
          <t xml:space="preserve">xx </t>
        </is>
      </c>
      <c r="R1227" t="inlineStr">
        <is>
          <t xml:space="preserve">E  </t>
        </is>
      </c>
      <c r="S1227" t="n">
        <v>1</v>
      </c>
      <c r="T1227" t="n">
        <v>1</v>
      </c>
      <c r="U1227" t="inlineStr">
        <is>
          <t>1997-10-28</t>
        </is>
      </c>
      <c r="V1227" t="inlineStr">
        <is>
          <t>1997-10-28</t>
        </is>
      </c>
      <c r="W1227" t="inlineStr">
        <is>
          <t>1996-08-21</t>
        </is>
      </c>
      <c r="X1227" t="inlineStr">
        <is>
          <t>1996-08-21</t>
        </is>
      </c>
      <c r="Y1227" t="n">
        <v>161</v>
      </c>
      <c r="Z1227" t="n">
        <v>151</v>
      </c>
      <c r="AA1227" t="n">
        <v>370</v>
      </c>
      <c r="AB1227" t="n">
        <v>1</v>
      </c>
      <c r="AC1227" t="n">
        <v>5</v>
      </c>
      <c r="AD1227" t="n">
        <v>5</v>
      </c>
      <c r="AE1227" t="n">
        <v>20</v>
      </c>
      <c r="AF1227" t="n">
        <v>1</v>
      </c>
      <c r="AG1227" t="n">
        <v>4</v>
      </c>
      <c r="AH1227" t="n">
        <v>0</v>
      </c>
      <c r="AI1227" t="n">
        <v>4</v>
      </c>
      <c r="AJ1227" t="n">
        <v>4</v>
      </c>
      <c r="AK1227" t="n">
        <v>6</v>
      </c>
      <c r="AL1227" t="n">
        <v>0</v>
      </c>
      <c r="AM1227" t="n">
        <v>3</v>
      </c>
      <c r="AN1227" t="n">
        <v>0</v>
      </c>
      <c r="AO1227" t="n">
        <v>5</v>
      </c>
      <c r="AP1227" t="inlineStr">
        <is>
          <t>Yes</t>
        </is>
      </c>
      <c r="AQ1227" t="inlineStr">
        <is>
          <t>No</t>
        </is>
      </c>
      <c r="AR1227">
        <f>HYPERLINK("http://catalog.hathitrust.org/Record/000406757","HathiTrust Record")</f>
        <v/>
      </c>
      <c r="AS1227">
        <f>HYPERLINK("https://creighton-primo.hosted.exlibrisgroup.com/primo-explore/search?tab=default_tab&amp;search_scope=EVERYTHING&amp;vid=01CRU&amp;lang=en_US&amp;offset=0&amp;query=any,contains,991004311799702656","Catalog Record")</f>
        <v/>
      </c>
      <c r="AT1227">
        <f>HYPERLINK("http://www.worldcat.org/oclc/2999439","WorldCat Record")</f>
        <v/>
      </c>
      <c r="AU1227" t="inlineStr">
        <is>
          <t>3373274866:eng</t>
        </is>
      </c>
      <c r="AV1227" t="inlineStr">
        <is>
          <t>2999439</t>
        </is>
      </c>
      <c r="AW1227" t="inlineStr">
        <is>
          <t>991004311799702656</t>
        </is>
      </c>
      <c r="AX1227" t="inlineStr">
        <is>
          <t>991004311799702656</t>
        </is>
      </c>
      <c r="AY1227" t="inlineStr">
        <is>
          <t>2263619570002656</t>
        </is>
      </c>
      <c r="AZ1227" t="inlineStr">
        <is>
          <t>BOOK</t>
        </is>
      </c>
      <c r="BC1227" t="inlineStr">
        <is>
          <t>32285002282308</t>
        </is>
      </c>
      <c r="BD1227" t="inlineStr">
        <is>
          <t>893722369</t>
        </is>
      </c>
    </row>
    <row r="1228">
      <c r="A1228" t="inlineStr">
        <is>
          <t>No</t>
        </is>
      </c>
      <c r="B1228" t="inlineStr">
        <is>
          <t>E342 .R622</t>
        </is>
      </c>
      <c r="C1228" t="inlineStr">
        <is>
          <t>0                      E  0342000R  622</t>
        </is>
      </c>
      <c r="D1228" t="inlineStr">
        <is>
          <t>History of the life and times of James Madison / by William C. Rives.</t>
        </is>
      </c>
      <c r="E1228" t="inlineStr">
        <is>
          <t>V.1</t>
        </is>
      </c>
      <c r="F1228" t="inlineStr">
        <is>
          <t>Yes</t>
        </is>
      </c>
      <c r="G1228" t="inlineStr">
        <is>
          <t>1</t>
        </is>
      </c>
      <c r="H1228" t="inlineStr">
        <is>
          <t>No</t>
        </is>
      </c>
      <c r="I1228" t="inlineStr">
        <is>
          <t>No</t>
        </is>
      </c>
      <c r="J1228" t="inlineStr">
        <is>
          <t>0</t>
        </is>
      </c>
      <c r="K1228" t="inlineStr">
        <is>
          <t>Rives, William C. (William Cabell), 1793-1868.</t>
        </is>
      </c>
      <c r="L1228" t="inlineStr">
        <is>
          <t>Boston, Little, Brown and company, 1859-68.</t>
        </is>
      </c>
      <c r="M1228" t="inlineStr">
        <is>
          <t>1859</t>
        </is>
      </c>
      <c r="O1228" t="inlineStr">
        <is>
          <t>eng</t>
        </is>
      </c>
      <c r="P1228" t="inlineStr">
        <is>
          <t xml:space="preserve">xx </t>
        </is>
      </c>
      <c r="R1228" t="inlineStr">
        <is>
          <t xml:space="preserve">E  </t>
        </is>
      </c>
      <c r="S1228" t="n">
        <v>0</v>
      </c>
      <c r="T1228" t="n">
        <v>1</v>
      </c>
      <c r="V1228" t="inlineStr">
        <is>
          <t>1997-10-28</t>
        </is>
      </c>
      <c r="W1228" t="inlineStr">
        <is>
          <t>1996-08-21</t>
        </is>
      </c>
      <c r="X1228" t="inlineStr">
        <is>
          <t>1996-08-21</t>
        </is>
      </c>
      <c r="Y1228" t="n">
        <v>161</v>
      </c>
      <c r="Z1228" t="n">
        <v>151</v>
      </c>
      <c r="AA1228" t="n">
        <v>370</v>
      </c>
      <c r="AB1228" t="n">
        <v>1</v>
      </c>
      <c r="AC1228" t="n">
        <v>5</v>
      </c>
      <c r="AD1228" t="n">
        <v>5</v>
      </c>
      <c r="AE1228" t="n">
        <v>20</v>
      </c>
      <c r="AF1228" t="n">
        <v>1</v>
      </c>
      <c r="AG1228" t="n">
        <v>4</v>
      </c>
      <c r="AH1228" t="n">
        <v>0</v>
      </c>
      <c r="AI1228" t="n">
        <v>4</v>
      </c>
      <c r="AJ1228" t="n">
        <v>4</v>
      </c>
      <c r="AK1228" t="n">
        <v>6</v>
      </c>
      <c r="AL1228" t="n">
        <v>0</v>
      </c>
      <c r="AM1228" t="n">
        <v>3</v>
      </c>
      <c r="AN1228" t="n">
        <v>0</v>
      </c>
      <c r="AO1228" t="n">
        <v>5</v>
      </c>
      <c r="AP1228" t="inlineStr">
        <is>
          <t>Yes</t>
        </is>
      </c>
      <c r="AQ1228" t="inlineStr">
        <is>
          <t>No</t>
        </is>
      </c>
      <c r="AR1228">
        <f>HYPERLINK("http://catalog.hathitrust.org/Record/000406757","HathiTrust Record")</f>
        <v/>
      </c>
      <c r="AS1228">
        <f>HYPERLINK("https://creighton-primo.hosted.exlibrisgroup.com/primo-explore/search?tab=default_tab&amp;search_scope=EVERYTHING&amp;vid=01CRU&amp;lang=en_US&amp;offset=0&amp;query=any,contains,991004311799702656","Catalog Record")</f>
        <v/>
      </c>
      <c r="AT1228">
        <f>HYPERLINK("http://www.worldcat.org/oclc/2999439","WorldCat Record")</f>
        <v/>
      </c>
      <c r="AU1228" t="inlineStr">
        <is>
          <t>3373274866:eng</t>
        </is>
      </c>
      <c r="AV1228" t="inlineStr">
        <is>
          <t>2999439</t>
        </is>
      </c>
      <c r="AW1228" t="inlineStr">
        <is>
          <t>991004311799702656</t>
        </is>
      </c>
      <c r="AX1228" t="inlineStr">
        <is>
          <t>991004311799702656</t>
        </is>
      </c>
      <c r="AY1228" t="inlineStr">
        <is>
          <t>2263619570002656</t>
        </is>
      </c>
      <c r="AZ1228" t="inlineStr">
        <is>
          <t>BOOK</t>
        </is>
      </c>
      <c r="BC1228" t="inlineStr">
        <is>
          <t>32285002282282</t>
        </is>
      </c>
      <c r="BD1228" t="inlineStr">
        <is>
          <t>893712432</t>
        </is>
      </c>
    </row>
    <row r="1229">
      <c r="A1229" t="inlineStr">
        <is>
          <t>No</t>
        </is>
      </c>
      <c r="B1229" t="inlineStr">
        <is>
          <t>E342.1 .Z35 2001</t>
        </is>
      </c>
      <c r="C1229" t="inlineStr">
        <is>
          <t>0                      E  0342100Z  35          2001</t>
        </is>
      </c>
      <c r="D1229" t="inlineStr">
        <is>
          <t>Dolley Madison / Paul M. Zall.</t>
        </is>
      </c>
      <c r="F1229" t="inlineStr">
        <is>
          <t>No</t>
        </is>
      </c>
      <c r="G1229" t="inlineStr">
        <is>
          <t>1</t>
        </is>
      </c>
      <c r="H1229" t="inlineStr">
        <is>
          <t>No</t>
        </is>
      </c>
      <c r="I1229" t="inlineStr">
        <is>
          <t>No</t>
        </is>
      </c>
      <c r="J1229" t="inlineStr">
        <is>
          <t>0</t>
        </is>
      </c>
      <c r="K1229" t="inlineStr">
        <is>
          <t>Zall, Paul M.</t>
        </is>
      </c>
      <c r="L1229" t="inlineStr">
        <is>
          <t>Huntington, NY : Nova History Publications, c2001.</t>
        </is>
      </c>
      <c r="M1229" t="inlineStr">
        <is>
          <t>2001</t>
        </is>
      </c>
      <c r="O1229" t="inlineStr">
        <is>
          <t>eng</t>
        </is>
      </c>
      <c r="P1229" t="inlineStr">
        <is>
          <t>nyu</t>
        </is>
      </c>
      <c r="Q1229" t="inlineStr">
        <is>
          <t>Presidential wives series</t>
        </is>
      </c>
      <c r="R1229" t="inlineStr">
        <is>
          <t xml:space="preserve">E  </t>
        </is>
      </c>
      <c r="S1229" t="n">
        <v>2</v>
      </c>
      <c r="T1229" t="n">
        <v>2</v>
      </c>
      <c r="U1229" t="inlineStr">
        <is>
          <t>2004-07-02</t>
        </is>
      </c>
      <c r="V1229" t="inlineStr">
        <is>
          <t>2004-07-02</t>
        </is>
      </c>
      <c r="W1229" t="inlineStr">
        <is>
          <t>2002-05-22</t>
        </is>
      </c>
      <c r="X1229" t="inlineStr">
        <is>
          <t>2002-05-22</t>
        </is>
      </c>
      <c r="Y1229" t="n">
        <v>147</v>
      </c>
      <c r="Z1229" t="n">
        <v>142</v>
      </c>
      <c r="AA1229" t="n">
        <v>144</v>
      </c>
      <c r="AB1229" t="n">
        <v>4</v>
      </c>
      <c r="AC1229" t="n">
        <v>4</v>
      </c>
      <c r="AD1229" t="n">
        <v>10</v>
      </c>
      <c r="AE1229" t="n">
        <v>10</v>
      </c>
      <c r="AF1229" t="n">
        <v>2</v>
      </c>
      <c r="AG1229" t="n">
        <v>2</v>
      </c>
      <c r="AH1229" t="n">
        <v>5</v>
      </c>
      <c r="AI1229" t="n">
        <v>5</v>
      </c>
      <c r="AJ1229" t="n">
        <v>4</v>
      </c>
      <c r="AK1229" t="n">
        <v>4</v>
      </c>
      <c r="AL1229" t="n">
        <v>2</v>
      </c>
      <c r="AM1229" t="n">
        <v>2</v>
      </c>
      <c r="AN1229" t="n">
        <v>0</v>
      </c>
      <c r="AO1229" t="n">
        <v>0</v>
      </c>
      <c r="AP1229" t="inlineStr">
        <is>
          <t>No</t>
        </is>
      </c>
      <c r="AQ1229" t="inlineStr">
        <is>
          <t>Yes</t>
        </is>
      </c>
      <c r="AR1229">
        <f>HYPERLINK("http://catalog.hathitrust.org/Record/004166093","HathiTrust Record")</f>
        <v/>
      </c>
      <c r="AS1229">
        <f>HYPERLINK("https://creighton-primo.hosted.exlibrisgroup.com/primo-explore/search?tab=default_tab&amp;search_scope=EVERYTHING&amp;vid=01CRU&amp;lang=en_US&amp;offset=0&amp;query=any,contains,991003811789702656","Catalog Record")</f>
        <v/>
      </c>
      <c r="AT1229">
        <f>HYPERLINK("http://www.worldcat.org/oclc/46401765","WorldCat Record")</f>
        <v/>
      </c>
      <c r="AU1229" t="inlineStr">
        <is>
          <t>35073192:eng</t>
        </is>
      </c>
      <c r="AV1229" t="inlineStr">
        <is>
          <t>46401765</t>
        </is>
      </c>
      <c r="AW1229" t="inlineStr">
        <is>
          <t>991003811789702656</t>
        </is>
      </c>
      <c r="AX1229" t="inlineStr">
        <is>
          <t>991003811789702656</t>
        </is>
      </c>
      <c r="AY1229" t="inlineStr">
        <is>
          <t>2260914750002656</t>
        </is>
      </c>
      <c r="AZ1229" t="inlineStr">
        <is>
          <t>BOOK</t>
        </is>
      </c>
      <c r="BB1229" t="inlineStr">
        <is>
          <t>9781560729303</t>
        </is>
      </c>
      <c r="BC1229" t="inlineStr">
        <is>
          <t>32285004489448</t>
        </is>
      </c>
      <c r="BD1229" t="inlineStr">
        <is>
          <t>893894189</t>
        </is>
      </c>
    </row>
    <row r="1230">
      <c r="A1230" t="inlineStr">
        <is>
          <t>No</t>
        </is>
      </c>
      <c r="B1230" t="inlineStr">
        <is>
          <t>E354 .B44</t>
        </is>
      </c>
      <c r="C1230" t="inlineStr">
        <is>
          <t>0                      E  0354000B  44</t>
        </is>
      </c>
      <c r="D1230" t="inlineStr">
        <is>
          <t>The War of 1812 / maps by Dorothy De Fontaine.</t>
        </is>
      </c>
      <c r="F1230" t="inlineStr">
        <is>
          <t>No</t>
        </is>
      </c>
      <c r="G1230" t="inlineStr">
        <is>
          <t>1</t>
        </is>
      </c>
      <c r="H1230" t="inlineStr">
        <is>
          <t>No</t>
        </is>
      </c>
      <c r="I1230" t="inlineStr">
        <is>
          <t>No</t>
        </is>
      </c>
      <c r="J1230" t="inlineStr">
        <is>
          <t>0</t>
        </is>
      </c>
      <c r="K1230" t="inlineStr">
        <is>
          <t>Beirne, Francis F., 1890-</t>
        </is>
      </c>
      <c r="L1230" t="inlineStr">
        <is>
          <t>New York : E.P. Dutton, 1949.</t>
        </is>
      </c>
      <c r="M1230" t="inlineStr">
        <is>
          <t>1949</t>
        </is>
      </c>
      <c r="N1230" t="inlineStr">
        <is>
          <t>[1st ed.]</t>
        </is>
      </c>
      <c r="O1230" t="inlineStr">
        <is>
          <t>eng</t>
        </is>
      </c>
      <c r="P1230" t="inlineStr">
        <is>
          <t>nyu</t>
        </is>
      </c>
      <c r="R1230" t="inlineStr">
        <is>
          <t xml:space="preserve">E  </t>
        </is>
      </c>
      <c r="S1230" t="n">
        <v>4</v>
      </c>
      <c r="T1230" t="n">
        <v>4</v>
      </c>
      <c r="U1230" t="inlineStr">
        <is>
          <t>1999-04-06</t>
        </is>
      </c>
      <c r="V1230" t="inlineStr">
        <is>
          <t>1999-04-06</t>
        </is>
      </c>
      <c r="W1230" t="inlineStr">
        <is>
          <t>1992-12-15</t>
        </is>
      </c>
      <c r="X1230" t="inlineStr">
        <is>
          <t>1992-12-15</t>
        </is>
      </c>
      <c r="Y1230" t="n">
        <v>683</v>
      </c>
      <c r="Z1230" t="n">
        <v>644</v>
      </c>
      <c r="AA1230" t="n">
        <v>868</v>
      </c>
      <c r="AB1230" t="n">
        <v>7</v>
      </c>
      <c r="AC1230" t="n">
        <v>8</v>
      </c>
      <c r="AD1230" t="n">
        <v>33</v>
      </c>
      <c r="AE1230" t="n">
        <v>39</v>
      </c>
      <c r="AF1230" t="n">
        <v>15</v>
      </c>
      <c r="AG1230" t="n">
        <v>17</v>
      </c>
      <c r="AH1230" t="n">
        <v>6</v>
      </c>
      <c r="AI1230" t="n">
        <v>8</v>
      </c>
      <c r="AJ1230" t="n">
        <v>14</v>
      </c>
      <c r="AK1230" t="n">
        <v>16</v>
      </c>
      <c r="AL1230" t="n">
        <v>5</v>
      </c>
      <c r="AM1230" t="n">
        <v>6</v>
      </c>
      <c r="AN1230" t="n">
        <v>1</v>
      </c>
      <c r="AO1230" t="n">
        <v>1</v>
      </c>
      <c r="AP1230" t="inlineStr">
        <is>
          <t>Yes</t>
        </is>
      </c>
      <c r="AQ1230" t="inlineStr">
        <is>
          <t>No</t>
        </is>
      </c>
      <c r="AR1230">
        <f>HYPERLINK("http://catalog.hathitrust.org/Record/000366811","HathiTrust Record")</f>
        <v/>
      </c>
      <c r="AS1230">
        <f>HYPERLINK("https://creighton-primo.hosted.exlibrisgroup.com/primo-explore/search?tab=default_tab&amp;search_scope=EVERYTHING&amp;vid=01CRU&amp;lang=en_US&amp;offset=0&amp;query=any,contains,991003234119702656","Catalog Record")</f>
        <v/>
      </c>
      <c r="AT1230">
        <f>HYPERLINK("http://www.worldcat.org/oclc/758394","WorldCat Record")</f>
        <v/>
      </c>
      <c r="AU1230" t="inlineStr">
        <is>
          <t>1516990:eng</t>
        </is>
      </c>
      <c r="AV1230" t="inlineStr">
        <is>
          <t>758394</t>
        </is>
      </c>
      <c r="AW1230" t="inlineStr">
        <is>
          <t>991003234119702656</t>
        </is>
      </c>
      <c r="AX1230" t="inlineStr">
        <is>
          <t>991003234119702656</t>
        </is>
      </c>
      <c r="AY1230" t="inlineStr">
        <is>
          <t>2271964630002656</t>
        </is>
      </c>
      <c r="AZ1230" t="inlineStr">
        <is>
          <t>BOOK</t>
        </is>
      </c>
      <c r="BC1230" t="inlineStr">
        <is>
          <t>32285001441632</t>
        </is>
      </c>
      <c r="BD1230" t="inlineStr">
        <is>
          <t>893774538</t>
        </is>
      </c>
    </row>
    <row r="1231">
      <c r="A1231" t="inlineStr">
        <is>
          <t>No</t>
        </is>
      </c>
      <c r="B1231" t="inlineStr">
        <is>
          <t>E354 .C7</t>
        </is>
      </c>
      <c r="C1231" t="inlineStr">
        <is>
          <t>0                      E  0354000C  7</t>
        </is>
      </c>
      <c r="D1231" t="inlineStr">
        <is>
          <t>The War of 1812 / by Harry L. Coles.</t>
        </is>
      </c>
      <c r="F1231" t="inlineStr">
        <is>
          <t>No</t>
        </is>
      </c>
      <c r="G1231" t="inlineStr">
        <is>
          <t>1</t>
        </is>
      </c>
      <c r="H1231" t="inlineStr">
        <is>
          <t>No</t>
        </is>
      </c>
      <c r="I1231" t="inlineStr">
        <is>
          <t>No</t>
        </is>
      </c>
      <c r="J1231" t="inlineStr">
        <is>
          <t>0</t>
        </is>
      </c>
      <c r="K1231" t="inlineStr">
        <is>
          <t>Coles, Harry Lewis, 1918-1994.</t>
        </is>
      </c>
      <c r="L1231" t="inlineStr">
        <is>
          <t>Chicago : University of Chicago Press, [1965]</t>
        </is>
      </c>
      <c r="M1231" t="inlineStr">
        <is>
          <t>1965</t>
        </is>
      </c>
      <c r="O1231" t="inlineStr">
        <is>
          <t>eng</t>
        </is>
      </c>
      <c r="P1231" t="inlineStr">
        <is>
          <t>ilu</t>
        </is>
      </c>
      <c r="Q1231" t="inlineStr">
        <is>
          <t>The Chicago history of American civilization</t>
        </is>
      </c>
      <c r="R1231" t="inlineStr">
        <is>
          <t xml:space="preserve">E  </t>
        </is>
      </c>
      <c r="S1231" t="n">
        <v>3</v>
      </c>
      <c r="T1231" t="n">
        <v>3</v>
      </c>
      <c r="U1231" t="inlineStr">
        <is>
          <t>1999-04-06</t>
        </is>
      </c>
      <c r="V1231" t="inlineStr">
        <is>
          <t>1999-04-06</t>
        </is>
      </c>
      <c r="W1231" t="inlineStr">
        <is>
          <t>1990-02-12</t>
        </is>
      </c>
      <c r="X1231" t="inlineStr">
        <is>
          <t>1990-02-12</t>
        </is>
      </c>
      <c r="Y1231" t="n">
        <v>1699</v>
      </c>
      <c r="Z1231" t="n">
        <v>1549</v>
      </c>
      <c r="AA1231" t="n">
        <v>1667</v>
      </c>
      <c r="AB1231" t="n">
        <v>15</v>
      </c>
      <c r="AC1231" t="n">
        <v>16</v>
      </c>
      <c r="AD1231" t="n">
        <v>55</v>
      </c>
      <c r="AE1231" t="n">
        <v>56</v>
      </c>
      <c r="AF1231" t="n">
        <v>22</v>
      </c>
      <c r="AG1231" t="n">
        <v>23</v>
      </c>
      <c r="AH1231" t="n">
        <v>9</v>
      </c>
      <c r="AI1231" t="n">
        <v>9</v>
      </c>
      <c r="AJ1231" t="n">
        <v>24</v>
      </c>
      <c r="AK1231" t="n">
        <v>24</v>
      </c>
      <c r="AL1231" t="n">
        <v>13</v>
      </c>
      <c r="AM1231" t="n">
        <v>13</v>
      </c>
      <c r="AN1231" t="n">
        <v>1</v>
      </c>
      <c r="AO1231" t="n">
        <v>1</v>
      </c>
      <c r="AP1231" t="inlineStr">
        <is>
          <t>No</t>
        </is>
      </c>
      <c r="AQ1231" t="inlineStr">
        <is>
          <t>Yes</t>
        </is>
      </c>
      <c r="AR1231">
        <f>HYPERLINK("http://catalog.hathitrust.org/Record/000457250","HathiTrust Record")</f>
        <v/>
      </c>
      <c r="AS1231">
        <f>HYPERLINK("https://creighton-primo.hosted.exlibrisgroup.com/primo-explore/search?tab=default_tab&amp;search_scope=EVERYTHING&amp;vid=01CRU&amp;lang=en_US&amp;offset=0&amp;query=any,contains,991002756449702656","Catalog Record")</f>
        <v/>
      </c>
      <c r="AT1231">
        <f>HYPERLINK("http://www.worldcat.org/oclc/426544","WorldCat Record")</f>
        <v/>
      </c>
      <c r="AU1231" t="inlineStr">
        <is>
          <t>418044:eng</t>
        </is>
      </c>
      <c r="AV1231" t="inlineStr">
        <is>
          <t>426544</t>
        </is>
      </c>
      <c r="AW1231" t="inlineStr">
        <is>
          <t>991002756449702656</t>
        </is>
      </c>
      <c r="AX1231" t="inlineStr">
        <is>
          <t>991002756449702656</t>
        </is>
      </c>
      <c r="AY1231" t="inlineStr">
        <is>
          <t>2265328740002656</t>
        </is>
      </c>
      <c r="AZ1231" t="inlineStr">
        <is>
          <t>BOOK</t>
        </is>
      </c>
      <c r="BC1231" t="inlineStr">
        <is>
          <t>32285000041383</t>
        </is>
      </c>
      <c r="BD1231" t="inlineStr">
        <is>
          <t>893710648</t>
        </is>
      </c>
    </row>
    <row r="1232">
      <c r="A1232" t="inlineStr">
        <is>
          <t>No</t>
        </is>
      </c>
      <c r="B1232" t="inlineStr">
        <is>
          <t>E354 .M22</t>
        </is>
      </c>
      <c r="C1232" t="inlineStr">
        <is>
          <t>0                      E  0354000M  22</t>
        </is>
      </c>
      <c r="D1232" t="inlineStr">
        <is>
          <t>Sea power in its relations to the war of 1812, by Captain A. T. Mahan.</t>
        </is>
      </c>
      <c r="E1232" t="inlineStr">
        <is>
          <t>V.2</t>
        </is>
      </c>
      <c r="F1232" t="inlineStr">
        <is>
          <t>Yes</t>
        </is>
      </c>
      <c r="G1232" t="inlineStr">
        <is>
          <t>1</t>
        </is>
      </c>
      <c r="H1232" t="inlineStr">
        <is>
          <t>No</t>
        </is>
      </c>
      <c r="I1232" t="inlineStr">
        <is>
          <t>No</t>
        </is>
      </c>
      <c r="J1232" t="inlineStr">
        <is>
          <t>0</t>
        </is>
      </c>
      <c r="K1232" t="inlineStr">
        <is>
          <t>Mahan, A. T. (Alfred Thayer), 1840-1914.</t>
        </is>
      </c>
      <c r="L1232" t="inlineStr">
        <is>
          <t>Boston, Little, Brown, and company, 1919.</t>
        </is>
      </c>
      <c r="M1232" t="inlineStr">
        <is>
          <t>1919</t>
        </is>
      </c>
      <c r="O1232" t="inlineStr">
        <is>
          <t>eng</t>
        </is>
      </c>
      <c r="P1232" t="inlineStr">
        <is>
          <t>mau</t>
        </is>
      </c>
      <c r="R1232" t="inlineStr">
        <is>
          <t xml:space="preserve">E  </t>
        </is>
      </c>
      <c r="S1232" t="n">
        <v>0</v>
      </c>
      <c r="T1232" t="n">
        <v>6</v>
      </c>
      <c r="V1232" t="inlineStr">
        <is>
          <t>2001-05-09</t>
        </is>
      </c>
      <c r="W1232" t="inlineStr">
        <is>
          <t>1997-04-14</t>
        </is>
      </c>
      <c r="X1232" t="inlineStr">
        <is>
          <t>1997-04-14</t>
        </is>
      </c>
      <c r="Y1232" t="n">
        <v>88</v>
      </c>
      <c r="Z1232" t="n">
        <v>82</v>
      </c>
      <c r="AA1232" t="n">
        <v>512</v>
      </c>
      <c r="AB1232" t="n">
        <v>2</v>
      </c>
      <c r="AC1232" t="n">
        <v>8</v>
      </c>
      <c r="AD1232" t="n">
        <v>4</v>
      </c>
      <c r="AE1232" t="n">
        <v>24</v>
      </c>
      <c r="AF1232" t="n">
        <v>2</v>
      </c>
      <c r="AG1232" t="n">
        <v>6</v>
      </c>
      <c r="AH1232" t="n">
        <v>1</v>
      </c>
      <c r="AI1232" t="n">
        <v>5</v>
      </c>
      <c r="AJ1232" t="n">
        <v>2</v>
      </c>
      <c r="AK1232" t="n">
        <v>10</v>
      </c>
      <c r="AL1232" t="n">
        <v>1</v>
      </c>
      <c r="AM1232" t="n">
        <v>7</v>
      </c>
      <c r="AN1232" t="n">
        <v>0</v>
      </c>
      <c r="AO1232" t="n">
        <v>0</v>
      </c>
      <c r="AP1232" t="inlineStr">
        <is>
          <t>Yes</t>
        </is>
      </c>
      <c r="AQ1232" t="inlineStr">
        <is>
          <t>No</t>
        </is>
      </c>
      <c r="AR1232">
        <f>HYPERLINK("http://catalog.hathitrust.org/Record/100325235","HathiTrust Record")</f>
        <v/>
      </c>
      <c r="AS1232">
        <f>HYPERLINK("https://creighton-primo.hosted.exlibrisgroup.com/primo-explore/search?tab=default_tab&amp;search_scope=EVERYTHING&amp;vid=01CRU&amp;lang=en_US&amp;offset=0&amp;query=any,contains,991004811619702656","Catalog Record")</f>
        <v/>
      </c>
      <c r="AT1232">
        <f>HYPERLINK("http://www.worldcat.org/oclc/5284964","WorldCat Record")</f>
        <v/>
      </c>
      <c r="AU1232" t="inlineStr">
        <is>
          <t>9349989232:eng</t>
        </is>
      </c>
      <c r="AV1232" t="inlineStr">
        <is>
          <t>5284964</t>
        </is>
      </c>
      <c r="AW1232" t="inlineStr">
        <is>
          <t>991004811619702656</t>
        </is>
      </c>
      <c r="AX1232" t="inlineStr">
        <is>
          <t>991004811619702656</t>
        </is>
      </c>
      <c r="AY1232" t="inlineStr">
        <is>
          <t>2272508250002656</t>
        </is>
      </c>
      <c r="AZ1232" t="inlineStr">
        <is>
          <t>BOOK</t>
        </is>
      </c>
      <c r="BC1232" t="inlineStr">
        <is>
          <t>32285002533759</t>
        </is>
      </c>
      <c r="BD1232" t="inlineStr">
        <is>
          <t>893719405</t>
        </is>
      </c>
    </row>
    <row r="1233">
      <c r="A1233" t="inlineStr">
        <is>
          <t>No</t>
        </is>
      </c>
      <c r="B1233" t="inlineStr">
        <is>
          <t>E354 .M22</t>
        </is>
      </c>
      <c r="C1233" t="inlineStr">
        <is>
          <t>0                      E  0354000M  22</t>
        </is>
      </c>
      <c r="D1233" t="inlineStr">
        <is>
          <t>Sea power in its relations to the war of 1812, by Captain A. T. Mahan.</t>
        </is>
      </c>
      <c r="E1233" t="inlineStr">
        <is>
          <t>V.1</t>
        </is>
      </c>
      <c r="F1233" t="inlineStr">
        <is>
          <t>Yes</t>
        </is>
      </c>
      <c r="G1233" t="inlineStr">
        <is>
          <t>1</t>
        </is>
      </c>
      <c r="H1233" t="inlineStr">
        <is>
          <t>No</t>
        </is>
      </c>
      <c r="I1233" t="inlineStr">
        <is>
          <t>No</t>
        </is>
      </c>
      <c r="J1233" t="inlineStr">
        <is>
          <t>0</t>
        </is>
      </c>
      <c r="K1233" t="inlineStr">
        <is>
          <t>Mahan, A. T. (Alfred Thayer), 1840-1914.</t>
        </is>
      </c>
      <c r="L1233" t="inlineStr">
        <is>
          <t>Boston, Little, Brown, and company, 1919.</t>
        </is>
      </c>
      <c r="M1233" t="inlineStr">
        <is>
          <t>1919</t>
        </is>
      </c>
      <c r="O1233" t="inlineStr">
        <is>
          <t>eng</t>
        </is>
      </c>
      <c r="P1233" t="inlineStr">
        <is>
          <t>mau</t>
        </is>
      </c>
      <c r="R1233" t="inlineStr">
        <is>
          <t xml:space="preserve">E  </t>
        </is>
      </c>
      <c r="S1233" t="n">
        <v>6</v>
      </c>
      <c r="T1233" t="n">
        <v>6</v>
      </c>
      <c r="U1233" t="inlineStr">
        <is>
          <t>2001-05-09</t>
        </is>
      </c>
      <c r="V1233" t="inlineStr">
        <is>
          <t>2001-05-09</t>
        </is>
      </c>
      <c r="W1233" t="inlineStr">
        <is>
          <t>1997-04-14</t>
        </is>
      </c>
      <c r="X1233" t="inlineStr">
        <is>
          <t>1997-04-14</t>
        </is>
      </c>
      <c r="Y1233" t="n">
        <v>88</v>
      </c>
      <c r="Z1233" t="n">
        <v>82</v>
      </c>
      <c r="AA1233" t="n">
        <v>512</v>
      </c>
      <c r="AB1233" t="n">
        <v>2</v>
      </c>
      <c r="AC1233" t="n">
        <v>8</v>
      </c>
      <c r="AD1233" t="n">
        <v>4</v>
      </c>
      <c r="AE1233" t="n">
        <v>24</v>
      </c>
      <c r="AF1233" t="n">
        <v>2</v>
      </c>
      <c r="AG1233" t="n">
        <v>6</v>
      </c>
      <c r="AH1233" t="n">
        <v>1</v>
      </c>
      <c r="AI1233" t="n">
        <v>5</v>
      </c>
      <c r="AJ1233" t="n">
        <v>2</v>
      </c>
      <c r="AK1233" t="n">
        <v>10</v>
      </c>
      <c r="AL1233" t="n">
        <v>1</v>
      </c>
      <c r="AM1233" t="n">
        <v>7</v>
      </c>
      <c r="AN1233" t="n">
        <v>0</v>
      </c>
      <c r="AO1233" t="n">
        <v>0</v>
      </c>
      <c r="AP1233" t="inlineStr">
        <is>
          <t>Yes</t>
        </is>
      </c>
      <c r="AQ1233" t="inlineStr">
        <is>
          <t>No</t>
        </is>
      </c>
      <c r="AR1233">
        <f>HYPERLINK("http://catalog.hathitrust.org/Record/100325235","HathiTrust Record")</f>
        <v/>
      </c>
      <c r="AS1233">
        <f>HYPERLINK("https://creighton-primo.hosted.exlibrisgroup.com/primo-explore/search?tab=default_tab&amp;search_scope=EVERYTHING&amp;vid=01CRU&amp;lang=en_US&amp;offset=0&amp;query=any,contains,991004811619702656","Catalog Record")</f>
        <v/>
      </c>
      <c r="AT1233">
        <f>HYPERLINK("http://www.worldcat.org/oclc/5284964","WorldCat Record")</f>
        <v/>
      </c>
      <c r="AU1233" t="inlineStr">
        <is>
          <t>9349989232:eng</t>
        </is>
      </c>
      <c r="AV1233" t="inlineStr">
        <is>
          <t>5284964</t>
        </is>
      </c>
      <c r="AW1233" t="inlineStr">
        <is>
          <t>991004811619702656</t>
        </is>
      </c>
      <c r="AX1233" t="inlineStr">
        <is>
          <t>991004811619702656</t>
        </is>
      </c>
      <c r="AY1233" t="inlineStr">
        <is>
          <t>2272508250002656</t>
        </is>
      </c>
      <c r="AZ1233" t="inlineStr">
        <is>
          <t>BOOK</t>
        </is>
      </c>
      <c r="BC1233" t="inlineStr">
        <is>
          <t>32285002533742</t>
        </is>
      </c>
      <c r="BD1233" t="inlineStr">
        <is>
          <t>893713056</t>
        </is>
      </c>
    </row>
    <row r="1234">
      <c r="A1234" t="inlineStr">
        <is>
          <t>No</t>
        </is>
      </c>
      <c r="B1234" t="inlineStr">
        <is>
          <t>E354 .W5</t>
        </is>
      </c>
      <c r="C1234" t="inlineStr">
        <is>
          <t>0                      E  0354000W  5</t>
        </is>
      </c>
      <c r="D1234" t="inlineStr">
        <is>
          <t>A nation on trial : America and the War of 1812 / [by] Patrick C. T. White.</t>
        </is>
      </c>
      <c r="F1234" t="inlineStr">
        <is>
          <t>No</t>
        </is>
      </c>
      <c r="G1234" t="inlineStr">
        <is>
          <t>1</t>
        </is>
      </c>
      <c r="H1234" t="inlineStr">
        <is>
          <t>No</t>
        </is>
      </c>
      <c r="I1234" t="inlineStr">
        <is>
          <t>No</t>
        </is>
      </c>
      <c r="J1234" t="inlineStr">
        <is>
          <t>0</t>
        </is>
      </c>
      <c r="K1234" t="inlineStr">
        <is>
          <t>White, Patrick C. T. (Patrick Cecil Telfer), 1924-</t>
        </is>
      </c>
      <c r="L1234" t="inlineStr">
        <is>
          <t>New York : Wiley, [1965]</t>
        </is>
      </c>
      <c r="M1234" t="inlineStr">
        <is>
          <t>1965</t>
        </is>
      </c>
      <c r="O1234" t="inlineStr">
        <is>
          <t>eng</t>
        </is>
      </c>
      <c r="P1234" t="inlineStr">
        <is>
          <t>nyu</t>
        </is>
      </c>
      <c r="Q1234" t="inlineStr">
        <is>
          <t>America in crisis</t>
        </is>
      </c>
      <c r="R1234" t="inlineStr">
        <is>
          <t xml:space="preserve">E  </t>
        </is>
      </c>
      <c r="S1234" t="n">
        <v>3</v>
      </c>
      <c r="T1234" t="n">
        <v>3</v>
      </c>
      <c r="U1234" t="inlineStr">
        <is>
          <t>2003-09-05</t>
        </is>
      </c>
      <c r="V1234" t="inlineStr">
        <is>
          <t>2003-09-05</t>
        </is>
      </c>
      <c r="W1234" t="inlineStr">
        <is>
          <t>1992-12-09</t>
        </is>
      </c>
      <c r="X1234" t="inlineStr">
        <is>
          <t>1992-12-09</t>
        </is>
      </c>
      <c r="Y1234" t="n">
        <v>1126</v>
      </c>
      <c r="Z1234" t="n">
        <v>1021</v>
      </c>
      <c r="AA1234" t="n">
        <v>1038</v>
      </c>
      <c r="AB1234" t="n">
        <v>10</v>
      </c>
      <c r="AC1234" t="n">
        <v>10</v>
      </c>
      <c r="AD1234" t="n">
        <v>40</v>
      </c>
      <c r="AE1234" t="n">
        <v>41</v>
      </c>
      <c r="AF1234" t="n">
        <v>14</v>
      </c>
      <c r="AG1234" t="n">
        <v>15</v>
      </c>
      <c r="AH1234" t="n">
        <v>10</v>
      </c>
      <c r="AI1234" t="n">
        <v>10</v>
      </c>
      <c r="AJ1234" t="n">
        <v>16</v>
      </c>
      <c r="AK1234" t="n">
        <v>17</v>
      </c>
      <c r="AL1234" t="n">
        <v>8</v>
      </c>
      <c r="AM1234" t="n">
        <v>8</v>
      </c>
      <c r="AN1234" t="n">
        <v>0</v>
      </c>
      <c r="AO1234" t="n">
        <v>0</v>
      </c>
      <c r="AP1234" t="inlineStr">
        <is>
          <t>No</t>
        </is>
      </c>
      <c r="AQ1234" t="inlineStr">
        <is>
          <t>Yes</t>
        </is>
      </c>
      <c r="AR1234">
        <f>HYPERLINK("http://catalog.hathitrust.org/Record/000367763","HathiTrust Record")</f>
        <v/>
      </c>
      <c r="AS1234">
        <f>HYPERLINK("https://creighton-primo.hosted.exlibrisgroup.com/primo-explore/search?tab=default_tab&amp;search_scope=EVERYTHING&amp;vid=01CRU&amp;lang=en_US&amp;offset=0&amp;query=any,contains,991002755229702656","Catalog Record")</f>
        <v/>
      </c>
      <c r="AT1234">
        <f>HYPERLINK("http://www.worldcat.org/oclc/426235","WorldCat Record")</f>
        <v/>
      </c>
      <c r="AU1234" t="inlineStr">
        <is>
          <t>1519630:eng</t>
        </is>
      </c>
      <c r="AV1234" t="inlineStr">
        <is>
          <t>426235</t>
        </is>
      </c>
      <c r="AW1234" t="inlineStr">
        <is>
          <t>991002755229702656</t>
        </is>
      </c>
      <c r="AX1234" t="inlineStr">
        <is>
          <t>991002755229702656</t>
        </is>
      </c>
      <c r="AY1234" t="inlineStr">
        <is>
          <t>2265412530002656</t>
        </is>
      </c>
      <c r="AZ1234" t="inlineStr">
        <is>
          <t>BOOK</t>
        </is>
      </c>
      <c r="BC1234" t="inlineStr">
        <is>
          <t>32285001403335</t>
        </is>
      </c>
      <c r="BD1234" t="inlineStr">
        <is>
          <t>893415601</t>
        </is>
      </c>
    </row>
    <row r="1235">
      <c r="A1235" t="inlineStr">
        <is>
          <t>No</t>
        </is>
      </c>
      <c r="B1235" t="inlineStr">
        <is>
          <t>E355 .B46 1988</t>
        </is>
      </c>
      <c r="C1235" t="inlineStr">
        <is>
          <t>0                      E  0355000B  46          1988</t>
        </is>
      </c>
      <c r="D1235" t="inlineStr">
        <is>
          <t>Flames across the border, 1813-1814 / Pierre Berton.</t>
        </is>
      </c>
      <c r="F1235" t="inlineStr">
        <is>
          <t>No</t>
        </is>
      </c>
      <c r="G1235" t="inlineStr">
        <is>
          <t>1</t>
        </is>
      </c>
      <c r="H1235" t="inlineStr">
        <is>
          <t>No</t>
        </is>
      </c>
      <c r="I1235" t="inlineStr">
        <is>
          <t>No</t>
        </is>
      </c>
      <c r="J1235" t="inlineStr">
        <is>
          <t>0</t>
        </is>
      </c>
      <c r="K1235" t="inlineStr">
        <is>
          <t>Berton, Pierre, 1920-2004.</t>
        </is>
      </c>
      <c r="L1235" t="inlineStr">
        <is>
          <t>Markham, Ont. : Penguin Books, 1988.</t>
        </is>
      </c>
      <c r="M1235" t="inlineStr">
        <is>
          <t>1988</t>
        </is>
      </c>
      <c r="O1235" t="inlineStr">
        <is>
          <t>eng</t>
        </is>
      </c>
      <c r="P1235" t="inlineStr">
        <is>
          <t>onc</t>
        </is>
      </c>
      <c r="R1235" t="inlineStr">
        <is>
          <t xml:space="preserve">E  </t>
        </is>
      </c>
      <c r="S1235" t="n">
        <v>1</v>
      </c>
      <c r="T1235" t="n">
        <v>1</v>
      </c>
      <c r="U1235" t="inlineStr">
        <is>
          <t>1997-06-25</t>
        </is>
      </c>
      <c r="V1235" t="inlineStr">
        <is>
          <t>1997-06-25</t>
        </is>
      </c>
      <c r="W1235" t="inlineStr">
        <is>
          <t>1991-04-22</t>
        </is>
      </c>
      <c r="X1235" t="inlineStr">
        <is>
          <t>1991-04-22</t>
        </is>
      </c>
      <c r="Y1235" t="n">
        <v>53</v>
      </c>
      <c r="Z1235" t="n">
        <v>39</v>
      </c>
      <c r="AA1235" t="n">
        <v>153</v>
      </c>
      <c r="AB1235" t="n">
        <v>1</v>
      </c>
      <c r="AC1235" t="n">
        <v>1</v>
      </c>
      <c r="AD1235" t="n">
        <v>0</v>
      </c>
      <c r="AE1235" t="n">
        <v>2</v>
      </c>
      <c r="AF1235" t="n">
        <v>0</v>
      </c>
      <c r="AG1235" t="n">
        <v>0</v>
      </c>
      <c r="AH1235" t="n">
        <v>0</v>
      </c>
      <c r="AI1235" t="n">
        <v>1</v>
      </c>
      <c r="AJ1235" t="n">
        <v>0</v>
      </c>
      <c r="AK1235" t="n">
        <v>1</v>
      </c>
      <c r="AL1235" t="n">
        <v>0</v>
      </c>
      <c r="AM1235" t="n">
        <v>0</v>
      </c>
      <c r="AN1235" t="n">
        <v>0</v>
      </c>
      <c r="AO1235" t="n">
        <v>0</v>
      </c>
      <c r="AP1235" t="inlineStr">
        <is>
          <t>No</t>
        </is>
      </c>
      <c r="AQ1235" t="inlineStr">
        <is>
          <t>No</t>
        </is>
      </c>
      <c r="AS1235">
        <f>HYPERLINK("https://creighton-primo.hosted.exlibrisgroup.com/primo-explore/search?tab=default_tab&amp;search_scope=EVERYTHING&amp;vid=01CRU&amp;lang=en_US&amp;offset=0&amp;query=any,contains,991001136639702656","Catalog Record")</f>
        <v/>
      </c>
      <c r="AT1235">
        <f>HYPERLINK("http://www.worldcat.org/oclc/16714714","WorldCat Record")</f>
        <v/>
      </c>
      <c r="AU1235" t="inlineStr">
        <is>
          <t>62311724:eng</t>
        </is>
      </c>
      <c r="AV1235" t="inlineStr">
        <is>
          <t>16714714</t>
        </is>
      </c>
      <c r="AW1235" t="inlineStr">
        <is>
          <t>991001136639702656</t>
        </is>
      </c>
      <c r="AX1235" t="inlineStr">
        <is>
          <t>991001136639702656</t>
        </is>
      </c>
      <c r="AY1235" t="inlineStr">
        <is>
          <t>2260817600002656</t>
        </is>
      </c>
      <c r="AZ1235" t="inlineStr">
        <is>
          <t>BOOK</t>
        </is>
      </c>
      <c r="BB1235" t="inlineStr">
        <is>
          <t>9780140108880</t>
        </is>
      </c>
      <c r="BC1235" t="inlineStr">
        <is>
          <t>32285000543750</t>
        </is>
      </c>
      <c r="BD1235" t="inlineStr">
        <is>
          <t>893608588</t>
        </is>
      </c>
    </row>
    <row r="1236">
      <c r="A1236" t="inlineStr">
        <is>
          <t>No</t>
        </is>
      </c>
      <c r="B1236" t="inlineStr">
        <is>
          <t>E355.1.N5 L9 1971</t>
        </is>
      </c>
      <c r="C1236" t="inlineStr">
        <is>
          <t>0                      E  0355100N  5                  L  9           1971</t>
        </is>
      </c>
      <c r="D1236" t="inlineStr">
        <is>
          <t>The documentary history of the campaign on the Niagara frontier / Ernest Cruikshank, editor.</t>
        </is>
      </c>
      <c r="E1236" t="inlineStr">
        <is>
          <t>V.4</t>
        </is>
      </c>
      <c r="F1236" t="inlineStr">
        <is>
          <t>Yes</t>
        </is>
      </c>
      <c r="G1236" t="inlineStr">
        <is>
          <t>1</t>
        </is>
      </c>
      <c r="H1236" t="inlineStr">
        <is>
          <t>No</t>
        </is>
      </c>
      <c r="I1236" t="inlineStr">
        <is>
          <t>No</t>
        </is>
      </c>
      <c r="J1236" t="inlineStr">
        <is>
          <t>0</t>
        </is>
      </c>
      <c r="K1236" t="inlineStr">
        <is>
          <t>Lundy's Lane Historical Society.</t>
        </is>
      </c>
      <c r="L1236" t="inlineStr">
        <is>
          <t>[New York] : Arno Press, [1971]</t>
        </is>
      </c>
      <c r="M1236" t="inlineStr">
        <is>
          <t>1971</t>
        </is>
      </c>
      <c r="O1236" t="inlineStr">
        <is>
          <t>eng</t>
        </is>
      </c>
      <c r="P1236" t="inlineStr">
        <is>
          <t>nyu</t>
        </is>
      </c>
      <c r="Q1236" t="inlineStr">
        <is>
          <t>The First American frontier</t>
        </is>
      </c>
      <c r="R1236" t="inlineStr">
        <is>
          <t xml:space="preserve">E  </t>
        </is>
      </c>
      <c r="S1236" t="n">
        <v>0</v>
      </c>
      <c r="T1236" t="n">
        <v>2</v>
      </c>
      <c r="V1236" t="inlineStr">
        <is>
          <t>1997-03-24</t>
        </is>
      </c>
      <c r="W1236" t="inlineStr">
        <is>
          <t>1994-02-24</t>
        </is>
      </c>
      <c r="X1236" t="inlineStr">
        <is>
          <t>1994-04-06</t>
        </is>
      </c>
      <c r="Y1236" t="n">
        <v>126</v>
      </c>
      <c r="Z1236" t="n">
        <v>113</v>
      </c>
      <c r="AA1236" t="n">
        <v>120</v>
      </c>
      <c r="AB1236" t="n">
        <v>3</v>
      </c>
      <c r="AC1236" t="n">
        <v>3</v>
      </c>
      <c r="AD1236" t="n">
        <v>5</v>
      </c>
      <c r="AE1236" t="n">
        <v>5</v>
      </c>
      <c r="AF1236" t="n">
        <v>0</v>
      </c>
      <c r="AG1236" t="n">
        <v>0</v>
      </c>
      <c r="AH1236" t="n">
        <v>3</v>
      </c>
      <c r="AI1236" t="n">
        <v>3</v>
      </c>
      <c r="AJ1236" t="n">
        <v>2</v>
      </c>
      <c r="AK1236" t="n">
        <v>2</v>
      </c>
      <c r="AL1236" t="n">
        <v>2</v>
      </c>
      <c r="AM1236" t="n">
        <v>2</v>
      </c>
      <c r="AN1236" t="n">
        <v>0</v>
      </c>
      <c r="AO1236" t="n">
        <v>0</v>
      </c>
      <c r="AP1236" t="inlineStr">
        <is>
          <t>No</t>
        </is>
      </c>
      <c r="AQ1236" t="inlineStr">
        <is>
          <t>No</t>
        </is>
      </c>
      <c r="AS1236">
        <f>HYPERLINK("https://creighton-primo.hosted.exlibrisgroup.com/primo-explore/search?tab=default_tab&amp;search_scope=EVERYTHING&amp;vid=01CRU&amp;lang=en_US&amp;offset=0&amp;query=any,contains,991002004609702656","Catalog Record")</f>
        <v/>
      </c>
      <c r="AT1236">
        <f>HYPERLINK("http://www.worldcat.org/oclc/257866","WorldCat Record")</f>
        <v/>
      </c>
      <c r="AU1236" t="inlineStr">
        <is>
          <t>3372957111:eng</t>
        </is>
      </c>
      <c r="AV1236" t="inlineStr">
        <is>
          <t>257866</t>
        </is>
      </c>
      <c r="AW1236" t="inlineStr">
        <is>
          <t>991002004609702656</t>
        </is>
      </c>
      <c r="AX1236" t="inlineStr">
        <is>
          <t>991002004609702656</t>
        </is>
      </c>
      <c r="AY1236" t="inlineStr">
        <is>
          <t>2271766850002656</t>
        </is>
      </c>
      <c r="AZ1236" t="inlineStr">
        <is>
          <t>BOOK</t>
        </is>
      </c>
      <c r="BB1236" t="inlineStr">
        <is>
          <t>9780405028380</t>
        </is>
      </c>
      <c r="BC1236" t="inlineStr">
        <is>
          <t>32285001850329</t>
        </is>
      </c>
      <c r="BD1236" t="inlineStr">
        <is>
          <t>893697239</t>
        </is>
      </c>
    </row>
    <row r="1237">
      <c r="A1237" t="inlineStr">
        <is>
          <t>No</t>
        </is>
      </c>
      <c r="B1237" t="inlineStr">
        <is>
          <t>E355.1.N5 L9 1971</t>
        </is>
      </c>
      <c r="C1237" t="inlineStr">
        <is>
          <t>0                      E  0355100N  5                  L  9           1971</t>
        </is>
      </c>
      <c r="D1237" t="inlineStr">
        <is>
          <t>The documentary history of the campaign on the Niagara frontier / Ernest Cruikshank, editor.</t>
        </is>
      </c>
      <c r="E1237" t="inlineStr">
        <is>
          <t>V.3</t>
        </is>
      </c>
      <c r="F1237" t="inlineStr">
        <is>
          <t>Yes</t>
        </is>
      </c>
      <c r="G1237" t="inlineStr">
        <is>
          <t>1</t>
        </is>
      </c>
      <c r="H1237" t="inlineStr">
        <is>
          <t>No</t>
        </is>
      </c>
      <c r="I1237" t="inlineStr">
        <is>
          <t>No</t>
        </is>
      </c>
      <c r="J1237" t="inlineStr">
        <is>
          <t>0</t>
        </is>
      </c>
      <c r="K1237" t="inlineStr">
        <is>
          <t>Lundy's Lane Historical Society.</t>
        </is>
      </c>
      <c r="L1237" t="inlineStr">
        <is>
          <t>[New York] : Arno Press, [1971]</t>
        </is>
      </c>
      <c r="M1237" t="inlineStr">
        <is>
          <t>1971</t>
        </is>
      </c>
      <c r="O1237" t="inlineStr">
        <is>
          <t>eng</t>
        </is>
      </c>
      <c r="P1237" t="inlineStr">
        <is>
          <t>nyu</t>
        </is>
      </c>
      <c r="Q1237" t="inlineStr">
        <is>
          <t>The First American frontier</t>
        </is>
      </c>
      <c r="R1237" t="inlineStr">
        <is>
          <t xml:space="preserve">E  </t>
        </is>
      </c>
      <c r="S1237" t="n">
        <v>0</v>
      </c>
      <c r="T1237" t="n">
        <v>2</v>
      </c>
      <c r="V1237" t="inlineStr">
        <is>
          <t>1997-03-24</t>
        </is>
      </c>
      <c r="W1237" t="inlineStr">
        <is>
          <t>1994-02-24</t>
        </is>
      </c>
      <c r="X1237" t="inlineStr">
        <is>
          <t>1994-04-06</t>
        </is>
      </c>
      <c r="Y1237" t="n">
        <v>126</v>
      </c>
      <c r="Z1237" t="n">
        <v>113</v>
      </c>
      <c r="AA1237" t="n">
        <v>120</v>
      </c>
      <c r="AB1237" t="n">
        <v>3</v>
      </c>
      <c r="AC1237" t="n">
        <v>3</v>
      </c>
      <c r="AD1237" t="n">
        <v>5</v>
      </c>
      <c r="AE1237" t="n">
        <v>5</v>
      </c>
      <c r="AF1237" t="n">
        <v>0</v>
      </c>
      <c r="AG1237" t="n">
        <v>0</v>
      </c>
      <c r="AH1237" t="n">
        <v>3</v>
      </c>
      <c r="AI1237" t="n">
        <v>3</v>
      </c>
      <c r="AJ1237" t="n">
        <v>2</v>
      </c>
      <c r="AK1237" t="n">
        <v>2</v>
      </c>
      <c r="AL1237" t="n">
        <v>2</v>
      </c>
      <c r="AM1237" t="n">
        <v>2</v>
      </c>
      <c r="AN1237" t="n">
        <v>0</v>
      </c>
      <c r="AO1237" t="n">
        <v>0</v>
      </c>
      <c r="AP1237" t="inlineStr">
        <is>
          <t>No</t>
        </is>
      </c>
      <c r="AQ1237" t="inlineStr">
        <is>
          <t>No</t>
        </is>
      </c>
      <c r="AS1237">
        <f>HYPERLINK("https://creighton-primo.hosted.exlibrisgroup.com/primo-explore/search?tab=default_tab&amp;search_scope=EVERYTHING&amp;vid=01CRU&amp;lang=en_US&amp;offset=0&amp;query=any,contains,991002004609702656","Catalog Record")</f>
        <v/>
      </c>
      <c r="AT1237">
        <f>HYPERLINK("http://www.worldcat.org/oclc/257866","WorldCat Record")</f>
        <v/>
      </c>
      <c r="AU1237" t="inlineStr">
        <is>
          <t>3372957111:eng</t>
        </is>
      </c>
      <c r="AV1237" t="inlineStr">
        <is>
          <t>257866</t>
        </is>
      </c>
      <c r="AW1237" t="inlineStr">
        <is>
          <t>991002004609702656</t>
        </is>
      </c>
      <c r="AX1237" t="inlineStr">
        <is>
          <t>991002004609702656</t>
        </is>
      </c>
      <c r="AY1237" t="inlineStr">
        <is>
          <t>2271766850002656</t>
        </is>
      </c>
      <c r="AZ1237" t="inlineStr">
        <is>
          <t>BOOK</t>
        </is>
      </c>
      <c r="BB1237" t="inlineStr">
        <is>
          <t>9780405028380</t>
        </is>
      </c>
      <c r="BC1237" t="inlineStr">
        <is>
          <t>32285001850311</t>
        </is>
      </c>
      <c r="BD1237" t="inlineStr">
        <is>
          <t>893697238</t>
        </is>
      </c>
    </row>
    <row r="1238">
      <c r="A1238" t="inlineStr">
        <is>
          <t>No</t>
        </is>
      </c>
      <c r="B1238" t="inlineStr">
        <is>
          <t>E355.1.N5 L9 1971</t>
        </is>
      </c>
      <c r="C1238" t="inlineStr">
        <is>
          <t>0                      E  0355100N  5                  L  9           1971</t>
        </is>
      </c>
      <c r="D1238" t="inlineStr">
        <is>
          <t>The documentary history of the campaign on the Niagara frontier / Ernest Cruikshank, editor.</t>
        </is>
      </c>
      <c r="E1238" t="inlineStr">
        <is>
          <t>V.1</t>
        </is>
      </c>
      <c r="F1238" t="inlineStr">
        <is>
          <t>Yes</t>
        </is>
      </c>
      <c r="G1238" t="inlineStr">
        <is>
          <t>1</t>
        </is>
      </c>
      <c r="H1238" t="inlineStr">
        <is>
          <t>No</t>
        </is>
      </c>
      <c r="I1238" t="inlineStr">
        <is>
          <t>No</t>
        </is>
      </c>
      <c r="J1238" t="inlineStr">
        <is>
          <t>0</t>
        </is>
      </c>
      <c r="K1238" t="inlineStr">
        <is>
          <t>Lundy's Lane Historical Society.</t>
        </is>
      </c>
      <c r="L1238" t="inlineStr">
        <is>
          <t>[New York] : Arno Press, [1971]</t>
        </is>
      </c>
      <c r="M1238" t="inlineStr">
        <is>
          <t>1971</t>
        </is>
      </c>
      <c r="O1238" t="inlineStr">
        <is>
          <t>eng</t>
        </is>
      </c>
      <c r="P1238" t="inlineStr">
        <is>
          <t>nyu</t>
        </is>
      </c>
      <c r="Q1238" t="inlineStr">
        <is>
          <t>The First American frontier</t>
        </is>
      </c>
      <c r="R1238" t="inlineStr">
        <is>
          <t xml:space="preserve">E  </t>
        </is>
      </c>
      <c r="S1238" t="n">
        <v>2</v>
      </c>
      <c r="T1238" t="n">
        <v>2</v>
      </c>
      <c r="U1238" t="inlineStr">
        <is>
          <t>1997-03-24</t>
        </is>
      </c>
      <c r="V1238" t="inlineStr">
        <is>
          <t>1997-03-24</t>
        </is>
      </c>
      <c r="W1238" t="inlineStr">
        <is>
          <t>1994-02-14</t>
        </is>
      </c>
      <c r="X1238" t="inlineStr">
        <is>
          <t>1994-04-06</t>
        </is>
      </c>
      <c r="Y1238" t="n">
        <v>126</v>
      </c>
      <c r="Z1238" t="n">
        <v>113</v>
      </c>
      <c r="AA1238" t="n">
        <v>120</v>
      </c>
      <c r="AB1238" t="n">
        <v>3</v>
      </c>
      <c r="AC1238" t="n">
        <v>3</v>
      </c>
      <c r="AD1238" t="n">
        <v>5</v>
      </c>
      <c r="AE1238" t="n">
        <v>5</v>
      </c>
      <c r="AF1238" t="n">
        <v>0</v>
      </c>
      <c r="AG1238" t="n">
        <v>0</v>
      </c>
      <c r="AH1238" t="n">
        <v>3</v>
      </c>
      <c r="AI1238" t="n">
        <v>3</v>
      </c>
      <c r="AJ1238" t="n">
        <v>2</v>
      </c>
      <c r="AK1238" t="n">
        <v>2</v>
      </c>
      <c r="AL1238" t="n">
        <v>2</v>
      </c>
      <c r="AM1238" t="n">
        <v>2</v>
      </c>
      <c r="AN1238" t="n">
        <v>0</v>
      </c>
      <c r="AO1238" t="n">
        <v>0</v>
      </c>
      <c r="AP1238" t="inlineStr">
        <is>
          <t>No</t>
        </is>
      </c>
      <c r="AQ1238" t="inlineStr">
        <is>
          <t>No</t>
        </is>
      </c>
      <c r="AS1238">
        <f>HYPERLINK("https://creighton-primo.hosted.exlibrisgroup.com/primo-explore/search?tab=default_tab&amp;search_scope=EVERYTHING&amp;vid=01CRU&amp;lang=en_US&amp;offset=0&amp;query=any,contains,991002004609702656","Catalog Record")</f>
        <v/>
      </c>
      <c r="AT1238">
        <f>HYPERLINK("http://www.worldcat.org/oclc/257866","WorldCat Record")</f>
        <v/>
      </c>
      <c r="AU1238" t="inlineStr">
        <is>
          <t>3372957111:eng</t>
        </is>
      </c>
      <c r="AV1238" t="inlineStr">
        <is>
          <t>257866</t>
        </is>
      </c>
      <c r="AW1238" t="inlineStr">
        <is>
          <t>991002004609702656</t>
        </is>
      </c>
      <c r="AX1238" t="inlineStr">
        <is>
          <t>991002004609702656</t>
        </is>
      </c>
      <c r="AY1238" t="inlineStr">
        <is>
          <t>2271766850002656</t>
        </is>
      </c>
      <c r="AZ1238" t="inlineStr">
        <is>
          <t>BOOK</t>
        </is>
      </c>
      <c r="BB1238" t="inlineStr">
        <is>
          <t>9780405028380</t>
        </is>
      </c>
      <c r="BC1238" t="inlineStr">
        <is>
          <t>32285001838316</t>
        </is>
      </c>
      <c r="BD1238" t="inlineStr">
        <is>
          <t>893703560</t>
        </is>
      </c>
    </row>
    <row r="1239">
      <c r="A1239" t="inlineStr">
        <is>
          <t>No</t>
        </is>
      </c>
      <c r="B1239" t="inlineStr">
        <is>
          <t>E355.1.N5 L9 1971</t>
        </is>
      </c>
      <c r="C1239" t="inlineStr">
        <is>
          <t>0                      E  0355100N  5                  L  9           1971</t>
        </is>
      </c>
      <c r="D1239" t="inlineStr">
        <is>
          <t>The documentary history of the campaign on the Niagara frontier / Ernest Cruikshank, editor.</t>
        </is>
      </c>
      <c r="E1239" t="inlineStr">
        <is>
          <t>V.2</t>
        </is>
      </c>
      <c r="F1239" t="inlineStr">
        <is>
          <t>Yes</t>
        </is>
      </c>
      <c r="G1239" t="inlineStr">
        <is>
          <t>1</t>
        </is>
      </c>
      <c r="H1239" t="inlineStr">
        <is>
          <t>No</t>
        </is>
      </c>
      <c r="I1239" t="inlineStr">
        <is>
          <t>No</t>
        </is>
      </c>
      <c r="J1239" t="inlineStr">
        <is>
          <t>0</t>
        </is>
      </c>
      <c r="K1239" t="inlineStr">
        <is>
          <t>Lundy's Lane Historical Society.</t>
        </is>
      </c>
      <c r="L1239" t="inlineStr">
        <is>
          <t>[New York] : Arno Press, [1971]</t>
        </is>
      </c>
      <c r="M1239" t="inlineStr">
        <is>
          <t>1971</t>
        </is>
      </c>
      <c r="O1239" t="inlineStr">
        <is>
          <t>eng</t>
        </is>
      </c>
      <c r="P1239" t="inlineStr">
        <is>
          <t>nyu</t>
        </is>
      </c>
      <c r="Q1239" t="inlineStr">
        <is>
          <t>The First American frontier</t>
        </is>
      </c>
      <c r="R1239" t="inlineStr">
        <is>
          <t xml:space="preserve">E  </t>
        </is>
      </c>
      <c r="S1239" t="n">
        <v>0</v>
      </c>
      <c r="T1239" t="n">
        <v>2</v>
      </c>
      <c r="V1239" t="inlineStr">
        <is>
          <t>1997-03-24</t>
        </is>
      </c>
      <c r="W1239" t="inlineStr">
        <is>
          <t>1994-04-06</t>
        </is>
      </c>
      <c r="X1239" t="inlineStr">
        <is>
          <t>1994-04-06</t>
        </is>
      </c>
      <c r="Y1239" t="n">
        <v>126</v>
      </c>
      <c r="Z1239" t="n">
        <v>113</v>
      </c>
      <c r="AA1239" t="n">
        <v>120</v>
      </c>
      <c r="AB1239" t="n">
        <v>3</v>
      </c>
      <c r="AC1239" t="n">
        <v>3</v>
      </c>
      <c r="AD1239" t="n">
        <v>5</v>
      </c>
      <c r="AE1239" t="n">
        <v>5</v>
      </c>
      <c r="AF1239" t="n">
        <v>0</v>
      </c>
      <c r="AG1239" t="n">
        <v>0</v>
      </c>
      <c r="AH1239" t="n">
        <v>3</v>
      </c>
      <c r="AI1239" t="n">
        <v>3</v>
      </c>
      <c r="AJ1239" t="n">
        <v>2</v>
      </c>
      <c r="AK1239" t="n">
        <v>2</v>
      </c>
      <c r="AL1239" t="n">
        <v>2</v>
      </c>
      <c r="AM1239" t="n">
        <v>2</v>
      </c>
      <c r="AN1239" t="n">
        <v>0</v>
      </c>
      <c r="AO1239" t="n">
        <v>0</v>
      </c>
      <c r="AP1239" t="inlineStr">
        <is>
          <t>No</t>
        </is>
      </c>
      <c r="AQ1239" t="inlineStr">
        <is>
          <t>No</t>
        </is>
      </c>
      <c r="AS1239">
        <f>HYPERLINK("https://creighton-primo.hosted.exlibrisgroup.com/primo-explore/search?tab=default_tab&amp;search_scope=EVERYTHING&amp;vid=01CRU&amp;lang=en_US&amp;offset=0&amp;query=any,contains,991002004609702656","Catalog Record")</f>
        <v/>
      </c>
      <c r="AT1239">
        <f>HYPERLINK("http://www.worldcat.org/oclc/257866","WorldCat Record")</f>
        <v/>
      </c>
      <c r="AU1239" t="inlineStr">
        <is>
          <t>3372957111:eng</t>
        </is>
      </c>
      <c r="AV1239" t="inlineStr">
        <is>
          <t>257866</t>
        </is>
      </c>
      <c r="AW1239" t="inlineStr">
        <is>
          <t>991002004609702656</t>
        </is>
      </c>
      <c r="AX1239" t="inlineStr">
        <is>
          <t>991002004609702656</t>
        </is>
      </c>
      <c r="AY1239" t="inlineStr">
        <is>
          <t>2271766850002656</t>
        </is>
      </c>
      <c r="AZ1239" t="inlineStr">
        <is>
          <t>BOOK</t>
        </is>
      </c>
      <c r="BB1239" t="inlineStr">
        <is>
          <t>9780405028380</t>
        </is>
      </c>
      <c r="BC1239" t="inlineStr">
        <is>
          <t>32285001874352</t>
        </is>
      </c>
      <c r="BD1239" t="inlineStr">
        <is>
          <t>893697240</t>
        </is>
      </c>
    </row>
    <row r="1240">
      <c r="A1240" t="inlineStr">
        <is>
          <t>No</t>
        </is>
      </c>
      <c r="B1240" t="inlineStr">
        <is>
          <t>E356.W3 P49 1998</t>
        </is>
      </c>
      <c r="C1240" t="inlineStr">
        <is>
          <t>0                      E  0356000W  3                  P  49          1998</t>
        </is>
      </c>
      <c r="D1240" t="inlineStr">
        <is>
          <t>The burning of Washington : the British invasion of 1814 / Anthony S. Pitch.</t>
        </is>
      </c>
      <c r="F1240" t="inlineStr">
        <is>
          <t>No</t>
        </is>
      </c>
      <c r="G1240" t="inlineStr">
        <is>
          <t>1</t>
        </is>
      </c>
      <c r="H1240" t="inlineStr">
        <is>
          <t>No</t>
        </is>
      </c>
      <c r="I1240" t="inlineStr">
        <is>
          <t>No</t>
        </is>
      </c>
      <c r="J1240" t="inlineStr">
        <is>
          <t>0</t>
        </is>
      </c>
      <c r="K1240" t="inlineStr">
        <is>
          <t>Pitch, Anthony.</t>
        </is>
      </c>
      <c r="L1240" t="inlineStr">
        <is>
          <t>Annapolis, Md. : Naval Institute Press, c1998.</t>
        </is>
      </c>
      <c r="M1240" t="inlineStr">
        <is>
          <t>1998</t>
        </is>
      </c>
      <c r="O1240" t="inlineStr">
        <is>
          <t>eng</t>
        </is>
      </c>
      <c r="P1240" t="inlineStr">
        <is>
          <t>mdu</t>
        </is>
      </c>
      <c r="R1240" t="inlineStr">
        <is>
          <t xml:space="preserve">E  </t>
        </is>
      </c>
      <c r="S1240" t="n">
        <v>8</v>
      </c>
      <c r="T1240" t="n">
        <v>8</v>
      </c>
      <c r="U1240" t="inlineStr">
        <is>
          <t>2005-10-18</t>
        </is>
      </c>
      <c r="V1240" t="inlineStr">
        <is>
          <t>2005-10-18</t>
        </is>
      </c>
      <c r="W1240" t="inlineStr">
        <is>
          <t>1998-11-03</t>
        </is>
      </c>
      <c r="X1240" t="inlineStr">
        <is>
          <t>1998-11-03</t>
        </is>
      </c>
      <c r="Y1240" t="n">
        <v>956</v>
      </c>
      <c r="Z1240" t="n">
        <v>909</v>
      </c>
      <c r="AA1240" t="n">
        <v>977</v>
      </c>
      <c r="AB1240" t="n">
        <v>5</v>
      </c>
      <c r="AC1240" t="n">
        <v>6</v>
      </c>
      <c r="AD1240" t="n">
        <v>28</v>
      </c>
      <c r="AE1240" t="n">
        <v>32</v>
      </c>
      <c r="AF1240" t="n">
        <v>10</v>
      </c>
      <c r="AG1240" t="n">
        <v>12</v>
      </c>
      <c r="AH1240" t="n">
        <v>7</v>
      </c>
      <c r="AI1240" t="n">
        <v>8</v>
      </c>
      <c r="AJ1240" t="n">
        <v>17</v>
      </c>
      <c r="AK1240" t="n">
        <v>18</v>
      </c>
      <c r="AL1240" t="n">
        <v>3</v>
      </c>
      <c r="AM1240" t="n">
        <v>4</v>
      </c>
      <c r="AN1240" t="n">
        <v>0</v>
      </c>
      <c r="AO1240" t="n">
        <v>0</v>
      </c>
      <c r="AP1240" t="inlineStr">
        <is>
          <t>No</t>
        </is>
      </c>
      <c r="AQ1240" t="inlineStr">
        <is>
          <t>Yes</t>
        </is>
      </c>
      <c r="AR1240">
        <f>HYPERLINK("http://catalog.hathitrust.org/Record/003980153","HathiTrust Record")</f>
        <v/>
      </c>
      <c r="AS1240">
        <f>HYPERLINK("https://creighton-primo.hosted.exlibrisgroup.com/primo-explore/search?tab=default_tab&amp;search_scope=EVERYTHING&amp;vid=01CRU&amp;lang=en_US&amp;offset=0&amp;query=any,contains,991002914939702656","Catalog Record")</f>
        <v/>
      </c>
      <c r="AT1240">
        <f>HYPERLINK("http://www.worldcat.org/oclc/38542683","WorldCat Record")</f>
        <v/>
      </c>
      <c r="AU1240" t="inlineStr">
        <is>
          <t>54515:eng</t>
        </is>
      </c>
      <c r="AV1240" t="inlineStr">
        <is>
          <t>38542683</t>
        </is>
      </c>
      <c r="AW1240" t="inlineStr">
        <is>
          <t>991002914939702656</t>
        </is>
      </c>
      <c r="AX1240" t="inlineStr">
        <is>
          <t>991002914939702656</t>
        </is>
      </c>
      <c r="AY1240" t="inlineStr">
        <is>
          <t>2263181760002656</t>
        </is>
      </c>
      <c r="AZ1240" t="inlineStr">
        <is>
          <t>BOOK</t>
        </is>
      </c>
      <c r="BB1240" t="inlineStr">
        <is>
          <t>9781557506924</t>
        </is>
      </c>
      <c r="BC1240" t="inlineStr">
        <is>
          <t>32285003479796</t>
        </is>
      </c>
      <c r="BD1240" t="inlineStr">
        <is>
          <t>893698428</t>
        </is>
      </c>
    </row>
    <row r="1241">
      <c r="A1241" t="inlineStr">
        <is>
          <t>No</t>
        </is>
      </c>
      <c r="B1241" t="inlineStr">
        <is>
          <t>E357 .B88</t>
        </is>
      </c>
      <c r="C1241" t="inlineStr">
        <is>
          <t>0                      E  0357000B  88</t>
        </is>
      </c>
      <c r="D1241" t="inlineStr">
        <is>
          <t>The Republic in peril: 1812.</t>
        </is>
      </c>
      <c r="F1241" t="inlineStr">
        <is>
          <t>No</t>
        </is>
      </c>
      <c r="G1241" t="inlineStr">
        <is>
          <t>1</t>
        </is>
      </c>
      <c r="H1241" t="inlineStr">
        <is>
          <t>No</t>
        </is>
      </c>
      <c r="I1241" t="inlineStr">
        <is>
          <t>No</t>
        </is>
      </c>
      <c r="J1241" t="inlineStr">
        <is>
          <t>0</t>
        </is>
      </c>
      <c r="K1241" t="inlineStr">
        <is>
          <t>Brown, Roger H.</t>
        </is>
      </c>
      <c r="L1241" t="inlineStr">
        <is>
          <t>New York, Columbia University Press, 1964.</t>
        </is>
      </c>
      <c r="M1241" t="inlineStr">
        <is>
          <t>1964</t>
        </is>
      </c>
      <c r="O1241" t="inlineStr">
        <is>
          <t>eng</t>
        </is>
      </c>
      <c r="P1241" t="inlineStr">
        <is>
          <t>nyu</t>
        </is>
      </c>
      <c r="R1241" t="inlineStr">
        <is>
          <t xml:space="preserve">E  </t>
        </is>
      </c>
      <c r="S1241" t="n">
        <v>3</v>
      </c>
      <c r="T1241" t="n">
        <v>3</v>
      </c>
      <c r="U1241" t="inlineStr">
        <is>
          <t>1999-11-30</t>
        </is>
      </c>
      <c r="V1241" t="inlineStr">
        <is>
          <t>1999-11-30</t>
        </is>
      </c>
      <c r="W1241" t="inlineStr">
        <is>
          <t>1997-04-15</t>
        </is>
      </c>
      <c r="X1241" t="inlineStr">
        <is>
          <t>1997-04-15</t>
        </is>
      </c>
      <c r="Y1241" t="n">
        <v>831</v>
      </c>
      <c r="Z1241" t="n">
        <v>736</v>
      </c>
      <c r="AA1241" t="n">
        <v>1000</v>
      </c>
      <c r="AB1241" t="n">
        <v>7</v>
      </c>
      <c r="AC1241" t="n">
        <v>8</v>
      </c>
      <c r="AD1241" t="n">
        <v>32</v>
      </c>
      <c r="AE1241" t="n">
        <v>43</v>
      </c>
      <c r="AF1241" t="n">
        <v>12</v>
      </c>
      <c r="AG1241" t="n">
        <v>20</v>
      </c>
      <c r="AH1241" t="n">
        <v>7</v>
      </c>
      <c r="AI1241" t="n">
        <v>8</v>
      </c>
      <c r="AJ1241" t="n">
        <v>15</v>
      </c>
      <c r="AK1241" t="n">
        <v>18</v>
      </c>
      <c r="AL1241" t="n">
        <v>6</v>
      </c>
      <c r="AM1241" t="n">
        <v>7</v>
      </c>
      <c r="AN1241" t="n">
        <v>0</v>
      </c>
      <c r="AO1241" t="n">
        <v>0</v>
      </c>
      <c r="AP1241" t="inlineStr">
        <is>
          <t>No</t>
        </is>
      </c>
      <c r="AQ1241" t="inlineStr">
        <is>
          <t>Yes</t>
        </is>
      </c>
      <c r="AR1241">
        <f>HYPERLINK("http://catalog.hathitrust.org/Record/000405698","HathiTrust Record")</f>
        <v/>
      </c>
      <c r="AS1241">
        <f>HYPERLINK("https://creighton-primo.hosted.exlibrisgroup.com/primo-explore/search?tab=default_tab&amp;search_scope=EVERYTHING&amp;vid=01CRU&amp;lang=en_US&amp;offset=0&amp;query=any,contains,991002752129702656","Catalog Record")</f>
        <v/>
      </c>
      <c r="AT1241">
        <f>HYPERLINK("http://www.worldcat.org/oclc/425134","WorldCat Record")</f>
        <v/>
      </c>
      <c r="AU1241" t="inlineStr">
        <is>
          <t>1516957:eng</t>
        </is>
      </c>
      <c r="AV1241" t="inlineStr">
        <is>
          <t>425134</t>
        </is>
      </c>
      <c r="AW1241" t="inlineStr">
        <is>
          <t>991002752129702656</t>
        </is>
      </c>
      <c r="AX1241" t="inlineStr">
        <is>
          <t>991002752129702656</t>
        </is>
      </c>
      <c r="AY1241" t="inlineStr">
        <is>
          <t>2267930010002656</t>
        </is>
      </c>
      <c r="AZ1241" t="inlineStr">
        <is>
          <t>BOOK</t>
        </is>
      </c>
      <c r="BC1241" t="inlineStr">
        <is>
          <t>32285002533973</t>
        </is>
      </c>
      <c r="BD1241" t="inlineStr">
        <is>
          <t>893317217</t>
        </is>
      </c>
    </row>
    <row r="1242">
      <c r="A1242" t="inlineStr">
        <is>
          <t>No</t>
        </is>
      </c>
      <c r="B1242" t="inlineStr">
        <is>
          <t>E357 .P66</t>
        </is>
      </c>
      <c r="C1242" t="inlineStr">
        <is>
          <t>0                      E  0357000P  66</t>
        </is>
      </c>
      <c r="D1242" t="inlineStr">
        <is>
          <t>Prologue to war ; England and the United States, 1805-1812 / by Bradford Perkins.</t>
        </is>
      </c>
      <c r="F1242" t="inlineStr">
        <is>
          <t>No</t>
        </is>
      </c>
      <c r="G1242" t="inlineStr">
        <is>
          <t>1</t>
        </is>
      </c>
      <c r="H1242" t="inlineStr">
        <is>
          <t>No</t>
        </is>
      </c>
      <c r="I1242" t="inlineStr">
        <is>
          <t>No</t>
        </is>
      </c>
      <c r="J1242" t="inlineStr">
        <is>
          <t>0</t>
        </is>
      </c>
      <c r="K1242" t="inlineStr">
        <is>
          <t>Perkins, Bradford, 1925-2008.</t>
        </is>
      </c>
      <c r="L1242" t="inlineStr">
        <is>
          <t>Berkeley : University of California Press, 1963, c1961.</t>
        </is>
      </c>
      <c r="M1242" t="inlineStr">
        <is>
          <t>1963</t>
        </is>
      </c>
      <c r="O1242" t="inlineStr">
        <is>
          <t>eng</t>
        </is>
      </c>
      <c r="P1242" t="inlineStr">
        <is>
          <t>cau</t>
        </is>
      </c>
      <c r="R1242" t="inlineStr">
        <is>
          <t xml:space="preserve">E  </t>
        </is>
      </c>
      <c r="S1242" t="n">
        <v>6</v>
      </c>
      <c r="T1242" t="n">
        <v>6</v>
      </c>
      <c r="U1242" t="inlineStr">
        <is>
          <t>2001-05-09</t>
        </is>
      </c>
      <c r="V1242" t="inlineStr">
        <is>
          <t>2001-05-09</t>
        </is>
      </c>
      <c r="W1242" t="inlineStr">
        <is>
          <t>1997-04-15</t>
        </is>
      </c>
      <c r="X1242" t="inlineStr">
        <is>
          <t>1997-04-15</t>
        </is>
      </c>
      <c r="Y1242" t="n">
        <v>175</v>
      </c>
      <c r="Z1242" t="n">
        <v>151</v>
      </c>
      <c r="AA1242" t="n">
        <v>1256</v>
      </c>
      <c r="AB1242" t="n">
        <v>1</v>
      </c>
      <c r="AC1242" t="n">
        <v>9</v>
      </c>
      <c r="AD1242" t="n">
        <v>3</v>
      </c>
      <c r="AE1242" t="n">
        <v>52</v>
      </c>
      <c r="AF1242" t="n">
        <v>1</v>
      </c>
      <c r="AG1242" t="n">
        <v>22</v>
      </c>
      <c r="AH1242" t="n">
        <v>0</v>
      </c>
      <c r="AI1242" t="n">
        <v>11</v>
      </c>
      <c r="AJ1242" t="n">
        <v>2</v>
      </c>
      <c r="AK1242" t="n">
        <v>23</v>
      </c>
      <c r="AL1242" t="n">
        <v>0</v>
      </c>
      <c r="AM1242" t="n">
        <v>8</v>
      </c>
      <c r="AN1242" t="n">
        <v>0</v>
      </c>
      <c r="AO1242" t="n">
        <v>0</v>
      </c>
      <c r="AP1242" t="inlineStr">
        <is>
          <t>No</t>
        </is>
      </c>
      <c r="AQ1242" t="inlineStr">
        <is>
          <t>Yes</t>
        </is>
      </c>
      <c r="AR1242">
        <f>HYPERLINK("http://catalog.hathitrust.org/Record/009818856","HathiTrust Record")</f>
        <v/>
      </c>
      <c r="AS1242">
        <f>HYPERLINK("https://creighton-primo.hosted.exlibrisgroup.com/primo-explore/search?tab=default_tab&amp;search_scope=EVERYTHING&amp;vid=01CRU&amp;lang=en_US&amp;offset=0&amp;query=any,contains,991004541629702656","Catalog Record")</f>
        <v/>
      </c>
      <c r="AT1242">
        <f>HYPERLINK("http://www.worldcat.org/oclc/3895746","WorldCat Record")</f>
        <v/>
      </c>
      <c r="AU1242" t="inlineStr">
        <is>
          <t>500372:eng</t>
        </is>
      </c>
      <c r="AV1242" t="inlineStr">
        <is>
          <t>3895746</t>
        </is>
      </c>
      <c r="AW1242" t="inlineStr">
        <is>
          <t>991004541629702656</t>
        </is>
      </c>
      <c r="AX1242" t="inlineStr">
        <is>
          <t>991004541629702656</t>
        </is>
      </c>
      <c r="AY1242" t="inlineStr">
        <is>
          <t>2271217410002656</t>
        </is>
      </c>
      <c r="AZ1242" t="inlineStr">
        <is>
          <t>BOOK</t>
        </is>
      </c>
      <c r="BC1242" t="inlineStr">
        <is>
          <t>32285002533981</t>
        </is>
      </c>
      <c r="BD1242" t="inlineStr">
        <is>
          <t>893606162</t>
        </is>
      </c>
    </row>
    <row r="1243">
      <c r="A1243" t="inlineStr">
        <is>
          <t>No</t>
        </is>
      </c>
      <c r="B1243" t="inlineStr">
        <is>
          <t>E357 .S79 1983</t>
        </is>
      </c>
      <c r="C1243" t="inlineStr">
        <is>
          <t>0                      E  0357000S  79          1983</t>
        </is>
      </c>
      <c r="D1243" t="inlineStr">
        <is>
          <t>Mr. Madison's war : politics, diplomacy, and warfare in the early American republic, 1783-1830 / by J.C.A. Stagg.</t>
        </is>
      </c>
      <c r="F1243" t="inlineStr">
        <is>
          <t>No</t>
        </is>
      </c>
      <c r="G1243" t="inlineStr">
        <is>
          <t>1</t>
        </is>
      </c>
      <c r="H1243" t="inlineStr">
        <is>
          <t>No</t>
        </is>
      </c>
      <c r="I1243" t="inlineStr">
        <is>
          <t>No</t>
        </is>
      </c>
      <c r="J1243" t="inlineStr">
        <is>
          <t>0</t>
        </is>
      </c>
      <c r="K1243" t="inlineStr">
        <is>
          <t>Stagg, J. C. A. (John Charles Anderson), 1945-</t>
        </is>
      </c>
      <c r="L1243" t="inlineStr">
        <is>
          <t>Princeton, N.J. : Princeton University Press, c1983.</t>
        </is>
      </c>
      <c r="M1243" t="inlineStr">
        <is>
          <t>1983</t>
        </is>
      </c>
      <c r="O1243" t="inlineStr">
        <is>
          <t>eng</t>
        </is>
      </c>
      <c r="P1243" t="inlineStr">
        <is>
          <t>nju</t>
        </is>
      </c>
      <c r="R1243" t="inlineStr">
        <is>
          <t xml:space="preserve">E  </t>
        </is>
      </c>
      <c r="S1243" t="n">
        <v>3</v>
      </c>
      <c r="T1243" t="n">
        <v>3</v>
      </c>
      <c r="U1243" t="inlineStr">
        <is>
          <t>1992-12-03</t>
        </is>
      </c>
      <c r="V1243" t="inlineStr">
        <is>
          <t>1992-12-03</t>
        </is>
      </c>
      <c r="W1243" t="inlineStr">
        <is>
          <t>1990-02-02</t>
        </is>
      </c>
      <c r="X1243" t="inlineStr">
        <is>
          <t>1990-02-02</t>
        </is>
      </c>
      <c r="Y1243" t="n">
        <v>973</v>
      </c>
      <c r="Z1243" t="n">
        <v>843</v>
      </c>
      <c r="AA1243" t="n">
        <v>848</v>
      </c>
      <c r="AB1243" t="n">
        <v>9</v>
      </c>
      <c r="AC1243" t="n">
        <v>9</v>
      </c>
      <c r="AD1243" t="n">
        <v>46</v>
      </c>
      <c r="AE1243" t="n">
        <v>46</v>
      </c>
      <c r="AF1243" t="n">
        <v>20</v>
      </c>
      <c r="AG1243" t="n">
        <v>20</v>
      </c>
      <c r="AH1243" t="n">
        <v>8</v>
      </c>
      <c r="AI1243" t="n">
        <v>8</v>
      </c>
      <c r="AJ1243" t="n">
        <v>22</v>
      </c>
      <c r="AK1243" t="n">
        <v>22</v>
      </c>
      <c r="AL1243" t="n">
        <v>8</v>
      </c>
      <c r="AM1243" t="n">
        <v>8</v>
      </c>
      <c r="AN1243" t="n">
        <v>0</v>
      </c>
      <c r="AO1243" t="n">
        <v>0</v>
      </c>
      <c r="AP1243" t="inlineStr">
        <is>
          <t>No</t>
        </is>
      </c>
      <c r="AQ1243" t="inlineStr">
        <is>
          <t>No</t>
        </is>
      </c>
      <c r="AS1243">
        <f>HYPERLINK("https://creighton-primo.hosted.exlibrisgroup.com/primo-explore/search?tab=default_tab&amp;search_scope=EVERYTHING&amp;vid=01CRU&amp;lang=en_US&amp;offset=0&amp;query=any,contains,991000184999702656","Catalog Record")</f>
        <v/>
      </c>
      <c r="AT1243">
        <f>HYPERLINK("http://www.worldcat.org/oclc/9393315","WorldCat Record")</f>
        <v/>
      </c>
      <c r="AU1243" t="inlineStr">
        <is>
          <t>836719749:eng</t>
        </is>
      </c>
      <c r="AV1243" t="inlineStr">
        <is>
          <t>9393315</t>
        </is>
      </c>
      <c r="AW1243" t="inlineStr">
        <is>
          <t>991000184999702656</t>
        </is>
      </c>
      <c r="AX1243" t="inlineStr">
        <is>
          <t>991000184999702656</t>
        </is>
      </c>
      <c r="AY1243" t="inlineStr">
        <is>
          <t>2265855050002656</t>
        </is>
      </c>
      <c r="AZ1243" t="inlineStr">
        <is>
          <t>BOOK</t>
        </is>
      </c>
      <c r="BB1243" t="inlineStr">
        <is>
          <t>9780691101507</t>
        </is>
      </c>
      <c r="BC1243" t="inlineStr">
        <is>
          <t>32285000032168</t>
        </is>
      </c>
      <c r="BD1243" t="inlineStr">
        <is>
          <t>893339370</t>
        </is>
      </c>
    </row>
    <row r="1244">
      <c r="A1244" t="inlineStr">
        <is>
          <t>No</t>
        </is>
      </c>
      <c r="B1244" t="inlineStr">
        <is>
          <t>E357.2 .Z62</t>
        </is>
      </c>
      <c r="C1244" t="inlineStr">
        <is>
          <t>0                      E  0357200Z  62</t>
        </is>
      </c>
      <c r="D1244" t="inlineStr">
        <is>
          <t>Impressment of American seamen, by James Fulton Zimmerman.</t>
        </is>
      </c>
      <c r="F1244" t="inlineStr">
        <is>
          <t>No</t>
        </is>
      </c>
      <c r="G1244" t="inlineStr">
        <is>
          <t>1</t>
        </is>
      </c>
      <c r="H1244" t="inlineStr">
        <is>
          <t>No</t>
        </is>
      </c>
      <c r="I1244" t="inlineStr">
        <is>
          <t>No</t>
        </is>
      </c>
      <c r="J1244" t="inlineStr">
        <is>
          <t>0</t>
        </is>
      </c>
      <c r="K1244" t="inlineStr">
        <is>
          <t>Zimmerman, James Fulton, 1887-1944.</t>
        </is>
      </c>
      <c r="M1244" t="inlineStr">
        <is>
          <t>1925</t>
        </is>
      </c>
      <c r="O1244" t="inlineStr">
        <is>
          <t>eng</t>
        </is>
      </c>
      <c r="P1244" t="inlineStr">
        <is>
          <t>nyu</t>
        </is>
      </c>
      <c r="R1244" t="inlineStr">
        <is>
          <t xml:space="preserve">E  </t>
        </is>
      </c>
      <c r="S1244" t="n">
        <v>7</v>
      </c>
      <c r="T1244" t="n">
        <v>7</v>
      </c>
      <c r="U1244" t="inlineStr">
        <is>
          <t>2001-05-09</t>
        </is>
      </c>
      <c r="V1244" t="inlineStr">
        <is>
          <t>2001-05-09</t>
        </is>
      </c>
      <c r="W1244" t="inlineStr">
        <is>
          <t>1997-04-15</t>
        </is>
      </c>
      <c r="X1244" t="inlineStr">
        <is>
          <t>1997-04-15</t>
        </is>
      </c>
      <c r="Y1244" t="n">
        <v>33</v>
      </c>
      <c r="Z1244" t="n">
        <v>28</v>
      </c>
      <c r="AA1244" t="n">
        <v>796</v>
      </c>
      <c r="AB1244" t="n">
        <v>1</v>
      </c>
      <c r="AC1244" t="n">
        <v>10</v>
      </c>
      <c r="AD1244" t="n">
        <v>0</v>
      </c>
      <c r="AE1244" t="n">
        <v>44</v>
      </c>
      <c r="AF1244" t="n">
        <v>0</v>
      </c>
      <c r="AG1244" t="n">
        <v>17</v>
      </c>
      <c r="AH1244" t="n">
        <v>0</v>
      </c>
      <c r="AI1244" t="n">
        <v>7</v>
      </c>
      <c r="AJ1244" t="n">
        <v>0</v>
      </c>
      <c r="AK1244" t="n">
        <v>19</v>
      </c>
      <c r="AL1244" t="n">
        <v>0</v>
      </c>
      <c r="AM1244" t="n">
        <v>8</v>
      </c>
      <c r="AN1244" t="n">
        <v>0</v>
      </c>
      <c r="AO1244" t="n">
        <v>5</v>
      </c>
      <c r="AP1244" t="inlineStr">
        <is>
          <t>Yes</t>
        </is>
      </c>
      <c r="AQ1244" t="inlineStr">
        <is>
          <t>No</t>
        </is>
      </c>
      <c r="AR1244">
        <f>HYPERLINK("http://catalog.hathitrust.org/Record/000405815","HathiTrust Record")</f>
        <v/>
      </c>
      <c r="AS1244">
        <f>HYPERLINK("https://creighton-primo.hosted.exlibrisgroup.com/primo-explore/search?tab=default_tab&amp;search_scope=EVERYTHING&amp;vid=01CRU&amp;lang=en_US&amp;offset=0&amp;query=any,contains,991005078309702656","Catalog Record")</f>
        <v/>
      </c>
      <c r="AT1244">
        <f>HYPERLINK("http://www.worldcat.org/oclc/7158187","WorldCat Record")</f>
        <v/>
      </c>
      <c r="AU1244" t="inlineStr">
        <is>
          <t>1435411:eng</t>
        </is>
      </c>
      <c r="AV1244" t="inlineStr">
        <is>
          <t>7158187</t>
        </is>
      </c>
      <c r="AW1244" t="inlineStr">
        <is>
          <t>991005078309702656</t>
        </is>
      </c>
      <c r="AX1244" t="inlineStr">
        <is>
          <t>991005078309702656</t>
        </is>
      </c>
      <c r="AY1244" t="inlineStr">
        <is>
          <t>2268185120002656</t>
        </is>
      </c>
      <c r="AZ1244" t="inlineStr">
        <is>
          <t>BOOK</t>
        </is>
      </c>
      <c r="BC1244" t="inlineStr">
        <is>
          <t>32285002534005</t>
        </is>
      </c>
      <c r="BD1244" t="inlineStr">
        <is>
          <t>893507571</t>
        </is>
      </c>
    </row>
    <row r="1245">
      <c r="A1245" t="inlineStr">
        <is>
          <t>No</t>
        </is>
      </c>
      <c r="B1245" t="inlineStr">
        <is>
          <t>E36 .P56 1988</t>
        </is>
      </c>
      <c r="C1245" t="inlineStr">
        <is>
          <t>0                      E  0036000P  56          1988</t>
        </is>
      </c>
      <c r="D1245" t="inlineStr">
        <is>
          <t>Pioneers and explorers in North America : summaries of biographical articles in history journals / Pamela R. Byrne and Susan K. Kinnell, editors.</t>
        </is>
      </c>
      <c r="F1245" t="inlineStr">
        <is>
          <t>No</t>
        </is>
      </c>
      <c r="G1245" t="inlineStr">
        <is>
          <t>1</t>
        </is>
      </c>
      <c r="H1245" t="inlineStr">
        <is>
          <t>No</t>
        </is>
      </c>
      <c r="I1245" t="inlineStr">
        <is>
          <t>No</t>
        </is>
      </c>
      <c r="J1245" t="inlineStr">
        <is>
          <t>0</t>
        </is>
      </c>
      <c r="L1245" t="inlineStr">
        <is>
          <t>Santa Barbara, Calif. : ABC-CLIO, c1988.</t>
        </is>
      </c>
      <c r="M1245" t="inlineStr">
        <is>
          <t>1988</t>
        </is>
      </c>
      <c r="O1245" t="inlineStr">
        <is>
          <t>eng</t>
        </is>
      </c>
      <c r="P1245" t="inlineStr">
        <is>
          <t>cau</t>
        </is>
      </c>
      <c r="Q1245" t="inlineStr">
        <is>
          <t>People in history series</t>
        </is>
      </c>
      <c r="R1245" t="inlineStr">
        <is>
          <t xml:space="preserve">E  </t>
        </is>
      </c>
      <c r="S1245" t="n">
        <v>3</v>
      </c>
      <c r="T1245" t="n">
        <v>3</v>
      </c>
      <c r="U1245" t="inlineStr">
        <is>
          <t>2001-03-22</t>
        </is>
      </c>
      <c r="V1245" t="inlineStr">
        <is>
          <t>2001-03-22</t>
        </is>
      </c>
      <c r="W1245" t="inlineStr">
        <is>
          <t>1990-11-09</t>
        </is>
      </c>
      <c r="X1245" t="inlineStr">
        <is>
          <t>1990-11-09</t>
        </is>
      </c>
      <c r="Y1245" t="n">
        <v>249</v>
      </c>
      <c r="Z1245" t="n">
        <v>229</v>
      </c>
      <c r="AA1245" t="n">
        <v>235</v>
      </c>
      <c r="AB1245" t="n">
        <v>5</v>
      </c>
      <c r="AC1245" t="n">
        <v>5</v>
      </c>
      <c r="AD1245" t="n">
        <v>11</v>
      </c>
      <c r="AE1245" t="n">
        <v>11</v>
      </c>
      <c r="AF1245" t="n">
        <v>5</v>
      </c>
      <c r="AG1245" t="n">
        <v>5</v>
      </c>
      <c r="AH1245" t="n">
        <v>0</v>
      </c>
      <c r="AI1245" t="n">
        <v>0</v>
      </c>
      <c r="AJ1245" t="n">
        <v>5</v>
      </c>
      <c r="AK1245" t="n">
        <v>5</v>
      </c>
      <c r="AL1245" t="n">
        <v>4</v>
      </c>
      <c r="AM1245" t="n">
        <v>4</v>
      </c>
      <c r="AN1245" t="n">
        <v>0</v>
      </c>
      <c r="AO1245" t="n">
        <v>0</v>
      </c>
      <c r="AP1245" t="inlineStr">
        <is>
          <t>No</t>
        </is>
      </c>
      <c r="AQ1245" t="inlineStr">
        <is>
          <t>Yes</t>
        </is>
      </c>
      <c r="AR1245">
        <f>HYPERLINK("http://catalog.hathitrust.org/Record/007108659","HathiTrust Record")</f>
        <v/>
      </c>
      <c r="AS1245">
        <f>HYPERLINK("https://creighton-primo.hosted.exlibrisgroup.com/primo-explore/search?tab=default_tab&amp;search_scope=EVERYTHING&amp;vid=01CRU&amp;lang=en_US&amp;offset=0&amp;query=any,contains,991001247549702656","Catalog Record")</f>
        <v/>
      </c>
      <c r="AT1245">
        <f>HYPERLINK("http://www.worldcat.org/oclc/17650983","WorldCat Record")</f>
        <v/>
      </c>
      <c r="AU1245" t="inlineStr">
        <is>
          <t>475697453:eng</t>
        </is>
      </c>
      <c r="AV1245" t="inlineStr">
        <is>
          <t>17650983</t>
        </is>
      </c>
      <c r="AW1245" t="inlineStr">
        <is>
          <t>991001247549702656</t>
        </is>
      </c>
      <c r="AX1245" t="inlineStr">
        <is>
          <t>991001247549702656</t>
        </is>
      </c>
      <c r="AY1245" t="inlineStr">
        <is>
          <t>2268438260002656</t>
        </is>
      </c>
      <c r="AZ1245" t="inlineStr">
        <is>
          <t>BOOK</t>
        </is>
      </c>
      <c r="BB1245" t="inlineStr">
        <is>
          <t>9780874365405</t>
        </is>
      </c>
      <c r="BC1245" t="inlineStr">
        <is>
          <t>32285000314582</t>
        </is>
      </c>
      <c r="BD1245" t="inlineStr">
        <is>
          <t>893528802</t>
        </is>
      </c>
    </row>
    <row r="1246">
      <c r="A1246" t="inlineStr">
        <is>
          <t>No</t>
        </is>
      </c>
      <c r="B1246" t="inlineStr">
        <is>
          <t>E360 .F69 1956</t>
        </is>
      </c>
      <c r="C1246" t="inlineStr">
        <is>
          <t>0                      E  0360000F  69          1956</t>
        </is>
      </c>
      <c r="D1246" t="inlineStr">
        <is>
          <t>The age of fighting sail : the story of the naval War of 1812 / by C. S. Forester</t>
        </is>
      </c>
      <c r="F1246" t="inlineStr">
        <is>
          <t>No</t>
        </is>
      </c>
      <c r="G1246" t="inlineStr">
        <is>
          <t>1</t>
        </is>
      </c>
      <c r="H1246" t="inlineStr">
        <is>
          <t>No</t>
        </is>
      </c>
      <c r="I1246" t="inlineStr">
        <is>
          <t>No</t>
        </is>
      </c>
      <c r="J1246" t="inlineStr">
        <is>
          <t>0</t>
        </is>
      </c>
      <c r="K1246" t="inlineStr">
        <is>
          <t>Forester, C. S. (Cecil Scott), 1899-1966.</t>
        </is>
      </c>
      <c r="L1246" t="inlineStr">
        <is>
          <t>Garden City, N.Y. : Doubleday, 1956.</t>
        </is>
      </c>
      <c r="M1246" t="inlineStr">
        <is>
          <t>1956</t>
        </is>
      </c>
      <c r="N1246" t="inlineStr">
        <is>
          <t>[1st ed.]</t>
        </is>
      </c>
      <c r="O1246" t="inlineStr">
        <is>
          <t>eng</t>
        </is>
      </c>
      <c r="P1246" t="inlineStr">
        <is>
          <t>nyu</t>
        </is>
      </c>
      <c r="Q1246" t="inlineStr">
        <is>
          <t>Mainstream of America series</t>
        </is>
      </c>
      <c r="R1246" t="inlineStr">
        <is>
          <t xml:space="preserve">E  </t>
        </is>
      </c>
      <c r="S1246" t="n">
        <v>2</v>
      </c>
      <c r="T1246" t="n">
        <v>2</v>
      </c>
      <c r="U1246" t="inlineStr">
        <is>
          <t>2001-01-30</t>
        </is>
      </c>
      <c r="V1246" t="inlineStr">
        <is>
          <t>2001-01-30</t>
        </is>
      </c>
      <c r="W1246" t="inlineStr">
        <is>
          <t>1991-03-06</t>
        </is>
      </c>
      <c r="X1246" t="inlineStr">
        <is>
          <t>1991-03-06</t>
        </is>
      </c>
      <c r="Y1246" t="n">
        <v>1521</v>
      </c>
      <c r="Z1246" t="n">
        <v>1462</v>
      </c>
      <c r="AA1246" t="n">
        <v>1536</v>
      </c>
      <c r="AB1246" t="n">
        <v>12</v>
      </c>
      <c r="AC1246" t="n">
        <v>12</v>
      </c>
      <c r="AD1246" t="n">
        <v>37</v>
      </c>
      <c r="AE1246" t="n">
        <v>37</v>
      </c>
      <c r="AF1246" t="n">
        <v>18</v>
      </c>
      <c r="AG1246" t="n">
        <v>18</v>
      </c>
      <c r="AH1246" t="n">
        <v>5</v>
      </c>
      <c r="AI1246" t="n">
        <v>5</v>
      </c>
      <c r="AJ1246" t="n">
        <v>14</v>
      </c>
      <c r="AK1246" t="n">
        <v>14</v>
      </c>
      <c r="AL1246" t="n">
        <v>6</v>
      </c>
      <c r="AM1246" t="n">
        <v>6</v>
      </c>
      <c r="AN1246" t="n">
        <v>1</v>
      </c>
      <c r="AO1246" t="n">
        <v>1</v>
      </c>
      <c r="AP1246" t="inlineStr">
        <is>
          <t>No</t>
        </is>
      </c>
      <c r="AQ1246" t="inlineStr">
        <is>
          <t>Yes</t>
        </is>
      </c>
      <c r="AR1246">
        <f>HYPERLINK("http://catalog.hathitrust.org/Record/000367792","HathiTrust Record")</f>
        <v/>
      </c>
      <c r="AS1246">
        <f>HYPERLINK("https://creighton-primo.hosted.exlibrisgroup.com/primo-explore/search?tab=default_tab&amp;search_scope=EVERYTHING&amp;vid=01CRU&amp;lang=en_US&amp;offset=0&amp;query=any,contains,991002755279702656","Catalog Record")</f>
        <v/>
      </c>
      <c r="AT1246">
        <f>HYPERLINK("http://www.worldcat.org/oclc/426244","WorldCat Record")</f>
        <v/>
      </c>
      <c r="AU1246" t="inlineStr">
        <is>
          <t>2564928546:eng</t>
        </is>
      </c>
      <c r="AV1246" t="inlineStr">
        <is>
          <t>426244</t>
        </is>
      </c>
      <c r="AW1246" t="inlineStr">
        <is>
          <t>991002755279702656</t>
        </is>
      </c>
      <c r="AX1246" t="inlineStr">
        <is>
          <t>991002755279702656</t>
        </is>
      </c>
      <c r="AY1246" t="inlineStr">
        <is>
          <t>2265429690002656</t>
        </is>
      </c>
      <c r="AZ1246" t="inlineStr">
        <is>
          <t>BOOK</t>
        </is>
      </c>
      <c r="BC1246" t="inlineStr">
        <is>
          <t>32285000299999</t>
        </is>
      </c>
      <c r="BD1246" t="inlineStr">
        <is>
          <t>893721617</t>
        </is>
      </c>
    </row>
    <row r="1247">
      <c r="A1247" t="inlineStr">
        <is>
          <t>No</t>
        </is>
      </c>
      <c r="B1247" t="inlineStr">
        <is>
          <t>E372 .G5</t>
        </is>
      </c>
      <c r="C1247" t="inlineStr">
        <is>
          <t>0                      E  0372000G  5</t>
        </is>
      </c>
      <c r="D1247" t="inlineStr">
        <is>
          <t>James Monroe in his relations to the public service during half a century, 1776 to 1826; by Daniel C. Gilman ...</t>
        </is>
      </c>
      <c r="F1247" t="inlineStr">
        <is>
          <t>No</t>
        </is>
      </c>
      <c r="G1247" t="inlineStr">
        <is>
          <t>1</t>
        </is>
      </c>
      <c r="H1247" t="inlineStr">
        <is>
          <t>No</t>
        </is>
      </c>
      <c r="I1247" t="inlineStr">
        <is>
          <t>No</t>
        </is>
      </c>
      <c r="J1247" t="inlineStr">
        <is>
          <t>0</t>
        </is>
      </c>
      <c r="K1247" t="inlineStr">
        <is>
          <t>Gilman, Daniel C. (Daniel Coit), 1831-1908.</t>
        </is>
      </c>
      <c r="L1247" t="inlineStr">
        <is>
          <t>Boston, New York, Houghton Mifflin and Company; [etc., etc.] 1883.</t>
        </is>
      </c>
      <c r="M1247" t="inlineStr">
        <is>
          <t>1883</t>
        </is>
      </c>
      <c r="O1247" t="inlineStr">
        <is>
          <t>eng</t>
        </is>
      </c>
      <c r="P1247" t="inlineStr">
        <is>
          <t>mau</t>
        </is>
      </c>
      <c r="Q1247" t="inlineStr">
        <is>
          <t>American statesmen ; v. 14</t>
        </is>
      </c>
      <c r="R1247" t="inlineStr">
        <is>
          <t xml:space="preserve">E  </t>
        </is>
      </c>
      <c r="S1247" t="n">
        <v>1</v>
      </c>
      <c r="T1247" t="n">
        <v>1</v>
      </c>
      <c r="U1247" t="inlineStr">
        <is>
          <t>1993-11-05</t>
        </is>
      </c>
      <c r="V1247" t="inlineStr">
        <is>
          <t>1993-11-05</t>
        </is>
      </c>
      <c r="W1247" t="inlineStr">
        <is>
          <t>1992-04-16</t>
        </is>
      </c>
      <c r="X1247" t="inlineStr">
        <is>
          <t>1992-04-16</t>
        </is>
      </c>
      <c r="Y1247" t="n">
        <v>245</v>
      </c>
      <c r="Z1247" t="n">
        <v>234</v>
      </c>
      <c r="AA1247" t="n">
        <v>258</v>
      </c>
      <c r="AB1247" t="n">
        <v>3</v>
      </c>
      <c r="AC1247" t="n">
        <v>4</v>
      </c>
      <c r="AD1247" t="n">
        <v>9</v>
      </c>
      <c r="AE1247" t="n">
        <v>11</v>
      </c>
      <c r="AF1247" t="n">
        <v>3</v>
      </c>
      <c r="AG1247" t="n">
        <v>4</v>
      </c>
      <c r="AH1247" t="n">
        <v>1</v>
      </c>
      <c r="AI1247" t="n">
        <v>1</v>
      </c>
      <c r="AJ1247" t="n">
        <v>4</v>
      </c>
      <c r="AK1247" t="n">
        <v>4</v>
      </c>
      <c r="AL1247" t="n">
        <v>2</v>
      </c>
      <c r="AM1247" t="n">
        <v>3</v>
      </c>
      <c r="AN1247" t="n">
        <v>0</v>
      </c>
      <c r="AO1247" t="n">
        <v>0</v>
      </c>
      <c r="AP1247" t="inlineStr">
        <is>
          <t>Yes</t>
        </is>
      </c>
      <c r="AQ1247" t="inlineStr">
        <is>
          <t>No</t>
        </is>
      </c>
      <c r="AR1247">
        <f>HYPERLINK("http://catalog.hathitrust.org/Record/000406531","HathiTrust Record")</f>
        <v/>
      </c>
      <c r="AS1247">
        <f>HYPERLINK("https://creighton-primo.hosted.exlibrisgroup.com/primo-explore/search?tab=default_tab&amp;search_scope=EVERYTHING&amp;vid=01CRU&amp;lang=en_US&amp;offset=0&amp;query=any,contains,991001209369702656","Catalog Record")</f>
        <v/>
      </c>
      <c r="AT1247">
        <f>HYPERLINK("http://www.worldcat.org/oclc/192873","WorldCat Record")</f>
        <v/>
      </c>
      <c r="AU1247" t="inlineStr">
        <is>
          <t>3943329344:eng</t>
        </is>
      </c>
      <c r="AV1247" t="inlineStr">
        <is>
          <t>192873</t>
        </is>
      </c>
      <c r="AW1247" t="inlineStr">
        <is>
          <t>991001209369702656</t>
        </is>
      </c>
      <c r="AX1247" t="inlineStr">
        <is>
          <t>991001209369702656</t>
        </is>
      </c>
      <c r="AY1247" t="inlineStr">
        <is>
          <t>2256277590002656</t>
        </is>
      </c>
      <c r="AZ1247" t="inlineStr">
        <is>
          <t>BOOK</t>
        </is>
      </c>
      <c r="BC1247" t="inlineStr">
        <is>
          <t>32285001053759</t>
        </is>
      </c>
      <c r="BD1247" t="inlineStr">
        <is>
          <t>893784920</t>
        </is>
      </c>
    </row>
    <row r="1248">
      <c r="A1248" t="inlineStr">
        <is>
          <t>No</t>
        </is>
      </c>
      <c r="B1248" t="inlineStr">
        <is>
          <t>E377 .H43</t>
        </is>
      </c>
      <c r="C1248" t="inlineStr">
        <is>
          <t>0                      E  0377000H  43</t>
        </is>
      </c>
      <c r="D1248" t="inlineStr">
        <is>
          <t>John Quincy Adams; a personal history of an independent man [by] Marie B. Hecht.</t>
        </is>
      </c>
      <c r="F1248" t="inlineStr">
        <is>
          <t>No</t>
        </is>
      </c>
      <c r="G1248" t="inlineStr">
        <is>
          <t>1</t>
        </is>
      </c>
      <c r="H1248" t="inlineStr">
        <is>
          <t>No</t>
        </is>
      </c>
      <c r="I1248" t="inlineStr">
        <is>
          <t>No</t>
        </is>
      </c>
      <c r="J1248" t="inlineStr">
        <is>
          <t>0</t>
        </is>
      </c>
      <c r="K1248" t="inlineStr">
        <is>
          <t>Hecht, Marie B.</t>
        </is>
      </c>
      <c r="L1248" t="inlineStr">
        <is>
          <t>New York, Macmillan [1972]</t>
        </is>
      </c>
      <c r="M1248" t="inlineStr">
        <is>
          <t>1972</t>
        </is>
      </c>
      <c r="O1248" t="inlineStr">
        <is>
          <t>eng</t>
        </is>
      </c>
      <c r="P1248" t="inlineStr">
        <is>
          <t>nyu</t>
        </is>
      </c>
      <c r="R1248" t="inlineStr">
        <is>
          <t xml:space="preserve">E  </t>
        </is>
      </c>
      <c r="S1248" t="n">
        <v>4</v>
      </c>
      <c r="T1248" t="n">
        <v>4</v>
      </c>
      <c r="U1248" t="inlineStr">
        <is>
          <t>2000-03-30</t>
        </is>
      </c>
      <c r="V1248" t="inlineStr">
        <is>
          <t>2000-03-30</t>
        </is>
      </c>
      <c r="W1248" t="inlineStr">
        <is>
          <t>1997-04-15</t>
        </is>
      </c>
      <c r="X1248" t="inlineStr">
        <is>
          <t>1997-04-15</t>
        </is>
      </c>
      <c r="Y1248" t="n">
        <v>908</v>
      </c>
      <c r="Z1248" t="n">
        <v>860</v>
      </c>
      <c r="AA1248" t="n">
        <v>917</v>
      </c>
      <c r="AB1248" t="n">
        <v>5</v>
      </c>
      <c r="AC1248" t="n">
        <v>5</v>
      </c>
      <c r="AD1248" t="n">
        <v>28</v>
      </c>
      <c r="AE1248" t="n">
        <v>28</v>
      </c>
      <c r="AF1248" t="n">
        <v>11</v>
      </c>
      <c r="AG1248" t="n">
        <v>11</v>
      </c>
      <c r="AH1248" t="n">
        <v>9</v>
      </c>
      <c r="AI1248" t="n">
        <v>9</v>
      </c>
      <c r="AJ1248" t="n">
        <v>13</v>
      </c>
      <c r="AK1248" t="n">
        <v>13</v>
      </c>
      <c r="AL1248" t="n">
        <v>4</v>
      </c>
      <c r="AM1248" t="n">
        <v>4</v>
      </c>
      <c r="AN1248" t="n">
        <v>0</v>
      </c>
      <c r="AO1248" t="n">
        <v>0</v>
      </c>
      <c r="AP1248" t="inlineStr">
        <is>
          <t>No</t>
        </is>
      </c>
      <c r="AQ1248" t="inlineStr">
        <is>
          <t>Yes</t>
        </is>
      </c>
      <c r="AR1248">
        <f>HYPERLINK("http://catalog.hathitrust.org/Record/004387308","HathiTrust Record")</f>
        <v/>
      </c>
      <c r="AS1248">
        <f>HYPERLINK("https://creighton-primo.hosted.exlibrisgroup.com/primo-explore/search?tab=default_tab&amp;search_scope=EVERYTHING&amp;vid=01CRU&amp;lang=en_US&amp;offset=0&amp;query=any,contains,991002854229702656","Catalog Record")</f>
        <v/>
      </c>
      <c r="AT1248">
        <f>HYPERLINK("http://www.worldcat.org/oclc/488426","WorldCat Record")</f>
        <v/>
      </c>
      <c r="AU1248" t="inlineStr">
        <is>
          <t>399151:eng</t>
        </is>
      </c>
      <c r="AV1248" t="inlineStr">
        <is>
          <t>488426</t>
        </is>
      </c>
      <c r="AW1248" t="inlineStr">
        <is>
          <t>991002854229702656</t>
        </is>
      </c>
      <c r="AX1248" t="inlineStr">
        <is>
          <t>991002854229702656</t>
        </is>
      </c>
      <c r="AY1248" t="inlineStr">
        <is>
          <t>2256109660002656</t>
        </is>
      </c>
      <c r="AZ1248" t="inlineStr">
        <is>
          <t>BOOK</t>
        </is>
      </c>
      <c r="BC1248" t="inlineStr">
        <is>
          <t>32285002534146</t>
        </is>
      </c>
      <c r="BD1248" t="inlineStr">
        <is>
          <t>893874084</t>
        </is>
      </c>
    </row>
    <row r="1249">
      <c r="A1249" t="inlineStr">
        <is>
          <t>No</t>
        </is>
      </c>
      <c r="B1249" t="inlineStr">
        <is>
          <t>E381 .B792</t>
        </is>
      </c>
      <c r="C1249" t="inlineStr">
        <is>
          <t>0                      E  0381000B  792</t>
        </is>
      </c>
      <c r="D1249" t="inlineStr">
        <is>
          <t>The party battles of the Jackson period / by Claude G. Bowers.</t>
        </is>
      </c>
      <c r="F1249" t="inlineStr">
        <is>
          <t>No</t>
        </is>
      </c>
      <c r="G1249" t="inlineStr">
        <is>
          <t>1</t>
        </is>
      </c>
      <c r="H1249" t="inlineStr">
        <is>
          <t>No</t>
        </is>
      </c>
      <c r="I1249" t="inlineStr">
        <is>
          <t>No</t>
        </is>
      </c>
      <c r="J1249" t="inlineStr">
        <is>
          <t>0</t>
        </is>
      </c>
      <c r="K1249" t="inlineStr">
        <is>
          <t>Bowers, Claude G. (Claude Gernade), 1879-1958.</t>
        </is>
      </c>
      <c r="L1249" t="inlineStr">
        <is>
          <t>Boston ; New York : Houghton Mifflin Company, [pref. 1928]</t>
        </is>
      </c>
      <c r="M1249" t="inlineStr">
        <is>
          <t>1928</t>
        </is>
      </c>
      <c r="N1249" t="inlineStr">
        <is>
          <t>Anniversary edition.</t>
        </is>
      </c>
      <c r="O1249" t="inlineStr">
        <is>
          <t>eng</t>
        </is>
      </c>
      <c r="P1249" t="inlineStr">
        <is>
          <t>mau</t>
        </is>
      </c>
      <c r="R1249" t="inlineStr">
        <is>
          <t xml:space="preserve">E  </t>
        </is>
      </c>
      <c r="S1249" t="n">
        <v>2</v>
      </c>
      <c r="T1249" t="n">
        <v>2</v>
      </c>
      <c r="U1249" t="inlineStr">
        <is>
          <t>1993-10-09</t>
        </is>
      </c>
      <c r="V1249" t="inlineStr">
        <is>
          <t>1993-10-09</t>
        </is>
      </c>
      <c r="W1249" t="inlineStr">
        <is>
          <t>1993-01-23</t>
        </is>
      </c>
      <c r="X1249" t="inlineStr">
        <is>
          <t>1993-01-23</t>
        </is>
      </c>
      <c r="Y1249" t="n">
        <v>145</v>
      </c>
      <c r="Z1249" t="n">
        <v>139</v>
      </c>
      <c r="AA1249" t="n">
        <v>1210</v>
      </c>
      <c r="AB1249" t="n">
        <v>2</v>
      </c>
      <c r="AC1249" t="n">
        <v>12</v>
      </c>
      <c r="AD1249" t="n">
        <v>6</v>
      </c>
      <c r="AE1249" t="n">
        <v>59</v>
      </c>
      <c r="AF1249" t="n">
        <v>3</v>
      </c>
      <c r="AG1249" t="n">
        <v>21</v>
      </c>
      <c r="AH1249" t="n">
        <v>1</v>
      </c>
      <c r="AI1249" t="n">
        <v>10</v>
      </c>
      <c r="AJ1249" t="n">
        <v>3</v>
      </c>
      <c r="AK1249" t="n">
        <v>25</v>
      </c>
      <c r="AL1249" t="n">
        <v>0</v>
      </c>
      <c r="AM1249" t="n">
        <v>9</v>
      </c>
      <c r="AN1249" t="n">
        <v>1</v>
      </c>
      <c r="AO1249" t="n">
        <v>7</v>
      </c>
      <c r="AP1249" t="inlineStr">
        <is>
          <t>Yes</t>
        </is>
      </c>
      <c r="AQ1249" t="inlineStr">
        <is>
          <t>No</t>
        </is>
      </c>
      <c r="AR1249">
        <f>HYPERLINK("http://catalog.hathitrust.org/Record/000406585","HathiTrust Record")</f>
        <v/>
      </c>
      <c r="AS1249">
        <f>HYPERLINK("https://creighton-primo.hosted.exlibrisgroup.com/primo-explore/search?tab=default_tab&amp;search_scope=EVERYTHING&amp;vid=01CRU&amp;lang=en_US&amp;offset=0&amp;query=any,contains,991004359759702656","Catalog Record")</f>
        <v/>
      </c>
      <c r="AT1249">
        <f>HYPERLINK("http://www.worldcat.org/oclc/3161110","WorldCat Record")</f>
        <v/>
      </c>
      <c r="AU1249" t="inlineStr">
        <is>
          <t>1515933:eng</t>
        </is>
      </c>
      <c r="AV1249" t="inlineStr">
        <is>
          <t>3161110</t>
        </is>
      </c>
      <c r="AW1249" t="inlineStr">
        <is>
          <t>991004359759702656</t>
        </is>
      </c>
      <c r="AX1249" t="inlineStr">
        <is>
          <t>991004359759702656</t>
        </is>
      </c>
      <c r="AY1249" t="inlineStr">
        <is>
          <t>2268378750002656</t>
        </is>
      </c>
      <c r="AZ1249" t="inlineStr">
        <is>
          <t>BOOK</t>
        </is>
      </c>
      <c r="BC1249" t="inlineStr">
        <is>
          <t>32285001477008</t>
        </is>
      </c>
      <c r="BD1249" t="inlineStr">
        <is>
          <t>893605918</t>
        </is>
      </c>
    </row>
    <row r="1250">
      <c r="A1250" t="inlineStr">
        <is>
          <t>No</t>
        </is>
      </c>
      <c r="B1250" t="inlineStr">
        <is>
          <t>E381 .L37</t>
        </is>
      </c>
      <c r="C1250" t="inlineStr">
        <is>
          <t>0                      E  0381000L  37</t>
        </is>
      </c>
      <c r="D1250" t="inlineStr">
        <is>
          <t>The presidency of Andrew Jackson : White House politics, 1829-1837 / Richard B. Latner.</t>
        </is>
      </c>
      <c r="F1250" t="inlineStr">
        <is>
          <t>No</t>
        </is>
      </c>
      <c r="G1250" t="inlineStr">
        <is>
          <t>1</t>
        </is>
      </c>
      <c r="H1250" t="inlineStr">
        <is>
          <t>No</t>
        </is>
      </c>
      <c r="I1250" t="inlineStr">
        <is>
          <t>No</t>
        </is>
      </c>
      <c r="J1250" t="inlineStr">
        <is>
          <t>0</t>
        </is>
      </c>
      <c r="K1250" t="inlineStr">
        <is>
          <t>Latner, Richard B.</t>
        </is>
      </c>
      <c r="L1250" t="inlineStr">
        <is>
          <t>Athens : University of Georgia Press, c1979.</t>
        </is>
      </c>
      <c r="M1250" t="inlineStr">
        <is>
          <t>1979</t>
        </is>
      </c>
      <c r="O1250" t="inlineStr">
        <is>
          <t>eng</t>
        </is>
      </c>
      <c r="P1250" t="inlineStr">
        <is>
          <t>gau</t>
        </is>
      </c>
      <c r="R1250" t="inlineStr">
        <is>
          <t xml:space="preserve">E  </t>
        </is>
      </c>
      <c r="S1250" t="n">
        <v>14</v>
      </c>
      <c r="T1250" t="n">
        <v>14</v>
      </c>
      <c r="U1250" t="inlineStr">
        <is>
          <t>1998-02-04</t>
        </is>
      </c>
      <c r="V1250" t="inlineStr">
        <is>
          <t>1998-02-04</t>
        </is>
      </c>
      <c r="W1250" t="inlineStr">
        <is>
          <t>1990-02-09</t>
        </is>
      </c>
      <c r="X1250" t="inlineStr">
        <is>
          <t>1990-02-09</t>
        </is>
      </c>
      <c r="Y1250" t="n">
        <v>752</v>
      </c>
      <c r="Z1250" t="n">
        <v>676</v>
      </c>
      <c r="AA1250" t="n">
        <v>678</v>
      </c>
      <c r="AB1250" t="n">
        <v>6</v>
      </c>
      <c r="AC1250" t="n">
        <v>6</v>
      </c>
      <c r="AD1250" t="n">
        <v>34</v>
      </c>
      <c r="AE1250" t="n">
        <v>34</v>
      </c>
      <c r="AF1250" t="n">
        <v>15</v>
      </c>
      <c r="AG1250" t="n">
        <v>15</v>
      </c>
      <c r="AH1250" t="n">
        <v>8</v>
      </c>
      <c r="AI1250" t="n">
        <v>8</v>
      </c>
      <c r="AJ1250" t="n">
        <v>16</v>
      </c>
      <c r="AK1250" t="n">
        <v>16</v>
      </c>
      <c r="AL1250" t="n">
        <v>5</v>
      </c>
      <c r="AM1250" t="n">
        <v>5</v>
      </c>
      <c r="AN1250" t="n">
        <v>0</v>
      </c>
      <c r="AO1250" t="n">
        <v>0</v>
      </c>
      <c r="AP1250" t="inlineStr">
        <is>
          <t>No</t>
        </is>
      </c>
      <c r="AQ1250" t="inlineStr">
        <is>
          <t>Yes</t>
        </is>
      </c>
      <c r="AR1250">
        <f>HYPERLINK("http://catalog.hathitrust.org/Record/000176408","HathiTrust Record")</f>
        <v/>
      </c>
      <c r="AS1250">
        <f>HYPERLINK("https://creighton-primo.hosted.exlibrisgroup.com/primo-explore/search?tab=default_tab&amp;search_scope=EVERYTHING&amp;vid=01CRU&amp;lang=en_US&amp;offset=0&amp;query=any,contains,991004562019702656","Catalog Record")</f>
        <v/>
      </c>
      <c r="AT1250">
        <f>HYPERLINK("http://www.worldcat.org/oclc/4003558","WorldCat Record")</f>
        <v/>
      </c>
      <c r="AU1250" t="inlineStr">
        <is>
          <t>13600662:eng</t>
        </is>
      </c>
      <c r="AV1250" t="inlineStr">
        <is>
          <t>4003558</t>
        </is>
      </c>
      <c r="AW1250" t="inlineStr">
        <is>
          <t>991004562019702656</t>
        </is>
      </c>
      <c r="AX1250" t="inlineStr">
        <is>
          <t>991004562019702656</t>
        </is>
      </c>
      <c r="AY1250" t="inlineStr">
        <is>
          <t>2267732810002656</t>
        </is>
      </c>
      <c r="AZ1250" t="inlineStr">
        <is>
          <t>BOOK</t>
        </is>
      </c>
      <c r="BB1250" t="inlineStr">
        <is>
          <t>9780820304571</t>
        </is>
      </c>
      <c r="BC1250" t="inlineStr">
        <is>
          <t>32285000034461</t>
        </is>
      </c>
      <c r="BD1250" t="inlineStr">
        <is>
          <t>893506991</t>
        </is>
      </c>
    </row>
    <row r="1251">
      <c r="A1251" t="inlineStr">
        <is>
          <t>No</t>
        </is>
      </c>
      <c r="B1251" t="inlineStr">
        <is>
          <t>E382 .B32</t>
        </is>
      </c>
      <c r="C1251" t="inlineStr">
        <is>
          <t>0                      E  0382000B  32</t>
        </is>
      </c>
      <c r="D1251" t="inlineStr">
        <is>
          <t>The life of Andrew Jackson / by John Spencer Basett.</t>
        </is>
      </c>
      <c r="F1251" t="inlineStr">
        <is>
          <t>No</t>
        </is>
      </c>
      <c r="G1251" t="inlineStr">
        <is>
          <t>1</t>
        </is>
      </c>
      <c r="H1251" t="inlineStr">
        <is>
          <t>No</t>
        </is>
      </c>
      <c r="I1251" t="inlineStr">
        <is>
          <t>No</t>
        </is>
      </c>
      <c r="J1251" t="inlineStr">
        <is>
          <t>0</t>
        </is>
      </c>
      <c r="K1251" t="inlineStr">
        <is>
          <t>Bassett, John Spencer, 1867-1928.</t>
        </is>
      </c>
      <c r="L1251" t="inlineStr">
        <is>
          <t>New York : The Macmillan company, 1931, c1928.</t>
        </is>
      </c>
      <c r="M1251" t="inlineStr">
        <is>
          <t>1931</t>
        </is>
      </c>
      <c r="N1251" t="inlineStr">
        <is>
          <t>New ed.</t>
        </is>
      </c>
      <c r="O1251" t="inlineStr">
        <is>
          <t>eng</t>
        </is>
      </c>
      <c r="P1251" t="inlineStr">
        <is>
          <t>nyu</t>
        </is>
      </c>
      <c r="R1251" t="inlineStr">
        <is>
          <t xml:space="preserve">E  </t>
        </is>
      </c>
      <c r="S1251" t="n">
        <v>3</v>
      </c>
      <c r="T1251" t="n">
        <v>3</v>
      </c>
      <c r="U1251" t="inlineStr">
        <is>
          <t>1994-11-01</t>
        </is>
      </c>
      <c r="V1251" t="inlineStr">
        <is>
          <t>1994-11-01</t>
        </is>
      </c>
      <c r="W1251" t="inlineStr">
        <is>
          <t>1992-10-07</t>
        </is>
      </c>
      <c r="X1251" t="inlineStr">
        <is>
          <t>1992-10-07</t>
        </is>
      </c>
      <c r="Y1251" t="n">
        <v>99</v>
      </c>
      <c r="Z1251" t="n">
        <v>90</v>
      </c>
      <c r="AA1251" t="n">
        <v>1034</v>
      </c>
      <c r="AB1251" t="n">
        <v>3</v>
      </c>
      <c r="AC1251" t="n">
        <v>9</v>
      </c>
      <c r="AD1251" t="n">
        <v>9</v>
      </c>
      <c r="AE1251" t="n">
        <v>47</v>
      </c>
      <c r="AF1251" t="n">
        <v>2</v>
      </c>
      <c r="AG1251" t="n">
        <v>18</v>
      </c>
      <c r="AH1251" t="n">
        <v>3</v>
      </c>
      <c r="AI1251" t="n">
        <v>8</v>
      </c>
      <c r="AJ1251" t="n">
        <v>3</v>
      </c>
      <c r="AK1251" t="n">
        <v>18</v>
      </c>
      <c r="AL1251" t="n">
        <v>2</v>
      </c>
      <c r="AM1251" t="n">
        <v>7</v>
      </c>
      <c r="AN1251" t="n">
        <v>0</v>
      </c>
      <c r="AO1251" t="n">
        <v>6</v>
      </c>
      <c r="AP1251" t="inlineStr">
        <is>
          <t>No</t>
        </is>
      </c>
      <c r="AQ1251" t="inlineStr">
        <is>
          <t>Yes</t>
        </is>
      </c>
      <c r="AR1251">
        <f>HYPERLINK("http://catalog.hathitrust.org/Record/006001223","HathiTrust Record")</f>
        <v/>
      </c>
      <c r="AS1251">
        <f>HYPERLINK("https://creighton-primo.hosted.exlibrisgroup.com/primo-explore/search?tab=default_tab&amp;search_scope=EVERYTHING&amp;vid=01CRU&amp;lang=en_US&amp;offset=0&amp;query=any,contains,991004192859702656","Catalog Record")</f>
        <v/>
      </c>
      <c r="AT1251">
        <f>HYPERLINK("http://www.worldcat.org/oclc/2635053","WorldCat Record")</f>
        <v/>
      </c>
      <c r="AU1251" t="inlineStr">
        <is>
          <t>417490:eng</t>
        </is>
      </c>
      <c r="AV1251" t="inlineStr">
        <is>
          <t>2635053</t>
        </is>
      </c>
      <c r="AW1251" t="inlineStr">
        <is>
          <t>991004192859702656</t>
        </is>
      </c>
      <c r="AX1251" t="inlineStr">
        <is>
          <t>991004192859702656</t>
        </is>
      </c>
      <c r="AY1251" t="inlineStr">
        <is>
          <t>2272416270002656</t>
        </is>
      </c>
      <c r="AZ1251" t="inlineStr">
        <is>
          <t>BOOK</t>
        </is>
      </c>
      <c r="BC1251" t="inlineStr">
        <is>
          <t>32285001329092</t>
        </is>
      </c>
      <c r="BD1251" t="inlineStr">
        <is>
          <t>893263140</t>
        </is>
      </c>
    </row>
    <row r="1252">
      <c r="A1252" t="inlineStr">
        <is>
          <t>No</t>
        </is>
      </c>
      <c r="B1252" t="inlineStr">
        <is>
          <t>E382 .J27</t>
        </is>
      </c>
      <c r="C1252" t="inlineStr">
        <is>
          <t>0                      E  0382000J  27</t>
        </is>
      </c>
      <c r="D1252" t="inlineStr">
        <is>
          <t>Andrew Jackson, portrait of a president, by Marquis James ...</t>
        </is>
      </c>
      <c r="F1252" t="inlineStr">
        <is>
          <t>No</t>
        </is>
      </c>
      <c r="G1252" t="inlineStr">
        <is>
          <t>1</t>
        </is>
      </c>
      <c r="H1252" t="inlineStr">
        <is>
          <t>No</t>
        </is>
      </c>
      <c r="I1252" t="inlineStr">
        <is>
          <t>Yes</t>
        </is>
      </c>
      <c r="J1252" t="inlineStr">
        <is>
          <t>0</t>
        </is>
      </c>
      <c r="K1252" t="inlineStr">
        <is>
          <t>James, Marquis, 1891-1955.</t>
        </is>
      </c>
      <c r="L1252" t="inlineStr">
        <is>
          <t>Indianapolis, New York, The Bobbs-Merrill Company [c1937]</t>
        </is>
      </c>
      <c r="M1252" t="inlineStr">
        <is>
          <t>1937</t>
        </is>
      </c>
      <c r="O1252" t="inlineStr">
        <is>
          <t>eng</t>
        </is>
      </c>
      <c r="P1252" t="inlineStr">
        <is>
          <t>inu</t>
        </is>
      </c>
      <c r="R1252" t="inlineStr">
        <is>
          <t xml:space="preserve">E  </t>
        </is>
      </c>
      <c r="S1252" t="n">
        <v>3</v>
      </c>
      <c r="T1252" t="n">
        <v>3</v>
      </c>
      <c r="U1252" t="inlineStr">
        <is>
          <t>2002-04-04</t>
        </is>
      </c>
      <c r="V1252" t="inlineStr">
        <is>
          <t>2002-04-04</t>
        </is>
      </c>
      <c r="W1252" t="inlineStr">
        <is>
          <t>1997-04-15</t>
        </is>
      </c>
      <c r="X1252" t="inlineStr">
        <is>
          <t>1997-04-15</t>
        </is>
      </c>
      <c r="Y1252" t="n">
        <v>962</v>
      </c>
      <c r="Z1252" t="n">
        <v>905</v>
      </c>
      <c r="AA1252" t="n">
        <v>1442</v>
      </c>
      <c r="AB1252" t="n">
        <v>7</v>
      </c>
      <c r="AC1252" t="n">
        <v>14</v>
      </c>
      <c r="AD1252" t="n">
        <v>36</v>
      </c>
      <c r="AE1252" t="n">
        <v>50</v>
      </c>
      <c r="AF1252" t="n">
        <v>16</v>
      </c>
      <c r="AG1252" t="n">
        <v>22</v>
      </c>
      <c r="AH1252" t="n">
        <v>7</v>
      </c>
      <c r="AI1252" t="n">
        <v>9</v>
      </c>
      <c r="AJ1252" t="n">
        <v>17</v>
      </c>
      <c r="AK1252" t="n">
        <v>20</v>
      </c>
      <c r="AL1252" t="n">
        <v>4</v>
      </c>
      <c r="AM1252" t="n">
        <v>9</v>
      </c>
      <c r="AN1252" t="n">
        <v>1</v>
      </c>
      <c r="AO1252" t="n">
        <v>1</v>
      </c>
      <c r="AP1252" t="inlineStr">
        <is>
          <t>No</t>
        </is>
      </c>
      <c r="AQ1252" t="inlineStr">
        <is>
          <t>Yes</t>
        </is>
      </c>
      <c r="AR1252">
        <f>HYPERLINK("http://catalog.hathitrust.org/Record/000407175","HathiTrust Record")</f>
        <v/>
      </c>
      <c r="AS1252">
        <f>HYPERLINK("https://creighton-primo.hosted.exlibrisgroup.com/primo-explore/search?tab=default_tab&amp;search_scope=EVERYTHING&amp;vid=01CRU&amp;lang=en_US&amp;offset=0&amp;query=any,contains,991003511119702656","Catalog Record")</f>
        <v/>
      </c>
      <c r="AT1252">
        <f>HYPERLINK("http://www.worldcat.org/oclc/1065860","WorldCat Record")</f>
        <v/>
      </c>
      <c r="AU1252" t="inlineStr">
        <is>
          <t>2093492224:eng</t>
        </is>
      </c>
      <c r="AV1252" t="inlineStr">
        <is>
          <t>1065860</t>
        </is>
      </c>
      <c r="AW1252" t="inlineStr">
        <is>
          <t>991003511119702656</t>
        </is>
      </c>
      <c r="AX1252" t="inlineStr">
        <is>
          <t>991003511119702656</t>
        </is>
      </c>
      <c r="AY1252" t="inlineStr">
        <is>
          <t>2270750930002656</t>
        </is>
      </c>
      <c r="AZ1252" t="inlineStr">
        <is>
          <t>BOOK</t>
        </is>
      </c>
      <c r="BC1252" t="inlineStr">
        <is>
          <t>32285002534286</t>
        </is>
      </c>
      <c r="BD1252" t="inlineStr">
        <is>
          <t>893535489</t>
        </is>
      </c>
    </row>
    <row r="1253">
      <c r="A1253" t="inlineStr">
        <is>
          <t>No</t>
        </is>
      </c>
      <c r="B1253" t="inlineStr">
        <is>
          <t>E382 .K18</t>
        </is>
      </c>
      <c r="C1253" t="inlineStr">
        <is>
          <t>0                      E  0382000K  18</t>
        </is>
      </c>
      <c r="D1253" t="inlineStr">
        <is>
          <t>Andrew Jackson, the gentle savage / [by] David Karsner.</t>
        </is>
      </c>
      <c r="F1253" t="inlineStr">
        <is>
          <t>No</t>
        </is>
      </c>
      <c r="G1253" t="inlineStr">
        <is>
          <t>1</t>
        </is>
      </c>
      <c r="H1253" t="inlineStr">
        <is>
          <t>No</t>
        </is>
      </c>
      <c r="I1253" t="inlineStr">
        <is>
          <t>No</t>
        </is>
      </c>
      <c r="J1253" t="inlineStr">
        <is>
          <t>0</t>
        </is>
      </c>
      <c r="K1253" t="inlineStr">
        <is>
          <t>Karsner, David, 1889-1941.</t>
        </is>
      </c>
      <c r="L1253" t="inlineStr">
        <is>
          <t>New York : Brentano's, 1929.</t>
        </is>
      </c>
      <c r="M1253" t="inlineStr">
        <is>
          <t>1929</t>
        </is>
      </c>
      <c r="O1253" t="inlineStr">
        <is>
          <t>eng</t>
        </is>
      </c>
      <c r="P1253" t="inlineStr">
        <is>
          <t>nyu</t>
        </is>
      </c>
      <c r="R1253" t="inlineStr">
        <is>
          <t xml:space="preserve">E  </t>
        </is>
      </c>
      <c r="S1253" t="n">
        <v>4</v>
      </c>
      <c r="T1253" t="n">
        <v>4</v>
      </c>
      <c r="U1253" t="inlineStr">
        <is>
          <t>1997-05-05</t>
        </is>
      </c>
      <c r="V1253" t="inlineStr">
        <is>
          <t>1997-05-05</t>
        </is>
      </c>
      <c r="W1253" t="inlineStr">
        <is>
          <t>1993-12-20</t>
        </is>
      </c>
      <c r="X1253" t="inlineStr">
        <is>
          <t>1993-12-20</t>
        </is>
      </c>
      <c r="Y1253" t="n">
        <v>172</v>
      </c>
      <c r="Z1253" t="n">
        <v>166</v>
      </c>
      <c r="AA1253" t="n">
        <v>184</v>
      </c>
      <c r="AB1253" t="n">
        <v>3</v>
      </c>
      <c r="AC1253" t="n">
        <v>3</v>
      </c>
      <c r="AD1253" t="n">
        <v>12</v>
      </c>
      <c r="AE1253" t="n">
        <v>12</v>
      </c>
      <c r="AF1253" t="n">
        <v>3</v>
      </c>
      <c r="AG1253" t="n">
        <v>3</v>
      </c>
      <c r="AH1253" t="n">
        <v>2</v>
      </c>
      <c r="AI1253" t="n">
        <v>2</v>
      </c>
      <c r="AJ1253" t="n">
        <v>8</v>
      </c>
      <c r="AK1253" t="n">
        <v>8</v>
      </c>
      <c r="AL1253" t="n">
        <v>2</v>
      </c>
      <c r="AM1253" t="n">
        <v>2</v>
      </c>
      <c r="AN1253" t="n">
        <v>0</v>
      </c>
      <c r="AO1253" t="n">
        <v>0</v>
      </c>
      <c r="AP1253" t="inlineStr">
        <is>
          <t>Yes</t>
        </is>
      </c>
      <c r="AQ1253" t="inlineStr">
        <is>
          <t>No</t>
        </is>
      </c>
      <c r="AR1253">
        <f>HYPERLINK("http://catalog.hathitrust.org/Record/000407193","HathiTrust Record")</f>
        <v/>
      </c>
      <c r="AS1253">
        <f>HYPERLINK("https://creighton-primo.hosted.exlibrisgroup.com/primo-explore/search?tab=default_tab&amp;search_scope=EVERYTHING&amp;vid=01CRU&amp;lang=en_US&amp;offset=0&amp;query=any,contains,991003798999702656","Catalog Record")</f>
        <v/>
      </c>
      <c r="AT1253">
        <f>HYPERLINK("http://www.worldcat.org/oclc/1524613","WorldCat Record")</f>
        <v/>
      </c>
      <c r="AU1253" t="inlineStr">
        <is>
          <t>2372253:eng</t>
        </is>
      </c>
      <c r="AV1253" t="inlineStr">
        <is>
          <t>1524613</t>
        </is>
      </c>
      <c r="AW1253" t="inlineStr">
        <is>
          <t>991003798999702656</t>
        </is>
      </c>
      <c r="AX1253" t="inlineStr">
        <is>
          <t>991003798999702656</t>
        </is>
      </c>
      <c r="AY1253" t="inlineStr">
        <is>
          <t>2265302090002656</t>
        </is>
      </c>
      <c r="AZ1253" t="inlineStr">
        <is>
          <t>BOOK</t>
        </is>
      </c>
      <c r="BC1253" t="inlineStr">
        <is>
          <t>32285001826477</t>
        </is>
      </c>
      <c r="BD1253" t="inlineStr">
        <is>
          <t>893781426</t>
        </is>
      </c>
    </row>
    <row r="1254">
      <c r="A1254" t="inlineStr">
        <is>
          <t>No</t>
        </is>
      </c>
      <c r="B1254" t="inlineStr">
        <is>
          <t>E382 .R44 1981</t>
        </is>
      </c>
      <c r="C1254" t="inlineStr">
        <is>
          <t>0                      E  0382000R  44          1981</t>
        </is>
      </c>
      <c r="D1254" t="inlineStr">
        <is>
          <t>Andrew Jackson and the course of American freedom, 1822-1832 / Robert V. Remini.</t>
        </is>
      </c>
      <c r="F1254" t="inlineStr">
        <is>
          <t>No</t>
        </is>
      </c>
      <c r="G1254" t="inlineStr">
        <is>
          <t>1</t>
        </is>
      </c>
      <c r="H1254" t="inlineStr">
        <is>
          <t>No</t>
        </is>
      </c>
      <c r="I1254" t="inlineStr">
        <is>
          <t>No</t>
        </is>
      </c>
      <c r="J1254" t="inlineStr">
        <is>
          <t>0</t>
        </is>
      </c>
      <c r="K1254" t="inlineStr">
        <is>
          <t>Remini, Robert V. (Robert Vincent), 1921-2013.</t>
        </is>
      </c>
      <c r="L1254" t="inlineStr">
        <is>
          <t>New York : Harper &amp; Row, c1981.</t>
        </is>
      </c>
      <c r="M1254" t="inlineStr">
        <is>
          <t>1981</t>
        </is>
      </c>
      <c r="N1254" t="inlineStr">
        <is>
          <t>1st ed.</t>
        </is>
      </c>
      <c r="O1254" t="inlineStr">
        <is>
          <t>eng</t>
        </is>
      </c>
      <c r="P1254" t="inlineStr">
        <is>
          <t>nyu</t>
        </is>
      </c>
      <c r="R1254" t="inlineStr">
        <is>
          <t xml:space="preserve">E  </t>
        </is>
      </c>
      <c r="S1254" t="n">
        <v>7</v>
      </c>
      <c r="T1254" t="n">
        <v>7</v>
      </c>
      <c r="U1254" t="inlineStr">
        <is>
          <t>1996-02-21</t>
        </is>
      </c>
      <c r="V1254" t="inlineStr">
        <is>
          <t>1996-02-21</t>
        </is>
      </c>
      <c r="W1254" t="inlineStr">
        <is>
          <t>1990-02-07</t>
        </is>
      </c>
      <c r="X1254" t="inlineStr">
        <is>
          <t>1990-02-07</t>
        </is>
      </c>
      <c r="Y1254" t="n">
        <v>1019</v>
      </c>
      <c r="Z1254" t="n">
        <v>975</v>
      </c>
      <c r="AA1254" t="n">
        <v>1014</v>
      </c>
      <c r="AB1254" t="n">
        <v>7</v>
      </c>
      <c r="AC1254" t="n">
        <v>7</v>
      </c>
      <c r="AD1254" t="n">
        <v>32</v>
      </c>
      <c r="AE1254" t="n">
        <v>32</v>
      </c>
      <c r="AF1254" t="n">
        <v>15</v>
      </c>
      <c r="AG1254" t="n">
        <v>15</v>
      </c>
      <c r="AH1254" t="n">
        <v>6</v>
      </c>
      <c r="AI1254" t="n">
        <v>6</v>
      </c>
      <c r="AJ1254" t="n">
        <v>15</v>
      </c>
      <c r="AK1254" t="n">
        <v>15</v>
      </c>
      <c r="AL1254" t="n">
        <v>2</v>
      </c>
      <c r="AM1254" t="n">
        <v>2</v>
      </c>
      <c r="AN1254" t="n">
        <v>2</v>
      </c>
      <c r="AO1254" t="n">
        <v>2</v>
      </c>
      <c r="AP1254" t="inlineStr">
        <is>
          <t>No</t>
        </is>
      </c>
      <c r="AQ1254" t="inlineStr">
        <is>
          <t>Yes</t>
        </is>
      </c>
      <c r="AR1254">
        <f>HYPERLINK("http://catalog.hathitrust.org/Record/006001229","HathiTrust Record")</f>
        <v/>
      </c>
      <c r="AS1254">
        <f>HYPERLINK("https://creighton-primo.hosted.exlibrisgroup.com/primo-explore/search?tab=default_tab&amp;search_scope=EVERYTHING&amp;vid=01CRU&amp;lang=en_US&amp;offset=0&amp;query=any,contains,991005149689702656","Catalog Record")</f>
        <v/>
      </c>
      <c r="AT1254">
        <f>HYPERLINK("http://www.worldcat.org/oclc/7717431","WorldCat Record")</f>
        <v/>
      </c>
      <c r="AU1254" t="inlineStr">
        <is>
          <t>402619:eng</t>
        </is>
      </c>
      <c r="AV1254" t="inlineStr">
        <is>
          <t>7717431</t>
        </is>
      </c>
      <c r="AW1254" t="inlineStr">
        <is>
          <t>991005149689702656</t>
        </is>
      </c>
      <c r="AX1254" t="inlineStr">
        <is>
          <t>991005149689702656</t>
        </is>
      </c>
      <c r="AY1254" t="inlineStr">
        <is>
          <t>2271865540002656</t>
        </is>
      </c>
      <c r="AZ1254" t="inlineStr">
        <is>
          <t>BOOK</t>
        </is>
      </c>
      <c r="BB1254" t="inlineStr">
        <is>
          <t>9780060148447</t>
        </is>
      </c>
      <c r="BC1254" t="inlineStr">
        <is>
          <t>32285000033471</t>
        </is>
      </c>
      <c r="BD1254" t="inlineStr">
        <is>
          <t>893507688</t>
        </is>
      </c>
    </row>
    <row r="1255">
      <c r="A1255" t="inlineStr">
        <is>
          <t>No</t>
        </is>
      </c>
      <c r="B1255" t="inlineStr">
        <is>
          <t>E382 .S95817</t>
        </is>
      </c>
      <c r="C1255" t="inlineStr">
        <is>
          <t>0                      E  0382000S  95817</t>
        </is>
      </c>
      <c r="D1255" t="inlineStr">
        <is>
          <t>Andrew Jackson as a public man : what he was, what chances he had, and what he did with them.</t>
        </is>
      </c>
      <c r="F1255" t="inlineStr">
        <is>
          <t>No</t>
        </is>
      </c>
      <c r="G1255" t="inlineStr">
        <is>
          <t>1</t>
        </is>
      </c>
      <c r="H1255" t="inlineStr">
        <is>
          <t>No</t>
        </is>
      </c>
      <c r="I1255" t="inlineStr">
        <is>
          <t>No</t>
        </is>
      </c>
      <c r="J1255" t="inlineStr">
        <is>
          <t>0</t>
        </is>
      </c>
      <c r="K1255" t="inlineStr">
        <is>
          <t>Sumner, William Graham, 1840-1910.</t>
        </is>
      </c>
      <c r="L1255" t="inlineStr">
        <is>
          <t>Westport, Conn. : Greenwood Press, [1970]</t>
        </is>
      </c>
      <c r="M1255" t="inlineStr">
        <is>
          <t>1970</t>
        </is>
      </c>
      <c r="O1255" t="inlineStr">
        <is>
          <t>eng</t>
        </is>
      </c>
      <c r="P1255" t="inlineStr">
        <is>
          <t>ctu</t>
        </is>
      </c>
      <c r="R1255" t="inlineStr">
        <is>
          <t xml:space="preserve">E  </t>
        </is>
      </c>
      <c r="S1255" t="n">
        <v>12</v>
      </c>
      <c r="T1255" t="n">
        <v>12</v>
      </c>
      <c r="U1255" t="inlineStr">
        <is>
          <t>2002-04-04</t>
        </is>
      </c>
      <c r="V1255" t="inlineStr">
        <is>
          <t>2002-04-04</t>
        </is>
      </c>
      <c r="W1255" t="inlineStr">
        <is>
          <t>1990-04-18</t>
        </is>
      </c>
      <c r="X1255" t="inlineStr">
        <is>
          <t>1990-04-18</t>
        </is>
      </c>
      <c r="Y1255" t="n">
        <v>97</v>
      </c>
      <c r="Z1255" t="n">
        <v>93</v>
      </c>
      <c r="AA1255" t="n">
        <v>803</v>
      </c>
      <c r="AB1255" t="n">
        <v>1</v>
      </c>
      <c r="AC1255" t="n">
        <v>9</v>
      </c>
      <c r="AD1255" t="n">
        <v>1</v>
      </c>
      <c r="AE1255" t="n">
        <v>46</v>
      </c>
      <c r="AF1255" t="n">
        <v>0</v>
      </c>
      <c r="AG1255" t="n">
        <v>8</v>
      </c>
      <c r="AH1255" t="n">
        <v>1</v>
      </c>
      <c r="AI1255" t="n">
        <v>8</v>
      </c>
      <c r="AJ1255" t="n">
        <v>0</v>
      </c>
      <c r="AK1255" t="n">
        <v>9</v>
      </c>
      <c r="AL1255" t="n">
        <v>0</v>
      </c>
      <c r="AM1255" t="n">
        <v>6</v>
      </c>
      <c r="AN1255" t="n">
        <v>0</v>
      </c>
      <c r="AO1255" t="n">
        <v>19</v>
      </c>
      <c r="AP1255" t="inlineStr">
        <is>
          <t>No</t>
        </is>
      </c>
      <c r="AQ1255" t="inlineStr">
        <is>
          <t>Yes</t>
        </is>
      </c>
      <c r="AR1255">
        <f>HYPERLINK("http://catalog.hathitrust.org/Record/006001230","HathiTrust Record")</f>
        <v/>
      </c>
      <c r="AS1255">
        <f>HYPERLINK("https://creighton-primo.hosted.exlibrisgroup.com/primo-explore/search?tab=default_tab&amp;search_scope=EVERYTHING&amp;vid=01CRU&amp;lang=en_US&amp;offset=0&amp;query=any,contains,991000822439702656","Catalog Record")</f>
        <v/>
      </c>
      <c r="AT1255">
        <f>HYPERLINK("http://www.worldcat.org/oclc/145499","WorldCat Record")</f>
        <v/>
      </c>
      <c r="AU1255" t="inlineStr">
        <is>
          <t>1291702:eng</t>
        </is>
      </c>
      <c r="AV1255" t="inlineStr">
        <is>
          <t>145499</t>
        </is>
      </c>
      <c r="AW1255" t="inlineStr">
        <is>
          <t>991000822439702656</t>
        </is>
      </c>
      <c r="AX1255" t="inlineStr">
        <is>
          <t>991000822439702656</t>
        </is>
      </c>
      <c r="AY1255" t="inlineStr">
        <is>
          <t>2258145350002656</t>
        </is>
      </c>
      <c r="AZ1255" t="inlineStr">
        <is>
          <t>BOOK</t>
        </is>
      </c>
      <c r="BB1255" t="inlineStr">
        <is>
          <t>9780837141046</t>
        </is>
      </c>
      <c r="BC1255" t="inlineStr">
        <is>
          <t>32285000116326</t>
        </is>
      </c>
      <c r="BD1255" t="inlineStr">
        <is>
          <t>893772002</t>
        </is>
      </c>
    </row>
    <row r="1256">
      <c r="A1256" t="inlineStr">
        <is>
          <t>No</t>
        </is>
      </c>
      <c r="B1256" t="inlineStr">
        <is>
          <t>E382 .S97 1971</t>
        </is>
      </c>
      <c r="C1256" t="inlineStr">
        <is>
          <t>0                      E  0382000S  97          1971</t>
        </is>
      </c>
      <c r="D1256" t="inlineStr">
        <is>
          <t>Andrew Jackson : his contribution to the American tradition / [by] Harold C. Syrett.</t>
        </is>
      </c>
      <c r="F1256" t="inlineStr">
        <is>
          <t>No</t>
        </is>
      </c>
      <c r="G1256" t="inlineStr">
        <is>
          <t>1</t>
        </is>
      </c>
      <c r="H1256" t="inlineStr">
        <is>
          <t>No</t>
        </is>
      </c>
      <c r="I1256" t="inlineStr">
        <is>
          <t>No</t>
        </is>
      </c>
      <c r="J1256" t="inlineStr">
        <is>
          <t>0</t>
        </is>
      </c>
      <c r="K1256" t="inlineStr">
        <is>
          <t>Syrett, Harold C. (Harold Coffin), 1913-1984.</t>
        </is>
      </c>
      <c r="L1256" t="inlineStr">
        <is>
          <t>Westport, Conn. : Greenwood Press, [1971, c1953]</t>
        </is>
      </c>
      <c r="M1256" t="inlineStr">
        <is>
          <t>1971</t>
        </is>
      </c>
      <c r="O1256" t="inlineStr">
        <is>
          <t>eng</t>
        </is>
      </c>
      <c r="P1256" t="inlineStr">
        <is>
          <t>ctu</t>
        </is>
      </c>
      <c r="Q1256" t="inlineStr">
        <is>
          <t>Makers of the American tradition series</t>
        </is>
      </c>
      <c r="R1256" t="inlineStr">
        <is>
          <t xml:space="preserve">E  </t>
        </is>
      </c>
      <c r="S1256" t="n">
        <v>14</v>
      </c>
      <c r="T1256" t="n">
        <v>14</v>
      </c>
      <c r="U1256" t="inlineStr">
        <is>
          <t>1999-04-06</t>
        </is>
      </c>
      <c r="V1256" t="inlineStr">
        <is>
          <t>1999-04-06</t>
        </is>
      </c>
      <c r="W1256" t="inlineStr">
        <is>
          <t>1990-04-18</t>
        </is>
      </c>
      <c r="X1256" t="inlineStr">
        <is>
          <t>1990-04-18</t>
        </is>
      </c>
      <c r="Y1256" t="n">
        <v>195</v>
      </c>
      <c r="Z1256" t="n">
        <v>178</v>
      </c>
      <c r="AA1256" t="n">
        <v>783</v>
      </c>
      <c r="AB1256" t="n">
        <v>3</v>
      </c>
      <c r="AC1256" t="n">
        <v>9</v>
      </c>
      <c r="AD1256" t="n">
        <v>4</v>
      </c>
      <c r="AE1256" t="n">
        <v>42</v>
      </c>
      <c r="AF1256" t="n">
        <v>1</v>
      </c>
      <c r="AG1256" t="n">
        <v>12</v>
      </c>
      <c r="AH1256" t="n">
        <v>1</v>
      </c>
      <c r="AI1256" t="n">
        <v>10</v>
      </c>
      <c r="AJ1256" t="n">
        <v>1</v>
      </c>
      <c r="AK1256" t="n">
        <v>16</v>
      </c>
      <c r="AL1256" t="n">
        <v>2</v>
      </c>
      <c r="AM1256" t="n">
        <v>7</v>
      </c>
      <c r="AN1256" t="n">
        <v>0</v>
      </c>
      <c r="AO1256" t="n">
        <v>6</v>
      </c>
      <c r="AP1256" t="inlineStr">
        <is>
          <t>No</t>
        </is>
      </c>
      <c r="AQ1256" t="inlineStr">
        <is>
          <t>No</t>
        </is>
      </c>
      <c r="AS1256">
        <f>HYPERLINK("https://creighton-primo.hosted.exlibrisgroup.com/primo-explore/search?tab=default_tab&amp;search_scope=EVERYTHING&amp;vid=01CRU&amp;lang=en_US&amp;offset=0&amp;query=any,contains,991000895769702656","Catalog Record")</f>
        <v/>
      </c>
      <c r="AT1256">
        <f>HYPERLINK("http://www.worldcat.org/oclc/155934","WorldCat Record")</f>
        <v/>
      </c>
      <c r="AU1256" t="inlineStr">
        <is>
          <t>500337:eng</t>
        </is>
      </c>
      <c r="AV1256" t="inlineStr">
        <is>
          <t>155934</t>
        </is>
      </c>
      <c r="AW1256" t="inlineStr">
        <is>
          <t>991000895769702656</t>
        </is>
      </c>
      <c r="AX1256" t="inlineStr">
        <is>
          <t>991000895769702656</t>
        </is>
      </c>
      <c r="AY1256" t="inlineStr">
        <is>
          <t>2256708530002656</t>
        </is>
      </c>
      <c r="AZ1256" t="inlineStr">
        <is>
          <t>BOOK</t>
        </is>
      </c>
      <c r="BB1256" t="inlineStr">
        <is>
          <t>9780837158020</t>
        </is>
      </c>
      <c r="BC1256" t="inlineStr">
        <is>
          <t>32285000116334</t>
        </is>
      </c>
      <c r="BD1256" t="inlineStr">
        <is>
          <t>893589835</t>
        </is>
      </c>
    </row>
    <row r="1257">
      <c r="A1257" t="inlineStr">
        <is>
          <t>No</t>
        </is>
      </c>
      <c r="B1257" t="inlineStr">
        <is>
          <t>E382 .W24</t>
        </is>
      </c>
      <c r="C1257" t="inlineStr">
        <is>
          <t>0                      E  0382000W  24</t>
        </is>
      </c>
      <c r="D1257" t="inlineStr">
        <is>
          <t>Andrew Jackson, symbol for an age.</t>
        </is>
      </c>
      <c r="F1257" t="inlineStr">
        <is>
          <t>No</t>
        </is>
      </c>
      <c r="G1257" t="inlineStr">
        <is>
          <t>1</t>
        </is>
      </c>
      <c r="H1257" t="inlineStr">
        <is>
          <t>No</t>
        </is>
      </c>
      <c r="I1257" t="inlineStr">
        <is>
          <t>No</t>
        </is>
      </c>
      <c r="J1257" t="inlineStr">
        <is>
          <t>0</t>
        </is>
      </c>
      <c r="K1257" t="inlineStr">
        <is>
          <t>Ward, John William, 1922-1985.</t>
        </is>
      </c>
      <c r="L1257" t="inlineStr">
        <is>
          <t>New York, Oxford University Press, 1955.</t>
        </is>
      </c>
      <c r="M1257" t="inlineStr">
        <is>
          <t>1955</t>
        </is>
      </c>
      <c r="O1257" t="inlineStr">
        <is>
          <t>eng</t>
        </is>
      </c>
      <c r="P1257" t="inlineStr">
        <is>
          <t>nyu</t>
        </is>
      </c>
      <c r="R1257" t="inlineStr">
        <is>
          <t xml:space="preserve">E  </t>
        </is>
      </c>
      <c r="S1257" t="n">
        <v>3</v>
      </c>
      <c r="T1257" t="n">
        <v>3</v>
      </c>
      <c r="U1257" t="inlineStr">
        <is>
          <t>1999-04-06</t>
        </is>
      </c>
      <c r="V1257" t="inlineStr">
        <is>
          <t>1999-04-06</t>
        </is>
      </c>
      <c r="W1257" t="inlineStr">
        <is>
          <t>1997-04-15</t>
        </is>
      </c>
      <c r="X1257" t="inlineStr">
        <is>
          <t>1997-04-15</t>
        </is>
      </c>
      <c r="Y1257" t="n">
        <v>1389</v>
      </c>
      <c r="Z1257" t="n">
        <v>1288</v>
      </c>
      <c r="AA1257" t="n">
        <v>1604</v>
      </c>
      <c r="AB1257" t="n">
        <v>10</v>
      </c>
      <c r="AC1257" t="n">
        <v>14</v>
      </c>
      <c r="AD1257" t="n">
        <v>50</v>
      </c>
      <c r="AE1257" t="n">
        <v>58</v>
      </c>
      <c r="AF1257" t="n">
        <v>21</v>
      </c>
      <c r="AG1257" t="n">
        <v>25</v>
      </c>
      <c r="AH1257" t="n">
        <v>10</v>
      </c>
      <c r="AI1257" t="n">
        <v>11</v>
      </c>
      <c r="AJ1257" t="n">
        <v>22</v>
      </c>
      <c r="AK1257" t="n">
        <v>25</v>
      </c>
      <c r="AL1257" t="n">
        <v>8</v>
      </c>
      <c r="AM1257" t="n">
        <v>10</v>
      </c>
      <c r="AN1257" t="n">
        <v>0</v>
      </c>
      <c r="AO1257" t="n">
        <v>0</v>
      </c>
      <c r="AP1257" t="inlineStr">
        <is>
          <t>No</t>
        </is>
      </c>
      <c r="AQ1257" t="inlineStr">
        <is>
          <t>Yes</t>
        </is>
      </c>
      <c r="AR1257">
        <f>HYPERLINK("http://catalog.hathitrust.org/Record/000406036","HathiTrust Record")</f>
        <v/>
      </c>
      <c r="AS1257">
        <f>HYPERLINK("https://creighton-primo.hosted.exlibrisgroup.com/primo-explore/search?tab=default_tab&amp;search_scope=EVERYTHING&amp;vid=01CRU&amp;lang=en_US&amp;offset=0&amp;query=any,contains,991001023999702656","Catalog Record")</f>
        <v/>
      </c>
      <c r="AT1257">
        <f>HYPERLINK("http://www.worldcat.org/oclc/174290","WorldCat Record")</f>
        <v/>
      </c>
      <c r="AU1257" t="inlineStr">
        <is>
          <t>368107206:eng</t>
        </is>
      </c>
      <c r="AV1257" t="inlineStr">
        <is>
          <t>174290</t>
        </is>
      </c>
      <c r="AW1257" t="inlineStr">
        <is>
          <t>991001023999702656</t>
        </is>
      </c>
      <c r="AX1257" t="inlineStr">
        <is>
          <t>991001023999702656</t>
        </is>
      </c>
      <c r="AY1257" t="inlineStr">
        <is>
          <t>2266576720002656</t>
        </is>
      </c>
      <c r="AZ1257" t="inlineStr">
        <is>
          <t>BOOK</t>
        </is>
      </c>
      <c r="BC1257" t="inlineStr">
        <is>
          <t>32285002534310</t>
        </is>
      </c>
      <c r="BD1257" t="inlineStr">
        <is>
          <t>893426261</t>
        </is>
      </c>
    </row>
    <row r="1258">
      <c r="A1258" t="inlineStr">
        <is>
          <t>No</t>
        </is>
      </c>
      <c r="B1258" t="inlineStr">
        <is>
          <t>E386 .A74 1983</t>
        </is>
      </c>
      <c r="C1258" t="inlineStr">
        <is>
          <t>0                      E  0386000A  74          1983</t>
        </is>
      </c>
      <c r="D1258" t="inlineStr">
        <is>
          <t>"Agrarians" &amp; "aristocrats" : party political ideology in the United States, 1837-1846 / John Ashworth.</t>
        </is>
      </c>
      <c r="F1258" t="inlineStr">
        <is>
          <t>No</t>
        </is>
      </c>
      <c r="G1258" t="inlineStr">
        <is>
          <t>1</t>
        </is>
      </c>
      <c r="H1258" t="inlineStr">
        <is>
          <t>No</t>
        </is>
      </c>
      <c r="I1258" t="inlineStr">
        <is>
          <t>No</t>
        </is>
      </c>
      <c r="J1258" t="inlineStr">
        <is>
          <t>0</t>
        </is>
      </c>
      <c r="K1258" t="inlineStr">
        <is>
          <t>Ashworth, John.</t>
        </is>
      </c>
      <c r="L1258" t="inlineStr">
        <is>
          <t>London : Royal Historical Society ; New Jersey : Humanities Press, 1983.</t>
        </is>
      </c>
      <c r="M1258" t="inlineStr">
        <is>
          <t>1983</t>
        </is>
      </c>
      <c r="O1258" t="inlineStr">
        <is>
          <t>eng</t>
        </is>
      </c>
      <c r="P1258" t="inlineStr">
        <is>
          <t>enk</t>
        </is>
      </c>
      <c r="Q1258" t="inlineStr">
        <is>
          <t>Royal Historical Society studies in history series ; no. 37</t>
        </is>
      </c>
      <c r="R1258" t="inlineStr">
        <is>
          <t xml:space="preserve">E  </t>
        </is>
      </c>
      <c r="S1258" t="n">
        <v>1</v>
      </c>
      <c r="T1258" t="n">
        <v>1</v>
      </c>
      <c r="U1258" t="inlineStr">
        <is>
          <t>2004-11-18</t>
        </is>
      </c>
      <c r="V1258" t="inlineStr">
        <is>
          <t>2004-11-18</t>
        </is>
      </c>
      <c r="W1258" t="inlineStr">
        <is>
          <t>1990-06-21</t>
        </is>
      </c>
      <c r="X1258" t="inlineStr">
        <is>
          <t>1990-06-21</t>
        </is>
      </c>
      <c r="Y1258" t="n">
        <v>309</v>
      </c>
      <c r="Z1258" t="n">
        <v>215</v>
      </c>
      <c r="AA1258" t="n">
        <v>343</v>
      </c>
      <c r="AB1258" t="n">
        <v>2</v>
      </c>
      <c r="AC1258" t="n">
        <v>2</v>
      </c>
      <c r="AD1258" t="n">
        <v>11</v>
      </c>
      <c r="AE1258" t="n">
        <v>18</v>
      </c>
      <c r="AF1258" t="n">
        <v>3</v>
      </c>
      <c r="AG1258" t="n">
        <v>6</v>
      </c>
      <c r="AH1258" t="n">
        <v>4</v>
      </c>
      <c r="AI1258" t="n">
        <v>4</v>
      </c>
      <c r="AJ1258" t="n">
        <v>8</v>
      </c>
      <c r="AK1258" t="n">
        <v>14</v>
      </c>
      <c r="AL1258" t="n">
        <v>1</v>
      </c>
      <c r="AM1258" t="n">
        <v>1</v>
      </c>
      <c r="AN1258" t="n">
        <v>0</v>
      </c>
      <c r="AO1258" t="n">
        <v>1</v>
      </c>
      <c r="AP1258" t="inlineStr">
        <is>
          <t>No</t>
        </is>
      </c>
      <c r="AQ1258" t="inlineStr">
        <is>
          <t>Yes</t>
        </is>
      </c>
      <c r="AR1258">
        <f>HYPERLINK("http://catalog.hathitrust.org/Record/000780126","HathiTrust Record")</f>
        <v/>
      </c>
      <c r="AS1258">
        <f>HYPERLINK("https://creighton-primo.hosted.exlibrisgroup.com/primo-explore/search?tab=default_tab&amp;search_scope=EVERYTHING&amp;vid=01CRU&amp;lang=en_US&amp;offset=0&amp;query=any,contains,991000516419702656","Catalog Record")</f>
        <v/>
      </c>
      <c r="AT1258">
        <f>HYPERLINK("http://www.worldcat.org/oclc/11290416","WorldCat Record")</f>
        <v/>
      </c>
      <c r="AU1258" t="inlineStr">
        <is>
          <t>9789498:eng</t>
        </is>
      </c>
      <c r="AV1258" t="inlineStr">
        <is>
          <t>11290416</t>
        </is>
      </c>
      <c r="AW1258" t="inlineStr">
        <is>
          <t>991000516419702656</t>
        </is>
      </c>
      <c r="AX1258" t="inlineStr">
        <is>
          <t>991000516419702656</t>
        </is>
      </c>
      <c r="AY1258" t="inlineStr">
        <is>
          <t>2264186530002656</t>
        </is>
      </c>
      <c r="AZ1258" t="inlineStr">
        <is>
          <t>BOOK</t>
        </is>
      </c>
      <c r="BB1258" t="inlineStr">
        <is>
          <t>9780391029262</t>
        </is>
      </c>
      <c r="BC1258" t="inlineStr">
        <is>
          <t>32285000210954</t>
        </is>
      </c>
      <c r="BD1258" t="inlineStr">
        <is>
          <t>893714656</t>
        </is>
      </c>
    </row>
    <row r="1259">
      <c r="A1259" t="inlineStr">
        <is>
          <t>No</t>
        </is>
      </c>
      <c r="B1259" t="inlineStr">
        <is>
          <t>E387 .S59 1972</t>
        </is>
      </c>
      <c r="C1259" t="inlineStr">
        <is>
          <t>0                      E  0387000S  59          1972</t>
        </is>
      </c>
      <c r="D1259" t="inlineStr">
        <is>
          <t>Martin Van Buren / by Edward M. Shepard.</t>
        </is>
      </c>
      <c r="F1259" t="inlineStr">
        <is>
          <t>No</t>
        </is>
      </c>
      <c r="G1259" t="inlineStr">
        <is>
          <t>1</t>
        </is>
      </c>
      <c r="H1259" t="inlineStr">
        <is>
          <t>No</t>
        </is>
      </c>
      <c r="I1259" t="inlineStr">
        <is>
          <t>No</t>
        </is>
      </c>
      <c r="J1259" t="inlineStr">
        <is>
          <t>0</t>
        </is>
      </c>
      <c r="K1259" t="inlineStr">
        <is>
          <t>Shepard, Edward Morse, 1850-1911.</t>
        </is>
      </c>
      <c r="L1259" t="inlineStr">
        <is>
          <t>[New York : AMS Press, 1972]</t>
        </is>
      </c>
      <c r="M1259" t="inlineStr">
        <is>
          <t>1972</t>
        </is>
      </c>
      <c r="O1259" t="inlineStr">
        <is>
          <t>eng</t>
        </is>
      </c>
      <c r="P1259" t="inlineStr">
        <is>
          <t>nyu</t>
        </is>
      </c>
      <c r="Q1259" t="inlineStr">
        <is>
          <t>American statesmen ; v. 18</t>
        </is>
      </c>
      <c r="R1259" t="inlineStr">
        <is>
          <t xml:space="preserve">E  </t>
        </is>
      </c>
      <c r="S1259" t="n">
        <v>3</v>
      </c>
      <c r="T1259" t="n">
        <v>3</v>
      </c>
      <c r="U1259" t="inlineStr">
        <is>
          <t>1999-07-13</t>
        </is>
      </c>
      <c r="V1259" t="inlineStr">
        <is>
          <t>1999-07-13</t>
        </is>
      </c>
      <c r="W1259" t="inlineStr">
        <is>
          <t>1991-04-22</t>
        </is>
      </c>
      <c r="X1259" t="inlineStr">
        <is>
          <t>1991-04-22</t>
        </is>
      </c>
      <c r="Y1259" t="n">
        <v>82</v>
      </c>
      <c r="Z1259" t="n">
        <v>73</v>
      </c>
      <c r="AA1259" t="n">
        <v>1248</v>
      </c>
      <c r="AB1259" t="n">
        <v>3</v>
      </c>
      <c r="AC1259" t="n">
        <v>14</v>
      </c>
      <c r="AD1259" t="n">
        <v>2</v>
      </c>
      <c r="AE1259" t="n">
        <v>76</v>
      </c>
      <c r="AF1259" t="n">
        <v>1</v>
      </c>
      <c r="AG1259" t="n">
        <v>24</v>
      </c>
      <c r="AH1259" t="n">
        <v>0</v>
      </c>
      <c r="AI1259" t="n">
        <v>8</v>
      </c>
      <c r="AJ1259" t="n">
        <v>1</v>
      </c>
      <c r="AK1259" t="n">
        <v>25</v>
      </c>
      <c r="AL1259" t="n">
        <v>1</v>
      </c>
      <c r="AM1259" t="n">
        <v>10</v>
      </c>
      <c r="AN1259" t="n">
        <v>0</v>
      </c>
      <c r="AO1259" t="n">
        <v>22</v>
      </c>
      <c r="AP1259" t="inlineStr">
        <is>
          <t>No</t>
        </is>
      </c>
      <c r="AQ1259" t="inlineStr">
        <is>
          <t>No</t>
        </is>
      </c>
      <c r="AS1259">
        <f>HYPERLINK("https://creighton-primo.hosted.exlibrisgroup.com/primo-explore/search?tab=default_tab&amp;search_scope=EVERYTHING&amp;vid=01CRU&amp;lang=en_US&amp;offset=0&amp;query=any,contains,991001287999702656","Catalog Record")</f>
        <v/>
      </c>
      <c r="AT1259">
        <f>HYPERLINK("http://www.worldcat.org/oclc/217126","WorldCat Record")</f>
        <v/>
      </c>
      <c r="AU1259" t="inlineStr">
        <is>
          <t>475674:eng</t>
        </is>
      </c>
      <c r="AV1259" t="inlineStr">
        <is>
          <t>217126</t>
        </is>
      </c>
      <c r="AW1259" t="inlineStr">
        <is>
          <t>991001287999702656</t>
        </is>
      </c>
      <c r="AX1259" t="inlineStr">
        <is>
          <t>991001287999702656</t>
        </is>
      </c>
      <c r="AY1259" t="inlineStr">
        <is>
          <t>2259442190002656</t>
        </is>
      </c>
      <c r="AZ1259" t="inlineStr">
        <is>
          <t>BOOK</t>
        </is>
      </c>
      <c r="BB1259" t="inlineStr">
        <is>
          <t>9780404508685</t>
        </is>
      </c>
      <c r="BC1259" t="inlineStr">
        <is>
          <t>32285000543826</t>
        </is>
      </c>
      <c r="BD1259" t="inlineStr">
        <is>
          <t>893244018</t>
        </is>
      </c>
    </row>
    <row r="1260">
      <c r="A1260" t="inlineStr">
        <is>
          <t>No</t>
        </is>
      </c>
      <c r="B1260" t="inlineStr">
        <is>
          <t>E396 .M6 1974</t>
        </is>
      </c>
      <c r="C1260" t="inlineStr">
        <is>
          <t>0                      E  0396000M  6           1974</t>
        </is>
      </c>
      <c r="D1260" t="inlineStr">
        <is>
          <t>A Whig embattled : the Presidency under John Tyler / by Robert J. Morgan. With a new pref. by the author.</t>
        </is>
      </c>
      <c r="F1260" t="inlineStr">
        <is>
          <t>No</t>
        </is>
      </c>
      <c r="G1260" t="inlineStr">
        <is>
          <t>1</t>
        </is>
      </c>
      <c r="H1260" t="inlineStr">
        <is>
          <t>No</t>
        </is>
      </c>
      <c r="I1260" t="inlineStr">
        <is>
          <t>No</t>
        </is>
      </c>
      <c r="J1260" t="inlineStr">
        <is>
          <t>0</t>
        </is>
      </c>
      <c r="K1260" t="inlineStr">
        <is>
          <t>Morgan, Robert J.</t>
        </is>
      </c>
      <c r="L1260" t="inlineStr">
        <is>
          <t>Hamden, Conn. : Archon Books, 1974.</t>
        </is>
      </c>
      <c r="M1260" t="inlineStr">
        <is>
          <t>1974</t>
        </is>
      </c>
      <c r="O1260" t="inlineStr">
        <is>
          <t>eng</t>
        </is>
      </c>
      <c r="P1260" t="inlineStr">
        <is>
          <t>ctu</t>
        </is>
      </c>
      <c r="R1260" t="inlineStr">
        <is>
          <t xml:space="preserve">E  </t>
        </is>
      </c>
      <c r="S1260" t="n">
        <v>1</v>
      </c>
      <c r="T1260" t="n">
        <v>1</v>
      </c>
      <c r="U1260" t="inlineStr">
        <is>
          <t>2002-04-16</t>
        </is>
      </c>
      <c r="V1260" t="inlineStr">
        <is>
          <t>2002-04-16</t>
        </is>
      </c>
      <c r="W1260" t="inlineStr">
        <is>
          <t>1991-04-22</t>
        </is>
      </c>
      <c r="X1260" t="inlineStr">
        <is>
          <t>1991-04-22</t>
        </is>
      </c>
      <c r="Y1260" t="n">
        <v>191</v>
      </c>
      <c r="Z1260" t="n">
        <v>178</v>
      </c>
      <c r="AA1260" t="n">
        <v>629</v>
      </c>
      <c r="AB1260" t="n">
        <v>2</v>
      </c>
      <c r="AC1260" t="n">
        <v>6</v>
      </c>
      <c r="AD1260" t="n">
        <v>10</v>
      </c>
      <c r="AE1260" t="n">
        <v>30</v>
      </c>
      <c r="AF1260" t="n">
        <v>6</v>
      </c>
      <c r="AG1260" t="n">
        <v>11</v>
      </c>
      <c r="AH1260" t="n">
        <v>3</v>
      </c>
      <c r="AI1260" t="n">
        <v>7</v>
      </c>
      <c r="AJ1260" t="n">
        <v>3</v>
      </c>
      <c r="AK1260" t="n">
        <v>15</v>
      </c>
      <c r="AL1260" t="n">
        <v>1</v>
      </c>
      <c r="AM1260" t="n">
        <v>5</v>
      </c>
      <c r="AN1260" t="n">
        <v>0</v>
      </c>
      <c r="AO1260" t="n">
        <v>0</v>
      </c>
      <c r="AP1260" t="inlineStr">
        <is>
          <t>No</t>
        </is>
      </c>
      <c r="AQ1260" t="inlineStr">
        <is>
          <t>Yes</t>
        </is>
      </c>
      <c r="AR1260">
        <f>HYPERLINK("http://catalog.hathitrust.org/Record/007042383","HathiTrust Record")</f>
        <v/>
      </c>
      <c r="AS1260">
        <f>HYPERLINK("https://creighton-primo.hosted.exlibrisgroup.com/primo-explore/search?tab=default_tab&amp;search_scope=EVERYTHING&amp;vid=01CRU&amp;lang=en_US&amp;offset=0&amp;query=any,contains,991003289699702656","Catalog Record")</f>
        <v/>
      </c>
      <c r="AT1260">
        <f>HYPERLINK("http://www.worldcat.org/oclc/811107","WorldCat Record")</f>
        <v/>
      </c>
      <c r="AU1260" t="inlineStr">
        <is>
          <t>417579:eng</t>
        </is>
      </c>
      <c r="AV1260" t="inlineStr">
        <is>
          <t>811107</t>
        </is>
      </c>
      <c r="AW1260" t="inlineStr">
        <is>
          <t>991003289699702656</t>
        </is>
      </c>
      <c r="AX1260" t="inlineStr">
        <is>
          <t>991003289699702656</t>
        </is>
      </c>
      <c r="AY1260" t="inlineStr">
        <is>
          <t>2269382280002656</t>
        </is>
      </c>
      <c r="AZ1260" t="inlineStr">
        <is>
          <t>BOOK</t>
        </is>
      </c>
      <c r="BB1260" t="inlineStr">
        <is>
          <t>9780208014283</t>
        </is>
      </c>
      <c r="BC1260" t="inlineStr">
        <is>
          <t>32285000543842</t>
        </is>
      </c>
      <c r="BD1260" t="inlineStr">
        <is>
          <t>893330170</t>
        </is>
      </c>
    </row>
    <row r="1261">
      <c r="A1261" t="inlineStr">
        <is>
          <t>No</t>
        </is>
      </c>
      <c r="B1261" t="inlineStr">
        <is>
          <t>E397 .S4</t>
        </is>
      </c>
      <c r="C1261" t="inlineStr">
        <is>
          <t>0                      E  0397000S  4</t>
        </is>
      </c>
      <c r="D1261" t="inlineStr">
        <is>
          <t>And Tyler too; a biography of John &amp; Julia Gardiner Tyler.</t>
        </is>
      </c>
      <c r="F1261" t="inlineStr">
        <is>
          <t>No</t>
        </is>
      </c>
      <c r="G1261" t="inlineStr">
        <is>
          <t>1</t>
        </is>
      </c>
      <c r="H1261" t="inlineStr">
        <is>
          <t>No</t>
        </is>
      </c>
      <c r="I1261" t="inlineStr">
        <is>
          <t>No</t>
        </is>
      </c>
      <c r="J1261" t="inlineStr">
        <is>
          <t>0</t>
        </is>
      </c>
      <c r="K1261" t="inlineStr">
        <is>
          <t>Seager, Robert, 1924-2004.</t>
        </is>
      </c>
      <c r="L1261" t="inlineStr">
        <is>
          <t>New York, McGraw-Hill [1963]</t>
        </is>
      </c>
      <c r="M1261" t="inlineStr">
        <is>
          <t>1963</t>
        </is>
      </c>
      <c r="N1261" t="inlineStr">
        <is>
          <t>[1st ed.]</t>
        </is>
      </c>
      <c r="O1261" t="inlineStr">
        <is>
          <t>eng</t>
        </is>
      </c>
      <c r="P1261" t="inlineStr">
        <is>
          <t>nyu</t>
        </is>
      </c>
      <c r="R1261" t="inlineStr">
        <is>
          <t xml:space="preserve">E  </t>
        </is>
      </c>
      <c r="S1261" t="n">
        <v>2</v>
      </c>
      <c r="T1261" t="n">
        <v>2</v>
      </c>
      <c r="U1261" t="inlineStr">
        <is>
          <t>2004-11-18</t>
        </is>
      </c>
      <c r="V1261" t="inlineStr">
        <is>
          <t>2004-11-18</t>
        </is>
      </c>
      <c r="W1261" t="inlineStr">
        <is>
          <t>1997-04-15</t>
        </is>
      </c>
      <c r="X1261" t="inlineStr">
        <is>
          <t>1997-04-15</t>
        </is>
      </c>
      <c r="Y1261" t="n">
        <v>909</v>
      </c>
      <c r="Z1261" t="n">
        <v>874</v>
      </c>
      <c r="AA1261" t="n">
        <v>940</v>
      </c>
      <c r="AB1261" t="n">
        <v>12</v>
      </c>
      <c r="AC1261" t="n">
        <v>13</v>
      </c>
      <c r="AD1261" t="n">
        <v>34</v>
      </c>
      <c r="AE1261" t="n">
        <v>35</v>
      </c>
      <c r="AF1261" t="n">
        <v>17</v>
      </c>
      <c r="AG1261" t="n">
        <v>17</v>
      </c>
      <c r="AH1261" t="n">
        <v>5</v>
      </c>
      <c r="AI1261" t="n">
        <v>6</v>
      </c>
      <c r="AJ1261" t="n">
        <v>12</v>
      </c>
      <c r="AK1261" t="n">
        <v>13</v>
      </c>
      <c r="AL1261" t="n">
        <v>8</v>
      </c>
      <c r="AM1261" t="n">
        <v>8</v>
      </c>
      <c r="AN1261" t="n">
        <v>0</v>
      </c>
      <c r="AO1261" t="n">
        <v>0</v>
      </c>
      <c r="AP1261" t="inlineStr">
        <is>
          <t>No</t>
        </is>
      </c>
      <c r="AQ1261" t="inlineStr">
        <is>
          <t>Yes</t>
        </is>
      </c>
      <c r="AR1261">
        <f>HYPERLINK("http://catalog.hathitrust.org/Record/000406369","HathiTrust Record")</f>
        <v/>
      </c>
      <c r="AS1261">
        <f>HYPERLINK("https://creighton-primo.hosted.exlibrisgroup.com/primo-explore/search?tab=default_tab&amp;search_scope=EVERYTHING&amp;vid=01CRU&amp;lang=en_US&amp;offset=0&amp;query=any,contains,991002751609702656","Catalog Record")</f>
        <v/>
      </c>
      <c r="AT1261">
        <f>HYPERLINK("http://www.worldcat.org/oclc/424866","WorldCat Record")</f>
        <v/>
      </c>
      <c r="AU1261" t="inlineStr">
        <is>
          <t>905893637:eng</t>
        </is>
      </c>
      <c r="AV1261" t="inlineStr">
        <is>
          <t>424866</t>
        </is>
      </c>
      <c r="AW1261" t="inlineStr">
        <is>
          <t>991002751609702656</t>
        </is>
      </c>
      <c r="AX1261" t="inlineStr">
        <is>
          <t>991002751609702656</t>
        </is>
      </c>
      <c r="AY1261" t="inlineStr">
        <is>
          <t>2268382260002656</t>
        </is>
      </c>
      <c r="AZ1261" t="inlineStr">
        <is>
          <t>BOOK</t>
        </is>
      </c>
      <c r="BC1261" t="inlineStr">
        <is>
          <t>32285002534443</t>
        </is>
      </c>
      <c r="BD1261" t="inlineStr">
        <is>
          <t>893622676</t>
        </is>
      </c>
    </row>
    <row r="1262">
      <c r="A1262" t="inlineStr">
        <is>
          <t>No</t>
        </is>
      </c>
      <c r="B1262" t="inlineStr">
        <is>
          <t>E40 .I54 1996</t>
        </is>
      </c>
      <c r="C1262" t="inlineStr">
        <is>
          <t>0                      E  0040000I  54          1996</t>
        </is>
      </c>
      <c r="D1262" t="inlineStr">
        <is>
          <t>The North American trajectory : cultural, economic, and political ties among the United States, Canada, and Mexico / Ronald Inglehart, Neil Nevitte, and Miguel Basañez.</t>
        </is>
      </c>
      <c r="F1262" t="inlineStr">
        <is>
          <t>No</t>
        </is>
      </c>
      <c r="G1262" t="inlineStr">
        <is>
          <t>1</t>
        </is>
      </c>
      <c r="H1262" t="inlineStr">
        <is>
          <t>No</t>
        </is>
      </c>
      <c r="I1262" t="inlineStr">
        <is>
          <t>No</t>
        </is>
      </c>
      <c r="J1262" t="inlineStr">
        <is>
          <t>0</t>
        </is>
      </c>
      <c r="K1262" t="inlineStr">
        <is>
          <t>Inglehart, Ronald.</t>
        </is>
      </c>
      <c r="L1262" t="inlineStr">
        <is>
          <t>New York : Aldine de Gruyter, c1996.</t>
        </is>
      </c>
      <c r="M1262" t="inlineStr">
        <is>
          <t>1996</t>
        </is>
      </c>
      <c r="O1262" t="inlineStr">
        <is>
          <t>eng</t>
        </is>
      </c>
      <c r="P1262" t="inlineStr">
        <is>
          <t>nyu</t>
        </is>
      </c>
      <c r="Q1262" t="inlineStr">
        <is>
          <t>Social institutions and social change</t>
        </is>
      </c>
      <c r="R1262" t="inlineStr">
        <is>
          <t xml:space="preserve">E  </t>
        </is>
      </c>
      <c r="S1262" t="n">
        <v>5</v>
      </c>
      <c r="T1262" t="n">
        <v>5</v>
      </c>
      <c r="U1262" t="inlineStr">
        <is>
          <t>1997-02-05</t>
        </is>
      </c>
      <c r="V1262" t="inlineStr">
        <is>
          <t>1997-02-05</t>
        </is>
      </c>
      <c r="W1262" t="inlineStr">
        <is>
          <t>1996-10-03</t>
        </is>
      </c>
      <c r="X1262" t="inlineStr">
        <is>
          <t>1996-10-03</t>
        </is>
      </c>
      <c r="Y1262" t="n">
        <v>451</v>
      </c>
      <c r="Z1262" t="n">
        <v>375</v>
      </c>
      <c r="AA1262" t="n">
        <v>396</v>
      </c>
      <c r="AB1262" t="n">
        <v>3</v>
      </c>
      <c r="AC1262" t="n">
        <v>3</v>
      </c>
      <c r="AD1262" t="n">
        <v>20</v>
      </c>
      <c r="AE1262" t="n">
        <v>20</v>
      </c>
      <c r="AF1262" t="n">
        <v>6</v>
      </c>
      <c r="AG1262" t="n">
        <v>6</v>
      </c>
      <c r="AH1262" t="n">
        <v>6</v>
      </c>
      <c r="AI1262" t="n">
        <v>6</v>
      </c>
      <c r="AJ1262" t="n">
        <v>13</v>
      </c>
      <c r="AK1262" t="n">
        <v>13</v>
      </c>
      <c r="AL1262" t="n">
        <v>2</v>
      </c>
      <c r="AM1262" t="n">
        <v>2</v>
      </c>
      <c r="AN1262" t="n">
        <v>0</v>
      </c>
      <c r="AO1262" t="n">
        <v>0</v>
      </c>
      <c r="AP1262" t="inlineStr">
        <is>
          <t>No</t>
        </is>
      </c>
      <c r="AQ1262" t="inlineStr">
        <is>
          <t>No</t>
        </is>
      </c>
      <c r="AS1262">
        <f>HYPERLINK("https://creighton-primo.hosted.exlibrisgroup.com/primo-explore/search?tab=default_tab&amp;search_scope=EVERYTHING&amp;vid=01CRU&amp;lang=en_US&amp;offset=0&amp;query=any,contains,991002656179702656","Catalog Record")</f>
        <v/>
      </c>
      <c r="AT1262">
        <f>HYPERLINK("http://www.worldcat.org/oclc/34730404","WorldCat Record")</f>
        <v/>
      </c>
      <c r="AU1262" t="inlineStr">
        <is>
          <t>807330991:eng</t>
        </is>
      </c>
      <c r="AV1262" t="inlineStr">
        <is>
          <t>34730404</t>
        </is>
      </c>
      <c r="AW1262" t="inlineStr">
        <is>
          <t>991002656179702656</t>
        </is>
      </c>
      <c r="AX1262" t="inlineStr">
        <is>
          <t>991002656179702656</t>
        </is>
      </c>
      <c r="AY1262" t="inlineStr">
        <is>
          <t>2270509640002656</t>
        </is>
      </c>
      <c r="AZ1262" t="inlineStr">
        <is>
          <t>BOOK</t>
        </is>
      </c>
      <c r="BB1262" t="inlineStr">
        <is>
          <t>9780202305561</t>
        </is>
      </c>
      <c r="BC1262" t="inlineStr">
        <is>
          <t>32285002322773</t>
        </is>
      </c>
      <c r="BD1262" t="inlineStr">
        <is>
          <t>893352448</t>
        </is>
      </c>
    </row>
    <row r="1263">
      <c r="A1263" t="inlineStr">
        <is>
          <t>No</t>
        </is>
      </c>
      <c r="B1263" t="inlineStr">
        <is>
          <t>E40.5 .H83 2002</t>
        </is>
      </c>
      <c r="C1263" t="inlineStr">
        <is>
          <t>0                      E  0040500H  83          2002</t>
        </is>
      </c>
      <c r="D1263" t="inlineStr">
        <is>
          <t>Across this land : a regional geography of the United States and Canada / John C. Hudson.</t>
        </is>
      </c>
      <c r="F1263" t="inlineStr">
        <is>
          <t>No</t>
        </is>
      </c>
      <c r="G1263" t="inlineStr">
        <is>
          <t>1</t>
        </is>
      </c>
      <c r="H1263" t="inlineStr">
        <is>
          <t>No</t>
        </is>
      </c>
      <c r="I1263" t="inlineStr">
        <is>
          <t>No</t>
        </is>
      </c>
      <c r="J1263" t="inlineStr">
        <is>
          <t>0</t>
        </is>
      </c>
      <c r="K1263" t="inlineStr">
        <is>
          <t>Hudson, John C.</t>
        </is>
      </c>
      <c r="L1263" t="inlineStr">
        <is>
          <t>Baltimore : Johns Hopkins University Press, c2002.</t>
        </is>
      </c>
      <c r="M1263" t="inlineStr">
        <is>
          <t>2002</t>
        </is>
      </c>
      <c r="O1263" t="inlineStr">
        <is>
          <t>eng</t>
        </is>
      </c>
      <c r="P1263" t="inlineStr">
        <is>
          <t>mdu</t>
        </is>
      </c>
      <c r="Q1263" t="inlineStr">
        <is>
          <t>Creating the North American landscape</t>
        </is>
      </c>
      <c r="R1263" t="inlineStr">
        <is>
          <t xml:space="preserve">E  </t>
        </is>
      </c>
      <c r="S1263" t="n">
        <v>2</v>
      </c>
      <c r="T1263" t="n">
        <v>2</v>
      </c>
      <c r="U1263" t="inlineStr">
        <is>
          <t>2005-08-09</t>
        </is>
      </c>
      <c r="V1263" t="inlineStr">
        <is>
          <t>2005-08-09</t>
        </is>
      </c>
      <c r="W1263" t="inlineStr">
        <is>
          <t>2002-10-08</t>
        </is>
      </c>
      <c r="X1263" t="inlineStr">
        <is>
          <t>2002-10-08</t>
        </is>
      </c>
      <c r="Y1263" t="n">
        <v>575</v>
      </c>
      <c r="Z1263" t="n">
        <v>482</v>
      </c>
      <c r="AA1263" t="n">
        <v>1118</v>
      </c>
      <c r="AB1263" t="n">
        <v>4</v>
      </c>
      <c r="AC1263" t="n">
        <v>29</v>
      </c>
      <c r="AD1263" t="n">
        <v>18</v>
      </c>
      <c r="AE1263" t="n">
        <v>46</v>
      </c>
      <c r="AF1263" t="n">
        <v>10</v>
      </c>
      <c r="AG1263" t="n">
        <v>16</v>
      </c>
      <c r="AH1263" t="n">
        <v>3</v>
      </c>
      <c r="AI1263" t="n">
        <v>9</v>
      </c>
      <c r="AJ1263" t="n">
        <v>8</v>
      </c>
      <c r="AK1263" t="n">
        <v>15</v>
      </c>
      <c r="AL1263" t="n">
        <v>2</v>
      </c>
      <c r="AM1263" t="n">
        <v>14</v>
      </c>
      <c r="AN1263" t="n">
        <v>0</v>
      </c>
      <c r="AO1263" t="n">
        <v>1</v>
      </c>
      <c r="AP1263" t="inlineStr">
        <is>
          <t>No</t>
        </is>
      </c>
      <c r="AQ1263" t="inlineStr">
        <is>
          <t>Yes</t>
        </is>
      </c>
      <c r="AR1263">
        <f>HYPERLINK("http://catalog.hathitrust.org/Record/004245859","HathiTrust Record")</f>
        <v/>
      </c>
      <c r="AS1263">
        <f>HYPERLINK("https://creighton-primo.hosted.exlibrisgroup.com/primo-explore/search?tab=default_tab&amp;search_scope=EVERYTHING&amp;vid=01CRU&amp;lang=en_US&amp;offset=0&amp;query=any,contains,991003863289702656","Catalog Record")</f>
        <v/>
      </c>
      <c r="AT1263">
        <f>HYPERLINK("http://www.worldcat.org/oclc/45066390","WorldCat Record")</f>
        <v/>
      </c>
      <c r="AU1263" t="inlineStr">
        <is>
          <t>793896824:eng</t>
        </is>
      </c>
      <c r="AV1263" t="inlineStr">
        <is>
          <t>45066390</t>
        </is>
      </c>
      <c r="AW1263" t="inlineStr">
        <is>
          <t>991003863289702656</t>
        </is>
      </c>
      <c r="AX1263" t="inlineStr">
        <is>
          <t>991003863289702656</t>
        </is>
      </c>
      <c r="AY1263" t="inlineStr">
        <is>
          <t>2270387180002656</t>
        </is>
      </c>
      <c r="AZ1263" t="inlineStr">
        <is>
          <t>BOOK</t>
        </is>
      </c>
      <c r="BB1263" t="inlineStr">
        <is>
          <t>9780801865671</t>
        </is>
      </c>
      <c r="BC1263" t="inlineStr">
        <is>
          <t>32285004653555</t>
        </is>
      </c>
      <c r="BD1263" t="inlineStr">
        <is>
          <t>893416896</t>
        </is>
      </c>
    </row>
    <row r="1264">
      <c r="A1264" t="inlineStr">
        <is>
          <t>No</t>
        </is>
      </c>
      <c r="B1264" t="inlineStr">
        <is>
          <t>E403.1.K2 C5</t>
        </is>
      </c>
      <c r="C1264" t="inlineStr">
        <is>
          <t>0                      E  0403100K  2                  C  5</t>
        </is>
      </c>
      <c r="D1264" t="inlineStr">
        <is>
          <t>Stephen Watts Kearny, soldier of the West.</t>
        </is>
      </c>
      <c r="F1264" t="inlineStr">
        <is>
          <t>No</t>
        </is>
      </c>
      <c r="G1264" t="inlineStr">
        <is>
          <t>1</t>
        </is>
      </c>
      <c r="H1264" t="inlineStr">
        <is>
          <t>No</t>
        </is>
      </c>
      <c r="I1264" t="inlineStr">
        <is>
          <t>No</t>
        </is>
      </c>
      <c r="J1264" t="inlineStr">
        <is>
          <t>0</t>
        </is>
      </c>
      <c r="K1264" t="inlineStr">
        <is>
          <t>Clarke, Dwight L. (Dwight Lancelot), 1885-1971.</t>
        </is>
      </c>
      <c r="L1264" t="inlineStr">
        <is>
          <t>Norman, University of Oklahoma Press, 1961.</t>
        </is>
      </c>
      <c r="M1264" t="inlineStr">
        <is>
          <t>1961</t>
        </is>
      </c>
      <c r="N1264" t="inlineStr">
        <is>
          <t>1st ed.</t>
        </is>
      </c>
      <c r="O1264" t="inlineStr">
        <is>
          <t>eng</t>
        </is>
      </c>
      <c r="P1264" t="inlineStr">
        <is>
          <t>oku</t>
        </is>
      </c>
      <c r="R1264" t="inlineStr">
        <is>
          <t xml:space="preserve">E  </t>
        </is>
      </c>
      <c r="S1264" t="n">
        <v>1</v>
      </c>
      <c r="T1264" t="n">
        <v>1</v>
      </c>
      <c r="U1264" t="inlineStr">
        <is>
          <t>1993-01-14</t>
        </is>
      </c>
      <c r="V1264" t="inlineStr">
        <is>
          <t>1993-01-14</t>
        </is>
      </c>
      <c r="W1264" t="inlineStr">
        <is>
          <t>1992-04-08</t>
        </is>
      </c>
      <c r="X1264" t="inlineStr">
        <is>
          <t>1992-04-08</t>
        </is>
      </c>
      <c r="Y1264" t="n">
        <v>612</v>
      </c>
      <c r="Z1264" t="n">
        <v>594</v>
      </c>
      <c r="AA1264" t="n">
        <v>595</v>
      </c>
      <c r="AB1264" t="n">
        <v>13</v>
      </c>
      <c r="AC1264" t="n">
        <v>13</v>
      </c>
      <c r="AD1264" t="n">
        <v>25</v>
      </c>
      <c r="AE1264" t="n">
        <v>25</v>
      </c>
      <c r="AF1264" t="n">
        <v>8</v>
      </c>
      <c r="AG1264" t="n">
        <v>8</v>
      </c>
      <c r="AH1264" t="n">
        <v>3</v>
      </c>
      <c r="AI1264" t="n">
        <v>3</v>
      </c>
      <c r="AJ1264" t="n">
        <v>9</v>
      </c>
      <c r="AK1264" t="n">
        <v>9</v>
      </c>
      <c r="AL1264" t="n">
        <v>8</v>
      </c>
      <c r="AM1264" t="n">
        <v>8</v>
      </c>
      <c r="AN1264" t="n">
        <v>1</v>
      </c>
      <c r="AO1264" t="n">
        <v>1</v>
      </c>
      <c r="AP1264" t="inlineStr">
        <is>
          <t>No</t>
        </is>
      </c>
      <c r="AQ1264" t="inlineStr">
        <is>
          <t>Yes</t>
        </is>
      </c>
      <c r="AR1264">
        <f>HYPERLINK("http://catalog.hathitrust.org/Record/000367073","HathiTrust Record")</f>
        <v/>
      </c>
      <c r="AS1264">
        <f>HYPERLINK("https://creighton-primo.hosted.exlibrisgroup.com/primo-explore/search?tab=default_tab&amp;search_scope=EVERYTHING&amp;vid=01CRU&amp;lang=en_US&amp;offset=0&amp;query=any,contains,991001678379702656","Catalog Record")</f>
        <v/>
      </c>
      <c r="AT1264">
        <f>HYPERLINK("http://www.worldcat.org/oclc/21335236","WorldCat Record")</f>
        <v/>
      </c>
      <c r="AU1264" t="inlineStr">
        <is>
          <t>23271647:eng</t>
        </is>
      </c>
      <c r="AV1264" t="inlineStr">
        <is>
          <t>21335236</t>
        </is>
      </c>
      <c r="AW1264" t="inlineStr">
        <is>
          <t>991001678379702656</t>
        </is>
      </c>
      <c r="AX1264" t="inlineStr">
        <is>
          <t>991001678379702656</t>
        </is>
      </c>
      <c r="AY1264" t="inlineStr">
        <is>
          <t>2264057930002656</t>
        </is>
      </c>
      <c r="AZ1264" t="inlineStr">
        <is>
          <t>BOOK</t>
        </is>
      </c>
      <c r="BC1264" t="inlineStr">
        <is>
          <t>32285001051860</t>
        </is>
      </c>
      <c r="BD1264" t="inlineStr">
        <is>
          <t>893709456</t>
        </is>
      </c>
    </row>
    <row r="1265">
      <c r="A1265" t="inlineStr">
        <is>
          <t>No</t>
        </is>
      </c>
      <c r="B1265" t="inlineStr">
        <is>
          <t>E403.1.S4 E5 1997</t>
        </is>
      </c>
      <c r="C1265" t="inlineStr">
        <is>
          <t>0                      E  0403100S  4                  E  5           1997</t>
        </is>
      </c>
      <c r="D1265" t="inlineStr">
        <is>
          <t>Agent of destiny : the life and times of General Winfield Scott / John S.D. Eisenhower.</t>
        </is>
      </c>
      <c r="F1265" t="inlineStr">
        <is>
          <t>No</t>
        </is>
      </c>
      <c r="G1265" t="inlineStr">
        <is>
          <t>1</t>
        </is>
      </c>
      <c r="H1265" t="inlineStr">
        <is>
          <t>No</t>
        </is>
      </c>
      <c r="I1265" t="inlineStr">
        <is>
          <t>No</t>
        </is>
      </c>
      <c r="J1265" t="inlineStr">
        <is>
          <t>0</t>
        </is>
      </c>
      <c r="K1265" t="inlineStr">
        <is>
          <t>Eisenhower, John S. D., 1922-2013.</t>
        </is>
      </c>
      <c r="L1265" t="inlineStr">
        <is>
          <t>New York : Free Press, c1997.</t>
        </is>
      </c>
      <c r="M1265" t="inlineStr">
        <is>
          <t>1997</t>
        </is>
      </c>
      <c r="O1265" t="inlineStr">
        <is>
          <t>eng</t>
        </is>
      </c>
      <c r="P1265" t="inlineStr">
        <is>
          <t>nyu</t>
        </is>
      </c>
      <c r="R1265" t="inlineStr">
        <is>
          <t xml:space="preserve">E  </t>
        </is>
      </c>
      <c r="S1265" t="n">
        <v>2</v>
      </c>
      <c r="T1265" t="n">
        <v>2</v>
      </c>
      <c r="U1265" t="inlineStr">
        <is>
          <t>1999-06-09</t>
        </is>
      </c>
      <c r="V1265" t="inlineStr">
        <is>
          <t>1999-06-09</t>
        </is>
      </c>
      <c r="W1265" t="inlineStr">
        <is>
          <t>1998-03-05</t>
        </is>
      </c>
      <c r="X1265" t="inlineStr">
        <is>
          <t>1998-03-05</t>
        </is>
      </c>
      <c r="Y1265" t="n">
        <v>918</v>
      </c>
      <c r="Z1265" t="n">
        <v>890</v>
      </c>
      <c r="AA1265" t="n">
        <v>958</v>
      </c>
      <c r="AB1265" t="n">
        <v>7</v>
      </c>
      <c r="AC1265" t="n">
        <v>7</v>
      </c>
      <c r="AD1265" t="n">
        <v>26</v>
      </c>
      <c r="AE1265" t="n">
        <v>27</v>
      </c>
      <c r="AF1265" t="n">
        <v>10</v>
      </c>
      <c r="AG1265" t="n">
        <v>10</v>
      </c>
      <c r="AH1265" t="n">
        <v>5</v>
      </c>
      <c r="AI1265" t="n">
        <v>6</v>
      </c>
      <c r="AJ1265" t="n">
        <v>12</v>
      </c>
      <c r="AK1265" t="n">
        <v>13</v>
      </c>
      <c r="AL1265" t="n">
        <v>6</v>
      </c>
      <c r="AM1265" t="n">
        <v>6</v>
      </c>
      <c r="AN1265" t="n">
        <v>0</v>
      </c>
      <c r="AO1265" t="n">
        <v>0</v>
      </c>
      <c r="AP1265" t="inlineStr">
        <is>
          <t>No</t>
        </is>
      </c>
      <c r="AQ1265" t="inlineStr">
        <is>
          <t>Yes</t>
        </is>
      </c>
      <c r="AR1265">
        <f>HYPERLINK("http://catalog.hathitrust.org/Record/003953895","HathiTrust Record")</f>
        <v/>
      </c>
      <c r="AS1265">
        <f>HYPERLINK("https://creighton-primo.hosted.exlibrisgroup.com/primo-explore/search?tab=default_tab&amp;search_scope=EVERYTHING&amp;vid=01CRU&amp;lang=en_US&amp;offset=0&amp;query=any,contains,991002838369702656","Catalog Record")</f>
        <v/>
      </c>
      <c r="AT1265">
        <f>HYPERLINK("http://www.worldcat.org/oclc/37379894","WorldCat Record")</f>
        <v/>
      </c>
      <c r="AU1265" t="inlineStr">
        <is>
          <t>573051:eng</t>
        </is>
      </c>
      <c r="AV1265" t="inlineStr">
        <is>
          <t>37379894</t>
        </is>
      </c>
      <c r="AW1265" t="inlineStr">
        <is>
          <t>991002838369702656</t>
        </is>
      </c>
      <c r="AX1265" t="inlineStr">
        <is>
          <t>991002838369702656</t>
        </is>
      </c>
      <c r="AY1265" t="inlineStr">
        <is>
          <t>2262970260002656</t>
        </is>
      </c>
      <c r="AZ1265" t="inlineStr">
        <is>
          <t>BOOK</t>
        </is>
      </c>
      <c r="BB1265" t="inlineStr">
        <is>
          <t>9780684844510</t>
        </is>
      </c>
      <c r="BC1265" t="inlineStr">
        <is>
          <t>32285003356572</t>
        </is>
      </c>
      <c r="BD1265" t="inlineStr">
        <is>
          <t>893409614</t>
        </is>
      </c>
    </row>
    <row r="1266">
      <c r="A1266" t="inlineStr">
        <is>
          <t>No</t>
        </is>
      </c>
      <c r="B1266" t="inlineStr">
        <is>
          <t>E404 .S5</t>
        </is>
      </c>
      <c r="C1266" t="inlineStr">
        <is>
          <t>0                      E  0404000S  5</t>
        </is>
      </c>
      <c r="D1266" t="inlineStr">
        <is>
          <t>The Mexican War.</t>
        </is>
      </c>
      <c r="F1266" t="inlineStr">
        <is>
          <t>No</t>
        </is>
      </c>
      <c r="G1266" t="inlineStr">
        <is>
          <t>1</t>
        </is>
      </c>
      <c r="H1266" t="inlineStr">
        <is>
          <t>No</t>
        </is>
      </c>
      <c r="I1266" t="inlineStr">
        <is>
          <t>No</t>
        </is>
      </c>
      <c r="J1266" t="inlineStr">
        <is>
          <t>0</t>
        </is>
      </c>
      <c r="K1266" t="inlineStr">
        <is>
          <t>Singletary, Otis A.</t>
        </is>
      </c>
      <c r="L1266" t="inlineStr">
        <is>
          <t>[Chicago] : University of Chicago Press, [1960]</t>
        </is>
      </c>
      <c r="M1266" t="inlineStr">
        <is>
          <t>1960</t>
        </is>
      </c>
      <c r="O1266" t="inlineStr">
        <is>
          <t>eng</t>
        </is>
      </c>
      <c r="P1266" t="inlineStr">
        <is>
          <t>ilu</t>
        </is>
      </c>
      <c r="Q1266" t="inlineStr">
        <is>
          <t>The Chicago history of American civilization</t>
        </is>
      </c>
      <c r="R1266" t="inlineStr">
        <is>
          <t xml:space="preserve">E  </t>
        </is>
      </c>
      <c r="S1266" t="n">
        <v>11</v>
      </c>
      <c r="T1266" t="n">
        <v>11</v>
      </c>
      <c r="U1266" t="inlineStr">
        <is>
          <t>2002-11-13</t>
        </is>
      </c>
      <c r="V1266" t="inlineStr">
        <is>
          <t>2002-11-13</t>
        </is>
      </c>
      <c r="W1266" t="inlineStr">
        <is>
          <t>1990-11-30</t>
        </is>
      </c>
      <c r="X1266" t="inlineStr">
        <is>
          <t>1990-11-30</t>
        </is>
      </c>
      <c r="Y1266" t="n">
        <v>1818</v>
      </c>
      <c r="Z1266" t="n">
        <v>1691</v>
      </c>
      <c r="AA1266" t="n">
        <v>1778</v>
      </c>
      <c r="AB1266" t="n">
        <v>17</v>
      </c>
      <c r="AC1266" t="n">
        <v>17</v>
      </c>
      <c r="AD1266" t="n">
        <v>57</v>
      </c>
      <c r="AE1266" t="n">
        <v>57</v>
      </c>
      <c r="AF1266" t="n">
        <v>25</v>
      </c>
      <c r="AG1266" t="n">
        <v>25</v>
      </c>
      <c r="AH1266" t="n">
        <v>8</v>
      </c>
      <c r="AI1266" t="n">
        <v>8</v>
      </c>
      <c r="AJ1266" t="n">
        <v>21</v>
      </c>
      <c r="AK1266" t="n">
        <v>21</v>
      </c>
      <c r="AL1266" t="n">
        <v>13</v>
      </c>
      <c r="AM1266" t="n">
        <v>13</v>
      </c>
      <c r="AN1266" t="n">
        <v>1</v>
      </c>
      <c r="AO1266" t="n">
        <v>1</v>
      </c>
      <c r="AP1266" t="inlineStr">
        <is>
          <t>No</t>
        </is>
      </c>
      <c r="AQ1266" t="inlineStr">
        <is>
          <t>No</t>
        </is>
      </c>
      <c r="AS1266">
        <f>HYPERLINK("https://creighton-primo.hosted.exlibrisgroup.com/primo-explore/search?tab=default_tab&amp;search_scope=EVERYTHING&amp;vid=01CRU&amp;lang=en_US&amp;offset=0&amp;query=any,contains,991002287839702656","Catalog Record")</f>
        <v/>
      </c>
      <c r="AT1266">
        <f>HYPERLINK("http://www.worldcat.org/oclc/312066","WorldCat Record")</f>
        <v/>
      </c>
      <c r="AU1266" t="inlineStr">
        <is>
          <t>419300:eng</t>
        </is>
      </c>
      <c r="AV1266" t="inlineStr">
        <is>
          <t>312066</t>
        </is>
      </c>
      <c r="AW1266" t="inlineStr">
        <is>
          <t>991002287839702656</t>
        </is>
      </c>
      <c r="AX1266" t="inlineStr">
        <is>
          <t>991002287839702656</t>
        </is>
      </c>
      <c r="AY1266" t="inlineStr">
        <is>
          <t>2271106230002656</t>
        </is>
      </c>
      <c r="AZ1266" t="inlineStr">
        <is>
          <t>BOOK</t>
        </is>
      </c>
      <c r="BC1266" t="inlineStr">
        <is>
          <t>32285000410760</t>
        </is>
      </c>
      <c r="BD1266" t="inlineStr">
        <is>
          <t>893341260</t>
        </is>
      </c>
    </row>
    <row r="1267">
      <c r="A1267" t="inlineStr">
        <is>
          <t>No</t>
        </is>
      </c>
      <c r="B1267" t="inlineStr">
        <is>
          <t>E407 .J42 1969</t>
        </is>
      </c>
      <c r="C1267" t="inlineStr">
        <is>
          <t>0                      E  0407000J  42          1969</t>
        </is>
      </c>
      <c r="D1267" t="inlineStr">
        <is>
          <t>A review of the causes and consequences of the Mexican War.</t>
        </is>
      </c>
      <c r="F1267" t="inlineStr">
        <is>
          <t>No</t>
        </is>
      </c>
      <c r="G1267" t="inlineStr">
        <is>
          <t>1</t>
        </is>
      </c>
      <c r="H1267" t="inlineStr">
        <is>
          <t>No</t>
        </is>
      </c>
      <c r="I1267" t="inlineStr">
        <is>
          <t>No</t>
        </is>
      </c>
      <c r="J1267" t="inlineStr">
        <is>
          <t>0</t>
        </is>
      </c>
      <c r="K1267" t="inlineStr">
        <is>
          <t>Jay, William, 1789-1858.</t>
        </is>
      </c>
      <c r="L1267" t="inlineStr">
        <is>
          <t>New York : Arno Press, 1969.</t>
        </is>
      </c>
      <c r="M1267" t="inlineStr">
        <is>
          <t>1969</t>
        </is>
      </c>
      <c r="O1267" t="inlineStr">
        <is>
          <t>eng</t>
        </is>
      </c>
      <c r="P1267" t="inlineStr">
        <is>
          <t>nyu</t>
        </is>
      </c>
      <c r="Q1267" t="inlineStr">
        <is>
          <t>The Anti-slavery crusade in America</t>
        </is>
      </c>
      <c r="R1267" t="inlineStr">
        <is>
          <t xml:space="preserve">E  </t>
        </is>
      </c>
      <c r="S1267" t="n">
        <v>9</v>
      </c>
      <c r="T1267" t="n">
        <v>9</v>
      </c>
      <c r="U1267" t="inlineStr">
        <is>
          <t>2004-02-06</t>
        </is>
      </c>
      <c r="V1267" t="inlineStr">
        <is>
          <t>2004-02-06</t>
        </is>
      </c>
      <c r="W1267" t="inlineStr">
        <is>
          <t>1992-11-24</t>
        </is>
      </c>
      <c r="X1267" t="inlineStr">
        <is>
          <t>1992-11-24</t>
        </is>
      </c>
      <c r="Y1267" t="n">
        <v>146</v>
      </c>
      <c r="Z1267" t="n">
        <v>140</v>
      </c>
      <c r="AA1267" t="n">
        <v>144</v>
      </c>
      <c r="AB1267" t="n">
        <v>1</v>
      </c>
      <c r="AC1267" t="n">
        <v>1</v>
      </c>
      <c r="AD1267" t="n">
        <v>4</v>
      </c>
      <c r="AE1267" t="n">
        <v>4</v>
      </c>
      <c r="AF1267" t="n">
        <v>2</v>
      </c>
      <c r="AG1267" t="n">
        <v>2</v>
      </c>
      <c r="AH1267" t="n">
        <v>1</v>
      </c>
      <c r="AI1267" t="n">
        <v>1</v>
      </c>
      <c r="AJ1267" t="n">
        <v>3</v>
      </c>
      <c r="AK1267" t="n">
        <v>3</v>
      </c>
      <c r="AL1267" t="n">
        <v>0</v>
      </c>
      <c r="AM1267" t="n">
        <v>0</v>
      </c>
      <c r="AN1267" t="n">
        <v>0</v>
      </c>
      <c r="AO1267" t="n">
        <v>0</v>
      </c>
      <c r="AP1267" t="inlineStr">
        <is>
          <t>No</t>
        </is>
      </c>
      <c r="AQ1267" t="inlineStr">
        <is>
          <t>Yes</t>
        </is>
      </c>
      <c r="AR1267">
        <f>HYPERLINK("http://catalog.hathitrust.org/Record/008989614","HathiTrust Record")</f>
        <v/>
      </c>
      <c r="AS1267">
        <f>HYPERLINK("https://creighton-primo.hosted.exlibrisgroup.com/primo-explore/search?tab=default_tab&amp;search_scope=EVERYTHING&amp;vid=01CRU&amp;lang=en_US&amp;offset=0&amp;query=any,contains,991000543919702656","Catalog Record")</f>
        <v/>
      </c>
      <c r="AT1267">
        <f>HYPERLINK("http://www.worldcat.org/oclc/91194","WorldCat Record")</f>
        <v/>
      </c>
      <c r="AU1267" t="inlineStr">
        <is>
          <t>9964901550:eng</t>
        </is>
      </c>
      <c r="AV1267" t="inlineStr">
        <is>
          <t>91194</t>
        </is>
      </c>
      <c r="AW1267" t="inlineStr">
        <is>
          <t>991000543919702656</t>
        </is>
      </c>
      <c r="AX1267" t="inlineStr">
        <is>
          <t>991000543919702656</t>
        </is>
      </c>
      <c r="AY1267" t="inlineStr">
        <is>
          <t>2264622230002656</t>
        </is>
      </c>
      <c r="AZ1267" t="inlineStr">
        <is>
          <t>BOOK</t>
        </is>
      </c>
      <c r="BC1267" t="inlineStr">
        <is>
          <t>32285001408953</t>
        </is>
      </c>
      <c r="BD1267" t="inlineStr">
        <is>
          <t>893327377</t>
        </is>
      </c>
    </row>
    <row r="1268">
      <c r="A1268" t="inlineStr">
        <is>
          <t>No</t>
        </is>
      </c>
      <c r="B1268" t="inlineStr">
        <is>
          <t>E415.7 .C78</t>
        </is>
      </c>
      <c r="C1268" t="inlineStr">
        <is>
          <t>0                      E  0415700C  78</t>
        </is>
      </c>
      <c r="D1268" t="inlineStr">
        <is>
          <t>Civil War in the making, 1815-1860.</t>
        </is>
      </c>
      <c r="F1268" t="inlineStr">
        <is>
          <t>No</t>
        </is>
      </c>
      <c r="G1268" t="inlineStr">
        <is>
          <t>1</t>
        </is>
      </c>
      <c r="H1268" t="inlineStr">
        <is>
          <t>No</t>
        </is>
      </c>
      <c r="I1268" t="inlineStr">
        <is>
          <t>No</t>
        </is>
      </c>
      <c r="J1268" t="inlineStr">
        <is>
          <t>0</t>
        </is>
      </c>
      <c r="K1268" t="inlineStr">
        <is>
          <t>Craven, Avery, 1885-1980.</t>
        </is>
      </c>
      <c r="L1268" t="inlineStr">
        <is>
          <t>Baton Rouge, Louisiana State University Press [1959]</t>
        </is>
      </c>
      <c r="M1268" t="inlineStr">
        <is>
          <t>1959</t>
        </is>
      </c>
      <c r="O1268" t="inlineStr">
        <is>
          <t>eng</t>
        </is>
      </c>
      <c r="P1268" t="inlineStr">
        <is>
          <t>lau</t>
        </is>
      </c>
      <c r="Q1268" t="inlineStr">
        <is>
          <t>The Walter Lynwood Fleming lectures in southern history</t>
        </is>
      </c>
      <c r="R1268" t="inlineStr">
        <is>
          <t xml:space="preserve">E  </t>
        </is>
      </c>
      <c r="S1268" t="n">
        <v>1</v>
      </c>
      <c r="T1268" t="n">
        <v>1</v>
      </c>
      <c r="U1268" t="inlineStr">
        <is>
          <t>2001-11-14</t>
        </is>
      </c>
      <c r="V1268" t="inlineStr">
        <is>
          <t>2001-11-14</t>
        </is>
      </c>
      <c r="W1268" t="inlineStr">
        <is>
          <t>1997-04-15</t>
        </is>
      </c>
      <c r="X1268" t="inlineStr">
        <is>
          <t>1997-04-15</t>
        </is>
      </c>
      <c r="Y1268" t="n">
        <v>1121</v>
      </c>
      <c r="Z1268" t="n">
        <v>1038</v>
      </c>
      <c r="AA1268" t="n">
        <v>1085</v>
      </c>
      <c r="AB1268" t="n">
        <v>7</v>
      </c>
      <c r="AC1268" t="n">
        <v>8</v>
      </c>
      <c r="AD1268" t="n">
        <v>42</v>
      </c>
      <c r="AE1268" t="n">
        <v>43</v>
      </c>
      <c r="AF1268" t="n">
        <v>16</v>
      </c>
      <c r="AG1268" t="n">
        <v>16</v>
      </c>
      <c r="AH1268" t="n">
        <v>9</v>
      </c>
      <c r="AI1268" t="n">
        <v>9</v>
      </c>
      <c r="AJ1268" t="n">
        <v>21</v>
      </c>
      <c r="AK1268" t="n">
        <v>21</v>
      </c>
      <c r="AL1268" t="n">
        <v>5</v>
      </c>
      <c r="AM1268" t="n">
        <v>6</v>
      </c>
      <c r="AN1268" t="n">
        <v>1</v>
      </c>
      <c r="AO1268" t="n">
        <v>1</v>
      </c>
      <c r="AP1268" t="inlineStr">
        <is>
          <t>No</t>
        </is>
      </c>
      <c r="AQ1268" t="inlineStr">
        <is>
          <t>No</t>
        </is>
      </c>
      <c r="AS1268">
        <f>HYPERLINK("https://creighton-primo.hosted.exlibrisgroup.com/primo-explore/search?tab=default_tab&amp;search_scope=EVERYTHING&amp;vid=01CRU&amp;lang=en_US&amp;offset=0&amp;query=any,contains,991002826529702656","Catalog Record")</f>
        <v/>
      </c>
      <c r="AT1268">
        <f>HYPERLINK("http://www.worldcat.org/oclc/475724","WorldCat Record")</f>
        <v/>
      </c>
      <c r="AU1268" t="inlineStr">
        <is>
          <t>52588297:eng</t>
        </is>
      </c>
      <c r="AV1268" t="inlineStr">
        <is>
          <t>475724</t>
        </is>
      </c>
      <c r="AW1268" t="inlineStr">
        <is>
          <t>991002826529702656</t>
        </is>
      </c>
      <c r="AX1268" t="inlineStr">
        <is>
          <t>991002826529702656</t>
        </is>
      </c>
      <c r="AY1268" t="inlineStr">
        <is>
          <t>2255257440002656</t>
        </is>
      </c>
      <c r="AZ1268" t="inlineStr">
        <is>
          <t>BOOK</t>
        </is>
      </c>
      <c r="BC1268" t="inlineStr">
        <is>
          <t>32285002534666</t>
        </is>
      </c>
      <c r="BD1268" t="inlineStr">
        <is>
          <t>893445391</t>
        </is>
      </c>
    </row>
    <row r="1269">
      <c r="A1269" t="inlineStr">
        <is>
          <t>No</t>
        </is>
      </c>
      <c r="B1269" t="inlineStr">
        <is>
          <t>E415.7 .N38</t>
        </is>
      </c>
      <c r="C1269" t="inlineStr">
        <is>
          <t>0                      E  0415700N  38</t>
        </is>
      </c>
      <c r="D1269" t="inlineStr">
        <is>
          <t>The emergence of Lincoln.</t>
        </is>
      </c>
      <c r="E1269" t="inlineStr">
        <is>
          <t>V.2</t>
        </is>
      </c>
      <c r="F1269" t="inlineStr">
        <is>
          <t>Yes</t>
        </is>
      </c>
      <c r="G1269" t="inlineStr">
        <is>
          <t>1</t>
        </is>
      </c>
      <c r="H1269" t="inlineStr">
        <is>
          <t>No</t>
        </is>
      </c>
      <c r="I1269" t="inlineStr">
        <is>
          <t>No</t>
        </is>
      </c>
      <c r="J1269" t="inlineStr">
        <is>
          <t>0</t>
        </is>
      </c>
      <c r="K1269" t="inlineStr">
        <is>
          <t>Nevins, Allan, 1890-1971.</t>
        </is>
      </c>
      <c r="L1269" t="inlineStr">
        <is>
          <t>New York : Scribner, 1950.</t>
        </is>
      </c>
      <c r="M1269" t="inlineStr">
        <is>
          <t>1950</t>
        </is>
      </c>
      <c r="O1269" t="inlineStr">
        <is>
          <t>eng</t>
        </is>
      </c>
      <c r="P1269" t="inlineStr">
        <is>
          <t>nyu</t>
        </is>
      </c>
      <c r="R1269" t="inlineStr">
        <is>
          <t xml:space="preserve">E  </t>
        </is>
      </c>
      <c r="S1269" t="n">
        <v>1</v>
      </c>
      <c r="T1269" t="n">
        <v>1</v>
      </c>
      <c r="U1269" t="inlineStr">
        <is>
          <t>1993-11-08</t>
        </is>
      </c>
      <c r="V1269" t="inlineStr">
        <is>
          <t>1993-11-08</t>
        </is>
      </c>
      <c r="W1269" t="inlineStr">
        <is>
          <t>1992-07-08</t>
        </is>
      </c>
      <c r="X1269" t="inlineStr">
        <is>
          <t>1992-07-08</t>
        </is>
      </c>
      <c r="Y1269" t="n">
        <v>2143</v>
      </c>
      <c r="Z1269" t="n">
        <v>1988</v>
      </c>
      <c r="AA1269" t="n">
        <v>2057</v>
      </c>
      <c r="AB1269" t="n">
        <v>13</v>
      </c>
      <c r="AC1269" t="n">
        <v>13</v>
      </c>
      <c r="AD1269" t="n">
        <v>60</v>
      </c>
      <c r="AE1269" t="n">
        <v>61</v>
      </c>
      <c r="AF1269" t="n">
        <v>25</v>
      </c>
      <c r="AG1269" t="n">
        <v>25</v>
      </c>
      <c r="AH1269" t="n">
        <v>9</v>
      </c>
      <c r="AI1269" t="n">
        <v>9</v>
      </c>
      <c r="AJ1269" t="n">
        <v>23</v>
      </c>
      <c r="AK1269" t="n">
        <v>23</v>
      </c>
      <c r="AL1269" t="n">
        <v>12</v>
      </c>
      <c r="AM1269" t="n">
        <v>12</v>
      </c>
      <c r="AN1269" t="n">
        <v>3</v>
      </c>
      <c r="AO1269" t="n">
        <v>4</v>
      </c>
      <c r="AP1269" t="inlineStr">
        <is>
          <t>No</t>
        </is>
      </c>
      <c r="AQ1269" t="inlineStr">
        <is>
          <t>Yes</t>
        </is>
      </c>
      <c r="AR1269">
        <f>HYPERLINK("http://catalog.hathitrust.org/Record/000406741","HathiTrust Record")</f>
        <v/>
      </c>
      <c r="AS1269">
        <f>HYPERLINK("https://creighton-primo.hosted.exlibrisgroup.com/primo-explore/search?tab=default_tab&amp;search_scope=EVERYTHING&amp;vid=01CRU&amp;lang=en_US&amp;offset=0&amp;query=any,contains,991001917009702656","Catalog Record")</f>
        <v/>
      </c>
      <c r="AT1269">
        <f>HYPERLINK("http://www.worldcat.org/oclc/243899","WorldCat Record")</f>
        <v/>
      </c>
      <c r="AU1269" t="inlineStr">
        <is>
          <t>2908618011:eng</t>
        </is>
      </c>
      <c r="AV1269" t="inlineStr">
        <is>
          <t>243899</t>
        </is>
      </c>
      <c r="AW1269" t="inlineStr">
        <is>
          <t>991001917009702656</t>
        </is>
      </c>
      <c r="AX1269" t="inlineStr">
        <is>
          <t>991001917009702656</t>
        </is>
      </c>
      <c r="AY1269" t="inlineStr">
        <is>
          <t>2269008350002656</t>
        </is>
      </c>
      <c r="AZ1269" t="inlineStr">
        <is>
          <t>BOOK</t>
        </is>
      </c>
      <c r="BC1269" t="inlineStr">
        <is>
          <t>32285001187185</t>
        </is>
      </c>
      <c r="BD1269" t="inlineStr">
        <is>
          <t>893261986</t>
        </is>
      </c>
    </row>
    <row r="1270">
      <c r="A1270" t="inlineStr">
        <is>
          <t>No</t>
        </is>
      </c>
      <c r="B1270" t="inlineStr">
        <is>
          <t>E415.7 .N38</t>
        </is>
      </c>
      <c r="C1270" t="inlineStr">
        <is>
          <t>0                      E  0415700N  38</t>
        </is>
      </c>
      <c r="D1270" t="inlineStr">
        <is>
          <t>The emergence of Lincoln.</t>
        </is>
      </c>
      <c r="E1270" t="inlineStr">
        <is>
          <t>V.1</t>
        </is>
      </c>
      <c r="F1270" t="inlineStr">
        <is>
          <t>Yes</t>
        </is>
      </c>
      <c r="G1270" t="inlineStr">
        <is>
          <t>1</t>
        </is>
      </c>
      <c r="H1270" t="inlineStr">
        <is>
          <t>No</t>
        </is>
      </c>
      <c r="I1270" t="inlineStr">
        <is>
          <t>No</t>
        </is>
      </c>
      <c r="J1270" t="inlineStr">
        <is>
          <t>0</t>
        </is>
      </c>
      <c r="K1270" t="inlineStr">
        <is>
          <t>Nevins, Allan, 1890-1971.</t>
        </is>
      </c>
      <c r="L1270" t="inlineStr">
        <is>
          <t>New York : Scribner, 1950.</t>
        </is>
      </c>
      <c r="M1270" t="inlineStr">
        <is>
          <t>1950</t>
        </is>
      </c>
      <c r="O1270" t="inlineStr">
        <is>
          <t>eng</t>
        </is>
      </c>
      <c r="P1270" t="inlineStr">
        <is>
          <t>nyu</t>
        </is>
      </c>
      <c r="R1270" t="inlineStr">
        <is>
          <t xml:space="preserve">E  </t>
        </is>
      </c>
      <c r="S1270" t="n">
        <v>0</v>
      </c>
      <c r="T1270" t="n">
        <v>1</v>
      </c>
      <c r="V1270" t="inlineStr">
        <is>
          <t>1993-11-08</t>
        </is>
      </c>
      <c r="W1270" t="inlineStr">
        <is>
          <t>1992-06-30</t>
        </is>
      </c>
      <c r="X1270" t="inlineStr">
        <is>
          <t>1992-07-08</t>
        </is>
      </c>
      <c r="Y1270" t="n">
        <v>2143</v>
      </c>
      <c r="Z1270" t="n">
        <v>1988</v>
      </c>
      <c r="AA1270" t="n">
        <v>2057</v>
      </c>
      <c r="AB1270" t="n">
        <v>13</v>
      </c>
      <c r="AC1270" t="n">
        <v>13</v>
      </c>
      <c r="AD1270" t="n">
        <v>60</v>
      </c>
      <c r="AE1270" t="n">
        <v>61</v>
      </c>
      <c r="AF1270" t="n">
        <v>25</v>
      </c>
      <c r="AG1270" t="n">
        <v>25</v>
      </c>
      <c r="AH1270" t="n">
        <v>9</v>
      </c>
      <c r="AI1270" t="n">
        <v>9</v>
      </c>
      <c r="AJ1270" t="n">
        <v>23</v>
      </c>
      <c r="AK1270" t="n">
        <v>23</v>
      </c>
      <c r="AL1270" t="n">
        <v>12</v>
      </c>
      <c r="AM1270" t="n">
        <v>12</v>
      </c>
      <c r="AN1270" t="n">
        <v>3</v>
      </c>
      <c r="AO1270" t="n">
        <v>4</v>
      </c>
      <c r="AP1270" t="inlineStr">
        <is>
          <t>No</t>
        </is>
      </c>
      <c r="AQ1270" t="inlineStr">
        <is>
          <t>Yes</t>
        </is>
      </c>
      <c r="AR1270">
        <f>HYPERLINK("http://catalog.hathitrust.org/Record/000406741","HathiTrust Record")</f>
        <v/>
      </c>
      <c r="AS1270">
        <f>HYPERLINK("https://creighton-primo.hosted.exlibrisgroup.com/primo-explore/search?tab=default_tab&amp;search_scope=EVERYTHING&amp;vid=01CRU&amp;lang=en_US&amp;offset=0&amp;query=any,contains,991001917009702656","Catalog Record")</f>
        <v/>
      </c>
      <c r="AT1270">
        <f>HYPERLINK("http://www.worldcat.org/oclc/243899","WorldCat Record")</f>
        <v/>
      </c>
      <c r="AU1270" t="inlineStr">
        <is>
          <t>2908618011:eng</t>
        </is>
      </c>
      <c r="AV1270" t="inlineStr">
        <is>
          <t>243899</t>
        </is>
      </c>
      <c r="AW1270" t="inlineStr">
        <is>
          <t>991001917009702656</t>
        </is>
      </c>
      <c r="AX1270" t="inlineStr">
        <is>
          <t>991001917009702656</t>
        </is>
      </c>
      <c r="AY1270" t="inlineStr">
        <is>
          <t>2269008350002656</t>
        </is>
      </c>
      <c r="AZ1270" t="inlineStr">
        <is>
          <t>BOOK</t>
        </is>
      </c>
      <c r="BC1270" t="inlineStr">
        <is>
          <t>32285001146041</t>
        </is>
      </c>
      <c r="BD1270" t="inlineStr">
        <is>
          <t>893244529</t>
        </is>
      </c>
    </row>
    <row r="1271">
      <c r="A1271" t="inlineStr">
        <is>
          <t>No</t>
        </is>
      </c>
      <c r="B1271" t="inlineStr">
        <is>
          <t>E415.7 .N4</t>
        </is>
      </c>
      <c r="C1271" t="inlineStr">
        <is>
          <t>0                      E  0415700N  4</t>
        </is>
      </c>
      <c r="D1271" t="inlineStr">
        <is>
          <t>Ordeal of the Union.</t>
        </is>
      </c>
      <c r="E1271" t="inlineStr">
        <is>
          <t>V.2</t>
        </is>
      </c>
      <c r="F1271" t="inlineStr">
        <is>
          <t>Yes</t>
        </is>
      </c>
      <c r="G1271" t="inlineStr">
        <is>
          <t>1</t>
        </is>
      </c>
      <c r="H1271" t="inlineStr">
        <is>
          <t>No</t>
        </is>
      </c>
      <c r="I1271" t="inlineStr">
        <is>
          <t>No</t>
        </is>
      </c>
      <c r="J1271" t="inlineStr">
        <is>
          <t>0</t>
        </is>
      </c>
      <c r="K1271" t="inlineStr">
        <is>
          <t>Nevins, Allan, 1890-1971.</t>
        </is>
      </c>
      <c r="L1271" t="inlineStr">
        <is>
          <t>New York : Scribner, 1947.</t>
        </is>
      </c>
      <c r="M1271" t="inlineStr">
        <is>
          <t>1947</t>
        </is>
      </c>
      <c r="O1271" t="inlineStr">
        <is>
          <t>eng</t>
        </is>
      </c>
      <c r="P1271" t="inlineStr">
        <is>
          <t>nyu</t>
        </is>
      </c>
      <c r="R1271" t="inlineStr">
        <is>
          <t xml:space="preserve">E  </t>
        </is>
      </c>
      <c r="S1271" t="n">
        <v>1</v>
      </c>
      <c r="T1271" t="n">
        <v>4</v>
      </c>
      <c r="U1271" t="inlineStr">
        <is>
          <t>1992-05-19</t>
        </is>
      </c>
      <c r="V1271" t="inlineStr">
        <is>
          <t>1992-05-19</t>
        </is>
      </c>
      <c r="W1271" t="inlineStr">
        <is>
          <t>1990-10-23</t>
        </is>
      </c>
      <c r="X1271" t="inlineStr">
        <is>
          <t>1991-04-22</t>
        </is>
      </c>
      <c r="Y1271" t="n">
        <v>2205</v>
      </c>
      <c r="Z1271" t="n">
        <v>2049</v>
      </c>
      <c r="AA1271" t="n">
        <v>2064</v>
      </c>
      <c r="AB1271" t="n">
        <v>16</v>
      </c>
      <c r="AC1271" t="n">
        <v>16</v>
      </c>
      <c r="AD1271" t="n">
        <v>65</v>
      </c>
      <c r="AE1271" t="n">
        <v>65</v>
      </c>
      <c r="AF1271" t="n">
        <v>27</v>
      </c>
      <c r="AG1271" t="n">
        <v>27</v>
      </c>
      <c r="AH1271" t="n">
        <v>10</v>
      </c>
      <c r="AI1271" t="n">
        <v>10</v>
      </c>
      <c r="AJ1271" t="n">
        <v>24</v>
      </c>
      <c r="AK1271" t="n">
        <v>24</v>
      </c>
      <c r="AL1271" t="n">
        <v>14</v>
      </c>
      <c r="AM1271" t="n">
        <v>14</v>
      </c>
      <c r="AN1271" t="n">
        <v>4</v>
      </c>
      <c r="AO1271" t="n">
        <v>4</v>
      </c>
      <c r="AP1271" t="inlineStr">
        <is>
          <t>No</t>
        </is>
      </c>
      <c r="AQ1271" t="inlineStr">
        <is>
          <t>Yes</t>
        </is>
      </c>
      <c r="AR1271">
        <f>HYPERLINK("http://catalog.hathitrust.org/Record/000406747","HathiTrust Record")</f>
        <v/>
      </c>
      <c r="AS1271">
        <f>HYPERLINK("https://creighton-primo.hosted.exlibrisgroup.com/primo-explore/search?tab=default_tab&amp;search_scope=EVERYTHING&amp;vid=01CRU&amp;lang=en_US&amp;offset=0&amp;query=any,contains,991001916869702656","Catalog Record")</f>
        <v/>
      </c>
      <c r="AT1271">
        <f>HYPERLINK("http://www.worldcat.org/oclc/243876","WorldCat Record")</f>
        <v/>
      </c>
      <c r="AU1271" t="inlineStr">
        <is>
          <t>1394066:eng</t>
        </is>
      </c>
      <c r="AV1271" t="inlineStr">
        <is>
          <t>243876</t>
        </is>
      </c>
      <c r="AW1271" t="inlineStr">
        <is>
          <t>991001916869702656</t>
        </is>
      </c>
      <c r="AX1271" t="inlineStr">
        <is>
          <t>991001916869702656</t>
        </is>
      </c>
      <c r="AY1271" t="inlineStr">
        <is>
          <t>2269001910002656</t>
        </is>
      </c>
      <c r="AZ1271" t="inlineStr">
        <is>
          <t>BOOK</t>
        </is>
      </c>
      <c r="BC1271" t="inlineStr">
        <is>
          <t>32285000350842</t>
        </is>
      </c>
      <c r="BD1271" t="inlineStr">
        <is>
          <t>893408470</t>
        </is>
      </c>
    </row>
    <row r="1272">
      <c r="A1272" t="inlineStr">
        <is>
          <t>No</t>
        </is>
      </c>
      <c r="B1272" t="inlineStr">
        <is>
          <t>E415.7 .N4</t>
        </is>
      </c>
      <c r="C1272" t="inlineStr">
        <is>
          <t>0                      E  0415700N  4</t>
        </is>
      </c>
      <c r="D1272" t="inlineStr">
        <is>
          <t>Ordeal of the Union.</t>
        </is>
      </c>
      <c r="E1272" t="inlineStr">
        <is>
          <t>V.1</t>
        </is>
      </c>
      <c r="F1272" t="inlineStr">
        <is>
          <t>Yes</t>
        </is>
      </c>
      <c r="G1272" t="inlineStr">
        <is>
          <t>1</t>
        </is>
      </c>
      <c r="H1272" t="inlineStr">
        <is>
          <t>No</t>
        </is>
      </c>
      <c r="I1272" t="inlineStr">
        <is>
          <t>No</t>
        </is>
      </c>
      <c r="J1272" t="inlineStr">
        <is>
          <t>0</t>
        </is>
      </c>
      <c r="K1272" t="inlineStr">
        <is>
          <t>Nevins, Allan, 1890-1971.</t>
        </is>
      </c>
      <c r="L1272" t="inlineStr">
        <is>
          <t>New York : Scribner, 1947.</t>
        </is>
      </c>
      <c r="M1272" t="inlineStr">
        <is>
          <t>1947</t>
        </is>
      </c>
      <c r="O1272" t="inlineStr">
        <is>
          <t>eng</t>
        </is>
      </c>
      <c r="P1272" t="inlineStr">
        <is>
          <t>nyu</t>
        </is>
      </c>
      <c r="R1272" t="inlineStr">
        <is>
          <t xml:space="preserve">E  </t>
        </is>
      </c>
      <c r="S1272" t="n">
        <v>3</v>
      </c>
      <c r="T1272" t="n">
        <v>4</v>
      </c>
      <c r="U1272" t="inlineStr">
        <is>
          <t>1992-05-02</t>
        </is>
      </c>
      <c r="V1272" t="inlineStr">
        <is>
          <t>1992-05-19</t>
        </is>
      </c>
      <c r="W1272" t="inlineStr">
        <is>
          <t>1991-04-22</t>
        </is>
      </c>
      <c r="X1272" t="inlineStr">
        <is>
          <t>1991-04-22</t>
        </is>
      </c>
      <c r="Y1272" t="n">
        <v>2205</v>
      </c>
      <c r="Z1272" t="n">
        <v>2049</v>
      </c>
      <c r="AA1272" t="n">
        <v>2064</v>
      </c>
      <c r="AB1272" t="n">
        <v>16</v>
      </c>
      <c r="AC1272" t="n">
        <v>16</v>
      </c>
      <c r="AD1272" t="n">
        <v>65</v>
      </c>
      <c r="AE1272" t="n">
        <v>65</v>
      </c>
      <c r="AF1272" t="n">
        <v>27</v>
      </c>
      <c r="AG1272" t="n">
        <v>27</v>
      </c>
      <c r="AH1272" t="n">
        <v>10</v>
      </c>
      <c r="AI1272" t="n">
        <v>10</v>
      </c>
      <c r="AJ1272" t="n">
        <v>24</v>
      </c>
      <c r="AK1272" t="n">
        <v>24</v>
      </c>
      <c r="AL1272" t="n">
        <v>14</v>
      </c>
      <c r="AM1272" t="n">
        <v>14</v>
      </c>
      <c r="AN1272" t="n">
        <v>4</v>
      </c>
      <c r="AO1272" t="n">
        <v>4</v>
      </c>
      <c r="AP1272" t="inlineStr">
        <is>
          <t>No</t>
        </is>
      </c>
      <c r="AQ1272" t="inlineStr">
        <is>
          <t>Yes</t>
        </is>
      </c>
      <c r="AR1272">
        <f>HYPERLINK("http://catalog.hathitrust.org/Record/000406747","HathiTrust Record")</f>
        <v/>
      </c>
      <c r="AS1272">
        <f>HYPERLINK("https://creighton-primo.hosted.exlibrisgroup.com/primo-explore/search?tab=default_tab&amp;search_scope=EVERYTHING&amp;vid=01CRU&amp;lang=en_US&amp;offset=0&amp;query=any,contains,991001916869702656","Catalog Record")</f>
        <v/>
      </c>
      <c r="AT1272">
        <f>HYPERLINK("http://www.worldcat.org/oclc/243876","WorldCat Record")</f>
        <v/>
      </c>
      <c r="AU1272" t="inlineStr">
        <is>
          <t>1394066:eng</t>
        </is>
      </c>
      <c r="AV1272" t="inlineStr">
        <is>
          <t>243876</t>
        </is>
      </c>
      <c r="AW1272" t="inlineStr">
        <is>
          <t>991001916869702656</t>
        </is>
      </c>
      <c r="AX1272" t="inlineStr">
        <is>
          <t>991001916869702656</t>
        </is>
      </c>
      <c r="AY1272" t="inlineStr">
        <is>
          <t>2269001910002656</t>
        </is>
      </c>
      <c r="AZ1272" t="inlineStr">
        <is>
          <t>BOOK</t>
        </is>
      </c>
      <c r="BC1272" t="inlineStr">
        <is>
          <t>32285000543990</t>
        </is>
      </c>
      <c r="BD1272" t="inlineStr">
        <is>
          <t>893439548</t>
        </is>
      </c>
    </row>
    <row r="1273">
      <c r="A1273" t="inlineStr">
        <is>
          <t>No</t>
        </is>
      </c>
      <c r="B1273" t="inlineStr">
        <is>
          <t>E415.7 .S6 1978</t>
        </is>
      </c>
      <c r="C1273" t="inlineStr">
        <is>
          <t>0                      E  0415700S  6           1978</t>
        </is>
      </c>
      <c r="D1273" t="inlineStr">
        <is>
          <t>A decade of sectional controversy, 1851-1861 / by Henry H. Simms.</t>
        </is>
      </c>
      <c r="F1273" t="inlineStr">
        <is>
          <t>No</t>
        </is>
      </c>
      <c r="G1273" t="inlineStr">
        <is>
          <t>1</t>
        </is>
      </c>
      <c r="H1273" t="inlineStr">
        <is>
          <t>No</t>
        </is>
      </c>
      <c r="I1273" t="inlineStr">
        <is>
          <t>No</t>
        </is>
      </c>
      <c r="J1273" t="inlineStr">
        <is>
          <t>0</t>
        </is>
      </c>
      <c r="K1273" t="inlineStr">
        <is>
          <t>Simms, Henry Harrison, 1896-</t>
        </is>
      </c>
      <c r="L1273" t="inlineStr">
        <is>
          <t>Westport, Conn. : Greenwood Press, 1978, c1942.</t>
        </is>
      </c>
      <c r="M1273" t="inlineStr">
        <is>
          <t>1978</t>
        </is>
      </c>
      <c r="O1273" t="inlineStr">
        <is>
          <t>eng</t>
        </is>
      </c>
      <c r="P1273" t="inlineStr">
        <is>
          <t>ctu</t>
        </is>
      </c>
      <c r="R1273" t="inlineStr">
        <is>
          <t xml:space="preserve">E  </t>
        </is>
      </c>
      <c r="S1273" t="n">
        <v>5</v>
      </c>
      <c r="T1273" t="n">
        <v>5</v>
      </c>
      <c r="U1273" t="inlineStr">
        <is>
          <t>2003-11-21</t>
        </is>
      </c>
      <c r="V1273" t="inlineStr">
        <is>
          <t>2003-11-21</t>
        </is>
      </c>
      <c r="W1273" t="inlineStr">
        <is>
          <t>1990-02-13</t>
        </is>
      </c>
      <c r="X1273" t="inlineStr">
        <is>
          <t>1990-02-13</t>
        </is>
      </c>
      <c r="Y1273" t="n">
        <v>116</v>
      </c>
      <c r="Z1273" t="n">
        <v>108</v>
      </c>
      <c r="AA1273" t="n">
        <v>405</v>
      </c>
      <c r="AB1273" t="n">
        <v>1</v>
      </c>
      <c r="AC1273" t="n">
        <v>4</v>
      </c>
      <c r="AD1273" t="n">
        <v>5</v>
      </c>
      <c r="AE1273" t="n">
        <v>21</v>
      </c>
      <c r="AF1273" t="n">
        <v>1</v>
      </c>
      <c r="AG1273" t="n">
        <v>5</v>
      </c>
      <c r="AH1273" t="n">
        <v>3</v>
      </c>
      <c r="AI1273" t="n">
        <v>7</v>
      </c>
      <c r="AJ1273" t="n">
        <v>4</v>
      </c>
      <c r="AK1273" t="n">
        <v>12</v>
      </c>
      <c r="AL1273" t="n">
        <v>0</v>
      </c>
      <c r="AM1273" t="n">
        <v>3</v>
      </c>
      <c r="AN1273" t="n">
        <v>0</v>
      </c>
      <c r="AO1273" t="n">
        <v>0</v>
      </c>
      <c r="AP1273" t="inlineStr">
        <is>
          <t>No</t>
        </is>
      </c>
      <c r="AQ1273" t="inlineStr">
        <is>
          <t>No</t>
        </is>
      </c>
      <c r="AS1273">
        <f>HYPERLINK("https://creighton-primo.hosted.exlibrisgroup.com/primo-explore/search?tab=default_tab&amp;search_scope=EVERYTHING&amp;vid=01CRU&amp;lang=en_US&amp;offset=0&amp;query=any,contains,991004460459702656","Catalog Record")</f>
        <v/>
      </c>
      <c r="AT1273">
        <f>HYPERLINK("http://www.worldcat.org/oclc/3542978","WorldCat Record")</f>
        <v/>
      </c>
      <c r="AU1273" t="inlineStr">
        <is>
          <t>444888:eng</t>
        </is>
      </c>
      <c r="AV1273" t="inlineStr">
        <is>
          <t>3542978</t>
        </is>
      </c>
      <c r="AW1273" t="inlineStr">
        <is>
          <t>991004460459702656</t>
        </is>
      </c>
      <c r="AX1273" t="inlineStr">
        <is>
          <t>991004460459702656</t>
        </is>
      </c>
      <c r="AY1273" t="inlineStr">
        <is>
          <t>2264908890002656</t>
        </is>
      </c>
      <c r="AZ1273" t="inlineStr">
        <is>
          <t>BOOK</t>
        </is>
      </c>
      <c r="BB1273" t="inlineStr">
        <is>
          <t>9780313200618</t>
        </is>
      </c>
      <c r="BC1273" t="inlineStr">
        <is>
          <t>32285000052109</t>
        </is>
      </c>
      <c r="BD1273" t="inlineStr">
        <is>
          <t>893423828</t>
        </is>
      </c>
    </row>
    <row r="1274">
      <c r="A1274" t="inlineStr">
        <is>
          <t>No</t>
        </is>
      </c>
      <c r="B1274" t="inlineStr">
        <is>
          <t>E415.7 .S66 1969</t>
        </is>
      </c>
      <c r="C1274" t="inlineStr">
        <is>
          <t>0                      E  0415700S  66          1969</t>
        </is>
      </c>
      <c r="D1274" t="inlineStr">
        <is>
          <t>Parties and slavery, 1850-1859.</t>
        </is>
      </c>
      <c r="F1274" t="inlineStr">
        <is>
          <t>No</t>
        </is>
      </c>
      <c r="G1274" t="inlineStr">
        <is>
          <t>1</t>
        </is>
      </c>
      <c r="H1274" t="inlineStr">
        <is>
          <t>No</t>
        </is>
      </c>
      <c r="I1274" t="inlineStr">
        <is>
          <t>No</t>
        </is>
      </c>
      <c r="J1274" t="inlineStr">
        <is>
          <t>0</t>
        </is>
      </c>
      <c r="K1274" t="inlineStr">
        <is>
          <t>Smith, Theodore Clarke, 1870-1960.</t>
        </is>
      </c>
      <c r="L1274" t="inlineStr">
        <is>
          <t>New York : Negro Universities Press, [1969]</t>
        </is>
      </c>
      <c r="M1274" t="inlineStr">
        <is>
          <t>1969</t>
        </is>
      </c>
      <c r="N1274" t="inlineStr">
        <is>
          <t>Commonwealth ed.</t>
        </is>
      </c>
      <c r="O1274" t="inlineStr">
        <is>
          <t>eng</t>
        </is>
      </c>
      <c r="P1274" t="inlineStr">
        <is>
          <t>nyu</t>
        </is>
      </c>
      <c r="R1274" t="inlineStr">
        <is>
          <t xml:space="preserve">E  </t>
        </is>
      </c>
      <c r="S1274" t="n">
        <v>0</v>
      </c>
      <c r="T1274" t="n">
        <v>0</v>
      </c>
      <c r="U1274" t="inlineStr">
        <is>
          <t>2003-04-22</t>
        </is>
      </c>
      <c r="V1274" t="inlineStr">
        <is>
          <t>2003-04-22</t>
        </is>
      </c>
      <c r="W1274" t="inlineStr">
        <is>
          <t>1993-02-02</t>
        </is>
      </c>
      <c r="X1274" t="inlineStr">
        <is>
          <t>1993-02-02</t>
        </is>
      </c>
      <c r="Y1274" t="n">
        <v>134</v>
      </c>
      <c r="Z1274" t="n">
        <v>130</v>
      </c>
      <c r="AA1274" t="n">
        <v>1046</v>
      </c>
      <c r="AB1274" t="n">
        <v>1</v>
      </c>
      <c r="AC1274" t="n">
        <v>10</v>
      </c>
      <c r="AD1274" t="n">
        <v>3</v>
      </c>
      <c r="AE1274" t="n">
        <v>48</v>
      </c>
      <c r="AF1274" t="n">
        <v>2</v>
      </c>
      <c r="AG1274" t="n">
        <v>19</v>
      </c>
      <c r="AH1274" t="n">
        <v>0</v>
      </c>
      <c r="AI1274" t="n">
        <v>8</v>
      </c>
      <c r="AJ1274" t="n">
        <v>3</v>
      </c>
      <c r="AK1274" t="n">
        <v>19</v>
      </c>
      <c r="AL1274" t="n">
        <v>0</v>
      </c>
      <c r="AM1274" t="n">
        <v>7</v>
      </c>
      <c r="AN1274" t="n">
        <v>0</v>
      </c>
      <c r="AO1274" t="n">
        <v>6</v>
      </c>
      <c r="AP1274" t="inlineStr">
        <is>
          <t>Yes</t>
        </is>
      </c>
      <c r="AQ1274" t="inlineStr">
        <is>
          <t>No</t>
        </is>
      </c>
      <c r="AR1274">
        <f>HYPERLINK("http://catalog.hathitrust.org/Record/004387460","HathiTrust Record")</f>
        <v/>
      </c>
      <c r="AS1274">
        <f>HYPERLINK("https://creighton-primo.hosted.exlibrisgroup.com/primo-explore/search?tab=default_tab&amp;search_scope=EVERYTHING&amp;vid=01CRU&amp;lang=en_US&amp;offset=0&amp;query=any,contains,991000052249702656","Catalog Record")</f>
        <v/>
      </c>
      <c r="AT1274">
        <f>HYPERLINK("http://www.worldcat.org/oclc/22894","WorldCat Record")</f>
        <v/>
      </c>
      <c r="AU1274" t="inlineStr">
        <is>
          <t>1124811:eng</t>
        </is>
      </c>
      <c r="AV1274" t="inlineStr">
        <is>
          <t>22894</t>
        </is>
      </c>
      <c r="AW1274" t="inlineStr">
        <is>
          <t>991000052249702656</t>
        </is>
      </c>
      <c r="AX1274" t="inlineStr">
        <is>
          <t>991000052249702656</t>
        </is>
      </c>
      <c r="AY1274" t="inlineStr">
        <is>
          <t>2268198690002656</t>
        </is>
      </c>
      <c r="AZ1274" t="inlineStr">
        <is>
          <t>BOOK</t>
        </is>
      </c>
      <c r="BB1274" t="inlineStr">
        <is>
          <t>9780837112862</t>
        </is>
      </c>
      <c r="BC1274" t="inlineStr">
        <is>
          <t>32285001449247</t>
        </is>
      </c>
      <c r="BD1274" t="inlineStr">
        <is>
          <t>893620125</t>
        </is>
      </c>
    </row>
    <row r="1275">
      <c r="A1275" t="inlineStr">
        <is>
          <t>No</t>
        </is>
      </c>
      <c r="B1275" t="inlineStr">
        <is>
          <t>E415.7 .U55 1997</t>
        </is>
      </c>
      <c r="C1275" t="inlineStr">
        <is>
          <t>0                      E  0415700U  55          1997</t>
        </is>
      </c>
      <c r="D1275" t="inlineStr">
        <is>
          <t>Union &amp; emancipation : essays on politics and race in the Civil War era / edited by David W. Blight &amp; Brooks D. Simpson.</t>
        </is>
      </c>
      <c r="F1275" t="inlineStr">
        <is>
          <t>No</t>
        </is>
      </c>
      <c r="G1275" t="inlineStr">
        <is>
          <t>1</t>
        </is>
      </c>
      <c r="H1275" t="inlineStr">
        <is>
          <t>No</t>
        </is>
      </c>
      <c r="I1275" t="inlineStr">
        <is>
          <t>No</t>
        </is>
      </c>
      <c r="J1275" t="inlineStr">
        <is>
          <t>0</t>
        </is>
      </c>
      <c r="L1275" t="inlineStr">
        <is>
          <t>Kent, Ohio : Kent State University Press, c1997.</t>
        </is>
      </c>
      <c r="M1275" t="inlineStr">
        <is>
          <t>1997</t>
        </is>
      </c>
      <c r="O1275" t="inlineStr">
        <is>
          <t>eng</t>
        </is>
      </c>
      <c r="P1275" t="inlineStr">
        <is>
          <t>ohu</t>
        </is>
      </c>
      <c r="R1275" t="inlineStr">
        <is>
          <t xml:space="preserve">E  </t>
        </is>
      </c>
      <c r="S1275" t="n">
        <v>3</v>
      </c>
      <c r="T1275" t="n">
        <v>3</v>
      </c>
      <c r="U1275" t="inlineStr">
        <is>
          <t>1999-03-05</t>
        </is>
      </c>
      <c r="V1275" t="inlineStr">
        <is>
          <t>1999-03-05</t>
        </is>
      </c>
      <c r="W1275" t="inlineStr">
        <is>
          <t>1998-01-21</t>
        </is>
      </c>
      <c r="X1275" t="inlineStr">
        <is>
          <t>1998-01-21</t>
        </is>
      </c>
      <c r="Y1275" t="n">
        <v>554</v>
      </c>
      <c r="Z1275" t="n">
        <v>490</v>
      </c>
      <c r="AA1275" t="n">
        <v>1081</v>
      </c>
      <c r="AB1275" t="n">
        <v>4</v>
      </c>
      <c r="AC1275" t="n">
        <v>19</v>
      </c>
      <c r="AD1275" t="n">
        <v>27</v>
      </c>
      <c r="AE1275" t="n">
        <v>38</v>
      </c>
      <c r="AF1275" t="n">
        <v>9</v>
      </c>
      <c r="AG1275" t="n">
        <v>11</v>
      </c>
      <c r="AH1275" t="n">
        <v>7</v>
      </c>
      <c r="AI1275" t="n">
        <v>7</v>
      </c>
      <c r="AJ1275" t="n">
        <v>15</v>
      </c>
      <c r="AK1275" t="n">
        <v>16</v>
      </c>
      <c r="AL1275" t="n">
        <v>3</v>
      </c>
      <c r="AM1275" t="n">
        <v>11</v>
      </c>
      <c r="AN1275" t="n">
        <v>0</v>
      </c>
      <c r="AO1275" t="n">
        <v>0</v>
      </c>
      <c r="AP1275" t="inlineStr">
        <is>
          <t>No</t>
        </is>
      </c>
      <c r="AQ1275" t="inlineStr">
        <is>
          <t>No</t>
        </is>
      </c>
      <c r="AS1275">
        <f>HYPERLINK("https://creighton-primo.hosted.exlibrisgroup.com/primo-explore/search?tab=default_tab&amp;search_scope=EVERYTHING&amp;vid=01CRU&amp;lang=en_US&amp;offset=0&amp;query=any,contains,991002700699702656","Catalog Record")</f>
        <v/>
      </c>
      <c r="AT1275">
        <f>HYPERLINK("http://www.worldcat.org/oclc/35262391","WorldCat Record")</f>
        <v/>
      </c>
      <c r="AU1275" t="inlineStr">
        <is>
          <t>864077103:eng</t>
        </is>
      </c>
      <c r="AV1275" t="inlineStr">
        <is>
          <t>35262391</t>
        </is>
      </c>
      <c r="AW1275" t="inlineStr">
        <is>
          <t>991002700699702656</t>
        </is>
      </c>
      <c r="AX1275" t="inlineStr">
        <is>
          <t>991002700699702656</t>
        </is>
      </c>
      <c r="AY1275" t="inlineStr">
        <is>
          <t>2264294910002656</t>
        </is>
      </c>
      <c r="AZ1275" t="inlineStr">
        <is>
          <t>BOOK</t>
        </is>
      </c>
      <c r="BB1275" t="inlineStr">
        <is>
          <t>9780873385657</t>
        </is>
      </c>
      <c r="BC1275" t="inlineStr">
        <is>
          <t>32285003304051</t>
        </is>
      </c>
      <c r="BD1275" t="inlineStr">
        <is>
          <t>893773933</t>
        </is>
      </c>
    </row>
    <row r="1276">
      <c r="A1276" t="inlineStr">
        <is>
          <t>No</t>
        </is>
      </c>
      <c r="B1276" t="inlineStr">
        <is>
          <t>E415.7 .W35 2004</t>
        </is>
      </c>
      <c r="C1276" t="inlineStr">
        <is>
          <t>0                      E  0415700W  35          2004</t>
        </is>
      </c>
      <c r="D1276" t="inlineStr">
        <is>
          <t>The shattering of the Union : America in the 1850s / Eric H. Walther.</t>
        </is>
      </c>
      <c r="F1276" t="inlineStr">
        <is>
          <t>No</t>
        </is>
      </c>
      <c r="G1276" t="inlineStr">
        <is>
          <t>1</t>
        </is>
      </c>
      <c r="H1276" t="inlineStr">
        <is>
          <t>No</t>
        </is>
      </c>
      <c r="I1276" t="inlineStr">
        <is>
          <t>No</t>
        </is>
      </c>
      <c r="J1276" t="inlineStr">
        <is>
          <t>0</t>
        </is>
      </c>
      <c r="K1276" t="inlineStr">
        <is>
          <t>Walther, Eric H., 1960-</t>
        </is>
      </c>
      <c r="L1276" t="inlineStr">
        <is>
          <t>Wilmington, Del. : Scholarly Resources, 2004.</t>
        </is>
      </c>
      <c r="M1276" t="inlineStr">
        <is>
          <t>2004</t>
        </is>
      </c>
      <c r="N1276" t="inlineStr">
        <is>
          <t>1st SR Book ed.</t>
        </is>
      </c>
      <c r="O1276" t="inlineStr">
        <is>
          <t>eng</t>
        </is>
      </c>
      <c r="P1276" t="inlineStr">
        <is>
          <t>deu</t>
        </is>
      </c>
      <c r="Q1276" t="inlineStr">
        <is>
          <t>The American crisis series ; no. 14</t>
        </is>
      </c>
      <c r="R1276" t="inlineStr">
        <is>
          <t xml:space="preserve">E  </t>
        </is>
      </c>
      <c r="S1276" t="n">
        <v>4</v>
      </c>
      <c r="T1276" t="n">
        <v>4</v>
      </c>
      <c r="U1276" t="inlineStr">
        <is>
          <t>2005-05-31</t>
        </is>
      </c>
      <c r="V1276" t="inlineStr">
        <is>
          <t>2005-05-31</t>
        </is>
      </c>
      <c r="W1276" t="inlineStr">
        <is>
          <t>2005-05-31</t>
        </is>
      </c>
      <c r="X1276" t="inlineStr">
        <is>
          <t>2005-05-31</t>
        </is>
      </c>
      <c r="Y1276" t="n">
        <v>638</v>
      </c>
      <c r="Z1276" t="n">
        <v>601</v>
      </c>
      <c r="AA1276" t="n">
        <v>637</v>
      </c>
      <c r="AB1276" t="n">
        <v>3</v>
      </c>
      <c r="AC1276" t="n">
        <v>3</v>
      </c>
      <c r="AD1276" t="n">
        <v>29</v>
      </c>
      <c r="AE1276" t="n">
        <v>31</v>
      </c>
      <c r="AF1276" t="n">
        <v>15</v>
      </c>
      <c r="AG1276" t="n">
        <v>16</v>
      </c>
      <c r="AH1276" t="n">
        <v>7</v>
      </c>
      <c r="AI1276" t="n">
        <v>8</v>
      </c>
      <c r="AJ1276" t="n">
        <v>12</v>
      </c>
      <c r="AK1276" t="n">
        <v>13</v>
      </c>
      <c r="AL1276" t="n">
        <v>2</v>
      </c>
      <c r="AM1276" t="n">
        <v>2</v>
      </c>
      <c r="AN1276" t="n">
        <v>0</v>
      </c>
      <c r="AO1276" t="n">
        <v>0</v>
      </c>
      <c r="AP1276" t="inlineStr">
        <is>
          <t>No</t>
        </is>
      </c>
      <c r="AQ1276" t="inlineStr">
        <is>
          <t>Yes</t>
        </is>
      </c>
      <c r="AR1276">
        <f>HYPERLINK("http://catalog.hathitrust.org/Record/004350837","HathiTrust Record")</f>
        <v/>
      </c>
      <c r="AS1276">
        <f>HYPERLINK("https://creighton-primo.hosted.exlibrisgroup.com/primo-explore/search?tab=default_tab&amp;search_scope=EVERYTHING&amp;vid=01CRU&amp;lang=en_US&amp;offset=0&amp;query=any,contains,991004544489702656","Catalog Record")</f>
        <v/>
      </c>
      <c r="AT1276">
        <f>HYPERLINK("http://www.worldcat.org/oclc/52134763","WorldCat Record")</f>
        <v/>
      </c>
      <c r="AU1276" t="inlineStr">
        <is>
          <t>838757933:eng</t>
        </is>
      </c>
      <c r="AV1276" t="inlineStr">
        <is>
          <t>52134763</t>
        </is>
      </c>
      <c r="AW1276" t="inlineStr">
        <is>
          <t>991004544489702656</t>
        </is>
      </c>
      <c r="AX1276" t="inlineStr">
        <is>
          <t>991004544489702656</t>
        </is>
      </c>
      <c r="AY1276" t="inlineStr">
        <is>
          <t>2255187870002656</t>
        </is>
      </c>
      <c r="AZ1276" t="inlineStr">
        <is>
          <t>BOOK</t>
        </is>
      </c>
      <c r="BB1276" t="inlineStr">
        <is>
          <t>9780842027984</t>
        </is>
      </c>
      <c r="BC1276" t="inlineStr">
        <is>
          <t>32285005091698</t>
        </is>
      </c>
      <c r="BD1276" t="inlineStr">
        <is>
          <t>893519783</t>
        </is>
      </c>
    </row>
    <row r="1277">
      <c r="A1277" t="inlineStr">
        <is>
          <t>No</t>
        </is>
      </c>
      <c r="B1277" t="inlineStr">
        <is>
          <t>E415.9.H9 S5</t>
        </is>
      </c>
      <c r="C1277" t="inlineStr">
        <is>
          <t>0                      E  0415900H  9                  S  5</t>
        </is>
      </c>
      <c r="D1277" t="inlineStr">
        <is>
          <t>Life of Robert M. T. Hunter : a study in sectionalism and secession / [by] Henry Harrison Simms.</t>
        </is>
      </c>
      <c r="F1277" t="inlineStr">
        <is>
          <t>No</t>
        </is>
      </c>
      <c r="G1277" t="inlineStr">
        <is>
          <t>1</t>
        </is>
      </c>
      <c r="H1277" t="inlineStr">
        <is>
          <t>No</t>
        </is>
      </c>
      <c r="I1277" t="inlineStr">
        <is>
          <t>No</t>
        </is>
      </c>
      <c r="J1277" t="inlineStr">
        <is>
          <t>0</t>
        </is>
      </c>
      <c r="K1277" t="inlineStr">
        <is>
          <t>Simms, Henry Harrison, 1896-</t>
        </is>
      </c>
      <c r="L1277" t="inlineStr">
        <is>
          <t>Richmond, Va. : The William Byrd press, [c1935]</t>
        </is>
      </c>
      <c r="M1277" t="inlineStr">
        <is>
          <t>1935</t>
        </is>
      </c>
      <c r="O1277" t="inlineStr">
        <is>
          <t>eng</t>
        </is>
      </c>
      <c r="P1277" t="inlineStr">
        <is>
          <t>vau</t>
        </is>
      </c>
      <c r="R1277" t="inlineStr">
        <is>
          <t xml:space="preserve">E  </t>
        </is>
      </c>
      <c r="S1277" t="n">
        <v>1</v>
      </c>
      <c r="T1277" t="n">
        <v>1</v>
      </c>
      <c r="U1277" t="inlineStr">
        <is>
          <t>1993-04-25</t>
        </is>
      </c>
      <c r="V1277" t="inlineStr">
        <is>
          <t>1993-04-25</t>
        </is>
      </c>
      <c r="W1277" t="inlineStr">
        <is>
          <t>1993-03-18</t>
        </is>
      </c>
      <c r="X1277" t="inlineStr">
        <is>
          <t>1993-03-18</t>
        </is>
      </c>
      <c r="Y1277" t="n">
        <v>258</v>
      </c>
      <c r="Z1277" t="n">
        <v>248</v>
      </c>
      <c r="AA1277" t="n">
        <v>253</v>
      </c>
      <c r="AB1277" t="n">
        <v>3</v>
      </c>
      <c r="AC1277" t="n">
        <v>3</v>
      </c>
      <c r="AD1277" t="n">
        <v>16</v>
      </c>
      <c r="AE1277" t="n">
        <v>16</v>
      </c>
      <c r="AF1277" t="n">
        <v>8</v>
      </c>
      <c r="AG1277" t="n">
        <v>8</v>
      </c>
      <c r="AH1277" t="n">
        <v>3</v>
      </c>
      <c r="AI1277" t="n">
        <v>3</v>
      </c>
      <c r="AJ1277" t="n">
        <v>9</v>
      </c>
      <c r="AK1277" t="n">
        <v>9</v>
      </c>
      <c r="AL1277" t="n">
        <v>2</v>
      </c>
      <c r="AM1277" t="n">
        <v>2</v>
      </c>
      <c r="AN1277" t="n">
        <v>0</v>
      </c>
      <c r="AO1277" t="n">
        <v>0</v>
      </c>
      <c r="AP1277" t="inlineStr">
        <is>
          <t>No</t>
        </is>
      </c>
      <c r="AQ1277" t="inlineStr">
        <is>
          <t>Yes</t>
        </is>
      </c>
      <c r="AR1277">
        <f>HYPERLINK("http://catalog.hathitrust.org/Record/007473888","HathiTrust Record")</f>
        <v/>
      </c>
      <c r="AS1277">
        <f>HYPERLINK("https://creighton-primo.hosted.exlibrisgroup.com/primo-explore/search?tab=default_tab&amp;search_scope=EVERYTHING&amp;vid=01CRU&amp;lang=en_US&amp;offset=0&amp;query=any,contains,991003195499702656","Catalog Record")</f>
        <v/>
      </c>
      <c r="AT1277">
        <f>HYPERLINK("http://www.worldcat.org/oclc/720723","WorldCat Record")</f>
        <v/>
      </c>
      <c r="AU1277" t="inlineStr">
        <is>
          <t>1702160:eng</t>
        </is>
      </c>
      <c r="AV1277" t="inlineStr">
        <is>
          <t>720723</t>
        </is>
      </c>
      <c r="AW1277" t="inlineStr">
        <is>
          <t>991003195499702656</t>
        </is>
      </c>
      <c r="AX1277" t="inlineStr">
        <is>
          <t>991003195499702656</t>
        </is>
      </c>
      <c r="AY1277" t="inlineStr">
        <is>
          <t>2256326400002656</t>
        </is>
      </c>
      <c r="AZ1277" t="inlineStr">
        <is>
          <t>BOOK</t>
        </is>
      </c>
      <c r="BC1277" t="inlineStr">
        <is>
          <t>32285001575231</t>
        </is>
      </c>
      <c r="BD1277" t="inlineStr">
        <is>
          <t>893511659</t>
        </is>
      </c>
    </row>
    <row r="1278">
      <c r="A1278" t="inlineStr">
        <is>
          <t>No</t>
        </is>
      </c>
      <c r="B1278" t="inlineStr">
        <is>
          <t>E415.9.S53 K46 2002</t>
        </is>
      </c>
      <c r="C1278" t="inlineStr">
        <is>
          <t>0                      E  0415900S  53                 K  46          2002</t>
        </is>
      </c>
      <c r="D1278" t="inlineStr">
        <is>
          <t>American scoundrel : the life of the notorious Civil War General Dan Sickles / Thomas Keneally.</t>
        </is>
      </c>
      <c r="F1278" t="inlineStr">
        <is>
          <t>No</t>
        </is>
      </c>
      <c r="G1278" t="inlineStr">
        <is>
          <t>1</t>
        </is>
      </c>
      <c r="H1278" t="inlineStr">
        <is>
          <t>No</t>
        </is>
      </c>
      <c r="I1278" t="inlineStr">
        <is>
          <t>No</t>
        </is>
      </c>
      <c r="J1278" t="inlineStr">
        <is>
          <t>0</t>
        </is>
      </c>
      <c r="K1278" t="inlineStr">
        <is>
          <t>Keneally, Thomas.</t>
        </is>
      </c>
      <c r="L1278" t="inlineStr">
        <is>
          <t>New York : Nan A. Talese/Doubleday, 2002.</t>
        </is>
      </c>
      <c r="M1278" t="inlineStr">
        <is>
          <t>2002</t>
        </is>
      </c>
      <c r="N1278" t="inlineStr">
        <is>
          <t>1st ed.</t>
        </is>
      </c>
      <c r="O1278" t="inlineStr">
        <is>
          <t>eng</t>
        </is>
      </c>
      <c r="P1278" t="inlineStr">
        <is>
          <t>nyu</t>
        </is>
      </c>
      <c r="R1278" t="inlineStr">
        <is>
          <t xml:space="preserve">E  </t>
        </is>
      </c>
      <c r="S1278" t="n">
        <v>2</v>
      </c>
      <c r="T1278" t="n">
        <v>2</v>
      </c>
      <c r="U1278" t="inlineStr">
        <is>
          <t>2002-05-11</t>
        </is>
      </c>
      <c r="V1278" t="inlineStr">
        <is>
          <t>2002-05-11</t>
        </is>
      </c>
      <c r="W1278" t="inlineStr">
        <is>
          <t>2002-04-22</t>
        </is>
      </c>
      <c r="X1278" t="inlineStr">
        <is>
          <t>2002-04-22</t>
        </is>
      </c>
      <c r="Y1278" t="n">
        <v>1227</v>
      </c>
      <c r="Z1278" t="n">
        <v>1191</v>
      </c>
      <c r="AA1278" t="n">
        <v>1339</v>
      </c>
      <c r="AB1278" t="n">
        <v>13</v>
      </c>
      <c r="AC1278" t="n">
        <v>15</v>
      </c>
      <c r="AD1278" t="n">
        <v>23</v>
      </c>
      <c r="AE1278" t="n">
        <v>28</v>
      </c>
      <c r="AF1278" t="n">
        <v>8</v>
      </c>
      <c r="AG1278" t="n">
        <v>10</v>
      </c>
      <c r="AH1278" t="n">
        <v>7</v>
      </c>
      <c r="AI1278" t="n">
        <v>7</v>
      </c>
      <c r="AJ1278" t="n">
        <v>9</v>
      </c>
      <c r="AK1278" t="n">
        <v>11</v>
      </c>
      <c r="AL1278" t="n">
        <v>4</v>
      </c>
      <c r="AM1278" t="n">
        <v>6</v>
      </c>
      <c r="AN1278" t="n">
        <v>1</v>
      </c>
      <c r="AO1278" t="n">
        <v>1</v>
      </c>
      <c r="AP1278" t="inlineStr">
        <is>
          <t>No</t>
        </is>
      </c>
      <c r="AQ1278" t="inlineStr">
        <is>
          <t>Yes</t>
        </is>
      </c>
      <c r="AR1278">
        <f>HYPERLINK("http://catalog.hathitrust.org/Record/004298834","HathiTrust Record")</f>
        <v/>
      </c>
      <c r="AS1278">
        <f>HYPERLINK("https://creighton-primo.hosted.exlibrisgroup.com/primo-explore/search?tab=default_tab&amp;search_scope=EVERYTHING&amp;vid=01CRU&amp;lang=en_US&amp;offset=0&amp;query=any,contains,991003745579702656","Catalog Record")</f>
        <v/>
      </c>
      <c r="AT1278">
        <f>HYPERLINK("http://www.worldcat.org/oclc/47738452","WorldCat Record")</f>
        <v/>
      </c>
      <c r="AU1278" t="inlineStr">
        <is>
          <t>863917352:eng</t>
        </is>
      </c>
      <c r="AV1278" t="inlineStr">
        <is>
          <t>47738452</t>
        </is>
      </c>
      <c r="AW1278" t="inlineStr">
        <is>
          <t>991003745579702656</t>
        </is>
      </c>
      <c r="AX1278" t="inlineStr">
        <is>
          <t>991003745579702656</t>
        </is>
      </c>
      <c r="AY1278" t="inlineStr">
        <is>
          <t>2262741010002656</t>
        </is>
      </c>
      <c r="AZ1278" t="inlineStr">
        <is>
          <t>BOOK</t>
        </is>
      </c>
      <c r="BB1278" t="inlineStr">
        <is>
          <t>9780385501392</t>
        </is>
      </c>
      <c r="BC1278" t="inlineStr">
        <is>
          <t>32285004482153</t>
        </is>
      </c>
      <c r="BD1278" t="inlineStr">
        <is>
          <t>893806159</t>
        </is>
      </c>
    </row>
    <row r="1279">
      <c r="A1279" t="inlineStr">
        <is>
          <t>No</t>
        </is>
      </c>
      <c r="B1279" t="inlineStr">
        <is>
          <t>E415.9.W39 V3</t>
        </is>
      </c>
      <c r="C1279" t="inlineStr">
        <is>
          <t>0                      E  0415900W  39                 V  3</t>
        </is>
      </c>
      <c r="D1279" t="inlineStr">
        <is>
          <t>Thurlow Weed, wizard of the lobby / by Glyndon G. Van Deusen.</t>
        </is>
      </c>
      <c r="F1279" t="inlineStr">
        <is>
          <t>No</t>
        </is>
      </c>
      <c r="G1279" t="inlineStr">
        <is>
          <t>1</t>
        </is>
      </c>
      <c r="H1279" t="inlineStr">
        <is>
          <t>No</t>
        </is>
      </c>
      <c r="I1279" t="inlineStr">
        <is>
          <t>No</t>
        </is>
      </c>
      <c r="J1279" t="inlineStr">
        <is>
          <t>0</t>
        </is>
      </c>
      <c r="K1279" t="inlineStr">
        <is>
          <t>Van Deusen, Glyndon G. (Glyndon Garlock), 1897-1987.</t>
        </is>
      </c>
      <c r="L1279" t="inlineStr">
        <is>
          <t>Boston, Little, Brown and Company, 1947.</t>
        </is>
      </c>
      <c r="M1279" t="inlineStr">
        <is>
          <t>1947</t>
        </is>
      </c>
      <c r="O1279" t="inlineStr">
        <is>
          <t>eng</t>
        </is>
      </c>
      <c r="P1279" t="inlineStr">
        <is>
          <t>mau</t>
        </is>
      </c>
      <c r="R1279" t="inlineStr">
        <is>
          <t xml:space="preserve">E  </t>
        </is>
      </c>
      <c r="S1279" t="n">
        <v>0</v>
      </c>
      <c r="T1279" t="n">
        <v>0</v>
      </c>
      <c r="U1279" t="inlineStr">
        <is>
          <t>2003-10-24</t>
        </is>
      </c>
      <c r="V1279" t="inlineStr">
        <is>
          <t>2003-10-24</t>
        </is>
      </c>
      <c r="W1279" t="inlineStr">
        <is>
          <t>1996-08-20</t>
        </is>
      </c>
      <c r="X1279" t="inlineStr">
        <is>
          <t>1996-08-20</t>
        </is>
      </c>
      <c r="Y1279" t="n">
        <v>631</v>
      </c>
      <c r="Z1279" t="n">
        <v>591</v>
      </c>
      <c r="AA1279" t="n">
        <v>739</v>
      </c>
      <c r="AB1279" t="n">
        <v>5</v>
      </c>
      <c r="AC1279" t="n">
        <v>5</v>
      </c>
      <c r="AD1279" t="n">
        <v>32</v>
      </c>
      <c r="AE1279" t="n">
        <v>37</v>
      </c>
      <c r="AF1279" t="n">
        <v>11</v>
      </c>
      <c r="AG1279" t="n">
        <v>14</v>
      </c>
      <c r="AH1279" t="n">
        <v>7</v>
      </c>
      <c r="AI1279" t="n">
        <v>8</v>
      </c>
      <c r="AJ1279" t="n">
        <v>17</v>
      </c>
      <c r="AK1279" t="n">
        <v>19</v>
      </c>
      <c r="AL1279" t="n">
        <v>4</v>
      </c>
      <c r="AM1279" t="n">
        <v>4</v>
      </c>
      <c r="AN1279" t="n">
        <v>2</v>
      </c>
      <c r="AO1279" t="n">
        <v>2</v>
      </c>
      <c r="AP1279" t="inlineStr">
        <is>
          <t>Yes</t>
        </is>
      </c>
      <c r="AQ1279" t="inlineStr">
        <is>
          <t>No</t>
        </is>
      </c>
      <c r="AR1279">
        <f>HYPERLINK("http://catalog.hathitrust.org/Record/000408046","HathiTrust Record")</f>
        <v/>
      </c>
      <c r="AS1279">
        <f>HYPERLINK("https://creighton-primo.hosted.exlibrisgroup.com/primo-explore/search?tab=default_tab&amp;search_scope=EVERYTHING&amp;vid=01CRU&amp;lang=en_US&amp;offset=0&amp;query=any,contains,991002756319702656","Catalog Record")</f>
        <v/>
      </c>
      <c r="AT1279">
        <f>HYPERLINK("http://www.worldcat.org/oclc/426531","WorldCat Record")</f>
        <v/>
      </c>
      <c r="AU1279" t="inlineStr">
        <is>
          <t>1171756:eng</t>
        </is>
      </c>
      <c r="AV1279" t="inlineStr">
        <is>
          <t>426531</t>
        </is>
      </c>
      <c r="AW1279" t="inlineStr">
        <is>
          <t>991002756319702656</t>
        </is>
      </c>
      <c r="AX1279" t="inlineStr">
        <is>
          <t>991002756319702656</t>
        </is>
      </c>
      <c r="AY1279" t="inlineStr">
        <is>
          <t>2265327770002656</t>
        </is>
      </c>
      <c r="AZ1279" t="inlineStr">
        <is>
          <t>BOOK</t>
        </is>
      </c>
      <c r="BC1279" t="inlineStr">
        <is>
          <t>32285002282399</t>
        </is>
      </c>
      <c r="BD1279" t="inlineStr">
        <is>
          <t>893347892</t>
        </is>
      </c>
    </row>
    <row r="1280">
      <c r="A1280" t="inlineStr">
        <is>
          <t>No</t>
        </is>
      </c>
      <c r="B1280" t="inlineStr">
        <is>
          <t>E432 .B58 1993</t>
        </is>
      </c>
      <c r="C1280" t="inlineStr">
        <is>
          <t>0                      E  0432000B  58          1993</t>
        </is>
      </c>
      <c r="D1280" t="inlineStr">
        <is>
          <t>Franklin Pierce : a bibliography / compiled by Wilfred J. Bisson ; with assistance from Gerry Hayden.</t>
        </is>
      </c>
      <c r="F1280" t="inlineStr">
        <is>
          <t>No</t>
        </is>
      </c>
      <c r="G1280" t="inlineStr">
        <is>
          <t>1</t>
        </is>
      </c>
      <c r="H1280" t="inlineStr">
        <is>
          <t>No</t>
        </is>
      </c>
      <c r="I1280" t="inlineStr">
        <is>
          <t>No</t>
        </is>
      </c>
      <c r="J1280" t="inlineStr">
        <is>
          <t>0</t>
        </is>
      </c>
      <c r="K1280" t="inlineStr">
        <is>
          <t>Bisson, Wilfred J.</t>
        </is>
      </c>
      <c r="L1280" t="inlineStr">
        <is>
          <t>Westport, Conn. : Greenwood Press, 1993.</t>
        </is>
      </c>
      <c r="M1280" t="inlineStr">
        <is>
          <t>1993</t>
        </is>
      </c>
      <c r="O1280" t="inlineStr">
        <is>
          <t>eng</t>
        </is>
      </c>
      <c r="P1280" t="inlineStr">
        <is>
          <t>ctu</t>
        </is>
      </c>
      <c r="Q1280" t="inlineStr">
        <is>
          <t>Bibliographies of the presidents of the United States, 1061-6500 ; no. 14</t>
        </is>
      </c>
      <c r="R1280" t="inlineStr">
        <is>
          <t xml:space="preserve">E  </t>
        </is>
      </c>
      <c r="S1280" t="n">
        <v>0</v>
      </c>
      <c r="T1280" t="n">
        <v>0</v>
      </c>
      <c r="U1280" t="inlineStr">
        <is>
          <t>2003-03-27</t>
        </is>
      </c>
      <c r="V1280" t="inlineStr">
        <is>
          <t>2003-03-27</t>
        </is>
      </c>
      <c r="W1280" t="inlineStr">
        <is>
          <t>1994-05-26</t>
        </is>
      </c>
      <c r="X1280" t="inlineStr">
        <is>
          <t>1994-05-26</t>
        </is>
      </c>
      <c r="Y1280" t="n">
        <v>225</v>
      </c>
      <c r="Z1280" t="n">
        <v>193</v>
      </c>
      <c r="AA1280" t="n">
        <v>195</v>
      </c>
      <c r="AB1280" t="n">
        <v>1</v>
      </c>
      <c r="AC1280" t="n">
        <v>1</v>
      </c>
      <c r="AD1280" t="n">
        <v>9</v>
      </c>
      <c r="AE1280" t="n">
        <v>9</v>
      </c>
      <c r="AF1280" t="n">
        <v>1</v>
      </c>
      <c r="AG1280" t="n">
        <v>1</v>
      </c>
      <c r="AH1280" t="n">
        <v>4</v>
      </c>
      <c r="AI1280" t="n">
        <v>4</v>
      </c>
      <c r="AJ1280" t="n">
        <v>6</v>
      </c>
      <c r="AK1280" t="n">
        <v>6</v>
      </c>
      <c r="AL1280" t="n">
        <v>0</v>
      </c>
      <c r="AM1280" t="n">
        <v>0</v>
      </c>
      <c r="AN1280" t="n">
        <v>1</v>
      </c>
      <c r="AO1280" t="n">
        <v>1</v>
      </c>
      <c r="AP1280" t="inlineStr">
        <is>
          <t>No</t>
        </is>
      </c>
      <c r="AQ1280" t="inlineStr">
        <is>
          <t>Yes</t>
        </is>
      </c>
      <c r="AR1280">
        <f>HYPERLINK("http://catalog.hathitrust.org/Record/002753242","HathiTrust Record")</f>
        <v/>
      </c>
      <c r="AS1280">
        <f>HYPERLINK("https://creighton-primo.hosted.exlibrisgroup.com/primo-explore/search?tab=default_tab&amp;search_scope=EVERYTHING&amp;vid=01CRU&amp;lang=en_US&amp;offset=0&amp;query=any,contains,991002175849702656","Catalog Record")</f>
        <v/>
      </c>
      <c r="AT1280">
        <f>HYPERLINK("http://www.worldcat.org/oclc/28017804","WorldCat Record")</f>
        <v/>
      </c>
      <c r="AU1280" t="inlineStr">
        <is>
          <t>836742268:eng</t>
        </is>
      </c>
      <c r="AV1280" t="inlineStr">
        <is>
          <t>28017804</t>
        </is>
      </c>
      <c r="AW1280" t="inlineStr">
        <is>
          <t>991002175849702656</t>
        </is>
      </c>
      <c r="AX1280" t="inlineStr">
        <is>
          <t>991002175849702656</t>
        </is>
      </c>
      <c r="AY1280" t="inlineStr">
        <is>
          <t>2256126430002656</t>
        </is>
      </c>
      <c r="AZ1280" t="inlineStr">
        <is>
          <t>BOOK</t>
        </is>
      </c>
      <c r="BB1280" t="inlineStr">
        <is>
          <t>9780313281723</t>
        </is>
      </c>
      <c r="BC1280" t="inlineStr">
        <is>
          <t>32285001898997</t>
        </is>
      </c>
      <c r="BD1280" t="inlineStr">
        <is>
          <t>893504093</t>
        </is>
      </c>
    </row>
    <row r="1281">
      <c r="A1281" t="inlineStr">
        <is>
          <t>No</t>
        </is>
      </c>
      <c r="B1281" t="inlineStr">
        <is>
          <t>E440.5 .B28</t>
        </is>
      </c>
      <c r="C1281" t="inlineStr">
        <is>
          <t>0                      E  0440500B  28</t>
        </is>
      </c>
      <c r="D1281" t="inlineStr">
        <is>
          <t>The secessionist impulse: Alabama and Mississippi in 1860 [by] William L. Barney.</t>
        </is>
      </c>
      <c r="F1281" t="inlineStr">
        <is>
          <t>No</t>
        </is>
      </c>
      <c r="G1281" t="inlineStr">
        <is>
          <t>1</t>
        </is>
      </c>
      <c r="H1281" t="inlineStr">
        <is>
          <t>No</t>
        </is>
      </c>
      <c r="I1281" t="inlineStr">
        <is>
          <t>No</t>
        </is>
      </c>
      <c r="J1281" t="inlineStr">
        <is>
          <t>0</t>
        </is>
      </c>
      <c r="K1281" t="inlineStr">
        <is>
          <t>Barney, William L.</t>
        </is>
      </c>
      <c r="L1281" t="inlineStr">
        <is>
          <t>Princeton, N.J., Princeton University Press [1974]</t>
        </is>
      </c>
      <c r="M1281" t="inlineStr">
        <is>
          <t>1974</t>
        </is>
      </c>
      <c r="O1281" t="inlineStr">
        <is>
          <t>eng</t>
        </is>
      </c>
      <c r="P1281" t="inlineStr">
        <is>
          <t>nju</t>
        </is>
      </c>
      <c r="R1281" t="inlineStr">
        <is>
          <t xml:space="preserve">E  </t>
        </is>
      </c>
      <c r="S1281" t="n">
        <v>1</v>
      </c>
      <c r="T1281" t="n">
        <v>1</v>
      </c>
      <c r="U1281" t="inlineStr">
        <is>
          <t>2004-12-01</t>
        </is>
      </c>
      <c r="V1281" t="inlineStr">
        <is>
          <t>2004-12-01</t>
        </is>
      </c>
      <c r="W1281" t="inlineStr">
        <is>
          <t>1997-04-16</t>
        </is>
      </c>
      <c r="X1281" t="inlineStr">
        <is>
          <t>1997-04-16</t>
        </is>
      </c>
      <c r="Y1281" t="n">
        <v>773</v>
      </c>
      <c r="Z1281" t="n">
        <v>680</v>
      </c>
      <c r="AA1281" t="n">
        <v>724</v>
      </c>
      <c r="AB1281" t="n">
        <v>5</v>
      </c>
      <c r="AC1281" t="n">
        <v>5</v>
      </c>
      <c r="AD1281" t="n">
        <v>30</v>
      </c>
      <c r="AE1281" t="n">
        <v>33</v>
      </c>
      <c r="AF1281" t="n">
        <v>14</v>
      </c>
      <c r="AG1281" t="n">
        <v>16</v>
      </c>
      <c r="AH1281" t="n">
        <v>7</v>
      </c>
      <c r="AI1281" t="n">
        <v>7</v>
      </c>
      <c r="AJ1281" t="n">
        <v>14</v>
      </c>
      <c r="AK1281" t="n">
        <v>15</v>
      </c>
      <c r="AL1281" t="n">
        <v>4</v>
      </c>
      <c r="AM1281" t="n">
        <v>4</v>
      </c>
      <c r="AN1281" t="n">
        <v>0</v>
      </c>
      <c r="AO1281" t="n">
        <v>1</v>
      </c>
      <c r="AP1281" t="inlineStr">
        <is>
          <t>No</t>
        </is>
      </c>
      <c r="AQ1281" t="inlineStr">
        <is>
          <t>No</t>
        </is>
      </c>
      <c r="AS1281">
        <f>HYPERLINK("https://creighton-primo.hosted.exlibrisgroup.com/primo-explore/search?tab=default_tab&amp;search_scope=EVERYTHING&amp;vid=01CRU&amp;lang=en_US&amp;offset=0&amp;query=any,contains,991003220289702656","Catalog Record")</f>
        <v/>
      </c>
      <c r="AT1281">
        <f>HYPERLINK("http://www.worldcat.org/oclc/745904","WorldCat Record")</f>
        <v/>
      </c>
      <c r="AU1281" t="inlineStr">
        <is>
          <t>709850:eng</t>
        </is>
      </c>
      <c r="AV1281" t="inlineStr">
        <is>
          <t>745904</t>
        </is>
      </c>
      <c r="AW1281" t="inlineStr">
        <is>
          <t>991003220289702656</t>
        </is>
      </c>
      <c r="AX1281" t="inlineStr">
        <is>
          <t>991003220289702656</t>
        </is>
      </c>
      <c r="AY1281" t="inlineStr">
        <is>
          <t>2268852180002656</t>
        </is>
      </c>
      <c r="AZ1281" t="inlineStr">
        <is>
          <t>BOOK</t>
        </is>
      </c>
      <c r="BB1281" t="inlineStr">
        <is>
          <t>9780691046228</t>
        </is>
      </c>
      <c r="BC1281" t="inlineStr">
        <is>
          <t>32285002535903</t>
        </is>
      </c>
      <c r="BD1281" t="inlineStr">
        <is>
          <t>893721840</t>
        </is>
      </c>
    </row>
    <row r="1282">
      <c r="A1282" t="inlineStr">
        <is>
          <t>No</t>
        </is>
      </c>
      <c r="B1282" t="inlineStr">
        <is>
          <t>E440.5 .D88</t>
        </is>
      </c>
      <c r="C1282" t="inlineStr">
        <is>
          <t>0                      E  0440500D  88</t>
        </is>
      </c>
      <c r="D1282" t="inlineStr">
        <is>
          <t>The secession movement, 1860-1861, by Dwight Lowell Dumond ...</t>
        </is>
      </c>
      <c r="F1282" t="inlineStr">
        <is>
          <t>No</t>
        </is>
      </c>
      <c r="G1282" t="inlineStr">
        <is>
          <t>1</t>
        </is>
      </c>
      <c r="H1282" t="inlineStr">
        <is>
          <t>No</t>
        </is>
      </c>
      <c r="I1282" t="inlineStr">
        <is>
          <t>No</t>
        </is>
      </c>
      <c r="J1282" t="inlineStr">
        <is>
          <t>0</t>
        </is>
      </c>
      <c r="K1282" t="inlineStr">
        <is>
          <t>Dumond, Dwight Lowell, 1895-1976.</t>
        </is>
      </c>
      <c r="L1282" t="inlineStr">
        <is>
          <t>New York, The Macmillan Company, 1931.</t>
        </is>
      </c>
      <c r="M1282" t="inlineStr">
        <is>
          <t>1931</t>
        </is>
      </c>
      <c r="O1282" t="inlineStr">
        <is>
          <t>eng</t>
        </is>
      </c>
      <c r="P1282" t="inlineStr">
        <is>
          <t>nyu</t>
        </is>
      </c>
      <c r="R1282" t="inlineStr">
        <is>
          <t xml:space="preserve">E  </t>
        </is>
      </c>
      <c r="S1282" t="n">
        <v>1</v>
      </c>
      <c r="T1282" t="n">
        <v>1</v>
      </c>
      <c r="U1282" t="inlineStr">
        <is>
          <t>2004-12-01</t>
        </is>
      </c>
      <c r="V1282" t="inlineStr">
        <is>
          <t>2004-12-01</t>
        </is>
      </c>
      <c r="W1282" t="inlineStr">
        <is>
          <t>1997-04-16</t>
        </is>
      </c>
      <c r="X1282" t="inlineStr">
        <is>
          <t>1997-04-16</t>
        </is>
      </c>
      <c r="Y1282" t="n">
        <v>528</v>
      </c>
      <c r="Z1282" t="n">
        <v>496</v>
      </c>
      <c r="AA1282" t="n">
        <v>1115</v>
      </c>
      <c r="AB1282" t="n">
        <v>6</v>
      </c>
      <c r="AC1282" t="n">
        <v>8</v>
      </c>
      <c r="AD1282" t="n">
        <v>33</v>
      </c>
      <c r="AE1282" t="n">
        <v>52</v>
      </c>
      <c r="AF1282" t="n">
        <v>15</v>
      </c>
      <c r="AG1282" t="n">
        <v>22</v>
      </c>
      <c r="AH1282" t="n">
        <v>6</v>
      </c>
      <c r="AI1282" t="n">
        <v>11</v>
      </c>
      <c r="AJ1282" t="n">
        <v>15</v>
      </c>
      <c r="AK1282" t="n">
        <v>20</v>
      </c>
      <c r="AL1282" t="n">
        <v>5</v>
      </c>
      <c r="AM1282" t="n">
        <v>6</v>
      </c>
      <c r="AN1282" t="n">
        <v>0</v>
      </c>
      <c r="AO1282" t="n">
        <v>5</v>
      </c>
      <c r="AP1282" t="inlineStr">
        <is>
          <t>Yes</t>
        </is>
      </c>
      <c r="AQ1282" t="inlineStr">
        <is>
          <t>No</t>
        </is>
      </c>
      <c r="AR1282">
        <f>HYPERLINK("http://catalog.hathitrust.org/Record/000778114","HathiTrust Record")</f>
        <v/>
      </c>
      <c r="AS1282">
        <f>HYPERLINK("https://creighton-primo.hosted.exlibrisgroup.com/primo-explore/search?tab=default_tab&amp;search_scope=EVERYTHING&amp;vid=01CRU&amp;lang=en_US&amp;offset=0&amp;query=any,contains,991004182349702656","Catalog Record")</f>
        <v/>
      </c>
      <c r="AT1282">
        <f>HYPERLINK("http://www.worldcat.org/oclc/2608381","WorldCat Record")</f>
        <v/>
      </c>
      <c r="AU1282" t="inlineStr">
        <is>
          <t>1125754:eng</t>
        </is>
      </c>
      <c r="AV1282" t="inlineStr">
        <is>
          <t>2608381</t>
        </is>
      </c>
      <c r="AW1282" t="inlineStr">
        <is>
          <t>991004182349702656</t>
        </is>
      </c>
      <c r="AX1282" t="inlineStr">
        <is>
          <t>991004182349702656</t>
        </is>
      </c>
      <c r="AY1282" t="inlineStr">
        <is>
          <t>2261799680002656</t>
        </is>
      </c>
      <c r="AZ1282" t="inlineStr">
        <is>
          <t>BOOK</t>
        </is>
      </c>
      <c r="BC1282" t="inlineStr">
        <is>
          <t>32285002535937</t>
        </is>
      </c>
      <c r="BD1282" t="inlineStr">
        <is>
          <t>893612018</t>
        </is>
      </c>
    </row>
    <row r="1283">
      <c r="A1283" t="inlineStr">
        <is>
          <t>No</t>
        </is>
      </c>
      <c r="B1283" t="inlineStr">
        <is>
          <t>E440.5 .D89</t>
        </is>
      </c>
      <c r="C1283" t="inlineStr">
        <is>
          <t>0                      E  0440500D  89</t>
        </is>
      </c>
      <c r="D1283" t="inlineStr">
        <is>
          <t>Southern editorials on secession, edited by Dwight Lowell Dumond ...</t>
        </is>
      </c>
      <c r="F1283" t="inlineStr">
        <is>
          <t>No</t>
        </is>
      </c>
      <c r="G1283" t="inlineStr">
        <is>
          <t>1</t>
        </is>
      </c>
      <c r="H1283" t="inlineStr">
        <is>
          <t>No</t>
        </is>
      </c>
      <c r="I1283" t="inlineStr">
        <is>
          <t>No</t>
        </is>
      </c>
      <c r="J1283" t="inlineStr">
        <is>
          <t>0</t>
        </is>
      </c>
      <c r="K1283" t="inlineStr">
        <is>
          <t>Dumond, Dwight Lowell, 1895-1976, editor.</t>
        </is>
      </c>
      <c r="L1283" t="inlineStr">
        <is>
          <t>New York, London, The Century Co. [c1931]</t>
        </is>
      </c>
      <c r="M1283" t="inlineStr">
        <is>
          <t>1931</t>
        </is>
      </c>
      <c r="O1283" t="inlineStr">
        <is>
          <t>eng</t>
        </is>
      </c>
      <c r="P1283" t="inlineStr">
        <is>
          <t>nyu</t>
        </is>
      </c>
      <c r="R1283" t="inlineStr">
        <is>
          <t xml:space="preserve">E  </t>
        </is>
      </c>
      <c r="S1283" t="n">
        <v>1</v>
      </c>
      <c r="T1283" t="n">
        <v>1</v>
      </c>
      <c r="U1283" t="inlineStr">
        <is>
          <t>2004-12-01</t>
        </is>
      </c>
      <c r="V1283" t="inlineStr">
        <is>
          <t>2004-12-01</t>
        </is>
      </c>
      <c r="W1283" t="inlineStr">
        <is>
          <t>1997-04-16</t>
        </is>
      </c>
      <c r="X1283" t="inlineStr">
        <is>
          <t>1997-04-16</t>
        </is>
      </c>
      <c r="Y1283" t="n">
        <v>347</v>
      </c>
      <c r="Z1283" t="n">
        <v>326</v>
      </c>
      <c r="AA1283" t="n">
        <v>705</v>
      </c>
      <c r="AB1283" t="n">
        <v>3</v>
      </c>
      <c r="AC1283" t="n">
        <v>6</v>
      </c>
      <c r="AD1283" t="n">
        <v>10</v>
      </c>
      <c r="AE1283" t="n">
        <v>28</v>
      </c>
      <c r="AF1283" t="n">
        <v>2</v>
      </c>
      <c r="AG1283" t="n">
        <v>12</v>
      </c>
      <c r="AH1283" t="n">
        <v>2</v>
      </c>
      <c r="AI1283" t="n">
        <v>6</v>
      </c>
      <c r="AJ1283" t="n">
        <v>5</v>
      </c>
      <c r="AK1283" t="n">
        <v>12</v>
      </c>
      <c r="AL1283" t="n">
        <v>2</v>
      </c>
      <c r="AM1283" t="n">
        <v>5</v>
      </c>
      <c r="AN1283" t="n">
        <v>0</v>
      </c>
      <c r="AO1283" t="n">
        <v>0</v>
      </c>
      <c r="AP1283" t="inlineStr">
        <is>
          <t>No</t>
        </is>
      </c>
      <c r="AQ1283" t="inlineStr">
        <is>
          <t>Yes</t>
        </is>
      </c>
      <c r="AR1283">
        <f>HYPERLINK("http://catalog.hathitrust.org/Record/000407508","HathiTrust Record")</f>
        <v/>
      </c>
      <c r="AS1283">
        <f>HYPERLINK("https://creighton-primo.hosted.exlibrisgroup.com/primo-explore/search?tab=default_tab&amp;search_scope=EVERYTHING&amp;vid=01CRU&amp;lang=en_US&amp;offset=0&amp;query=any,contains,991005069339702656","Catalog Record")</f>
        <v/>
      </c>
      <c r="AT1283">
        <f>HYPERLINK("http://www.worldcat.org/oclc/6998565","WorldCat Record")</f>
        <v/>
      </c>
      <c r="AU1283" t="inlineStr">
        <is>
          <t>1913187:eng</t>
        </is>
      </c>
      <c r="AV1283" t="inlineStr">
        <is>
          <t>6998565</t>
        </is>
      </c>
      <c r="AW1283" t="inlineStr">
        <is>
          <t>991005069339702656</t>
        </is>
      </c>
      <c r="AX1283" t="inlineStr">
        <is>
          <t>991005069339702656</t>
        </is>
      </c>
      <c r="AY1283" t="inlineStr">
        <is>
          <t>2270637120002656</t>
        </is>
      </c>
      <c r="AZ1283" t="inlineStr">
        <is>
          <t>BOOK</t>
        </is>
      </c>
      <c r="BC1283" t="inlineStr">
        <is>
          <t>32285002535945</t>
        </is>
      </c>
      <c r="BD1283" t="inlineStr">
        <is>
          <t>893707191</t>
        </is>
      </c>
    </row>
    <row r="1284">
      <c r="A1284" t="inlineStr">
        <is>
          <t>No</t>
        </is>
      </c>
      <c r="B1284" t="inlineStr">
        <is>
          <t>E440.5 .W9</t>
        </is>
      </c>
      <c r="C1284" t="inlineStr">
        <is>
          <t>0                      E  0440500W  9</t>
        </is>
      </c>
      <c r="D1284" t="inlineStr">
        <is>
          <t>The secession conventions of the South.</t>
        </is>
      </c>
      <c r="F1284" t="inlineStr">
        <is>
          <t>No</t>
        </is>
      </c>
      <c r="G1284" t="inlineStr">
        <is>
          <t>1</t>
        </is>
      </c>
      <c r="H1284" t="inlineStr">
        <is>
          <t>No</t>
        </is>
      </c>
      <c r="I1284" t="inlineStr">
        <is>
          <t>No</t>
        </is>
      </c>
      <c r="J1284" t="inlineStr">
        <is>
          <t>0</t>
        </is>
      </c>
      <c r="K1284" t="inlineStr">
        <is>
          <t>Wooster, Ralph A.</t>
        </is>
      </c>
      <c r="L1284" t="inlineStr">
        <is>
          <t>Princeton, N.J., Princeton University Press, 1962.</t>
        </is>
      </c>
      <c r="M1284" t="inlineStr">
        <is>
          <t>1962</t>
        </is>
      </c>
      <c r="O1284" t="inlineStr">
        <is>
          <t>eng</t>
        </is>
      </c>
      <c r="P1284" t="inlineStr">
        <is>
          <t>nju</t>
        </is>
      </c>
      <c r="R1284" t="inlineStr">
        <is>
          <t xml:space="preserve">E  </t>
        </is>
      </c>
      <c r="S1284" t="n">
        <v>1</v>
      </c>
      <c r="T1284" t="n">
        <v>1</v>
      </c>
      <c r="U1284" t="inlineStr">
        <is>
          <t>2004-12-01</t>
        </is>
      </c>
      <c r="V1284" t="inlineStr">
        <is>
          <t>2004-12-01</t>
        </is>
      </c>
      <c r="W1284" t="inlineStr">
        <is>
          <t>1997-04-16</t>
        </is>
      </c>
      <c r="X1284" t="inlineStr">
        <is>
          <t>1997-04-16</t>
        </is>
      </c>
      <c r="Y1284" t="n">
        <v>754</v>
      </c>
      <c r="Z1284" t="n">
        <v>705</v>
      </c>
      <c r="AA1284" t="n">
        <v>860</v>
      </c>
      <c r="AB1284" t="n">
        <v>7</v>
      </c>
      <c r="AC1284" t="n">
        <v>9</v>
      </c>
      <c r="AD1284" t="n">
        <v>38</v>
      </c>
      <c r="AE1284" t="n">
        <v>49</v>
      </c>
      <c r="AF1284" t="n">
        <v>15</v>
      </c>
      <c r="AG1284" t="n">
        <v>18</v>
      </c>
      <c r="AH1284" t="n">
        <v>7</v>
      </c>
      <c r="AI1284" t="n">
        <v>10</v>
      </c>
      <c r="AJ1284" t="n">
        <v>18</v>
      </c>
      <c r="AK1284" t="n">
        <v>19</v>
      </c>
      <c r="AL1284" t="n">
        <v>6</v>
      </c>
      <c r="AM1284" t="n">
        <v>7</v>
      </c>
      <c r="AN1284" t="n">
        <v>1</v>
      </c>
      <c r="AO1284" t="n">
        <v>6</v>
      </c>
      <c r="AP1284" t="inlineStr">
        <is>
          <t>No</t>
        </is>
      </c>
      <c r="AQ1284" t="inlineStr">
        <is>
          <t>No</t>
        </is>
      </c>
      <c r="AR1284">
        <f>HYPERLINK("http://catalog.hathitrust.org/Record/000405286","HathiTrust Record")</f>
        <v/>
      </c>
      <c r="AS1284">
        <f>HYPERLINK("https://creighton-primo.hosted.exlibrisgroup.com/primo-explore/search?tab=default_tab&amp;search_scope=EVERYTHING&amp;vid=01CRU&amp;lang=en_US&amp;offset=0&amp;query=any,contains,991003839349702656","Catalog Record")</f>
        <v/>
      </c>
      <c r="AT1284">
        <f>HYPERLINK("http://www.worldcat.org/oclc/1612743","WorldCat Record")</f>
        <v/>
      </c>
      <c r="AU1284" t="inlineStr">
        <is>
          <t>2022909:eng</t>
        </is>
      </c>
      <c r="AV1284" t="inlineStr">
        <is>
          <t>1612743</t>
        </is>
      </c>
      <c r="AW1284" t="inlineStr">
        <is>
          <t>991003839349702656</t>
        </is>
      </c>
      <c r="AX1284" t="inlineStr">
        <is>
          <t>991003839349702656</t>
        </is>
      </c>
      <c r="AY1284" t="inlineStr">
        <is>
          <t>2267712890002656</t>
        </is>
      </c>
      <c r="AZ1284" t="inlineStr">
        <is>
          <t>BOOK</t>
        </is>
      </c>
      <c r="BC1284" t="inlineStr">
        <is>
          <t>32285002536000</t>
        </is>
      </c>
      <c r="BD1284" t="inlineStr">
        <is>
          <t>893806296</t>
        </is>
      </c>
    </row>
    <row r="1285">
      <c r="A1285" t="inlineStr">
        <is>
          <t>No</t>
        </is>
      </c>
      <c r="B1285" t="inlineStr">
        <is>
          <t>E441 .S5</t>
        </is>
      </c>
      <c r="C1285" t="inlineStr">
        <is>
          <t>0                      E  0441000S  5</t>
        </is>
      </c>
      <c r="D1285" t="inlineStr">
        <is>
          <t>Shaping Southern society : the colonial experience / edited by T. H. Breen.</t>
        </is>
      </c>
      <c r="F1285" t="inlineStr">
        <is>
          <t>No</t>
        </is>
      </c>
      <c r="G1285" t="inlineStr">
        <is>
          <t>1</t>
        </is>
      </c>
      <c r="H1285" t="inlineStr">
        <is>
          <t>No</t>
        </is>
      </c>
      <c r="I1285" t="inlineStr">
        <is>
          <t>No</t>
        </is>
      </c>
      <c r="J1285" t="inlineStr">
        <is>
          <t>0</t>
        </is>
      </c>
      <c r="L1285" t="inlineStr">
        <is>
          <t>New York : Oxford University Press, 1976.</t>
        </is>
      </c>
      <c r="M1285" t="inlineStr">
        <is>
          <t>1976</t>
        </is>
      </c>
      <c r="O1285" t="inlineStr">
        <is>
          <t>eng</t>
        </is>
      </c>
      <c r="P1285" t="inlineStr">
        <is>
          <t>nyu</t>
        </is>
      </c>
      <c r="R1285" t="inlineStr">
        <is>
          <t xml:space="preserve">E  </t>
        </is>
      </c>
      <c r="S1285" t="n">
        <v>3</v>
      </c>
      <c r="T1285" t="n">
        <v>3</v>
      </c>
      <c r="U1285" t="inlineStr">
        <is>
          <t>2006-02-14</t>
        </is>
      </c>
      <c r="V1285" t="inlineStr">
        <is>
          <t>2006-02-14</t>
        </is>
      </c>
      <c r="W1285" t="inlineStr">
        <is>
          <t>1997-04-16</t>
        </is>
      </c>
      <c r="X1285" t="inlineStr">
        <is>
          <t>1997-04-16</t>
        </is>
      </c>
      <c r="Y1285" t="n">
        <v>579</v>
      </c>
      <c r="Z1285" t="n">
        <v>486</v>
      </c>
      <c r="AA1285" t="n">
        <v>495</v>
      </c>
      <c r="AB1285" t="n">
        <v>4</v>
      </c>
      <c r="AC1285" t="n">
        <v>4</v>
      </c>
      <c r="AD1285" t="n">
        <v>22</v>
      </c>
      <c r="AE1285" t="n">
        <v>22</v>
      </c>
      <c r="AF1285" t="n">
        <v>8</v>
      </c>
      <c r="AG1285" t="n">
        <v>8</v>
      </c>
      <c r="AH1285" t="n">
        <v>5</v>
      </c>
      <c r="AI1285" t="n">
        <v>5</v>
      </c>
      <c r="AJ1285" t="n">
        <v>13</v>
      </c>
      <c r="AK1285" t="n">
        <v>13</v>
      </c>
      <c r="AL1285" t="n">
        <v>3</v>
      </c>
      <c r="AM1285" t="n">
        <v>3</v>
      </c>
      <c r="AN1285" t="n">
        <v>0</v>
      </c>
      <c r="AO1285" t="n">
        <v>0</v>
      </c>
      <c r="AP1285" t="inlineStr">
        <is>
          <t>No</t>
        </is>
      </c>
      <c r="AQ1285" t="inlineStr">
        <is>
          <t>Yes</t>
        </is>
      </c>
      <c r="AR1285">
        <f>HYPERLINK("http://catalog.hathitrust.org/Record/000744458","HathiTrust Record")</f>
        <v/>
      </c>
      <c r="AS1285">
        <f>HYPERLINK("https://creighton-primo.hosted.exlibrisgroup.com/primo-explore/search?tab=default_tab&amp;search_scope=EVERYTHING&amp;vid=01CRU&amp;lang=en_US&amp;offset=0&amp;query=any,contains,991004118549702656","Catalog Record")</f>
        <v/>
      </c>
      <c r="AT1285">
        <f>HYPERLINK("http://www.worldcat.org/oclc/2423198","WorldCat Record")</f>
        <v/>
      </c>
      <c r="AU1285" t="inlineStr">
        <is>
          <t>891272364:eng</t>
        </is>
      </c>
      <c r="AV1285" t="inlineStr">
        <is>
          <t>2423198</t>
        </is>
      </c>
      <c r="AW1285" t="inlineStr">
        <is>
          <t>991004118549702656</t>
        </is>
      </c>
      <c r="AX1285" t="inlineStr">
        <is>
          <t>991004118549702656</t>
        </is>
      </c>
      <c r="AY1285" t="inlineStr">
        <is>
          <t>2263062670002656</t>
        </is>
      </c>
      <c r="AZ1285" t="inlineStr">
        <is>
          <t>BOOK</t>
        </is>
      </c>
      <c r="BB1285" t="inlineStr">
        <is>
          <t>9780195020786</t>
        </is>
      </c>
      <c r="BC1285" t="inlineStr">
        <is>
          <t>32285002536216</t>
        </is>
      </c>
      <c r="BD1285" t="inlineStr">
        <is>
          <t>893794504</t>
        </is>
      </c>
    </row>
    <row r="1286">
      <c r="A1286" t="inlineStr">
        <is>
          <t>No</t>
        </is>
      </c>
      <c r="B1286" t="inlineStr">
        <is>
          <t>E45 .M27 1994</t>
        </is>
      </c>
      <c r="C1286" t="inlineStr">
        <is>
          <t>0                      E  0045000M  27          1994</t>
        </is>
      </c>
      <c r="D1286" t="inlineStr">
        <is>
          <t>Precious dust : the American gold rush era, 1848-1900 / Paula Mitchell Marks.</t>
        </is>
      </c>
      <c r="F1286" t="inlineStr">
        <is>
          <t>No</t>
        </is>
      </c>
      <c r="G1286" t="inlineStr">
        <is>
          <t>1</t>
        </is>
      </c>
      <c r="H1286" t="inlineStr">
        <is>
          <t>No</t>
        </is>
      </c>
      <c r="I1286" t="inlineStr">
        <is>
          <t>No</t>
        </is>
      </c>
      <c r="J1286" t="inlineStr">
        <is>
          <t>0</t>
        </is>
      </c>
      <c r="K1286" t="inlineStr">
        <is>
          <t>Marks, Paula Mitchell, 1951-</t>
        </is>
      </c>
      <c r="L1286" t="inlineStr">
        <is>
          <t>New York : W. Morrow, c1994.</t>
        </is>
      </c>
      <c r="M1286" t="inlineStr">
        <is>
          <t>1994</t>
        </is>
      </c>
      <c r="N1286" t="inlineStr">
        <is>
          <t>1st ed.</t>
        </is>
      </c>
      <c r="O1286" t="inlineStr">
        <is>
          <t>eng</t>
        </is>
      </c>
      <c r="P1286" t="inlineStr">
        <is>
          <t>nyu</t>
        </is>
      </c>
      <c r="R1286" t="inlineStr">
        <is>
          <t xml:space="preserve">E  </t>
        </is>
      </c>
      <c r="S1286" t="n">
        <v>2</v>
      </c>
      <c r="T1286" t="n">
        <v>2</v>
      </c>
      <c r="U1286" t="inlineStr">
        <is>
          <t>1996-03-03</t>
        </is>
      </c>
      <c r="V1286" t="inlineStr">
        <is>
          <t>1996-03-03</t>
        </is>
      </c>
      <c r="W1286" t="inlineStr">
        <is>
          <t>1994-07-22</t>
        </is>
      </c>
      <c r="X1286" t="inlineStr">
        <is>
          <t>1994-07-22</t>
        </is>
      </c>
      <c r="Y1286" t="n">
        <v>957</v>
      </c>
      <c r="Z1286" t="n">
        <v>923</v>
      </c>
      <c r="AA1286" t="n">
        <v>950</v>
      </c>
      <c r="AB1286" t="n">
        <v>9</v>
      </c>
      <c r="AC1286" t="n">
        <v>9</v>
      </c>
      <c r="AD1286" t="n">
        <v>20</v>
      </c>
      <c r="AE1286" t="n">
        <v>21</v>
      </c>
      <c r="AF1286" t="n">
        <v>5</v>
      </c>
      <c r="AG1286" t="n">
        <v>6</v>
      </c>
      <c r="AH1286" t="n">
        <v>5</v>
      </c>
      <c r="AI1286" t="n">
        <v>5</v>
      </c>
      <c r="AJ1286" t="n">
        <v>11</v>
      </c>
      <c r="AK1286" t="n">
        <v>11</v>
      </c>
      <c r="AL1286" t="n">
        <v>5</v>
      </c>
      <c r="AM1286" t="n">
        <v>5</v>
      </c>
      <c r="AN1286" t="n">
        <v>0</v>
      </c>
      <c r="AO1286" t="n">
        <v>0</v>
      </c>
      <c r="AP1286" t="inlineStr">
        <is>
          <t>No</t>
        </is>
      </c>
      <c r="AQ1286" t="inlineStr">
        <is>
          <t>Yes</t>
        </is>
      </c>
      <c r="AR1286">
        <f>HYPERLINK("http://catalog.hathitrust.org/Record/002797979","HathiTrust Record")</f>
        <v/>
      </c>
      <c r="AS1286">
        <f>HYPERLINK("https://creighton-primo.hosted.exlibrisgroup.com/primo-explore/search?tab=default_tab&amp;search_scope=EVERYTHING&amp;vid=01CRU&amp;lang=en_US&amp;offset=0&amp;query=any,contains,991002214689702656","Catalog Record")</f>
        <v/>
      </c>
      <c r="AT1286">
        <f>HYPERLINK("http://www.worldcat.org/oclc/28507127","WorldCat Record")</f>
        <v/>
      </c>
      <c r="AU1286" t="inlineStr">
        <is>
          <t>197148488:eng</t>
        </is>
      </c>
      <c r="AV1286" t="inlineStr">
        <is>
          <t>28507127</t>
        </is>
      </c>
      <c r="AW1286" t="inlineStr">
        <is>
          <t>991002214689702656</t>
        </is>
      </c>
      <c r="AX1286" t="inlineStr">
        <is>
          <t>991002214689702656</t>
        </is>
      </c>
      <c r="AY1286" t="inlineStr">
        <is>
          <t>2272587440002656</t>
        </is>
      </c>
      <c r="AZ1286" t="inlineStr">
        <is>
          <t>BOOK</t>
        </is>
      </c>
      <c r="BB1286" t="inlineStr">
        <is>
          <t>9780688105662</t>
        </is>
      </c>
      <c r="BC1286" t="inlineStr">
        <is>
          <t>32285001933240</t>
        </is>
      </c>
      <c r="BD1286" t="inlineStr">
        <is>
          <t>893785861</t>
        </is>
      </c>
    </row>
    <row r="1287">
      <c r="A1287" t="inlineStr">
        <is>
          <t>No</t>
        </is>
      </c>
      <c r="B1287" t="inlineStr">
        <is>
          <t>E45 .M67 1993</t>
        </is>
      </c>
      <c r="C1287" t="inlineStr">
        <is>
          <t>0                      E  0045000M  67          1993</t>
        </is>
      </c>
      <c r="D1287" t="inlineStr">
        <is>
          <t>Wilderness at dawn : the settling of the North American continent / Ted Morgan.</t>
        </is>
      </c>
      <c r="F1287" t="inlineStr">
        <is>
          <t>No</t>
        </is>
      </c>
      <c r="G1287" t="inlineStr">
        <is>
          <t>1</t>
        </is>
      </c>
      <c r="H1287" t="inlineStr">
        <is>
          <t>No</t>
        </is>
      </c>
      <c r="I1287" t="inlineStr">
        <is>
          <t>No</t>
        </is>
      </c>
      <c r="J1287" t="inlineStr">
        <is>
          <t>0</t>
        </is>
      </c>
      <c r="K1287" t="inlineStr">
        <is>
          <t>Morgan, Ted, 1932-</t>
        </is>
      </c>
      <c r="L1287" t="inlineStr">
        <is>
          <t>New York : Simon &amp; Schuster, c1993.</t>
        </is>
      </c>
      <c r="M1287" t="inlineStr">
        <is>
          <t>1993</t>
        </is>
      </c>
      <c r="O1287" t="inlineStr">
        <is>
          <t>eng</t>
        </is>
      </c>
      <c r="P1287" t="inlineStr">
        <is>
          <t>nyu</t>
        </is>
      </c>
      <c r="R1287" t="inlineStr">
        <is>
          <t xml:space="preserve">E  </t>
        </is>
      </c>
      <c r="S1287" t="n">
        <v>1</v>
      </c>
      <c r="T1287" t="n">
        <v>1</v>
      </c>
      <c r="U1287" t="inlineStr">
        <is>
          <t>1993-07-01</t>
        </is>
      </c>
      <c r="V1287" t="inlineStr">
        <is>
          <t>1993-07-01</t>
        </is>
      </c>
      <c r="W1287" t="inlineStr">
        <is>
          <t>1993-05-26</t>
        </is>
      </c>
      <c r="X1287" t="inlineStr">
        <is>
          <t>1993-05-26</t>
        </is>
      </c>
      <c r="Y1287" t="n">
        <v>1579</v>
      </c>
      <c r="Z1287" t="n">
        <v>1494</v>
      </c>
      <c r="AA1287" t="n">
        <v>1567</v>
      </c>
      <c r="AB1287" t="n">
        <v>16</v>
      </c>
      <c r="AC1287" t="n">
        <v>16</v>
      </c>
      <c r="AD1287" t="n">
        <v>31</v>
      </c>
      <c r="AE1287" t="n">
        <v>31</v>
      </c>
      <c r="AF1287" t="n">
        <v>6</v>
      </c>
      <c r="AG1287" t="n">
        <v>6</v>
      </c>
      <c r="AH1287" t="n">
        <v>6</v>
      </c>
      <c r="AI1287" t="n">
        <v>6</v>
      </c>
      <c r="AJ1287" t="n">
        <v>14</v>
      </c>
      <c r="AK1287" t="n">
        <v>14</v>
      </c>
      <c r="AL1287" t="n">
        <v>8</v>
      </c>
      <c r="AM1287" t="n">
        <v>8</v>
      </c>
      <c r="AN1287" t="n">
        <v>2</v>
      </c>
      <c r="AO1287" t="n">
        <v>2</v>
      </c>
      <c r="AP1287" t="inlineStr">
        <is>
          <t>No</t>
        </is>
      </c>
      <c r="AQ1287" t="inlineStr">
        <is>
          <t>Yes</t>
        </is>
      </c>
      <c r="AR1287">
        <f>HYPERLINK("http://catalog.hathitrust.org/Record/002633542","HathiTrust Record")</f>
        <v/>
      </c>
      <c r="AS1287">
        <f>HYPERLINK("https://creighton-primo.hosted.exlibrisgroup.com/primo-explore/search?tab=default_tab&amp;search_scope=EVERYTHING&amp;vid=01CRU&amp;lang=en_US&amp;offset=0&amp;query=any,contains,991002150689702656","Catalog Record")</f>
        <v/>
      </c>
      <c r="AT1287">
        <f>HYPERLINK("http://www.worldcat.org/oclc/27725735","WorldCat Record")</f>
        <v/>
      </c>
      <c r="AU1287" t="inlineStr">
        <is>
          <t>345557:eng</t>
        </is>
      </c>
      <c r="AV1287" t="inlineStr">
        <is>
          <t>27725735</t>
        </is>
      </c>
      <c r="AW1287" t="inlineStr">
        <is>
          <t>991002150689702656</t>
        </is>
      </c>
      <c r="AX1287" t="inlineStr">
        <is>
          <t>991002150689702656</t>
        </is>
      </c>
      <c r="AY1287" t="inlineStr">
        <is>
          <t>2265460130002656</t>
        </is>
      </c>
      <c r="AZ1287" t="inlineStr">
        <is>
          <t>BOOK</t>
        </is>
      </c>
      <c r="BB1287" t="inlineStr">
        <is>
          <t>9780671690885</t>
        </is>
      </c>
      <c r="BC1287" t="inlineStr">
        <is>
          <t>32285001583201</t>
        </is>
      </c>
      <c r="BD1287" t="inlineStr">
        <is>
          <t>893244810</t>
        </is>
      </c>
    </row>
    <row r="1288">
      <c r="A1288" t="inlineStr">
        <is>
          <t>No</t>
        </is>
      </c>
      <c r="B1288" t="inlineStr">
        <is>
          <t>E456 .H43</t>
        </is>
      </c>
      <c r="C1288" t="inlineStr">
        <is>
          <t>0                      E  0456000H  43</t>
        </is>
      </c>
      <c r="D1288" t="inlineStr">
        <is>
          <t>Lincoln's plan of reconstruction.</t>
        </is>
      </c>
      <c r="F1288" t="inlineStr">
        <is>
          <t>No</t>
        </is>
      </c>
      <c r="G1288" t="inlineStr">
        <is>
          <t>1</t>
        </is>
      </c>
      <c r="H1288" t="inlineStr">
        <is>
          <t>No</t>
        </is>
      </c>
      <c r="I1288" t="inlineStr">
        <is>
          <t>No</t>
        </is>
      </c>
      <c r="J1288" t="inlineStr">
        <is>
          <t>0</t>
        </is>
      </c>
      <c r="K1288" t="inlineStr">
        <is>
          <t>Hesseltine, William B. (William Best), 1902-1963.</t>
        </is>
      </c>
      <c r="L1288" t="inlineStr">
        <is>
          <t>Tuscaloosa, Ala. : Confederate Pub. Co., 1960.</t>
        </is>
      </c>
      <c r="M1288" t="inlineStr">
        <is>
          <t>1960</t>
        </is>
      </c>
      <c r="N1288" t="inlineStr">
        <is>
          <t>Limited ed.</t>
        </is>
      </c>
      <c r="O1288" t="inlineStr">
        <is>
          <t>eng</t>
        </is>
      </c>
      <c r="P1288" t="inlineStr">
        <is>
          <t>alu</t>
        </is>
      </c>
      <c r="Q1288" t="inlineStr">
        <is>
          <t>Confederate centennial studies ; no. 13</t>
        </is>
      </c>
      <c r="R1288" t="inlineStr">
        <is>
          <t xml:space="preserve">E  </t>
        </is>
      </c>
      <c r="S1288" t="n">
        <v>2</v>
      </c>
      <c r="T1288" t="n">
        <v>2</v>
      </c>
      <c r="U1288" t="inlineStr">
        <is>
          <t>1993-11-11</t>
        </is>
      </c>
      <c r="V1288" t="inlineStr">
        <is>
          <t>1993-11-11</t>
        </is>
      </c>
      <c r="W1288" t="inlineStr">
        <is>
          <t>1993-10-29</t>
        </is>
      </c>
      <c r="X1288" t="inlineStr">
        <is>
          <t>1993-10-29</t>
        </is>
      </c>
      <c r="Y1288" t="n">
        <v>379</v>
      </c>
      <c r="Z1288" t="n">
        <v>368</v>
      </c>
      <c r="AA1288" t="n">
        <v>1014</v>
      </c>
      <c r="AB1288" t="n">
        <v>4</v>
      </c>
      <c r="AC1288" t="n">
        <v>9</v>
      </c>
      <c r="AD1288" t="n">
        <v>14</v>
      </c>
      <c r="AE1288" t="n">
        <v>45</v>
      </c>
      <c r="AF1288" t="n">
        <v>4</v>
      </c>
      <c r="AG1288" t="n">
        <v>19</v>
      </c>
      <c r="AH1288" t="n">
        <v>5</v>
      </c>
      <c r="AI1288" t="n">
        <v>8</v>
      </c>
      <c r="AJ1288" t="n">
        <v>6</v>
      </c>
      <c r="AK1288" t="n">
        <v>21</v>
      </c>
      <c r="AL1288" t="n">
        <v>3</v>
      </c>
      <c r="AM1288" t="n">
        <v>8</v>
      </c>
      <c r="AN1288" t="n">
        <v>0</v>
      </c>
      <c r="AO1288" t="n">
        <v>0</v>
      </c>
      <c r="AP1288" t="inlineStr">
        <is>
          <t>No</t>
        </is>
      </c>
      <c r="AQ1288" t="inlineStr">
        <is>
          <t>No</t>
        </is>
      </c>
      <c r="AR1288">
        <f>HYPERLINK("http://catalog.hathitrust.org/Record/006947231","HathiTrust Record")</f>
        <v/>
      </c>
      <c r="AS1288">
        <f>HYPERLINK("https://creighton-primo.hosted.exlibrisgroup.com/primo-explore/search?tab=default_tab&amp;search_scope=EVERYTHING&amp;vid=01CRU&amp;lang=en_US&amp;offset=0&amp;query=any,contains,991004450369702656","Catalog Record")</f>
        <v/>
      </c>
      <c r="AT1288">
        <f>HYPERLINK("http://www.worldcat.org/oclc/3507960","WorldCat Record")</f>
        <v/>
      </c>
      <c r="AU1288" t="inlineStr">
        <is>
          <t>581733:eng</t>
        </is>
      </c>
      <c r="AV1288" t="inlineStr">
        <is>
          <t>3507960</t>
        </is>
      </c>
      <c r="AW1288" t="inlineStr">
        <is>
          <t>991004450369702656</t>
        </is>
      </c>
      <c r="AX1288" t="inlineStr">
        <is>
          <t>991004450369702656</t>
        </is>
      </c>
      <c r="AY1288" t="inlineStr">
        <is>
          <t>2255676880002656</t>
        </is>
      </c>
      <c r="AZ1288" t="inlineStr">
        <is>
          <t>BOOK</t>
        </is>
      </c>
      <c r="BC1288" t="inlineStr">
        <is>
          <t>32285001795631</t>
        </is>
      </c>
      <c r="BD1288" t="inlineStr">
        <is>
          <t>893800978</t>
        </is>
      </c>
    </row>
    <row r="1289">
      <c r="A1289" t="inlineStr">
        <is>
          <t>No</t>
        </is>
      </c>
      <c r="B1289" t="inlineStr">
        <is>
          <t>E457 .A25 1965a</t>
        </is>
      </c>
      <c r="C1289" t="inlineStr">
        <is>
          <t>0                      E  0457000A  25          1965a</t>
        </is>
      </c>
      <c r="D1289" t="inlineStr">
        <is>
          <t>Abraham Lincoln.</t>
        </is>
      </c>
      <c r="F1289" t="inlineStr">
        <is>
          <t>No</t>
        </is>
      </c>
      <c r="G1289" t="inlineStr">
        <is>
          <t>1</t>
        </is>
      </c>
      <c r="H1289" t="inlineStr">
        <is>
          <t>No</t>
        </is>
      </c>
      <c r="I1289" t="inlineStr">
        <is>
          <t>No</t>
        </is>
      </c>
      <c r="J1289" t="inlineStr">
        <is>
          <t>0</t>
        </is>
      </c>
      <c r="K1289" t="inlineStr">
        <is>
          <t>Agar, Herbert, 1897-1980.</t>
        </is>
      </c>
      <c r="L1289" t="inlineStr">
        <is>
          <t>Hamden, Conn. : Archon Books, 1965.</t>
        </is>
      </c>
      <c r="M1289" t="inlineStr">
        <is>
          <t>1965</t>
        </is>
      </c>
      <c r="O1289" t="inlineStr">
        <is>
          <t>eng</t>
        </is>
      </c>
      <c r="P1289" t="inlineStr">
        <is>
          <t>ctu</t>
        </is>
      </c>
      <c r="Q1289" t="inlineStr">
        <is>
          <t>Makers of history</t>
        </is>
      </c>
      <c r="R1289" t="inlineStr">
        <is>
          <t xml:space="preserve">E  </t>
        </is>
      </c>
      <c r="S1289" t="n">
        <v>3</v>
      </c>
      <c r="T1289" t="n">
        <v>3</v>
      </c>
      <c r="U1289" t="inlineStr">
        <is>
          <t>1993-11-29</t>
        </is>
      </c>
      <c r="V1289" t="inlineStr">
        <is>
          <t>1993-11-29</t>
        </is>
      </c>
      <c r="W1289" t="inlineStr">
        <is>
          <t>1992-12-23</t>
        </is>
      </c>
      <c r="X1289" t="inlineStr">
        <is>
          <t>1992-12-23</t>
        </is>
      </c>
      <c r="Y1289" t="n">
        <v>289</v>
      </c>
      <c r="Z1289" t="n">
        <v>275</v>
      </c>
      <c r="AA1289" t="n">
        <v>487</v>
      </c>
      <c r="AB1289" t="n">
        <v>3</v>
      </c>
      <c r="AC1289" t="n">
        <v>7</v>
      </c>
      <c r="AD1289" t="n">
        <v>13</v>
      </c>
      <c r="AE1289" t="n">
        <v>26</v>
      </c>
      <c r="AF1289" t="n">
        <v>4</v>
      </c>
      <c r="AG1289" t="n">
        <v>8</v>
      </c>
      <c r="AH1289" t="n">
        <v>2</v>
      </c>
      <c r="AI1289" t="n">
        <v>5</v>
      </c>
      <c r="AJ1289" t="n">
        <v>8</v>
      </c>
      <c r="AK1289" t="n">
        <v>12</v>
      </c>
      <c r="AL1289" t="n">
        <v>2</v>
      </c>
      <c r="AM1289" t="n">
        <v>6</v>
      </c>
      <c r="AN1289" t="n">
        <v>0</v>
      </c>
      <c r="AO1289" t="n">
        <v>0</v>
      </c>
      <c r="AP1289" t="inlineStr">
        <is>
          <t>No</t>
        </is>
      </c>
      <c r="AQ1289" t="inlineStr">
        <is>
          <t>No</t>
        </is>
      </c>
      <c r="AS1289">
        <f>HYPERLINK("https://creighton-primo.hosted.exlibrisgroup.com/primo-explore/search?tab=default_tab&amp;search_scope=EVERYTHING&amp;vid=01CRU&amp;lang=en_US&amp;offset=0&amp;query=any,contains,991003268329702656","Catalog Record")</f>
        <v/>
      </c>
      <c r="AT1289">
        <f>HYPERLINK("http://www.worldcat.org/oclc/794462","WorldCat Record")</f>
        <v/>
      </c>
      <c r="AU1289" t="inlineStr">
        <is>
          <t>1757646:eng</t>
        </is>
      </c>
      <c r="AV1289" t="inlineStr">
        <is>
          <t>794462</t>
        </is>
      </c>
      <c r="AW1289" t="inlineStr">
        <is>
          <t>991003268329702656</t>
        </is>
      </c>
      <c r="AX1289" t="inlineStr">
        <is>
          <t>991003268329702656</t>
        </is>
      </c>
      <c r="AY1289" t="inlineStr">
        <is>
          <t>2263758670002656</t>
        </is>
      </c>
      <c r="AZ1289" t="inlineStr">
        <is>
          <t>BOOK</t>
        </is>
      </c>
      <c r="BC1289" t="inlineStr">
        <is>
          <t>32285001404085</t>
        </is>
      </c>
      <c r="BD1289" t="inlineStr">
        <is>
          <t>893623326</t>
        </is>
      </c>
    </row>
    <row r="1290">
      <c r="A1290" t="inlineStr">
        <is>
          <t>No</t>
        </is>
      </c>
      <c r="B1290" t="inlineStr">
        <is>
          <t>E457 .B88</t>
        </is>
      </c>
      <c r="C1290" t="inlineStr">
        <is>
          <t>0                      E  0457000B  88</t>
        </is>
      </c>
      <c r="D1290" t="inlineStr">
        <is>
          <t>Abraham Lincoln and the men of his time.</t>
        </is>
      </c>
      <c r="E1290" t="inlineStr">
        <is>
          <t>V.1</t>
        </is>
      </c>
      <c r="F1290" t="inlineStr">
        <is>
          <t>Yes</t>
        </is>
      </c>
      <c r="G1290" t="inlineStr">
        <is>
          <t>1</t>
        </is>
      </c>
      <c r="H1290" t="inlineStr">
        <is>
          <t>No</t>
        </is>
      </c>
      <c r="I1290" t="inlineStr">
        <is>
          <t>No</t>
        </is>
      </c>
      <c r="J1290" t="inlineStr">
        <is>
          <t>0</t>
        </is>
      </c>
      <c r="K1290" t="inlineStr">
        <is>
          <t>Browne, Robert H. (Robert Henry), 1835-</t>
        </is>
      </c>
      <c r="L1290" t="inlineStr">
        <is>
          <t>Cincinnati, Jennings &amp; Pye [1901]</t>
        </is>
      </c>
      <c r="M1290" t="inlineStr">
        <is>
          <t>1901</t>
        </is>
      </c>
      <c r="O1290" t="inlineStr">
        <is>
          <t>eng</t>
        </is>
      </c>
      <c r="P1290" t="inlineStr">
        <is>
          <t xml:space="preserve">xx </t>
        </is>
      </c>
      <c r="R1290" t="inlineStr">
        <is>
          <t xml:space="preserve">E  </t>
        </is>
      </c>
      <c r="S1290" t="n">
        <v>1</v>
      </c>
      <c r="T1290" t="n">
        <v>1</v>
      </c>
      <c r="U1290" t="inlineStr">
        <is>
          <t>2004-11-18</t>
        </is>
      </c>
      <c r="V1290" t="inlineStr">
        <is>
          <t>2004-11-18</t>
        </is>
      </c>
      <c r="W1290" t="inlineStr">
        <is>
          <t>1997-04-17</t>
        </is>
      </c>
      <c r="X1290" t="inlineStr">
        <is>
          <t>1997-04-17</t>
        </is>
      </c>
      <c r="Y1290" t="n">
        <v>83</v>
      </c>
      <c r="Z1290" t="n">
        <v>81</v>
      </c>
      <c r="AA1290" t="n">
        <v>101</v>
      </c>
      <c r="AB1290" t="n">
        <v>1</v>
      </c>
      <c r="AC1290" t="n">
        <v>2</v>
      </c>
      <c r="AD1290" t="n">
        <v>2</v>
      </c>
      <c r="AE1290" t="n">
        <v>4</v>
      </c>
      <c r="AF1290" t="n">
        <v>1</v>
      </c>
      <c r="AG1290" t="n">
        <v>1</v>
      </c>
      <c r="AH1290" t="n">
        <v>1</v>
      </c>
      <c r="AI1290" t="n">
        <v>2</v>
      </c>
      <c r="AJ1290" t="n">
        <v>0</v>
      </c>
      <c r="AK1290" t="n">
        <v>0</v>
      </c>
      <c r="AL1290" t="n">
        <v>0</v>
      </c>
      <c r="AM1290" t="n">
        <v>1</v>
      </c>
      <c r="AN1290" t="n">
        <v>0</v>
      </c>
      <c r="AO1290" t="n">
        <v>0</v>
      </c>
      <c r="AP1290" t="inlineStr">
        <is>
          <t>Yes</t>
        </is>
      </c>
      <c r="AQ1290" t="inlineStr">
        <is>
          <t>No</t>
        </is>
      </c>
      <c r="AR1290">
        <f>HYPERLINK("http://catalog.hathitrust.org/Record/000209760","HathiTrust Record")</f>
        <v/>
      </c>
      <c r="AS1290">
        <f>HYPERLINK("https://creighton-primo.hosted.exlibrisgroup.com/primo-explore/search?tab=default_tab&amp;search_scope=EVERYTHING&amp;vid=01CRU&amp;lang=en_US&amp;offset=0&amp;query=any,contains,991004450459702656","Catalog Record")</f>
        <v/>
      </c>
      <c r="AT1290">
        <f>HYPERLINK("http://www.worldcat.org/oclc/3508249","WorldCat Record")</f>
        <v/>
      </c>
      <c r="AU1290" t="inlineStr">
        <is>
          <t>9754930:eng</t>
        </is>
      </c>
      <c r="AV1290" t="inlineStr">
        <is>
          <t>3508249</t>
        </is>
      </c>
      <c r="AW1290" t="inlineStr">
        <is>
          <t>991004450459702656</t>
        </is>
      </c>
      <c r="AX1290" t="inlineStr">
        <is>
          <t>991004450459702656</t>
        </is>
      </c>
      <c r="AY1290" t="inlineStr">
        <is>
          <t>2257071930002656</t>
        </is>
      </c>
      <c r="AZ1290" t="inlineStr">
        <is>
          <t>BOOK</t>
        </is>
      </c>
      <c r="BC1290" t="inlineStr">
        <is>
          <t>32285002538238</t>
        </is>
      </c>
      <c r="BD1290" t="inlineStr">
        <is>
          <t>893718918</t>
        </is>
      </c>
    </row>
    <row r="1291">
      <c r="A1291" t="inlineStr">
        <is>
          <t>No</t>
        </is>
      </c>
      <c r="B1291" t="inlineStr">
        <is>
          <t>E457 .B88</t>
        </is>
      </c>
      <c r="C1291" t="inlineStr">
        <is>
          <t>0                      E  0457000B  88</t>
        </is>
      </c>
      <c r="D1291" t="inlineStr">
        <is>
          <t>Abraham Lincoln and the men of his time.</t>
        </is>
      </c>
      <c r="E1291" t="inlineStr">
        <is>
          <t>V.2</t>
        </is>
      </c>
      <c r="F1291" t="inlineStr">
        <is>
          <t>Yes</t>
        </is>
      </c>
      <c r="G1291" t="inlineStr">
        <is>
          <t>1</t>
        </is>
      </c>
      <c r="H1291" t="inlineStr">
        <is>
          <t>No</t>
        </is>
      </c>
      <c r="I1291" t="inlineStr">
        <is>
          <t>No</t>
        </is>
      </c>
      <c r="J1291" t="inlineStr">
        <is>
          <t>0</t>
        </is>
      </c>
      <c r="K1291" t="inlineStr">
        <is>
          <t>Browne, Robert H. (Robert Henry), 1835-</t>
        </is>
      </c>
      <c r="L1291" t="inlineStr">
        <is>
          <t>Cincinnati, Jennings &amp; Pye [1901]</t>
        </is>
      </c>
      <c r="M1291" t="inlineStr">
        <is>
          <t>1901</t>
        </is>
      </c>
      <c r="O1291" t="inlineStr">
        <is>
          <t>eng</t>
        </is>
      </c>
      <c r="P1291" t="inlineStr">
        <is>
          <t xml:space="preserve">xx </t>
        </is>
      </c>
      <c r="R1291" t="inlineStr">
        <is>
          <t xml:space="preserve">E  </t>
        </is>
      </c>
      <c r="S1291" t="n">
        <v>0</v>
      </c>
      <c r="T1291" t="n">
        <v>1</v>
      </c>
      <c r="V1291" t="inlineStr">
        <is>
          <t>2004-11-18</t>
        </is>
      </c>
      <c r="W1291" t="inlineStr">
        <is>
          <t>1997-04-17</t>
        </is>
      </c>
      <c r="X1291" t="inlineStr">
        <is>
          <t>1997-04-17</t>
        </is>
      </c>
      <c r="Y1291" t="n">
        <v>83</v>
      </c>
      <c r="Z1291" t="n">
        <v>81</v>
      </c>
      <c r="AA1291" t="n">
        <v>101</v>
      </c>
      <c r="AB1291" t="n">
        <v>1</v>
      </c>
      <c r="AC1291" t="n">
        <v>2</v>
      </c>
      <c r="AD1291" t="n">
        <v>2</v>
      </c>
      <c r="AE1291" t="n">
        <v>4</v>
      </c>
      <c r="AF1291" t="n">
        <v>1</v>
      </c>
      <c r="AG1291" t="n">
        <v>1</v>
      </c>
      <c r="AH1291" t="n">
        <v>1</v>
      </c>
      <c r="AI1291" t="n">
        <v>2</v>
      </c>
      <c r="AJ1291" t="n">
        <v>0</v>
      </c>
      <c r="AK1291" t="n">
        <v>0</v>
      </c>
      <c r="AL1291" t="n">
        <v>0</v>
      </c>
      <c r="AM1291" t="n">
        <v>1</v>
      </c>
      <c r="AN1291" t="n">
        <v>0</v>
      </c>
      <c r="AO1291" t="n">
        <v>0</v>
      </c>
      <c r="AP1291" t="inlineStr">
        <is>
          <t>Yes</t>
        </is>
      </c>
      <c r="AQ1291" t="inlineStr">
        <is>
          <t>No</t>
        </is>
      </c>
      <c r="AR1291">
        <f>HYPERLINK("http://catalog.hathitrust.org/Record/000209760","HathiTrust Record")</f>
        <v/>
      </c>
      <c r="AS1291">
        <f>HYPERLINK("https://creighton-primo.hosted.exlibrisgroup.com/primo-explore/search?tab=default_tab&amp;search_scope=EVERYTHING&amp;vid=01CRU&amp;lang=en_US&amp;offset=0&amp;query=any,contains,991004450459702656","Catalog Record")</f>
        <v/>
      </c>
      <c r="AT1291">
        <f>HYPERLINK("http://www.worldcat.org/oclc/3508249","WorldCat Record")</f>
        <v/>
      </c>
      <c r="AU1291" t="inlineStr">
        <is>
          <t>9754930:eng</t>
        </is>
      </c>
      <c r="AV1291" t="inlineStr">
        <is>
          <t>3508249</t>
        </is>
      </c>
      <c r="AW1291" t="inlineStr">
        <is>
          <t>991004450459702656</t>
        </is>
      </c>
      <c r="AX1291" t="inlineStr">
        <is>
          <t>991004450459702656</t>
        </is>
      </c>
      <c r="AY1291" t="inlineStr">
        <is>
          <t>2257071930002656</t>
        </is>
      </c>
      <c r="AZ1291" t="inlineStr">
        <is>
          <t>BOOK</t>
        </is>
      </c>
      <c r="BC1291" t="inlineStr">
        <is>
          <t>32285002538246</t>
        </is>
      </c>
      <c r="BD1291" t="inlineStr">
        <is>
          <t>893706435</t>
        </is>
      </c>
    </row>
    <row r="1292">
      <c r="A1292" t="inlineStr">
        <is>
          <t>No</t>
        </is>
      </c>
      <c r="B1292" t="inlineStr">
        <is>
          <t>E457 .C475 1996</t>
        </is>
      </c>
      <c r="C1292" t="inlineStr">
        <is>
          <t>0                      E  0457000C  475         1996</t>
        </is>
      </c>
      <c r="D1292" t="inlineStr">
        <is>
          <t>Abraham Lincoln / Lord Charnwood ; introduction by Peter W. Schramm.</t>
        </is>
      </c>
      <c r="F1292" t="inlineStr">
        <is>
          <t>No</t>
        </is>
      </c>
      <c r="G1292" t="inlineStr">
        <is>
          <t>1</t>
        </is>
      </c>
      <c r="H1292" t="inlineStr">
        <is>
          <t>No</t>
        </is>
      </c>
      <c r="I1292" t="inlineStr">
        <is>
          <t>Yes</t>
        </is>
      </c>
      <c r="J1292" t="inlineStr">
        <is>
          <t>0</t>
        </is>
      </c>
      <c r="K1292" t="inlineStr">
        <is>
          <t>Charnwood, Godfrey Rathbone Benson, Baron, 1864-1945.</t>
        </is>
      </c>
      <c r="L1292" t="inlineStr">
        <is>
          <t>Lanham : Madison Books : Distributed by National Book Network, 1996.</t>
        </is>
      </c>
      <c r="M1292" t="inlineStr">
        <is>
          <t>1996</t>
        </is>
      </c>
      <c r="N1292" t="inlineStr">
        <is>
          <t>New ed.</t>
        </is>
      </c>
      <c r="O1292" t="inlineStr">
        <is>
          <t>eng</t>
        </is>
      </c>
      <c r="P1292" t="inlineStr">
        <is>
          <t>mdu</t>
        </is>
      </c>
      <c r="R1292" t="inlineStr">
        <is>
          <t xml:space="preserve">E  </t>
        </is>
      </c>
      <c r="S1292" t="n">
        <v>1</v>
      </c>
      <c r="T1292" t="n">
        <v>1</v>
      </c>
      <c r="U1292" t="inlineStr">
        <is>
          <t>2004-11-18</t>
        </is>
      </c>
      <c r="V1292" t="inlineStr">
        <is>
          <t>2004-11-18</t>
        </is>
      </c>
      <c r="W1292" t="inlineStr">
        <is>
          <t>1997-02-14</t>
        </is>
      </c>
      <c r="X1292" t="inlineStr">
        <is>
          <t>1997-02-14</t>
        </is>
      </c>
      <c r="Y1292" t="n">
        <v>279</v>
      </c>
      <c r="Z1292" t="n">
        <v>271</v>
      </c>
      <c r="AA1292" t="n">
        <v>1687</v>
      </c>
      <c r="AB1292" t="n">
        <v>2</v>
      </c>
      <c r="AC1292" t="n">
        <v>18</v>
      </c>
      <c r="AD1292" t="n">
        <v>8</v>
      </c>
      <c r="AE1292" t="n">
        <v>66</v>
      </c>
      <c r="AF1292" t="n">
        <v>4</v>
      </c>
      <c r="AG1292" t="n">
        <v>24</v>
      </c>
      <c r="AH1292" t="n">
        <v>1</v>
      </c>
      <c r="AI1292" t="n">
        <v>10</v>
      </c>
      <c r="AJ1292" t="n">
        <v>4</v>
      </c>
      <c r="AK1292" t="n">
        <v>26</v>
      </c>
      <c r="AL1292" t="n">
        <v>1</v>
      </c>
      <c r="AM1292" t="n">
        <v>11</v>
      </c>
      <c r="AN1292" t="n">
        <v>0</v>
      </c>
      <c r="AO1292" t="n">
        <v>8</v>
      </c>
      <c r="AP1292" t="inlineStr">
        <is>
          <t>No</t>
        </is>
      </c>
      <c r="AQ1292" t="inlineStr">
        <is>
          <t>Yes</t>
        </is>
      </c>
      <c r="AR1292">
        <f>HYPERLINK("http://catalog.hathitrust.org/Record/008989992","HathiTrust Record")</f>
        <v/>
      </c>
      <c r="AS1292">
        <f>HYPERLINK("https://creighton-primo.hosted.exlibrisgroup.com/primo-explore/search?tab=default_tab&amp;search_scope=EVERYTHING&amp;vid=01CRU&amp;lang=en_US&amp;offset=0&amp;query=any,contains,991002652659702656","Catalog Record")</f>
        <v/>
      </c>
      <c r="AT1292">
        <f>HYPERLINK("http://www.worldcat.org/oclc/34690916","WorldCat Record")</f>
        <v/>
      </c>
      <c r="AU1292" t="inlineStr">
        <is>
          <t>552446:eng</t>
        </is>
      </c>
      <c r="AV1292" t="inlineStr">
        <is>
          <t>34690916</t>
        </is>
      </c>
      <c r="AW1292" t="inlineStr">
        <is>
          <t>991002652659702656</t>
        </is>
      </c>
      <c r="AX1292" t="inlineStr">
        <is>
          <t>991002652659702656</t>
        </is>
      </c>
      <c r="AY1292" t="inlineStr">
        <is>
          <t>2258069470002656</t>
        </is>
      </c>
      <c r="AZ1292" t="inlineStr">
        <is>
          <t>BOOK</t>
        </is>
      </c>
      <c r="BB1292" t="inlineStr">
        <is>
          <t>9781568330662</t>
        </is>
      </c>
      <c r="BC1292" t="inlineStr">
        <is>
          <t>32285002431301</t>
        </is>
      </c>
      <c r="BD1292" t="inlineStr">
        <is>
          <t>893603836</t>
        </is>
      </c>
    </row>
    <row r="1293">
      <c r="A1293" t="inlineStr">
        <is>
          <t>No</t>
        </is>
      </c>
      <c r="B1293" t="inlineStr">
        <is>
          <t>E457 .C96</t>
        </is>
      </c>
      <c r="C1293" t="inlineStr">
        <is>
          <t>0                      E  0457000C  96</t>
        </is>
      </c>
      <c r="D1293" t="inlineStr">
        <is>
          <t>The Lincoln nobody knows.</t>
        </is>
      </c>
      <c r="F1293" t="inlineStr">
        <is>
          <t>No</t>
        </is>
      </c>
      <c r="G1293" t="inlineStr">
        <is>
          <t>1</t>
        </is>
      </c>
      <c r="H1293" t="inlineStr">
        <is>
          <t>No</t>
        </is>
      </c>
      <c r="I1293" t="inlineStr">
        <is>
          <t>No</t>
        </is>
      </c>
      <c r="J1293" t="inlineStr">
        <is>
          <t>0</t>
        </is>
      </c>
      <c r="K1293" t="inlineStr">
        <is>
          <t>Current, Richard Nelson.</t>
        </is>
      </c>
      <c r="L1293" t="inlineStr">
        <is>
          <t>New York : McGraw-Hill, [1958]</t>
        </is>
      </c>
      <c r="M1293" t="inlineStr">
        <is>
          <t>1958</t>
        </is>
      </c>
      <c r="N1293" t="inlineStr">
        <is>
          <t>[1st ed.]</t>
        </is>
      </c>
      <c r="O1293" t="inlineStr">
        <is>
          <t>eng</t>
        </is>
      </c>
      <c r="P1293" t="inlineStr">
        <is>
          <t>nyu</t>
        </is>
      </c>
      <c r="R1293" t="inlineStr">
        <is>
          <t xml:space="preserve">E  </t>
        </is>
      </c>
      <c r="S1293" t="n">
        <v>8</v>
      </c>
      <c r="T1293" t="n">
        <v>8</v>
      </c>
      <c r="U1293" t="inlineStr">
        <is>
          <t>1996-03-19</t>
        </is>
      </c>
      <c r="V1293" t="inlineStr">
        <is>
          <t>1996-03-19</t>
        </is>
      </c>
      <c r="W1293" t="inlineStr">
        <is>
          <t>1992-08-14</t>
        </is>
      </c>
      <c r="X1293" t="inlineStr">
        <is>
          <t>1992-08-14</t>
        </is>
      </c>
      <c r="Y1293" t="n">
        <v>919</v>
      </c>
      <c r="Z1293" t="n">
        <v>855</v>
      </c>
      <c r="AA1293" t="n">
        <v>1392</v>
      </c>
      <c r="AB1293" t="n">
        <v>7</v>
      </c>
      <c r="AC1293" t="n">
        <v>13</v>
      </c>
      <c r="AD1293" t="n">
        <v>34</v>
      </c>
      <c r="AE1293" t="n">
        <v>52</v>
      </c>
      <c r="AF1293" t="n">
        <v>11</v>
      </c>
      <c r="AG1293" t="n">
        <v>21</v>
      </c>
      <c r="AH1293" t="n">
        <v>6</v>
      </c>
      <c r="AI1293" t="n">
        <v>7</v>
      </c>
      <c r="AJ1293" t="n">
        <v>18</v>
      </c>
      <c r="AK1293" t="n">
        <v>24</v>
      </c>
      <c r="AL1293" t="n">
        <v>5</v>
      </c>
      <c r="AM1293" t="n">
        <v>10</v>
      </c>
      <c r="AN1293" t="n">
        <v>1</v>
      </c>
      <c r="AO1293" t="n">
        <v>2</v>
      </c>
      <c r="AP1293" t="inlineStr">
        <is>
          <t>No</t>
        </is>
      </c>
      <c r="AQ1293" t="inlineStr">
        <is>
          <t>No</t>
        </is>
      </c>
      <c r="AS1293">
        <f>HYPERLINK("https://creighton-primo.hosted.exlibrisgroup.com/primo-explore/search?tab=default_tab&amp;search_scope=EVERYTHING&amp;vid=01CRU&amp;lang=en_US&amp;offset=0&amp;query=any,contains,991001393489702656","Catalog Record")</f>
        <v/>
      </c>
      <c r="AT1293">
        <f>HYPERLINK("http://www.worldcat.org/oclc/228311","WorldCat Record")</f>
        <v/>
      </c>
      <c r="AU1293" t="inlineStr">
        <is>
          <t>446373:eng</t>
        </is>
      </c>
      <c r="AV1293" t="inlineStr">
        <is>
          <t>228311</t>
        </is>
      </c>
      <c r="AW1293" t="inlineStr">
        <is>
          <t>991001393489702656</t>
        </is>
      </c>
      <c r="AX1293" t="inlineStr">
        <is>
          <t>991001393489702656</t>
        </is>
      </c>
      <c r="AY1293" t="inlineStr">
        <is>
          <t>2256803150002656</t>
        </is>
      </c>
      <c r="AZ1293" t="inlineStr">
        <is>
          <t>BOOK</t>
        </is>
      </c>
      <c r="BC1293" t="inlineStr">
        <is>
          <t>32285001245637</t>
        </is>
      </c>
      <c r="BD1293" t="inlineStr">
        <is>
          <t>893244109</t>
        </is>
      </c>
    </row>
    <row r="1294">
      <c r="A1294" t="inlineStr">
        <is>
          <t>No</t>
        </is>
      </c>
      <c r="B1294" t="inlineStr">
        <is>
          <t>E457 .H238</t>
        </is>
      </c>
      <c r="C1294" t="inlineStr">
        <is>
          <t>0                      E  0457000H  238</t>
        </is>
      </c>
      <c r="D1294" t="inlineStr">
        <is>
          <t>Abraham Lincoln and the Union / Oscar and Lilian Handlin.</t>
        </is>
      </c>
      <c r="F1294" t="inlineStr">
        <is>
          <t>No</t>
        </is>
      </c>
      <c r="G1294" t="inlineStr">
        <is>
          <t>1</t>
        </is>
      </c>
      <c r="H1294" t="inlineStr">
        <is>
          <t>No</t>
        </is>
      </c>
      <c r="I1294" t="inlineStr">
        <is>
          <t>No</t>
        </is>
      </c>
      <c r="J1294" t="inlineStr">
        <is>
          <t>0</t>
        </is>
      </c>
      <c r="K1294" t="inlineStr">
        <is>
          <t>Handlin, Oscar, 1915-2011.</t>
        </is>
      </c>
      <c r="L1294" t="inlineStr">
        <is>
          <t>Boston : Little, Brown, c1980.</t>
        </is>
      </c>
      <c r="M1294" t="inlineStr">
        <is>
          <t>1980</t>
        </is>
      </c>
      <c r="O1294" t="inlineStr">
        <is>
          <t>eng</t>
        </is>
      </c>
      <c r="P1294" t="inlineStr">
        <is>
          <t>mau</t>
        </is>
      </c>
      <c r="Q1294" t="inlineStr">
        <is>
          <t>The Library of American biography</t>
        </is>
      </c>
      <c r="R1294" t="inlineStr">
        <is>
          <t xml:space="preserve">E  </t>
        </is>
      </c>
      <c r="S1294" t="n">
        <v>2</v>
      </c>
      <c r="T1294" t="n">
        <v>2</v>
      </c>
      <c r="U1294" t="inlineStr">
        <is>
          <t>1993-11-11</t>
        </is>
      </c>
      <c r="V1294" t="inlineStr">
        <is>
          <t>1993-11-11</t>
        </is>
      </c>
      <c r="W1294" t="inlineStr">
        <is>
          <t>1990-02-09</t>
        </is>
      </c>
      <c r="X1294" t="inlineStr">
        <is>
          <t>1990-02-09</t>
        </is>
      </c>
      <c r="Y1294" t="n">
        <v>1380</v>
      </c>
      <c r="Z1294" t="n">
        <v>1293</v>
      </c>
      <c r="AA1294" t="n">
        <v>1348</v>
      </c>
      <c r="AB1294" t="n">
        <v>8</v>
      </c>
      <c r="AC1294" t="n">
        <v>8</v>
      </c>
      <c r="AD1294" t="n">
        <v>34</v>
      </c>
      <c r="AE1294" t="n">
        <v>35</v>
      </c>
      <c r="AF1294" t="n">
        <v>13</v>
      </c>
      <c r="AG1294" t="n">
        <v>14</v>
      </c>
      <c r="AH1294" t="n">
        <v>8</v>
      </c>
      <c r="AI1294" t="n">
        <v>8</v>
      </c>
      <c r="AJ1294" t="n">
        <v>15</v>
      </c>
      <c r="AK1294" t="n">
        <v>16</v>
      </c>
      <c r="AL1294" t="n">
        <v>6</v>
      </c>
      <c r="AM1294" t="n">
        <v>6</v>
      </c>
      <c r="AN1294" t="n">
        <v>1</v>
      </c>
      <c r="AO1294" t="n">
        <v>1</v>
      </c>
      <c r="AP1294" t="inlineStr">
        <is>
          <t>No</t>
        </is>
      </c>
      <c r="AQ1294" t="inlineStr">
        <is>
          <t>Yes</t>
        </is>
      </c>
      <c r="AR1294">
        <f>HYPERLINK("http://catalog.hathitrust.org/Record/000732585","HathiTrust Record")</f>
        <v/>
      </c>
      <c r="AS1294">
        <f>HYPERLINK("https://creighton-primo.hosted.exlibrisgroup.com/primo-explore/search?tab=default_tab&amp;search_scope=EVERYTHING&amp;vid=01CRU&amp;lang=en_US&amp;offset=0&amp;query=any,contains,991005023849702656","Catalog Record")</f>
        <v/>
      </c>
      <c r="AT1294">
        <f>HYPERLINK("http://www.worldcat.org/oclc/6672764","WorldCat Record")</f>
        <v/>
      </c>
      <c r="AU1294" t="inlineStr">
        <is>
          <t>447970:eng</t>
        </is>
      </c>
      <c r="AV1294" t="inlineStr">
        <is>
          <t>6672764</t>
        </is>
      </c>
      <c r="AW1294" t="inlineStr">
        <is>
          <t>991005023849702656</t>
        </is>
      </c>
      <c r="AX1294" t="inlineStr">
        <is>
          <t>991005023849702656</t>
        </is>
      </c>
      <c r="AY1294" t="inlineStr">
        <is>
          <t>2257057900002656</t>
        </is>
      </c>
      <c r="AZ1294" t="inlineStr">
        <is>
          <t>BOOK</t>
        </is>
      </c>
      <c r="BB1294" t="inlineStr">
        <is>
          <t>9780316343145</t>
        </is>
      </c>
      <c r="BC1294" t="inlineStr">
        <is>
          <t>32285000009125</t>
        </is>
      </c>
      <c r="BD1294" t="inlineStr">
        <is>
          <t>893889562</t>
        </is>
      </c>
    </row>
    <row r="1295">
      <c r="A1295" t="inlineStr">
        <is>
          <t>No</t>
        </is>
      </c>
      <c r="B1295" t="inlineStr">
        <is>
          <t>E457 .H28</t>
        </is>
      </c>
      <c r="C1295" t="inlineStr">
        <is>
          <t>0                      E  0457000H  28</t>
        </is>
      </c>
      <c r="D1295" t="inlineStr">
        <is>
          <t>Lincoln and the press.</t>
        </is>
      </c>
      <c r="F1295" t="inlineStr">
        <is>
          <t>No</t>
        </is>
      </c>
      <c r="G1295" t="inlineStr">
        <is>
          <t>1</t>
        </is>
      </c>
      <c r="H1295" t="inlineStr">
        <is>
          <t>No</t>
        </is>
      </c>
      <c r="I1295" t="inlineStr">
        <is>
          <t>No</t>
        </is>
      </c>
      <c r="J1295" t="inlineStr">
        <is>
          <t>0</t>
        </is>
      </c>
      <c r="K1295" t="inlineStr">
        <is>
          <t>Harper, Robert S.</t>
        </is>
      </c>
      <c r="L1295" t="inlineStr">
        <is>
          <t>New York, McGraw-Hill [1951]</t>
        </is>
      </c>
      <c r="M1295" t="inlineStr">
        <is>
          <t>1951</t>
        </is>
      </c>
      <c r="O1295" t="inlineStr">
        <is>
          <t>eng</t>
        </is>
      </c>
      <c r="P1295" t="inlineStr">
        <is>
          <t>nyu</t>
        </is>
      </c>
      <c r="R1295" t="inlineStr">
        <is>
          <t xml:space="preserve">E  </t>
        </is>
      </c>
      <c r="S1295" t="n">
        <v>1</v>
      </c>
      <c r="T1295" t="n">
        <v>1</v>
      </c>
      <c r="U1295" t="inlineStr">
        <is>
          <t>2001-09-19</t>
        </is>
      </c>
      <c r="V1295" t="inlineStr">
        <is>
          <t>2001-09-19</t>
        </is>
      </c>
      <c r="W1295" t="inlineStr">
        <is>
          <t>1997-04-17</t>
        </is>
      </c>
      <c r="X1295" t="inlineStr">
        <is>
          <t>1997-04-17</t>
        </is>
      </c>
      <c r="Y1295" t="n">
        <v>823</v>
      </c>
      <c r="Z1295" t="n">
        <v>777</v>
      </c>
      <c r="AA1295" t="n">
        <v>901</v>
      </c>
      <c r="AB1295" t="n">
        <v>8</v>
      </c>
      <c r="AC1295" t="n">
        <v>9</v>
      </c>
      <c r="AD1295" t="n">
        <v>40</v>
      </c>
      <c r="AE1295" t="n">
        <v>47</v>
      </c>
      <c r="AF1295" t="n">
        <v>13</v>
      </c>
      <c r="AG1295" t="n">
        <v>15</v>
      </c>
      <c r="AH1295" t="n">
        <v>10</v>
      </c>
      <c r="AI1295" t="n">
        <v>10</v>
      </c>
      <c r="AJ1295" t="n">
        <v>18</v>
      </c>
      <c r="AK1295" t="n">
        <v>18</v>
      </c>
      <c r="AL1295" t="n">
        <v>6</v>
      </c>
      <c r="AM1295" t="n">
        <v>6</v>
      </c>
      <c r="AN1295" t="n">
        <v>3</v>
      </c>
      <c r="AO1295" t="n">
        <v>8</v>
      </c>
      <c r="AP1295" t="inlineStr">
        <is>
          <t>No</t>
        </is>
      </c>
      <c r="AQ1295" t="inlineStr">
        <is>
          <t>No</t>
        </is>
      </c>
      <c r="AR1295">
        <f>HYPERLINK("http://catalog.hathitrust.org/Record/000450766","HathiTrust Record")</f>
        <v/>
      </c>
      <c r="AS1295">
        <f>HYPERLINK("https://creighton-primo.hosted.exlibrisgroup.com/primo-explore/search?tab=default_tab&amp;search_scope=EVERYTHING&amp;vid=01CRU&amp;lang=en_US&amp;offset=0&amp;query=any,contains,991002761249702656","Catalog Record")</f>
        <v/>
      </c>
      <c r="AT1295">
        <f>HYPERLINK("http://www.worldcat.org/oclc/428897","WorldCat Record")</f>
        <v/>
      </c>
      <c r="AU1295" t="inlineStr">
        <is>
          <t>1528147:eng</t>
        </is>
      </c>
      <c r="AV1295" t="inlineStr">
        <is>
          <t>428897</t>
        </is>
      </c>
      <c r="AW1295" t="inlineStr">
        <is>
          <t>991002761249702656</t>
        </is>
      </c>
      <c r="AX1295" t="inlineStr">
        <is>
          <t>991002761249702656</t>
        </is>
      </c>
      <c r="AY1295" t="inlineStr">
        <is>
          <t>2266240130002656</t>
        </is>
      </c>
      <c r="AZ1295" t="inlineStr">
        <is>
          <t>BOOK</t>
        </is>
      </c>
      <c r="BC1295" t="inlineStr">
        <is>
          <t>32285002538279</t>
        </is>
      </c>
      <c r="BD1295" t="inlineStr">
        <is>
          <t>893227238</t>
        </is>
      </c>
    </row>
    <row r="1296">
      <c r="A1296" t="inlineStr">
        <is>
          <t>No</t>
        </is>
      </c>
      <c r="B1296" t="inlineStr">
        <is>
          <t>E457 .H729</t>
        </is>
      </c>
      <c r="C1296" t="inlineStr">
        <is>
          <t>0                      E  0457000H  729</t>
        </is>
      </c>
      <c r="D1296" t="inlineStr">
        <is>
          <t>Life of Abraham Lincoln / by J.G. Holland.</t>
        </is>
      </c>
      <c r="F1296" t="inlineStr">
        <is>
          <t>No</t>
        </is>
      </c>
      <c r="G1296" t="inlineStr">
        <is>
          <t>1</t>
        </is>
      </c>
      <c r="H1296" t="inlineStr">
        <is>
          <t>No</t>
        </is>
      </c>
      <c r="I1296" t="inlineStr">
        <is>
          <t>No</t>
        </is>
      </c>
      <c r="J1296" t="inlineStr">
        <is>
          <t>0</t>
        </is>
      </c>
      <c r="K1296" t="inlineStr">
        <is>
          <t>Holland, J. G. (Josiah Gilbert), 1819-1881.</t>
        </is>
      </c>
      <c r="L1296" t="inlineStr">
        <is>
          <t>Springfield, Mass. : G. Bill, 1866, c1865.</t>
        </is>
      </c>
      <c r="M1296" t="inlineStr">
        <is>
          <t>1866</t>
        </is>
      </c>
      <c r="O1296" t="inlineStr">
        <is>
          <t>eng</t>
        </is>
      </c>
      <c r="P1296" t="inlineStr">
        <is>
          <t>mau</t>
        </is>
      </c>
      <c r="R1296" t="inlineStr">
        <is>
          <t xml:space="preserve">E  </t>
        </is>
      </c>
      <c r="S1296" t="n">
        <v>4</v>
      </c>
      <c r="T1296" t="n">
        <v>4</v>
      </c>
      <c r="U1296" t="inlineStr">
        <is>
          <t>1994-02-27</t>
        </is>
      </c>
      <c r="V1296" t="inlineStr">
        <is>
          <t>1994-02-27</t>
        </is>
      </c>
      <c r="W1296" t="inlineStr">
        <is>
          <t>1992-09-03</t>
        </is>
      </c>
      <c r="X1296" t="inlineStr">
        <is>
          <t>1992-09-03</t>
        </is>
      </c>
      <c r="Y1296" t="n">
        <v>519</v>
      </c>
      <c r="Z1296" t="n">
        <v>496</v>
      </c>
      <c r="AA1296" t="n">
        <v>567</v>
      </c>
      <c r="AB1296" t="n">
        <v>4</v>
      </c>
      <c r="AC1296" t="n">
        <v>5</v>
      </c>
      <c r="AD1296" t="n">
        <v>25</v>
      </c>
      <c r="AE1296" t="n">
        <v>29</v>
      </c>
      <c r="AF1296" t="n">
        <v>10</v>
      </c>
      <c r="AG1296" t="n">
        <v>11</v>
      </c>
      <c r="AH1296" t="n">
        <v>8</v>
      </c>
      <c r="AI1296" t="n">
        <v>9</v>
      </c>
      <c r="AJ1296" t="n">
        <v>9</v>
      </c>
      <c r="AK1296" t="n">
        <v>10</v>
      </c>
      <c r="AL1296" t="n">
        <v>3</v>
      </c>
      <c r="AM1296" t="n">
        <v>4</v>
      </c>
      <c r="AN1296" t="n">
        <v>2</v>
      </c>
      <c r="AO1296" t="n">
        <v>2</v>
      </c>
      <c r="AP1296" t="inlineStr">
        <is>
          <t>Yes</t>
        </is>
      </c>
      <c r="AQ1296" t="inlineStr">
        <is>
          <t>No</t>
        </is>
      </c>
      <c r="AR1296">
        <f>HYPERLINK("http://catalog.hathitrust.org/Record/000450772","HathiTrust Record")</f>
        <v/>
      </c>
      <c r="AS1296">
        <f>HYPERLINK("https://creighton-primo.hosted.exlibrisgroup.com/primo-explore/search?tab=default_tab&amp;search_scope=EVERYTHING&amp;vid=01CRU&amp;lang=en_US&amp;offset=0&amp;query=any,contains,991002760829702656","Catalog Record")</f>
        <v/>
      </c>
      <c r="AT1296">
        <f>HYPERLINK("http://www.worldcat.org/oclc/428695","WorldCat Record")</f>
        <v/>
      </c>
      <c r="AU1296" t="inlineStr">
        <is>
          <t>612093:eng</t>
        </is>
      </c>
      <c r="AV1296" t="inlineStr">
        <is>
          <t>428695</t>
        </is>
      </c>
      <c r="AW1296" t="inlineStr">
        <is>
          <t>991002760829702656</t>
        </is>
      </c>
      <c r="AX1296" t="inlineStr">
        <is>
          <t>991002760829702656</t>
        </is>
      </c>
      <c r="AY1296" t="inlineStr">
        <is>
          <t>2266189760002656</t>
        </is>
      </c>
      <c r="AZ1296" t="inlineStr">
        <is>
          <t>BOOK</t>
        </is>
      </c>
      <c r="BC1296" t="inlineStr">
        <is>
          <t>32285001279347</t>
        </is>
      </c>
      <c r="BD1296" t="inlineStr">
        <is>
          <t>893597837</t>
        </is>
      </c>
    </row>
    <row r="1297">
      <c r="A1297" t="inlineStr">
        <is>
          <t>No</t>
        </is>
      </c>
      <c r="B1297" t="inlineStr">
        <is>
          <t>E457 .K94 1992</t>
        </is>
      </c>
      <c r="C1297" t="inlineStr">
        <is>
          <t>0                      E  0457000K  94          1992</t>
        </is>
      </c>
      <c r="D1297" t="inlineStr">
        <is>
          <t>Lincoln, an illustrated biography / by Philip B. Kunhardt, Jr., Philip B. Kunhardt III, Peter W. Kunhardt ; foreword by David Herbert Donald ; contributing writer Daniel Terris.</t>
        </is>
      </c>
      <c r="F1297" t="inlineStr">
        <is>
          <t>No</t>
        </is>
      </c>
      <c r="G1297" t="inlineStr">
        <is>
          <t>1</t>
        </is>
      </c>
      <c r="H1297" t="inlineStr">
        <is>
          <t>No</t>
        </is>
      </c>
      <c r="I1297" t="inlineStr">
        <is>
          <t>No</t>
        </is>
      </c>
      <c r="J1297" t="inlineStr">
        <is>
          <t>0</t>
        </is>
      </c>
      <c r="K1297" t="inlineStr">
        <is>
          <t>Kunhardt, Philip B., Jr., 1928-2006.</t>
        </is>
      </c>
      <c r="L1297" t="inlineStr">
        <is>
          <t>New York : Knopf : Distributed by Random House, 1992.</t>
        </is>
      </c>
      <c r="M1297" t="inlineStr">
        <is>
          <t>1992</t>
        </is>
      </c>
      <c r="N1297" t="inlineStr">
        <is>
          <t>1st ed.</t>
        </is>
      </c>
      <c r="O1297" t="inlineStr">
        <is>
          <t>eng</t>
        </is>
      </c>
      <c r="P1297" t="inlineStr">
        <is>
          <t>nyu</t>
        </is>
      </c>
      <c r="R1297" t="inlineStr">
        <is>
          <t xml:space="preserve">E  </t>
        </is>
      </c>
      <c r="S1297" t="n">
        <v>10</v>
      </c>
      <c r="T1297" t="n">
        <v>10</v>
      </c>
      <c r="U1297" t="inlineStr">
        <is>
          <t>1994-11-13</t>
        </is>
      </c>
      <c r="V1297" t="inlineStr">
        <is>
          <t>1994-11-13</t>
        </is>
      </c>
      <c r="W1297" t="inlineStr">
        <is>
          <t>1992-11-17</t>
        </is>
      </c>
      <c r="X1297" t="inlineStr">
        <is>
          <t>1992-11-17</t>
        </is>
      </c>
      <c r="Y1297" t="n">
        <v>2019</v>
      </c>
      <c r="Z1297" t="n">
        <v>1965</v>
      </c>
      <c r="AA1297" t="n">
        <v>2095</v>
      </c>
      <c r="AB1297" t="n">
        <v>21</v>
      </c>
      <c r="AC1297" t="n">
        <v>21</v>
      </c>
      <c r="AD1297" t="n">
        <v>47</v>
      </c>
      <c r="AE1297" t="n">
        <v>47</v>
      </c>
      <c r="AF1297" t="n">
        <v>21</v>
      </c>
      <c r="AG1297" t="n">
        <v>21</v>
      </c>
      <c r="AH1297" t="n">
        <v>10</v>
      </c>
      <c r="AI1297" t="n">
        <v>10</v>
      </c>
      <c r="AJ1297" t="n">
        <v>16</v>
      </c>
      <c r="AK1297" t="n">
        <v>16</v>
      </c>
      <c r="AL1297" t="n">
        <v>7</v>
      </c>
      <c r="AM1297" t="n">
        <v>7</v>
      </c>
      <c r="AN1297" t="n">
        <v>5</v>
      </c>
      <c r="AO1297" t="n">
        <v>5</v>
      </c>
      <c r="AP1297" t="inlineStr">
        <is>
          <t>No</t>
        </is>
      </c>
      <c r="AQ1297" t="inlineStr">
        <is>
          <t>No</t>
        </is>
      </c>
      <c r="AS1297">
        <f>HYPERLINK("https://creighton-primo.hosted.exlibrisgroup.com/primo-explore/search?tab=default_tab&amp;search_scope=EVERYTHING&amp;vid=01CRU&amp;lang=en_US&amp;offset=0&amp;query=any,contains,991002018909702656","Catalog Record")</f>
        <v/>
      </c>
      <c r="AT1297">
        <f>HYPERLINK("http://www.worldcat.org/oclc/25675939","WorldCat Record")</f>
        <v/>
      </c>
      <c r="AU1297" t="inlineStr">
        <is>
          <t>889973:eng</t>
        </is>
      </c>
      <c r="AV1297" t="inlineStr">
        <is>
          <t>25675939</t>
        </is>
      </c>
      <c r="AW1297" t="inlineStr">
        <is>
          <t>991002018909702656</t>
        </is>
      </c>
      <c r="AX1297" t="inlineStr">
        <is>
          <t>991002018909702656</t>
        </is>
      </c>
      <c r="AY1297" t="inlineStr">
        <is>
          <t>2267001930002656</t>
        </is>
      </c>
      <c r="AZ1297" t="inlineStr">
        <is>
          <t>BOOK</t>
        </is>
      </c>
      <c r="BB1297" t="inlineStr">
        <is>
          <t>9780679408628</t>
        </is>
      </c>
      <c r="BC1297" t="inlineStr">
        <is>
          <t>32285001362853</t>
        </is>
      </c>
      <c r="BD1297" t="inlineStr">
        <is>
          <t>893715957</t>
        </is>
      </c>
    </row>
    <row r="1298">
      <c r="A1298" t="inlineStr">
        <is>
          <t>No</t>
        </is>
      </c>
      <c r="B1298" t="inlineStr">
        <is>
          <t>E457 .L76 1992</t>
        </is>
      </c>
      <c r="C1298" t="inlineStr">
        <is>
          <t>0                      E  0457000L  76          1992</t>
        </is>
      </c>
      <c r="D1298" t="inlineStr">
        <is>
          <t>Lincoln, the war president : the Gettysburg lectures / edited by Gabor S. Boritt ; essays by Robert V. Bruce ... [et al.].</t>
        </is>
      </c>
      <c r="F1298" t="inlineStr">
        <is>
          <t>No</t>
        </is>
      </c>
      <c r="G1298" t="inlineStr">
        <is>
          <t>1</t>
        </is>
      </c>
      <c r="H1298" t="inlineStr">
        <is>
          <t>No</t>
        </is>
      </c>
      <c r="I1298" t="inlineStr">
        <is>
          <t>No</t>
        </is>
      </c>
      <c r="J1298" t="inlineStr">
        <is>
          <t>0</t>
        </is>
      </c>
      <c r="L1298" t="inlineStr">
        <is>
          <t>New York : Oxford University Press, 1992.</t>
        </is>
      </c>
      <c r="M1298" t="inlineStr">
        <is>
          <t>1992</t>
        </is>
      </c>
      <c r="O1298" t="inlineStr">
        <is>
          <t>eng</t>
        </is>
      </c>
      <c r="P1298" t="inlineStr">
        <is>
          <t>nyu</t>
        </is>
      </c>
      <c r="R1298" t="inlineStr">
        <is>
          <t xml:space="preserve">E  </t>
        </is>
      </c>
      <c r="S1298" t="n">
        <v>6</v>
      </c>
      <c r="T1298" t="n">
        <v>6</v>
      </c>
      <c r="U1298" t="inlineStr">
        <is>
          <t>1994-11-13</t>
        </is>
      </c>
      <c r="V1298" t="inlineStr">
        <is>
          <t>1994-11-13</t>
        </is>
      </c>
      <c r="W1298" t="inlineStr">
        <is>
          <t>1993-03-25</t>
        </is>
      </c>
      <c r="X1298" t="inlineStr">
        <is>
          <t>1993-03-25</t>
        </is>
      </c>
      <c r="Y1298" t="n">
        <v>1041</v>
      </c>
      <c r="Z1298" t="n">
        <v>952</v>
      </c>
      <c r="AA1298" t="n">
        <v>1047</v>
      </c>
      <c r="AB1298" t="n">
        <v>12</v>
      </c>
      <c r="AC1298" t="n">
        <v>13</v>
      </c>
      <c r="AD1298" t="n">
        <v>49</v>
      </c>
      <c r="AE1298" t="n">
        <v>51</v>
      </c>
      <c r="AF1298" t="n">
        <v>21</v>
      </c>
      <c r="AG1298" t="n">
        <v>22</v>
      </c>
      <c r="AH1298" t="n">
        <v>9</v>
      </c>
      <c r="AI1298" t="n">
        <v>9</v>
      </c>
      <c r="AJ1298" t="n">
        <v>20</v>
      </c>
      <c r="AK1298" t="n">
        <v>20</v>
      </c>
      <c r="AL1298" t="n">
        <v>10</v>
      </c>
      <c r="AM1298" t="n">
        <v>11</v>
      </c>
      <c r="AN1298" t="n">
        <v>2</v>
      </c>
      <c r="AO1298" t="n">
        <v>2</v>
      </c>
      <c r="AP1298" t="inlineStr">
        <is>
          <t>No</t>
        </is>
      </c>
      <c r="AQ1298" t="inlineStr">
        <is>
          <t>Yes</t>
        </is>
      </c>
      <c r="AR1298">
        <f>HYPERLINK("http://catalog.hathitrust.org/Record/002584613","HathiTrust Record")</f>
        <v/>
      </c>
      <c r="AS1298">
        <f>HYPERLINK("https://creighton-primo.hosted.exlibrisgroup.com/primo-explore/search?tab=default_tab&amp;search_scope=EVERYTHING&amp;vid=01CRU&amp;lang=en_US&amp;offset=0&amp;query=any,contains,991002039909702656","Catalog Record")</f>
        <v/>
      </c>
      <c r="AT1298">
        <f>HYPERLINK("http://www.worldcat.org/oclc/26014528","WorldCat Record")</f>
        <v/>
      </c>
      <c r="AU1298" t="inlineStr">
        <is>
          <t>792304034:eng</t>
        </is>
      </c>
      <c r="AV1298" t="inlineStr">
        <is>
          <t>26014528</t>
        </is>
      </c>
      <c r="AW1298" t="inlineStr">
        <is>
          <t>991002039909702656</t>
        </is>
      </c>
      <c r="AX1298" t="inlineStr">
        <is>
          <t>991002039909702656</t>
        </is>
      </c>
      <c r="AY1298" t="inlineStr">
        <is>
          <t>2261338080002656</t>
        </is>
      </c>
      <c r="AZ1298" t="inlineStr">
        <is>
          <t>BOOK</t>
        </is>
      </c>
      <c r="BB1298" t="inlineStr">
        <is>
          <t>9780195078916</t>
        </is>
      </c>
      <c r="BC1298" t="inlineStr">
        <is>
          <t>32285001498822</t>
        </is>
      </c>
      <c r="BD1298" t="inlineStr">
        <is>
          <t>893232493</t>
        </is>
      </c>
    </row>
    <row r="1299">
      <c r="A1299" t="inlineStr">
        <is>
          <t>No</t>
        </is>
      </c>
      <c r="B1299" t="inlineStr">
        <is>
          <t>E457 .N49 1993</t>
        </is>
      </c>
      <c r="C1299" t="inlineStr">
        <is>
          <t>0                      E  0457000N  49          1993</t>
        </is>
      </c>
      <c r="D1299" t="inlineStr">
        <is>
          <t>The last best hope of earth : Abraham Lincoln and the promise of America / Mark E. Neely, Jr.</t>
        </is>
      </c>
      <c r="F1299" t="inlineStr">
        <is>
          <t>No</t>
        </is>
      </c>
      <c r="G1299" t="inlineStr">
        <is>
          <t>1</t>
        </is>
      </c>
      <c r="H1299" t="inlineStr">
        <is>
          <t>No</t>
        </is>
      </c>
      <c r="I1299" t="inlineStr">
        <is>
          <t>No</t>
        </is>
      </c>
      <c r="J1299" t="inlineStr">
        <is>
          <t>0</t>
        </is>
      </c>
      <c r="K1299" t="inlineStr">
        <is>
          <t>Neely, Mark E., Jr.</t>
        </is>
      </c>
      <c r="L1299" t="inlineStr">
        <is>
          <t>Cambridge, Mass. : Harvard University Press ; San Marino, Calif. : Huntington Library ; Springfield, Ill. : Illinois State Historical Society, 1993.</t>
        </is>
      </c>
      <c r="M1299" t="inlineStr">
        <is>
          <t>1993</t>
        </is>
      </c>
      <c r="O1299" t="inlineStr">
        <is>
          <t>eng</t>
        </is>
      </c>
      <c r="P1299" t="inlineStr">
        <is>
          <t>mau</t>
        </is>
      </c>
      <c r="R1299" t="inlineStr">
        <is>
          <t xml:space="preserve">E  </t>
        </is>
      </c>
      <c r="S1299" t="n">
        <v>4</v>
      </c>
      <c r="T1299" t="n">
        <v>4</v>
      </c>
      <c r="U1299" t="inlineStr">
        <is>
          <t>1994-11-04</t>
        </is>
      </c>
      <c r="V1299" t="inlineStr">
        <is>
          <t>1994-11-04</t>
        </is>
      </c>
      <c r="W1299" t="inlineStr">
        <is>
          <t>1994-03-30</t>
        </is>
      </c>
      <c r="X1299" t="inlineStr">
        <is>
          <t>1994-03-30</t>
        </is>
      </c>
      <c r="Y1299" t="n">
        <v>1440</v>
      </c>
      <c r="Z1299" t="n">
        <v>1320</v>
      </c>
      <c r="AA1299" t="n">
        <v>1521</v>
      </c>
      <c r="AB1299" t="n">
        <v>8</v>
      </c>
      <c r="AC1299" t="n">
        <v>10</v>
      </c>
      <c r="AD1299" t="n">
        <v>51</v>
      </c>
      <c r="AE1299" t="n">
        <v>61</v>
      </c>
      <c r="AF1299" t="n">
        <v>22</v>
      </c>
      <c r="AG1299" t="n">
        <v>25</v>
      </c>
      <c r="AH1299" t="n">
        <v>9</v>
      </c>
      <c r="AI1299" t="n">
        <v>10</v>
      </c>
      <c r="AJ1299" t="n">
        <v>18</v>
      </c>
      <c r="AK1299" t="n">
        <v>23</v>
      </c>
      <c r="AL1299" t="n">
        <v>6</v>
      </c>
      <c r="AM1299" t="n">
        <v>7</v>
      </c>
      <c r="AN1299" t="n">
        <v>7</v>
      </c>
      <c r="AO1299" t="n">
        <v>8</v>
      </c>
      <c r="AP1299" t="inlineStr">
        <is>
          <t>No</t>
        </is>
      </c>
      <c r="AQ1299" t="inlineStr">
        <is>
          <t>Yes</t>
        </is>
      </c>
      <c r="AR1299">
        <f>HYPERLINK("http://catalog.hathitrust.org/Record/002728272","HathiTrust Record")</f>
        <v/>
      </c>
      <c r="AS1299">
        <f>HYPERLINK("https://creighton-primo.hosted.exlibrisgroup.com/primo-explore/search?tab=default_tab&amp;search_scope=EVERYTHING&amp;vid=01CRU&amp;lang=en_US&amp;offset=0&amp;query=any,contains,991002195289702656","Catalog Record")</f>
        <v/>
      </c>
      <c r="AT1299">
        <f>HYPERLINK("http://www.worldcat.org/oclc/28221669","WorldCat Record")</f>
        <v/>
      </c>
      <c r="AU1299" t="inlineStr">
        <is>
          <t>2681372:eng</t>
        </is>
      </c>
      <c r="AV1299" t="inlineStr">
        <is>
          <t>28221669</t>
        </is>
      </c>
      <c r="AW1299" t="inlineStr">
        <is>
          <t>991002195289702656</t>
        </is>
      </c>
      <c r="AX1299" t="inlineStr">
        <is>
          <t>991002195289702656</t>
        </is>
      </c>
      <c r="AY1299" t="inlineStr">
        <is>
          <t>2261500140002656</t>
        </is>
      </c>
      <c r="AZ1299" t="inlineStr">
        <is>
          <t>BOOK</t>
        </is>
      </c>
      <c r="BB1299" t="inlineStr">
        <is>
          <t>9780674511255</t>
        </is>
      </c>
      <c r="BC1299" t="inlineStr">
        <is>
          <t>32285001858389</t>
        </is>
      </c>
      <c r="BD1299" t="inlineStr">
        <is>
          <t>893685078</t>
        </is>
      </c>
    </row>
    <row r="1300">
      <c r="A1300" t="inlineStr">
        <is>
          <t>No</t>
        </is>
      </c>
      <c r="B1300" t="inlineStr">
        <is>
          <t>E457 .P18 1994</t>
        </is>
      </c>
      <c r="C1300" t="inlineStr">
        <is>
          <t>0                      E  0457000P  18          1994</t>
        </is>
      </c>
      <c r="D1300" t="inlineStr">
        <is>
          <t>The presidency of Abraham Lincoln / Phillip Shaw Paludan.</t>
        </is>
      </c>
      <c r="F1300" t="inlineStr">
        <is>
          <t>No</t>
        </is>
      </c>
      <c r="G1300" t="inlineStr">
        <is>
          <t>1</t>
        </is>
      </c>
      <c r="H1300" t="inlineStr">
        <is>
          <t>No</t>
        </is>
      </c>
      <c r="I1300" t="inlineStr">
        <is>
          <t>No</t>
        </is>
      </c>
      <c r="J1300" t="inlineStr">
        <is>
          <t>0</t>
        </is>
      </c>
      <c r="K1300" t="inlineStr">
        <is>
          <t>Paludan, Phillip Shaw, 1938-2007.</t>
        </is>
      </c>
      <c r="L1300" t="inlineStr">
        <is>
          <t>Lawrence, Kan. : University Press of Kansas, c1994.</t>
        </is>
      </c>
      <c r="M1300" t="inlineStr">
        <is>
          <t>1994</t>
        </is>
      </c>
      <c r="O1300" t="inlineStr">
        <is>
          <t>eng</t>
        </is>
      </c>
      <c r="P1300" t="inlineStr">
        <is>
          <t>ksu</t>
        </is>
      </c>
      <c r="Q1300" t="inlineStr">
        <is>
          <t>American presidency series</t>
        </is>
      </c>
      <c r="R1300" t="inlineStr">
        <is>
          <t xml:space="preserve">E  </t>
        </is>
      </c>
      <c r="S1300" t="n">
        <v>2</v>
      </c>
      <c r="T1300" t="n">
        <v>2</v>
      </c>
      <c r="U1300" t="inlineStr">
        <is>
          <t>1994-08-25</t>
        </is>
      </c>
      <c r="V1300" t="inlineStr">
        <is>
          <t>1994-08-25</t>
        </is>
      </c>
      <c r="W1300" t="inlineStr">
        <is>
          <t>1994-08-03</t>
        </is>
      </c>
      <c r="X1300" t="inlineStr">
        <is>
          <t>1994-08-03</t>
        </is>
      </c>
      <c r="Y1300" t="n">
        <v>1763</v>
      </c>
      <c r="Z1300" t="n">
        <v>1630</v>
      </c>
      <c r="AA1300" t="n">
        <v>1635</v>
      </c>
      <c r="AB1300" t="n">
        <v>15</v>
      </c>
      <c r="AC1300" t="n">
        <v>15</v>
      </c>
      <c r="AD1300" t="n">
        <v>66</v>
      </c>
      <c r="AE1300" t="n">
        <v>66</v>
      </c>
      <c r="AF1300" t="n">
        <v>28</v>
      </c>
      <c r="AG1300" t="n">
        <v>28</v>
      </c>
      <c r="AH1300" t="n">
        <v>10</v>
      </c>
      <c r="AI1300" t="n">
        <v>10</v>
      </c>
      <c r="AJ1300" t="n">
        <v>22</v>
      </c>
      <c r="AK1300" t="n">
        <v>22</v>
      </c>
      <c r="AL1300" t="n">
        <v>13</v>
      </c>
      <c r="AM1300" t="n">
        <v>13</v>
      </c>
      <c r="AN1300" t="n">
        <v>6</v>
      </c>
      <c r="AO1300" t="n">
        <v>6</v>
      </c>
      <c r="AP1300" t="inlineStr">
        <is>
          <t>No</t>
        </is>
      </c>
      <c r="AQ1300" t="inlineStr">
        <is>
          <t>No</t>
        </is>
      </c>
      <c r="AS1300">
        <f>HYPERLINK("https://creighton-primo.hosted.exlibrisgroup.com/primo-explore/search?tab=default_tab&amp;search_scope=EVERYTHING&amp;vid=01CRU&amp;lang=en_US&amp;offset=0&amp;query=any,contains,991002277419702656","Catalog Record")</f>
        <v/>
      </c>
      <c r="AT1300">
        <f>HYPERLINK("http://www.worldcat.org/oclc/29548723","WorldCat Record")</f>
        <v/>
      </c>
      <c r="AU1300" t="inlineStr">
        <is>
          <t>111279599:eng</t>
        </is>
      </c>
      <c r="AV1300" t="inlineStr">
        <is>
          <t>29548723</t>
        </is>
      </c>
      <c r="AW1300" t="inlineStr">
        <is>
          <t>991002277419702656</t>
        </is>
      </c>
      <c r="AX1300" t="inlineStr">
        <is>
          <t>991002277419702656</t>
        </is>
      </c>
      <c r="AY1300" t="inlineStr">
        <is>
          <t>2270981940002656</t>
        </is>
      </c>
      <c r="AZ1300" t="inlineStr">
        <is>
          <t>BOOK</t>
        </is>
      </c>
      <c r="BB1300" t="inlineStr">
        <is>
          <t>9780700606719</t>
        </is>
      </c>
      <c r="BC1300" t="inlineStr">
        <is>
          <t>32285001941441</t>
        </is>
      </c>
      <c r="BD1300" t="inlineStr">
        <is>
          <t>893421158</t>
        </is>
      </c>
    </row>
    <row r="1301">
      <c r="A1301" t="inlineStr">
        <is>
          <t>No</t>
        </is>
      </c>
      <c r="B1301" t="inlineStr">
        <is>
          <t>E457 .R2</t>
        </is>
      </c>
      <c r="C1301" t="inlineStr">
        <is>
          <t>0                      E  0457000R  2</t>
        </is>
      </c>
      <c r="D1301" t="inlineStr">
        <is>
          <t>Lincoln, the President.</t>
        </is>
      </c>
      <c r="E1301" t="inlineStr">
        <is>
          <t>V.4</t>
        </is>
      </c>
      <c r="F1301" t="inlineStr">
        <is>
          <t>Yes</t>
        </is>
      </c>
      <c r="G1301" t="inlineStr">
        <is>
          <t>1</t>
        </is>
      </c>
      <c r="H1301" t="inlineStr">
        <is>
          <t>No</t>
        </is>
      </c>
      <c r="I1301" t="inlineStr">
        <is>
          <t>No</t>
        </is>
      </c>
      <c r="J1301" t="inlineStr">
        <is>
          <t>0</t>
        </is>
      </c>
      <c r="K1301" t="inlineStr">
        <is>
          <t>Randall, J. G. (James Garfield), 1881-1953.</t>
        </is>
      </c>
      <c r="L1301" t="inlineStr">
        <is>
          <t>New York : Dodd, Mead, 1945-55.</t>
        </is>
      </c>
      <c r="M1301" t="inlineStr">
        <is>
          <t>1945</t>
        </is>
      </c>
      <c r="O1301" t="inlineStr">
        <is>
          <t>eng</t>
        </is>
      </c>
      <c r="P1301" t="inlineStr">
        <is>
          <t>nyu</t>
        </is>
      </c>
      <c r="Q1301" t="inlineStr">
        <is>
          <t>American political leaders</t>
        </is>
      </c>
      <c r="R1301" t="inlineStr">
        <is>
          <t xml:space="preserve">E  </t>
        </is>
      </c>
      <c r="S1301" t="n">
        <v>3</v>
      </c>
      <c r="T1301" t="n">
        <v>4</v>
      </c>
      <c r="U1301" t="inlineStr">
        <is>
          <t>1994-11-13</t>
        </is>
      </c>
      <c r="V1301" t="inlineStr">
        <is>
          <t>1994-11-13</t>
        </is>
      </c>
      <c r="W1301" t="inlineStr">
        <is>
          <t>1992-03-06</t>
        </is>
      </c>
      <c r="X1301" t="inlineStr">
        <is>
          <t>1993-09-22</t>
        </is>
      </c>
      <c r="Y1301" t="n">
        <v>1465</v>
      </c>
      <c r="Z1301" t="n">
        <v>1391</v>
      </c>
      <c r="AA1301" t="n">
        <v>1524</v>
      </c>
      <c r="AB1301" t="n">
        <v>13</v>
      </c>
      <c r="AC1301" t="n">
        <v>13</v>
      </c>
      <c r="AD1301" t="n">
        <v>57</v>
      </c>
      <c r="AE1301" t="n">
        <v>58</v>
      </c>
      <c r="AF1301" t="n">
        <v>21</v>
      </c>
      <c r="AG1301" t="n">
        <v>22</v>
      </c>
      <c r="AH1301" t="n">
        <v>11</v>
      </c>
      <c r="AI1301" t="n">
        <v>11</v>
      </c>
      <c r="AJ1301" t="n">
        <v>24</v>
      </c>
      <c r="AK1301" t="n">
        <v>24</v>
      </c>
      <c r="AL1301" t="n">
        <v>10</v>
      </c>
      <c r="AM1301" t="n">
        <v>10</v>
      </c>
      <c r="AN1301" t="n">
        <v>4</v>
      </c>
      <c r="AO1301" t="n">
        <v>4</v>
      </c>
      <c r="AP1301" t="inlineStr">
        <is>
          <t>No</t>
        </is>
      </c>
      <c r="AQ1301" t="inlineStr">
        <is>
          <t>Yes</t>
        </is>
      </c>
      <c r="AR1301">
        <f>HYPERLINK("http://catalog.hathitrust.org/Record/003018890","HathiTrust Record")</f>
        <v/>
      </c>
      <c r="AS1301">
        <f>HYPERLINK("https://creighton-primo.hosted.exlibrisgroup.com/primo-explore/search?tab=default_tab&amp;search_scope=EVERYTHING&amp;vid=01CRU&amp;lang=en_US&amp;offset=0&amp;query=any,contains,991004953439702656","Catalog Record")</f>
        <v/>
      </c>
      <c r="AT1301">
        <f>HYPERLINK("http://www.worldcat.org/oclc/4183070","WorldCat Record")</f>
        <v/>
      </c>
      <c r="AU1301" t="inlineStr">
        <is>
          <t>10032525100:eng</t>
        </is>
      </c>
      <c r="AV1301" t="inlineStr">
        <is>
          <t>4183070</t>
        </is>
      </c>
      <c r="AW1301" t="inlineStr">
        <is>
          <t>991004953439702656</t>
        </is>
      </c>
      <c r="AX1301" t="inlineStr">
        <is>
          <t>991004953439702656</t>
        </is>
      </c>
      <c r="AY1301" t="inlineStr">
        <is>
          <t>2260876770002656</t>
        </is>
      </c>
      <c r="AZ1301" t="inlineStr">
        <is>
          <t>BOOK</t>
        </is>
      </c>
      <c r="BC1301" t="inlineStr">
        <is>
          <t>32285000992627</t>
        </is>
      </c>
      <c r="BD1301" t="inlineStr">
        <is>
          <t>893532969</t>
        </is>
      </c>
    </row>
    <row r="1302">
      <c r="A1302" t="inlineStr">
        <is>
          <t>No</t>
        </is>
      </c>
      <c r="B1302" t="inlineStr">
        <is>
          <t>E457 .R2</t>
        </is>
      </c>
      <c r="C1302" t="inlineStr">
        <is>
          <t>0                      E  0457000R  2</t>
        </is>
      </c>
      <c r="D1302" t="inlineStr">
        <is>
          <t>Lincoln, the President.</t>
        </is>
      </c>
      <c r="E1302" t="inlineStr">
        <is>
          <t>V.1</t>
        </is>
      </c>
      <c r="F1302" t="inlineStr">
        <is>
          <t>Yes</t>
        </is>
      </c>
      <c r="G1302" t="inlineStr">
        <is>
          <t>1</t>
        </is>
      </c>
      <c r="H1302" t="inlineStr">
        <is>
          <t>No</t>
        </is>
      </c>
      <c r="I1302" t="inlineStr">
        <is>
          <t>No</t>
        </is>
      </c>
      <c r="J1302" t="inlineStr">
        <is>
          <t>0</t>
        </is>
      </c>
      <c r="K1302" t="inlineStr">
        <is>
          <t>Randall, J. G. (James Garfield), 1881-1953.</t>
        </is>
      </c>
      <c r="L1302" t="inlineStr">
        <is>
          <t>New York : Dodd, Mead, 1945-55.</t>
        </is>
      </c>
      <c r="M1302" t="inlineStr">
        <is>
          <t>1945</t>
        </is>
      </c>
      <c r="O1302" t="inlineStr">
        <is>
          <t>eng</t>
        </is>
      </c>
      <c r="P1302" t="inlineStr">
        <is>
          <t>nyu</t>
        </is>
      </c>
      <c r="Q1302" t="inlineStr">
        <is>
          <t>American political leaders</t>
        </is>
      </c>
      <c r="R1302" t="inlineStr">
        <is>
          <t xml:space="preserve">E  </t>
        </is>
      </c>
      <c r="S1302" t="n">
        <v>0</v>
      </c>
      <c r="T1302" t="n">
        <v>4</v>
      </c>
      <c r="V1302" t="inlineStr">
        <is>
          <t>1994-11-13</t>
        </is>
      </c>
      <c r="W1302" t="inlineStr">
        <is>
          <t>1993-06-09</t>
        </is>
      </c>
      <c r="X1302" t="inlineStr">
        <is>
          <t>1993-09-22</t>
        </is>
      </c>
      <c r="Y1302" t="n">
        <v>1465</v>
      </c>
      <c r="Z1302" t="n">
        <v>1391</v>
      </c>
      <c r="AA1302" t="n">
        <v>1524</v>
      </c>
      <c r="AB1302" t="n">
        <v>13</v>
      </c>
      <c r="AC1302" t="n">
        <v>13</v>
      </c>
      <c r="AD1302" t="n">
        <v>57</v>
      </c>
      <c r="AE1302" t="n">
        <v>58</v>
      </c>
      <c r="AF1302" t="n">
        <v>21</v>
      </c>
      <c r="AG1302" t="n">
        <v>22</v>
      </c>
      <c r="AH1302" t="n">
        <v>11</v>
      </c>
      <c r="AI1302" t="n">
        <v>11</v>
      </c>
      <c r="AJ1302" t="n">
        <v>24</v>
      </c>
      <c r="AK1302" t="n">
        <v>24</v>
      </c>
      <c r="AL1302" t="n">
        <v>10</v>
      </c>
      <c r="AM1302" t="n">
        <v>10</v>
      </c>
      <c r="AN1302" t="n">
        <v>4</v>
      </c>
      <c r="AO1302" t="n">
        <v>4</v>
      </c>
      <c r="AP1302" t="inlineStr">
        <is>
          <t>No</t>
        </is>
      </c>
      <c r="AQ1302" t="inlineStr">
        <is>
          <t>Yes</t>
        </is>
      </c>
      <c r="AR1302">
        <f>HYPERLINK("http://catalog.hathitrust.org/Record/003018890","HathiTrust Record")</f>
        <v/>
      </c>
      <c r="AS1302">
        <f>HYPERLINK("https://creighton-primo.hosted.exlibrisgroup.com/primo-explore/search?tab=default_tab&amp;search_scope=EVERYTHING&amp;vid=01CRU&amp;lang=en_US&amp;offset=0&amp;query=any,contains,991004953439702656","Catalog Record")</f>
        <v/>
      </c>
      <c r="AT1302">
        <f>HYPERLINK("http://www.worldcat.org/oclc/4183070","WorldCat Record")</f>
        <v/>
      </c>
      <c r="AU1302" t="inlineStr">
        <is>
          <t>10032525100:eng</t>
        </is>
      </c>
      <c r="AV1302" t="inlineStr">
        <is>
          <t>4183070</t>
        </is>
      </c>
      <c r="AW1302" t="inlineStr">
        <is>
          <t>991004953439702656</t>
        </is>
      </c>
      <c r="AX1302" t="inlineStr">
        <is>
          <t>991004953439702656</t>
        </is>
      </c>
      <c r="AY1302" t="inlineStr">
        <is>
          <t>2260876770002656</t>
        </is>
      </c>
      <c r="AZ1302" t="inlineStr">
        <is>
          <t>BOOK</t>
        </is>
      </c>
      <c r="BC1302" t="inlineStr">
        <is>
          <t>32285001719698</t>
        </is>
      </c>
      <c r="BD1302" t="inlineStr">
        <is>
          <t>893513839</t>
        </is>
      </c>
    </row>
    <row r="1303">
      <c r="A1303" t="inlineStr">
        <is>
          <t>No</t>
        </is>
      </c>
      <c r="B1303" t="inlineStr">
        <is>
          <t>E457 .R2</t>
        </is>
      </c>
      <c r="C1303" t="inlineStr">
        <is>
          <t>0                      E  0457000R  2</t>
        </is>
      </c>
      <c r="D1303" t="inlineStr">
        <is>
          <t>Lincoln, the President.</t>
        </is>
      </c>
      <c r="E1303" t="inlineStr">
        <is>
          <t>V.2</t>
        </is>
      </c>
      <c r="F1303" t="inlineStr">
        <is>
          <t>Yes</t>
        </is>
      </c>
      <c r="G1303" t="inlineStr">
        <is>
          <t>1</t>
        </is>
      </c>
      <c r="H1303" t="inlineStr">
        <is>
          <t>No</t>
        </is>
      </c>
      <c r="I1303" t="inlineStr">
        <is>
          <t>No</t>
        </is>
      </c>
      <c r="J1303" t="inlineStr">
        <is>
          <t>0</t>
        </is>
      </c>
      <c r="K1303" t="inlineStr">
        <is>
          <t>Randall, J. G. (James Garfield), 1881-1953.</t>
        </is>
      </c>
      <c r="L1303" t="inlineStr">
        <is>
          <t>New York : Dodd, Mead, 1945-55.</t>
        </is>
      </c>
      <c r="M1303" t="inlineStr">
        <is>
          <t>1945</t>
        </is>
      </c>
      <c r="O1303" t="inlineStr">
        <is>
          <t>eng</t>
        </is>
      </c>
      <c r="P1303" t="inlineStr">
        <is>
          <t>nyu</t>
        </is>
      </c>
      <c r="Q1303" t="inlineStr">
        <is>
          <t>American political leaders</t>
        </is>
      </c>
      <c r="R1303" t="inlineStr">
        <is>
          <t xml:space="preserve">E  </t>
        </is>
      </c>
      <c r="S1303" t="n">
        <v>1</v>
      </c>
      <c r="T1303" t="n">
        <v>4</v>
      </c>
      <c r="V1303" t="inlineStr">
        <is>
          <t>1994-11-13</t>
        </is>
      </c>
      <c r="W1303" t="inlineStr">
        <is>
          <t>1993-09-22</t>
        </is>
      </c>
      <c r="X1303" t="inlineStr">
        <is>
          <t>1993-09-22</t>
        </is>
      </c>
      <c r="Y1303" t="n">
        <v>1465</v>
      </c>
      <c r="Z1303" t="n">
        <v>1391</v>
      </c>
      <c r="AA1303" t="n">
        <v>1524</v>
      </c>
      <c r="AB1303" t="n">
        <v>13</v>
      </c>
      <c r="AC1303" t="n">
        <v>13</v>
      </c>
      <c r="AD1303" t="n">
        <v>57</v>
      </c>
      <c r="AE1303" t="n">
        <v>58</v>
      </c>
      <c r="AF1303" t="n">
        <v>21</v>
      </c>
      <c r="AG1303" t="n">
        <v>22</v>
      </c>
      <c r="AH1303" t="n">
        <v>11</v>
      </c>
      <c r="AI1303" t="n">
        <v>11</v>
      </c>
      <c r="AJ1303" t="n">
        <v>24</v>
      </c>
      <c r="AK1303" t="n">
        <v>24</v>
      </c>
      <c r="AL1303" t="n">
        <v>10</v>
      </c>
      <c r="AM1303" t="n">
        <v>10</v>
      </c>
      <c r="AN1303" t="n">
        <v>4</v>
      </c>
      <c r="AO1303" t="n">
        <v>4</v>
      </c>
      <c r="AP1303" t="inlineStr">
        <is>
          <t>No</t>
        </is>
      </c>
      <c r="AQ1303" t="inlineStr">
        <is>
          <t>Yes</t>
        </is>
      </c>
      <c r="AR1303">
        <f>HYPERLINK("http://catalog.hathitrust.org/Record/003018890","HathiTrust Record")</f>
        <v/>
      </c>
      <c r="AS1303">
        <f>HYPERLINK("https://creighton-primo.hosted.exlibrisgroup.com/primo-explore/search?tab=default_tab&amp;search_scope=EVERYTHING&amp;vid=01CRU&amp;lang=en_US&amp;offset=0&amp;query=any,contains,991004953439702656","Catalog Record")</f>
        <v/>
      </c>
      <c r="AT1303">
        <f>HYPERLINK("http://www.worldcat.org/oclc/4183070","WorldCat Record")</f>
        <v/>
      </c>
      <c r="AU1303" t="inlineStr">
        <is>
          <t>10032525100:eng</t>
        </is>
      </c>
      <c r="AV1303" t="inlineStr">
        <is>
          <t>4183070</t>
        </is>
      </c>
      <c r="AW1303" t="inlineStr">
        <is>
          <t>991004953439702656</t>
        </is>
      </c>
      <c r="AX1303" t="inlineStr">
        <is>
          <t>991004953439702656</t>
        </is>
      </c>
      <c r="AY1303" t="inlineStr">
        <is>
          <t>2260876770002656</t>
        </is>
      </c>
      <c r="AZ1303" t="inlineStr">
        <is>
          <t>BOOK</t>
        </is>
      </c>
      <c r="BC1303" t="inlineStr">
        <is>
          <t>32285001770915</t>
        </is>
      </c>
      <c r="BD1303" t="inlineStr">
        <is>
          <t>893501133</t>
        </is>
      </c>
    </row>
    <row r="1304">
      <c r="A1304" t="inlineStr">
        <is>
          <t>No</t>
        </is>
      </c>
      <c r="B1304" t="inlineStr">
        <is>
          <t>E457 .R2</t>
        </is>
      </c>
      <c r="C1304" t="inlineStr">
        <is>
          <t>0                      E  0457000R  2</t>
        </is>
      </c>
      <c r="D1304" t="inlineStr">
        <is>
          <t>Lincoln, the President.</t>
        </is>
      </c>
      <c r="E1304" t="inlineStr">
        <is>
          <t>V.3</t>
        </is>
      </c>
      <c r="F1304" t="inlineStr">
        <is>
          <t>Yes</t>
        </is>
      </c>
      <c r="G1304" t="inlineStr">
        <is>
          <t>1</t>
        </is>
      </c>
      <c r="H1304" t="inlineStr">
        <is>
          <t>No</t>
        </is>
      </c>
      <c r="I1304" t="inlineStr">
        <is>
          <t>No</t>
        </is>
      </c>
      <c r="J1304" t="inlineStr">
        <is>
          <t>0</t>
        </is>
      </c>
      <c r="K1304" t="inlineStr">
        <is>
          <t>Randall, J. G. (James Garfield), 1881-1953.</t>
        </is>
      </c>
      <c r="L1304" t="inlineStr">
        <is>
          <t>New York : Dodd, Mead, 1945-55.</t>
        </is>
      </c>
      <c r="M1304" t="inlineStr">
        <is>
          <t>1945</t>
        </is>
      </c>
      <c r="O1304" t="inlineStr">
        <is>
          <t>eng</t>
        </is>
      </c>
      <c r="P1304" t="inlineStr">
        <is>
          <t>nyu</t>
        </is>
      </c>
      <c r="Q1304" t="inlineStr">
        <is>
          <t>American political leaders</t>
        </is>
      </c>
      <c r="R1304" t="inlineStr">
        <is>
          <t xml:space="preserve">E  </t>
        </is>
      </c>
      <c r="S1304" t="n">
        <v>0</v>
      </c>
      <c r="T1304" t="n">
        <v>4</v>
      </c>
      <c r="V1304" t="inlineStr">
        <is>
          <t>1994-11-13</t>
        </is>
      </c>
      <c r="W1304" t="inlineStr">
        <is>
          <t>1993-06-09</t>
        </is>
      </c>
      <c r="X1304" t="inlineStr">
        <is>
          <t>1993-09-22</t>
        </is>
      </c>
      <c r="Y1304" t="n">
        <v>1465</v>
      </c>
      <c r="Z1304" t="n">
        <v>1391</v>
      </c>
      <c r="AA1304" t="n">
        <v>1524</v>
      </c>
      <c r="AB1304" t="n">
        <v>13</v>
      </c>
      <c r="AC1304" t="n">
        <v>13</v>
      </c>
      <c r="AD1304" t="n">
        <v>57</v>
      </c>
      <c r="AE1304" t="n">
        <v>58</v>
      </c>
      <c r="AF1304" t="n">
        <v>21</v>
      </c>
      <c r="AG1304" t="n">
        <v>22</v>
      </c>
      <c r="AH1304" t="n">
        <v>11</v>
      </c>
      <c r="AI1304" t="n">
        <v>11</v>
      </c>
      <c r="AJ1304" t="n">
        <v>24</v>
      </c>
      <c r="AK1304" t="n">
        <v>24</v>
      </c>
      <c r="AL1304" t="n">
        <v>10</v>
      </c>
      <c r="AM1304" t="n">
        <v>10</v>
      </c>
      <c r="AN1304" t="n">
        <v>4</v>
      </c>
      <c r="AO1304" t="n">
        <v>4</v>
      </c>
      <c r="AP1304" t="inlineStr">
        <is>
          <t>No</t>
        </is>
      </c>
      <c r="AQ1304" t="inlineStr">
        <is>
          <t>Yes</t>
        </is>
      </c>
      <c r="AR1304">
        <f>HYPERLINK("http://catalog.hathitrust.org/Record/003018890","HathiTrust Record")</f>
        <v/>
      </c>
      <c r="AS1304">
        <f>HYPERLINK("https://creighton-primo.hosted.exlibrisgroup.com/primo-explore/search?tab=default_tab&amp;search_scope=EVERYTHING&amp;vid=01CRU&amp;lang=en_US&amp;offset=0&amp;query=any,contains,991004953439702656","Catalog Record")</f>
        <v/>
      </c>
      <c r="AT1304">
        <f>HYPERLINK("http://www.worldcat.org/oclc/4183070","WorldCat Record")</f>
        <v/>
      </c>
      <c r="AU1304" t="inlineStr">
        <is>
          <t>10032525100:eng</t>
        </is>
      </c>
      <c r="AV1304" t="inlineStr">
        <is>
          <t>4183070</t>
        </is>
      </c>
      <c r="AW1304" t="inlineStr">
        <is>
          <t>991004953439702656</t>
        </is>
      </c>
      <c r="AX1304" t="inlineStr">
        <is>
          <t>991004953439702656</t>
        </is>
      </c>
      <c r="AY1304" t="inlineStr">
        <is>
          <t>2260876770002656</t>
        </is>
      </c>
      <c r="AZ1304" t="inlineStr">
        <is>
          <t>BOOK</t>
        </is>
      </c>
      <c r="BC1304" t="inlineStr">
        <is>
          <t>32285001719904</t>
        </is>
      </c>
      <c r="BD1304" t="inlineStr">
        <is>
          <t>893520211</t>
        </is>
      </c>
    </row>
    <row r="1305">
      <c r="A1305" t="inlineStr">
        <is>
          <t>No</t>
        </is>
      </c>
      <c r="B1305" t="inlineStr">
        <is>
          <t>E457 .R84</t>
        </is>
      </c>
      <c r="C1305" t="inlineStr">
        <is>
          <t>0                      E  0457000R  84</t>
        </is>
      </c>
      <c r="D1305" t="inlineStr">
        <is>
          <t>Lincoln, master of men : a study in character / by Alonzo Rothschild with portraits.</t>
        </is>
      </c>
      <c r="F1305" t="inlineStr">
        <is>
          <t>No</t>
        </is>
      </c>
      <c r="G1305" t="inlineStr">
        <is>
          <t>1</t>
        </is>
      </c>
      <c r="H1305" t="inlineStr">
        <is>
          <t>No</t>
        </is>
      </c>
      <c r="I1305" t="inlineStr">
        <is>
          <t>No</t>
        </is>
      </c>
      <c r="J1305" t="inlineStr">
        <is>
          <t>0</t>
        </is>
      </c>
      <c r="K1305" t="inlineStr">
        <is>
          <t>Rothschild, Alonzo, 1862-1915.</t>
        </is>
      </c>
      <c r="L1305" t="inlineStr">
        <is>
          <t>Boston ; New York : Houghton, Mifflin and Company, 1906.</t>
        </is>
      </c>
      <c r="M1305" t="inlineStr">
        <is>
          <t>1906</t>
        </is>
      </c>
      <c r="N1305" t="inlineStr">
        <is>
          <t>[First edition]</t>
        </is>
      </c>
      <c r="O1305" t="inlineStr">
        <is>
          <t>eng</t>
        </is>
      </c>
      <c r="P1305" t="inlineStr">
        <is>
          <t>mau</t>
        </is>
      </c>
      <c r="R1305" t="inlineStr">
        <is>
          <t xml:space="preserve">E  </t>
        </is>
      </c>
      <c r="S1305" t="n">
        <v>7</v>
      </c>
      <c r="T1305" t="n">
        <v>7</v>
      </c>
      <c r="U1305" t="inlineStr">
        <is>
          <t>1996-02-07</t>
        </is>
      </c>
      <c r="V1305" t="inlineStr">
        <is>
          <t>1996-02-07</t>
        </is>
      </c>
      <c r="W1305" t="inlineStr">
        <is>
          <t>1992-12-09</t>
        </is>
      </c>
      <c r="X1305" t="inlineStr">
        <is>
          <t>1992-12-09</t>
        </is>
      </c>
      <c r="Y1305" t="n">
        <v>465</v>
      </c>
      <c r="Z1305" t="n">
        <v>452</v>
      </c>
      <c r="AA1305" t="n">
        <v>583</v>
      </c>
      <c r="AB1305" t="n">
        <v>3</v>
      </c>
      <c r="AC1305" t="n">
        <v>4</v>
      </c>
      <c r="AD1305" t="n">
        <v>19</v>
      </c>
      <c r="AE1305" t="n">
        <v>21</v>
      </c>
      <c r="AF1305" t="n">
        <v>8</v>
      </c>
      <c r="AG1305" t="n">
        <v>8</v>
      </c>
      <c r="AH1305" t="n">
        <v>3</v>
      </c>
      <c r="AI1305" t="n">
        <v>5</v>
      </c>
      <c r="AJ1305" t="n">
        <v>10</v>
      </c>
      <c r="AK1305" t="n">
        <v>11</v>
      </c>
      <c r="AL1305" t="n">
        <v>2</v>
      </c>
      <c r="AM1305" t="n">
        <v>2</v>
      </c>
      <c r="AN1305" t="n">
        <v>1</v>
      </c>
      <c r="AO1305" t="n">
        <v>1</v>
      </c>
      <c r="AP1305" t="inlineStr">
        <is>
          <t>Yes</t>
        </is>
      </c>
      <c r="AQ1305" t="inlineStr">
        <is>
          <t>No</t>
        </is>
      </c>
      <c r="AR1305">
        <f>HYPERLINK("http://catalog.hathitrust.org/Record/000566776","HathiTrust Record")</f>
        <v/>
      </c>
      <c r="AS1305">
        <f>HYPERLINK("https://creighton-primo.hosted.exlibrisgroup.com/primo-explore/search?tab=default_tab&amp;search_scope=EVERYTHING&amp;vid=01CRU&amp;lang=en_US&amp;offset=0&amp;query=any,contains,991000494009702656","Catalog Record")</f>
        <v/>
      </c>
      <c r="AT1305">
        <f>HYPERLINK("http://www.worldcat.org/oclc/11125982","WorldCat Record")</f>
        <v/>
      </c>
      <c r="AU1305" t="inlineStr">
        <is>
          <t>3962450:eng</t>
        </is>
      </c>
      <c r="AV1305" t="inlineStr">
        <is>
          <t>11125982</t>
        </is>
      </c>
      <c r="AW1305" t="inlineStr">
        <is>
          <t>991000494009702656</t>
        </is>
      </c>
      <c r="AX1305" t="inlineStr">
        <is>
          <t>991000494009702656</t>
        </is>
      </c>
      <c r="AY1305" t="inlineStr">
        <is>
          <t>2261742290002656</t>
        </is>
      </c>
      <c r="AZ1305" t="inlineStr">
        <is>
          <t>BOOK</t>
        </is>
      </c>
      <c r="BC1305" t="inlineStr">
        <is>
          <t>32285001413839</t>
        </is>
      </c>
      <c r="BD1305" t="inlineStr">
        <is>
          <t>893333521</t>
        </is>
      </c>
    </row>
    <row r="1306">
      <c r="A1306" t="inlineStr">
        <is>
          <t>No</t>
        </is>
      </c>
      <c r="B1306" t="inlineStr">
        <is>
          <t>E457 .S83</t>
        </is>
      </c>
      <c r="C1306" t="inlineStr">
        <is>
          <t>0                      E  0457000S  83</t>
        </is>
      </c>
      <c r="D1306" t="inlineStr">
        <is>
          <t>Lincoln : an account of his personal life, especially of its springs of action as revealed and deepened by the ordeal of war / by Nathaniel Wright Stephenson.</t>
        </is>
      </c>
      <c r="F1306" t="inlineStr">
        <is>
          <t>No</t>
        </is>
      </c>
      <c r="G1306" t="inlineStr">
        <is>
          <t>1</t>
        </is>
      </c>
      <c r="H1306" t="inlineStr">
        <is>
          <t>No</t>
        </is>
      </c>
      <c r="I1306" t="inlineStr">
        <is>
          <t>No</t>
        </is>
      </c>
      <c r="J1306" t="inlineStr">
        <is>
          <t>0</t>
        </is>
      </c>
      <c r="K1306" t="inlineStr">
        <is>
          <t>Stephenson, Nathaniel W. (Nathaniel Wright), 1867-1935.</t>
        </is>
      </c>
      <c r="L1306" t="inlineStr">
        <is>
          <t>Indianapolis : Bobbs-Merrill, [c1922]</t>
        </is>
      </c>
      <c r="M1306" t="inlineStr">
        <is>
          <t>1922</t>
        </is>
      </c>
      <c r="O1306" t="inlineStr">
        <is>
          <t>eng</t>
        </is>
      </c>
      <c r="P1306" t="inlineStr">
        <is>
          <t>inu</t>
        </is>
      </c>
      <c r="R1306" t="inlineStr">
        <is>
          <t xml:space="preserve">E  </t>
        </is>
      </c>
      <c r="S1306" t="n">
        <v>2</v>
      </c>
      <c r="T1306" t="n">
        <v>2</v>
      </c>
      <c r="U1306" t="inlineStr">
        <is>
          <t>1996-02-07</t>
        </is>
      </c>
      <c r="V1306" t="inlineStr">
        <is>
          <t>1996-02-07</t>
        </is>
      </c>
      <c r="W1306" t="inlineStr">
        <is>
          <t>1993-12-21</t>
        </is>
      </c>
      <c r="X1306" t="inlineStr">
        <is>
          <t>1993-12-21</t>
        </is>
      </c>
      <c r="Y1306" t="n">
        <v>364</v>
      </c>
      <c r="Z1306" t="n">
        <v>355</v>
      </c>
      <c r="AA1306" t="n">
        <v>557</v>
      </c>
      <c r="AB1306" t="n">
        <v>5</v>
      </c>
      <c r="AC1306" t="n">
        <v>6</v>
      </c>
      <c r="AD1306" t="n">
        <v>17</v>
      </c>
      <c r="AE1306" t="n">
        <v>29</v>
      </c>
      <c r="AF1306" t="n">
        <v>5</v>
      </c>
      <c r="AG1306" t="n">
        <v>9</v>
      </c>
      <c r="AH1306" t="n">
        <v>3</v>
      </c>
      <c r="AI1306" t="n">
        <v>6</v>
      </c>
      <c r="AJ1306" t="n">
        <v>7</v>
      </c>
      <c r="AK1306" t="n">
        <v>8</v>
      </c>
      <c r="AL1306" t="n">
        <v>4</v>
      </c>
      <c r="AM1306" t="n">
        <v>4</v>
      </c>
      <c r="AN1306" t="n">
        <v>1</v>
      </c>
      <c r="AO1306" t="n">
        <v>6</v>
      </c>
      <c r="AP1306" t="inlineStr">
        <is>
          <t>Yes</t>
        </is>
      </c>
      <c r="AQ1306" t="inlineStr">
        <is>
          <t>No</t>
        </is>
      </c>
      <c r="AR1306">
        <f>HYPERLINK("http://catalog.hathitrust.org/Record/000314678","HathiTrust Record")</f>
        <v/>
      </c>
      <c r="AS1306">
        <f>HYPERLINK("https://creighton-primo.hosted.exlibrisgroup.com/primo-explore/search?tab=default_tab&amp;search_scope=EVERYTHING&amp;vid=01CRU&amp;lang=en_US&amp;offset=0&amp;query=any,contains,991002796769702656","Catalog Record")</f>
        <v/>
      </c>
      <c r="AT1306">
        <f>HYPERLINK("http://www.worldcat.org/oclc/445555","WorldCat Record")</f>
        <v/>
      </c>
      <c r="AU1306" t="inlineStr">
        <is>
          <t>1527533:eng</t>
        </is>
      </c>
      <c r="AV1306" t="inlineStr">
        <is>
          <t>445555</t>
        </is>
      </c>
      <c r="AW1306" t="inlineStr">
        <is>
          <t>991002796769702656</t>
        </is>
      </c>
      <c r="AX1306" t="inlineStr">
        <is>
          <t>991002796769702656</t>
        </is>
      </c>
      <c r="AY1306" t="inlineStr">
        <is>
          <t>2262957120002656</t>
        </is>
      </c>
      <c r="AZ1306" t="inlineStr">
        <is>
          <t>BOOK</t>
        </is>
      </c>
      <c r="BC1306" t="inlineStr">
        <is>
          <t>32285001826147</t>
        </is>
      </c>
      <c r="BD1306" t="inlineStr">
        <is>
          <t>893428027</t>
        </is>
      </c>
    </row>
    <row r="1307">
      <c r="A1307" t="inlineStr">
        <is>
          <t>No</t>
        </is>
      </c>
      <c r="B1307" t="inlineStr">
        <is>
          <t>E457.2 .B7</t>
        </is>
      </c>
      <c r="C1307" t="inlineStr">
        <is>
          <t>0                      E  0457200B  7</t>
        </is>
      </c>
      <c r="D1307" t="inlineStr">
        <is>
          <t>Lincoln and the economics of the American dream / G. S. Boritt. --</t>
        </is>
      </c>
      <c r="F1307" t="inlineStr">
        <is>
          <t>No</t>
        </is>
      </c>
      <c r="G1307" t="inlineStr">
        <is>
          <t>1</t>
        </is>
      </c>
      <c r="H1307" t="inlineStr">
        <is>
          <t>No</t>
        </is>
      </c>
      <c r="I1307" t="inlineStr">
        <is>
          <t>No</t>
        </is>
      </c>
      <c r="J1307" t="inlineStr">
        <is>
          <t>0</t>
        </is>
      </c>
      <c r="K1307" t="inlineStr">
        <is>
          <t>Boritt, G. S., 1940-</t>
        </is>
      </c>
      <c r="L1307" t="inlineStr">
        <is>
          <t>[Memphis, Tenn.] : Memphis State University Press, c1978.</t>
        </is>
      </c>
      <c r="M1307" t="inlineStr">
        <is>
          <t>1978</t>
        </is>
      </c>
      <c r="O1307" t="inlineStr">
        <is>
          <t>eng</t>
        </is>
      </c>
      <c r="P1307" t="inlineStr">
        <is>
          <t>tnu</t>
        </is>
      </c>
      <c r="R1307" t="inlineStr">
        <is>
          <t xml:space="preserve">E  </t>
        </is>
      </c>
      <c r="S1307" t="n">
        <v>1</v>
      </c>
      <c r="T1307" t="n">
        <v>1</v>
      </c>
      <c r="U1307" t="inlineStr">
        <is>
          <t>1992-04-13</t>
        </is>
      </c>
      <c r="V1307" t="inlineStr">
        <is>
          <t>1992-04-13</t>
        </is>
      </c>
      <c r="W1307" t="inlineStr">
        <is>
          <t>1991-04-26</t>
        </is>
      </c>
      <c r="X1307" t="inlineStr">
        <is>
          <t>1991-04-26</t>
        </is>
      </c>
      <c r="Y1307" t="n">
        <v>644</v>
      </c>
      <c r="Z1307" t="n">
        <v>577</v>
      </c>
      <c r="AA1307" t="n">
        <v>666</v>
      </c>
      <c r="AB1307" t="n">
        <v>4</v>
      </c>
      <c r="AC1307" t="n">
        <v>5</v>
      </c>
      <c r="AD1307" t="n">
        <v>22</v>
      </c>
      <c r="AE1307" t="n">
        <v>29</v>
      </c>
      <c r="AF1307" t="n">
        <v>10</v>
      </c>
      <c r="AG1307" t="n">
        <v>13</v>
      </c>
      <c r="AH1307" t="n">
        <v>5</v>
      </c>
      <c r="AI1307" t="n">
        <v>7</v>
      </c>
      <c r="AJ1307" t="n">
        <v>10</v>
      </c>
      <c r="AK1307" t="n">
        <v>11</v>
      </c>
      <c r="AL1307" t="n">
        <v>3</v>
      </c>
      <c r="AM1307" t="n">
        <v>4</v>
      </c>
      <c r="AN1307" t="n">
        <v>0</v>
      </c>
      <c r="AO1307" t="n">
        <v>0</v>
      </c>
      <c r="AP1307" t="inlineStr">
        <is>
          <t>No</t>
        </is>
      </c>
      <c r="AQ1307" t="inlineStr">
        <is>
          <t>Yes</t>
        </is>
      </c>
      <c r="AR1307">
        <f>HYPERLINK("http://catalog.hathitrust.org/Record/000024746","HathiTrust Record")</f>
        <v/>
      </c>
      <c r="AS1307">
        <f>HYPERLINK("https://creighton-primo.hosted.exlibrisgroup.com/primo-explore/search?tab=default_tab&amp;search_scope=EVERYTHING&amp;vid=01CRU&amp;lang=en_US&amp;offset=0&amp;query=any,contains,991004498589702656","Catalog Record")</f>
        <v/>
      </c>
      <c r="AT1307">
        <f>HYPERLINK("http://www.worldcat.org/oclc/3707694","WorldCat Record")</f>
        <v/>
      </c>
      <c r="AU1307" t="inlineStr">
        <is>
          <t>4159856714:eng</t>
        </is>
      </c>
      <c r="AV1307" t="inlineStr">
        <is>
          <t>3707694</t>
        </is>
      </c>
      <c r="AW1307" t="inlineStr">
        <is>
          <t>991004498589702656</t>
        </is>
      </c>
      <c r="AX1307" t="inlineStr">
        <is>
          <t>991004498589702656</t>
        </is>
      </c>
      <c r="AY1307" t="inlineStr">
        <is>
          <t>2262909870002656</t>
        </is>
      </c>
      <c r="AZ1307" t="inlineStr">
        <is>
          <t>BOOK</t>
        </is>
      </c>
      <c r="BB1307" t="inlineStr">
        <is>
          <t>9780878800438</t>
        </is>
      </c>
      <c r="BC1307" t="inlineStr">
        <is>
          <t>32285000544592</t>
        </is>
      </c>
      <c r="BD1307" t="inlineStr">
        <is>
          <t>893436350</t>
        </is>
      </c>
    </row>
    <row r="1308">
      <c r="A1308" t="inlineStr">
        <is>
          <t>No</t>
        </is>
      </c>
      <c r="B1308" t="inlineStr">
        <is>
          <t>E457.2 .C84</t>
        </is>
      </c>
      <c r="C1308" t="inlineStr">
        <is>
          <t>0                      E  0457200C  84</t>
        </is>
      </c>
      <c r="D1308" t="inlineStr">
        <is>
          <t>Lincoln and Black freedom : a study in presidential leadership / by LaWanda Cox.</t>
        </is>
      </c>
      <c r="F1308" t="inlineStr">
        <is>
          <t>No</t>
        </is>
      </c>
      <c r="G1308" t="inlineStr">
        <is>
          <t>1</t>
        </is>
      </c>
      <c r="H1308" t="inlineStr">
        <is>
          <t>No</t>
        </is>
      </c>
      <c r="I1308" t="inlineStr">
        <is>
          <t>No</t>
        </is>
      </c>
      <c r="J1308" t="inlineStr">
        <is>
          <t>0</t>
        </is>
      </c>
      <c r="K1308" t="inlineStr">
        <is>
          <t>Cox, LaWanda C. Fenlason.</t>
        </is>
      </c>
      <c r="L1308" t="inlineStr">
        <is>
          <t>Columbia, S.C. : University of South Carolina Press, 1981.</t>
        </is>
      </c>
      <c r="M1308" t="inlineStr">
        <is>
          <t>1981</t>
        </is>
      </c>
      <c r="N1308" t="inlineStr">
        <is>
          <t>1st ed.</t>
        </is>
      </c>
      <c r="O1308" t="inlineStr">
        <is>
          <t>eng</t>
        </is>
      </c>
      <c r="P1308" t="inlineStr">
        <is>
          <t>scu</t>
        </is>
      </c>
      <c r="R1308" t="inlineStr">
        <is>
          <t xml:space="preserve">E  </t>
        </is>
      </c>
      <c r="S1308" t="n">
        <v>8</v>
      </c>
      <c r="T1308" t="n">
        <v>8</v>
      </c>
      <c r="U1308" t="inlineStr">
        <is>
          <t>1999-03-17</t>
        </is>
      </c>
      <c r="V1308" t="inlineStr">
        <is>
          <t>1999-03-17</t>
        </is>
      </c>
      <c r="W1308" t="inlineStr">
        <is>
          <t>1990-03-23</t>
        </is>
      </c>
      <c r="X1308" t="inlineStr">
        <is>
          <t>1990-03-23</t>
        </is>
      </c>
      <c r="Y1308" t="n">
        <v>979</v>
      </c>
      <c r="Z1308" t="n">
        <v>888</v>
      </c>
      <c r="AA1308" t="n">
        <v>1146</v>
      </c>
      <c r="AB1308" t="n">
        <v>4</v>
      </c>
      <c r="AC1308" t="n">
        <v>4</v>
      </c>
      <c r="AD1308" t="n">
        <v>40</v>
      </c>
      <c r="AE1308" t="n">
        <v>51</v>
      </c>
      <c r="AF1308" t="n">
        <v>22</v>
      </c>
      <c r="AG1308" t="n">
        <v>25</v>
      </c>
      <c r="AH1308" t="n">
        <v>10</v>
      </c>
      <c r="AI1308" t="n">
        <v>10</v>
      </c>
      <c r="AJ1308" t="n">
        <v>18</v>
      </c>
      <c r="AK1308" t="n">
        <v>23</v>
      </c>
      <c r="AL1308" t="n">
        <v>3</v>
      </c>
      <c r="AM1308" t="n">
        <v>3</v>
      </c>
      <c r="AN1308" t="n">
        <v>0</v>
      </c>
      <c r="AO1308" t="n">
        <v>4</v>
      </c>
      <c r="AP1308" t="inlineStr">
        <is>
          <t>No</t>
        </is>
      </c>
      <c r="AQ1308" t="inlineStr">
        <is>
          <t>Yes</t>
        </is>
      </c>
      <c r="AR1308">
        <f>HYPERLINK("http://catalog.hathitrust.org/Record/000181318","HathiTrust Record")</f>
        <v/>
      </c>
      <c r="AS1308">
        <f>HYPERLINK("https://creighton-primo.hosted.exlibrisgroup.com/primo-explore/search?tab=default_tab&amp;search_scope=EVERYTHING&amp;vid=01CRU&amp;lang=en_US&amp;offset=0&amp;query=any,contains,991005165809702656","Catalog Record")</f>
        <v/>
      </c>
      <c r="AT1308">
        <f>HYPERLINK("http://www.worldcat.org/oclc/7835202","WorldCat Record")</f>
        <v/>
      </c>
      <c r="AU1308" t="inlineStr">
        <is>
          <t>519907:eng</t>
        </is>
      </c>
      <c r="AV1308" t="inlineStr">
        <is>
          <t>7835202</t>
        </is>
      </c>
      <c r="AW1308" t="inlineStr">
        <is>
          <t>991005165809702656</t>
        </is>
      </c>
      <c r="AX1308" t="inlineStr">
        <is>
          <t>991005165809702656</t>
        </is>
      </c>
      <c r="AY1308" t="inlineStr">
        <is>
          <t>2254758240002656</t>
        </is>
      </c>
      <c r="AZ1308" t="inlineStr">
        <is>
          <t>BOOK</t>
        </is>
      </c>
      <c r="BB1308" t="inlineStr">
        <is>
          <t>9780872494008</t>
        </is>
      </c>
      <c r="BC1308" t="inlineStr">
        <is>
          <t>32285000096601</t>
        </is>
      </c>
      <c r="BD1308" t="inlineStr">
        <is>
          <t>893248472</t>
        </is>
      </c>
    </row>
    <row r="1309">
      <c r="A1309" t="inlineStr">
        <is>
          <t>No</t>
        </is>
      </c>
      <c r="B1309" t="inlineStr">
        <is>
          <t>E457.2 .H34 2000</t>
        </is>
      </c>
      <c r="C1309" t="inlineStr">
        <is>
          <t>0                      E  0457200H  34          2000</t>
        </is>
      </c>
      <c r="D1309" t="inlineStr">
        <is>
          <t>Lincoln of Kentucky / Lowell H. Harrison.</t>
        </is>
      </c>
      <c r="F1309" t="inlineStr">
        <is>
          <t>No</t>
        </is>
      </c>
      <c r="G1309" t="inlineStr">
        <is>
          <t>1</t>
        </is>
      </c>
      <c r="H1309" t="inlineStr">
        <is>
          <t>No</t>
        </is>
      </c>
      <c r="I1309" t="inlineStr">
        <is>
          <t>No</t>
        </is>
      </c>
      <c r="J1309" t="inlineStr">
        <is>
          <t>0</t>
        </is>
      </c>
      <c r="K1309" t="inlineStr">
        <is>
          <t>Harrison, Lowell H. (Lowell Hayes), 1922-2011.</t>
        </is>
      </c>
      <c r="L1309" t="inlineStr">
        <is>
          <t>Lexington, KY : University Press of Kentucky, c2000.</t>
        </is>
      </c>
      <c r="M1309" t="inlineStr">
        <is>
          <t>2000</t>
        </is>
      </c>
      <c r="O1309" t="inlineStr">
        <is>
          <t>eng</t>
        </is>
      </c>
      <c r="P1309" t="inlineStr">
        <is>
          <t>kyu</t>
        </is>
      </c>
      <c r="R1309" t="inlineStr">
        <is>
          <t xml:space="preserve">E  </t>
        </is>
      </c>
      <c r="S1309" t="n">
        <v>1</v>
      </c>
      <c r="T1309" t="n">
        <v>1</v>
      </c>
      <c r="U1309" t="inlineStr">
        <is>
          <t>2000-10-18</t>
        </is>
      </c>
      <c r="V1309" t="inlineStr">
        <is>
          <t>2000-10-18</t>
        </is>
      </c>
      <c r="W1309" t="inlineStr">
        <is>
          <t>2000-10-17</t>
        </is>
      </c>
      <c r="X1309" t="inlineStr">
        <is>
          <t>2000-10-17</t>
        </is>
      </c>
      <c r="Y1309" t="n">
        <v>395</v>
      </c>
      <c r="Z1309" t="n">
        <v>377</v>
      </c>
      <c r="AA1309" t="n">
        <v>912</v>
      </c>
      <c r="AB1309" t="n">
        <v>2</v>
      </c>
      <c r="AC1309" t="n">
        <v>5</v>
      </c>
      <c r="AD1309" t="n">
        <v>17</v>
      </c>
      <c r="AE1309" t="n">
        <v>32</v>
      </c>
      <c r="AF1309" t="n">
        <v>7</v>
      </c>
      <c r="AG1309" t="n">
        <v>15</v>
      </c>
      <c r="AH1309" t="n">
        <v>4</v>
      </c>
      <c r="AI1309" t="n">
        <v>7</v>
      </c>
      <c r="AJ1309" t="n">
        <v>9</v>
      </c>
      <c r="AK1309" t="n">
        <v>15</v>
      </c>
      <c r="AL1309" t="n">
        <v>1</v>
      </c>
      <c r="AM1309" t="n">
        <v>4</v>
      </c>
      <c r="AN1309" t="n">
        <v>0</v>
      </c>
      <c r="AO1309" t="n">
        <v>0</v>
      </c>
      <c r="AP1309" t="inlineStr">
        <is>
          <t>No</t>
        </is>
      </c>
      <c r="AQ1309" t="inlineStr">
        <is>
          <t>Yes</t>
        </is>
      </c>
      <c r="AR1309">
        <f>HYPERLINK("http://catalog.hathitrust.org/Record/004073149","HathiTrust Record")</f>
        <v/>
      </c>
      <c r="AS1309">
        <f>HYPERLINK("https://creighton-primo.hosted.exlibrisgroup.com/primo-explore/search?tab=default_tab&amp;search_scope=EVERYTHING&amp;vid=01CRU&amp;lang=en_US&amp;offset=0&amp;query=any,contains,991003299039702656","Catalog Record")</f>
        <v/>
      </c>
      <c r="AT1309">
        <f>HYPERLINK("http://www.worldcat.org/oclc/42462945","WorldCat Record")</f>
        <v/>
      </c>
      <c r="AU1309" t="inlineStr">
        <is>
          <t>27765307:eng</t>
        </is>
      </c>
      <c r="AV1309" t="inlineStr">
        <is>
          <t>42462945</t>
        </is>
      </c>
      <c r="AW1309" t="inlineStr">
        <is>
          <t>991003299039702656</t>
        </is>
      </c>
      <c r="AX1309" t="inlineStr">
        <is>
          <t>991003299039702656</t>
        </is>
      </c>
      <c r="AY1309" t="inlineStr">
        <is>
          <t>2263359670002656</t>
        </is>
      </c>
      <c r="AZ1309" t="inlineStr">
        <is>
          <t>BOOK</t>
        </is>
      </c>
      <c r="BB1309" t="inlineStr">
        <is>
          <t>9780813121567</t>
        </is>
      </c>
      <c r="BC1309" t="inlineStr">
        <is>
          <t>32285003768222</t>
        </is>
      </c>
      <c r="BD1309" t="inlineStr">
        <is>
          <t>893410147</t>
        </is>
      </c>
    </row>
    <row r="1310">
      <c r="A1310" t="inlineStr">
        <is>
          <t>No</t>
        </is>
      </c>
      <c r="B1310" t="inlineStr">
        <is>
          <t>E457.2 .L837 1968</t>
        </is>
      </c>
      <c r="C1310" t="inlineStr">
        <is>
          <t>0                      E  0457200L  837         1968</t>
        </is>
      </c>
      <c r="D1310" t="inlineStr">
        <is>
          <t>A portrait of Abraham Lincoln in letters / by his oldest son ; edited by Paul M. Angle ; with the assistance of Richard G. Case.</t>
        </is>
      </c>
      <c r="F1310" t="inlineStr">
        <is>
          <t>No</t>
        </is>
      </c>
      <c r="G1310" t="inlineStr">
        <is>
          <t>1</t>
        </is>
      </c>
      <c r="H1310" t="inlineStr">
        <is>
          <t>No</t>
        </is>
      </c>
      <c r="I1310" t="inlineStr">
        <is>
          <t>No</t>
        </is>
      </c>
      <c r="J1310" t="inlineStr">
        <is>
          <t>0</t>
        </is>
      </c>
      <c r="K1310" t="inlineStr">
        <is>
          <t>Lincoln, Robert Todd, 1843-1926.</t>
        </is>
      </c>
      <c r="L1310" t="inlineStr">
        <is>
          <t>Chicago : Chicago Historical Society, [1968]</t>
        </is>
      </c>
      <c r="M1310" t="inlineStr">
        <is>
          <t>1968</t>
        </is>
      </c>
      <c r="O1310" t="inlineStr">
        <is>
          <t>eng</t>
        </is>
      </c>
      <c r="P1310" t="inlineStr">
        <is>
          <t>ilu</t>
        </is>
      </c>
      <c r="R1310" t="inlineStr">
        <is>
          <t xml:space="preserve">E  </t>
        </is>
      </c>
      <c r="S1310" t="n">
        <v>7</v>
      </c>
      <c r="T1310" t="n">
        <v>7</v>
      </c>
      <c r="U1310" t="inlineStr">
        <is>
          <t>1996-03-19</t>
        </is>
      </c>
      <c r="V1310" t="inlineStr">
        <is>
          <t>1996-03-19</t>
        </is>
      </c>
      <c r="W1310" t="inlineStr">
        <is>
          <t>1990-03-23</t>
        </is>
      </c>
      <c r="X1310" t="inlineStr">
        <is>
          <t>1990-03-23</t>
        </is>
      </c>
      <c r="Y1310" t="n">
        <v>333</v>
      </c>
      <c r="Z1310" t="n">
        <v>318</v>
      </c>
      <c r="AA1310" t="n">
        <v>324</v>
      </c>
      <c r="AB1310" t="n">
        <v>3</v>
      </c>
      <c r="AC1310" t="n">
        <v>3</v>
      </c>
      <c r="AD1310" t="n">
        <v>17</v>
      </c>
      <c r="AE1310" t="n">
        <v>17</v>
      </c>
      <c r="AF1310" t="n">
        <v>5</v>
      </c>
      <c r="AG1310" t="n">
        <v>5</v>
      </c>
      <c r="AH1310" t="n">
        <v>4</v>
      </c>
      <c r="AI1310" t="n">
        <v>4</v>
      </c>
      <c r="AJ1310" t="n">
        <v>7</v>
      </c>
      <c r="AK1310" t="n">
        <v>7</v>
      </c>
      <c r="AL1310" t="n">
        <v>2</v>
      </c>
      <c r="AM1310" t="n">
        <v>2</v>
      </c>
      <c r="AN1310" t="n">
        <v>1</v>
      </c>
      <c r="AO1310" t="n">
        <v>1</v>
      </c>
      <c r="AP1310" t="inlineStr">
        <is>
          <t>No</t>
        </is>
      </c>
      <c r="AQ1310" t="inlineStr">
        <is>
          <t>No</t>
        </is>
      </c>
      <c r="AS1310">
        <f>HYPERLINK("https://creighton-primo.hosted.exlibrisgroup.com/primo-explore/search?tab=default_tab&amp;search_scope=EVERYTHING&amp;vid=01CRU&amp;lang=en_US&amp;offset=0&amp;query=any,contains,991001366029702656","Catalog Record")</f>
        <v/>
      </c>
      <c r="AT1310">
        <f>HYPERLINK("http://www.worldcat.org/oclc/222557","WorldCat Record")</f>
        <v/>
      </c>
      <c r="AU1310" t="inlineStr">
        <is>
          <t>1329065:eng</t>
        </is>
      </c>
      <c r="AV1310" t="inlineStr">
        <is>
          <t>222557</t>
        </is>
      </c>
      <c r="AW1310" t="inlineStr">
        <is>
          <t>991001366029702656</t>
        </is>
      </c>
      <c r="AX1310" t="inlineStr">
        <is>
          <t>991001366029702656</t>
        </is>
      </c>
      <c r="AY1310" t="inlineStr">
        <is>
          <t>2262206060002656</t>
        </is>
      </c>
      <c r="AZ1310" t="inlineStr">
        <is>
          <t>BOOK</t>
        </is>
      </c>
      <c r="BC1310" t="inlineStr">
        <is>
          <t>32285000096619</t>
        </is>
      </c>
      <c r="BD1310" t="inlineStr">
        <is>
          <t>893315719</t>
        </is>
      </c>
    </row>
    <row r="1311">
      <c r="A1311" t="inlineStr">
        <is>
          <t>No</t>
        </is>
      </c>
      <c r="B1311" t="inlineStr">
        <is>
          <t>E457.2 .N6</t>
        </is>
      </c>
      <c r="C1311" t="inlineStr">
        <is>
          <t>0                      E  0457200N  6</t>
        </is>
      </c>
      <c r="D1311" t="inlineStr">
        <is>
          <t>Lincoln and the Indians : Civil War policy and politics / David A Nichols.</t>
        </is>
      </c>
      <c r="F1311" t="inlineStr">
        <is>
          <t>No</t>
        </is>
      </c>
      <c r="G1311" t="inlineStr">
        <is>
          <t>1</t>
        </is>
      </c>
      <c r="H1311" t="inlineStr">
        <is>
          <t>No</t>
        </is>
      </c>
      <c r="I1311" t="inlineStr">
        <is>
          <t>No</t>
        </is>
      </c>
      <c r="J1311" t="inlineStr">
        <is>
          <t>0</t>
        </is>
      </c>
      <c r="K1311" t="inlineStr">
        <is>
          <t>Nichols, David A. (David Allen), 1939-</t>
        </is>
      </c>
      <c r="L1311" t="inlineStr">
        <is>
          <t>Columbia : University of Missouri Press, 1978.</t>
        </is>
      </c>
      <c r="M1311" t="inlineStr">
        <is>
          <t>1978</t>
        </is>
      </c>
      <c r="O1311" t="inlineStr">
        <is>
          <t>eng</t>
        </is>
      </c>
      <c r="P1311" t="inlineStr">
        <is>
          <t>scu</t>
        </is>
      </c>
      <c r="R1311" t="inlineStr">
        <is>
          <t xml:space="preserve">E  </t>
        </is>
      </c>
      <c r="S1311" t="n">
        <v>5</v>
      </c>
      <c r="T1311" t="n">
        <v>5</v>
      </c>
      <c r="U1311" t="inlineStr">
        <is>
          <t>2002-02-08</t>
        </is>
      </c>
      <c r="V1311" t="inlineStr">
        <is>
          <t>2002-02-08</t>
        </is>
      </c>
      <c r="W1311" t="inlineStr">
        <is>
          <t>1992-04-06</t>
        </is>
      </c>
      <c r="X1311" t="inlineStr">
        <is>
          <t>1992-04-06</t>
        </is>
      </c>
      <c r="Y1311" t="n">
        <v>738</v>
      </c>
      <c r="Z1311" t="n">
        <v>677</v>
      </c>
      <c r="AA1311" t="n">
        <v>853</v>
      </c>
      <c r="AB1311" t="n">
        <v>5</v>
      </c>
      <c r="AC1311" t="n">
        <v>5</v>
      </c>
      <c r="AD1311" t="n">
        <v>32</v>
      </c>
      <c r="AE1311" t="n">
        <v>37</v>
      </c>
      <c r="AF1311" t="n">
        <v>12</v>
      </c>
      <c r="AG1311" t="n">
        <v>14</v>
      </c>
      <c r="AH1311" t="n">
        <v>6</v>
      </c>
      <c r="AI1311" t="n">
        <v>8</v>
      </c>
      <c r="AJ1311" t="n">
        <v>13</v>
      </c>
      <c r="AK1311" t="n">
        <v>14</v>
      </c>
      <c r="AL1311" t="n">
        <v>3</v>
      </c>
      <c r="AM1311" t="n">
        <v>3</v>
      </c>
      <c r="AN1311" t="n">
        <v>4</v>
      </c>
      <c r="AO1311" t="n">
        <v>5</v>
      </c>
      <c r="AP1311" t="inlineStr">
        <is>
          <t>No</t>
        </is>
      </c>
      <c r="AQ1311" t="inlineStr">
        <is>
          <t>Yes</t>
        </is>
      </c>
      <c r="AR1311">
        <f>HYPERLINK("http://catalog.hathitrust.org/Record/000296130","HathiTrust Record")</f>
        <v/>
      </c>
      <c r="AS1311">
        <f>HYPERLINK("https://creighton-primo.hosted.exlibrisgroup.com/primo-explore/search?tab=default_tab&amp;search_scope=EVERYTHING&amp;vid=01CRU&amp;lang=en_US&amp;offset=0&amp;query=any,contains,991004385389702656","Catalog Record")</f>
        <v/>
      </c>
      <c r="AT1311">
        <f>HYPERLINK("http://www.worldcat.org/oclc/3240588","WorldCat Record")</f>
        <v/>
      </c>
      <c r="AU1311" t="inlineStr">
        <is>
          <t>493282:eng</t>
        </is>
      </c>
      <c r="AV1311" t="inlineStr">
        <is>
          <t>3240588</t>
        </is>
      </c>
      <c r="AW1311" t="inlineStr">
        <is>
          <t>991004385389702656</t>
        </is>
      </c>
      <c r="AX1311" t="inlineStr">
        <is>
          <t>991004385389702656</t>
        </is>
      </c>
      <c r="AY1311" t="inlineStr">
        <is>
          <t>2269941430002656</t>
        </is>
      </c>
      <c r="AZ1311" t="inlineStr">
        <is>
          <t>BOOK</t>
        </is>
      </c>
      <c r="BB1311" t="inlineStr">
        <is>
          <t>9780826202314</t>
        </is>
      </c>
      <c r="BC1311" t="inlineStr">
        <is>
          <t>32285001034866</t>
        </is>
      </c>
      <c r="BD1311" t="inlineStr">
        <is>
          <t>893718843</t>
        </is>
      </c>
    </row>
    <row r="1312">
      <c r="A1312" t="inlineStr">
        <is>
          <t>No</t>
        </is>
      </c>
      <c r="B1312" t="inlineStr">
        <is>
          <t>E457.2 .P484 1994</t>
        </is>
      </c>
      <c r="C1312" t="inlineStr">
        <is>
          <t>0                      E  0457200P  484         1994</t>
        </is>
      </c>
      <c r="D1312" t="inlineStr">
        <is>
          <t>Lincoln in American memory / Merrill D. Peterson.</t>
        </is>
      </c>
      <c r="F1312" t="inlineStr">
        <is>
          <t>No</t>
        </is>
      </c>
      <c r="G1312" t="inlineStr">
        <is>
          <t>1</t>
        </is>
      </c>
      <c r="H1312" t="inlineStr">
        <is>
          <t>No</t>
        </is>
      </c>
      <c r="I1312" t="inlineStr">
        <is>
          <t>No</t>
        </is>
      </c>
      <c r="J1312" t="inlineStr">
        <is>
          <t>0</t>
        </is>
      </c>
      <c r="K1312" t="inlineStr">
        <is>
          <t>Peterson, Merrill D.</t>
        </is>
      </c>
      <c r="L1312" t="inlineStr">
        <is>
          <t>New York : Oxford University Press, 1994.</t>
        </is>
      </c>
      <c r="M1312" t="inlineStr">
        <is>
          <t>1994</t>
        </is>
      </c>
      <c r="O1312" t="inlineStr">
        <is>
          <t>eng</t>
        </is>
      </c>
      <c r="P1312" t="inlineStr">
        <is>
          <t>nyu</t>
        </is>
      </c>
      <c r="R1312" t="inlineStr">
        <is>
          <t xml:space="preserve">E  </t>
        </is>
      </c>
      <c r="S1312" t="n">
        <v>8</v>
      </c>
      <c r="T1312" t="n">
        <v>8</v>
      </c>
      <c r="U1312" t="inlineStr">
        <is>
          <t>2005-11-29</t>
        </is>
      </c>
      <c r="V1312" t="inlineStr">
        <is>
          <t>2005-11-29</t>
        </is>
      </c>
      <c r="W1312" t="inlineStr">
        <is>
          <t>1994-11-07</t>
        </is>
      </c>
      <c r="X1312" t="inlineStr">
        <is>
          <t>1994-11-07</t>
        </is>
      </c>
      <c r="Y1312" t="n">
        <v>1377</v>
      </c>
      <c r="Z1312" t="n">
        <v>1260</v>
      </c>
      <c r="AA1312" t="n">
        <v>1539</v>
      </c>
      <c r="AB1312" t="n">
        <v>11</v>
      </c>
      <c r="AC1312" t="n">
        <v>13</v>
      </c>
      <c r="AD1312" t="n">
        <v>56</v>
      </c>
      <c r="AE1312" t="n">
        <v>61</v>
      </c>
      <c r="AF1312" t="n">
        <v>23</v>
      </c>
      <c r="AG1312" t="n">
        <v>24</v>
      </c>
      <c r="AH1312" t="n">
        <v>11</v>
      </c>
      <c r="AI1312" t="n">
        <v>11</v>
      </c>
      <c r="AJ1312" t="n">
        <v>23</v>
      </c>
      <c r="AK1312" t="n">
        <v>24</v>
      </c>
      <c r="AL1312" t="n">
        <v>10</v>
      </c>
      <c r="AM1312" t="n">
        <v>12</v>
      </c>
      <c r="AN1312" t="n">
        <v>2</v>
      </c>
      <c r="AO1312" t="n">
        <v>3</v>
      </c>
      <c r="AP1312" t="inlineStr">
        <is>
          <t>No</t>
        </is>
      </c>
      <c r="AQ1312" t="inlineStr">
        <is>
          <t>Yes</t>
        </is>
      </c>
      <c r="AR1312">
        <f>HYPERLINK("http://catalog.hathitrust.org/Record/002855852","HathiTrust Record")</f>
        <v/>
      </c>
      <c r="AS1312">
        <f>HYPERLINK("https://creighton-primo.hosted.exlibrisgroup.com/primo-explore/search?tab=default_tab&amp;search_scope=EVERYTHING&amp;vid=01CRU&amp;lang=en_US&amp;offset=0&amp;query=any,contains,991002154869702656","Catalog Record")</f>
        <v/>
      </c>
      <c r="AT1312">
        <f>HYPERLINK("http://www.worldcat.org/oclc/27769147","WorldCat Record")</f>
        <v/>
      </c>
      <c r="AU1312" t="inlineStr">
        <is>
          <t>327871:eng</t>
        </is>
      </c>
      <c r="AV1312" t="inlineStr">
        <is>
          <t>27769147</t>
        </is>
      </c>
      <c r="AW1312" t="inlineStr">
        <is>
          <t>991002154869702656</t>
        </is>
      </c>
      <c r="AX1312" t="inlineStr">
        <is>
          <t>991002154869702656</t>
        </is>
      </c>
      <c r="AY1312" t="inlineStr">
        <is>
          <t>2265268790002656</t>
        </is>
      </c>
      <c r="AZ1312" t="inlineStr">
        <is>
          <t>BOOK</t>
        </is>
      </c>
      <c r="BB1312" t="inlineStr">
        <is>
          <t>9780195065701</t>
        </is>
      </c>
      <c r="BC1312" t="inlineStr">
        <is>
          <t>32285001956480</t>
        </is>
      </c>
      <c r="BD1312" t="inlineStr">
        <is>
          <t>893529613</t>
        </is>
      </c>
    </row>
    <row r="1313">
      <c r="A1313" t="inlineStr">
        <is>
          <t>No</t>
        </is>
      </c>
      <c r="B1313" t="inlineStr">
        <is>
          <t>E457.2 .Q3</t>
        </is>
      </c>
      <c r="C1313" t="inlineStr">
        <is>
          <t>0                      E  0457200Q  3</t>
        </is>
      </c>
      <c r="D1313" t="inlineStr">
        <is>
          <t>Lincoln and the Negro.</t>
        </is>
      </c>
      <c r="F1313" t="inlineStr">
        <is>
          <t>No</t>
        </is>
      </c>
      <c r="G1313" t="inlineStr">
        <is>
          <t>1</t>
        </is>
      </c>
      <c r="H1313" t="inlineStr">
        <is>
          <t>No</t>
        </is>
      </c>
      <c r="I1313" t="inlineStr">
        <is>
          <t>No</t>
        </is>
      </c>
      <c r="J1313" t="inlineStr">
        <is>
          <t>0</t>
        </is>
      </c>
      <c r="K1313" t="inlineStr">
        <is>
          <t>Quarles, Benjamin.</t>
        </is>
      </c>
      <c r="L1313" t="inlineStr">
        <is>
          <t>New York : Oxford University Press, 1962.</t>
        </is>
      </c>
      <c r="M1313" t="inlineStr">
        <is>
          <t>1962</t>
        </is>
      </c>
      <c r="O1313" t="inlineStr">
        <is>
          <t>eng</t>
        </is>
      </c>
      <c r="P1313" t="inlineStr">
        <is>
          <t>nyu</t>
        </is>
      </c>
      <c r="R1313" t="inlineStr">
        <is>
          <t xml:space="preserve">E  </t>
        </is>
      </c>
      <c r="S1313" t="n">
        <v>10</v>
      </c>
      <c r="T1313" t="n">
        <v>10</v>
      </c>
      <c r="U1313" t="inlineStr">
        <is>
          <t>2000-02-11</t>
        </is>
      </c>
      <c r="V1313" t="inlineStr">
        <is>
          <t>2000-02-11</t>
        </is>
      </c>
      <c r="W1313" t="inlineStr">
        <is>
          <t>1990-02-12</t>
        </is>
      </c>
      <c r="X1313" t="inlineStr">
        <is>
          <t>1990-02-12</t>
        </is>
      </c>
      <c r="Y1313" t="n">
        <v>1226</v>
      </c>
      <c r="Z1313" t="n">
        <v>1113</v>
      </c>
      <c r="AA1313" t="n">
        <v>1215</v>
      </c>
      <c r="AB1313" t="n">
        <v>8</v>
      </c>
      <c r="AC1313" t="n">
        <v>9</v>
      </c>
      <c r="AD1313" t="n">
        <v>40</v>
      </c>
      <c r="AE1313" t="n">
        <v>44</v>
      </c>
      <c r="AF1313" t="n">
        <v>19</v>
      </c>
      <c r="AG1313" t="n">
        <v>21</v>
      </c>
      <c r="AH1313" t="n">
        <v>8</v>
      </c>
      <c r="AI1313" t="n">
        <v>8</v>
      </c>
      <c r="AJ1313" t="n">
        <v>16</v>
      </c>
      <c r="AK1313" t="n">
        <v>18</v>
      </c>
      <c r="AL1313" t="n">
        <v>5</v>
      </c>
      <c r="AM1313" t="n">
        <v>6</v>
      </c>
      <c r="AN1313" t="n">
        <v>2</v>
      </c>
      <c r="AO1313" t="n">
        <v>2</v>
      </c>
      <c r="AP1313" t="inlineStr">
        <is>
          <t>No</t>
        </is>
      </c>
      <c r="AQ1313" t="inlineStr">
        <is>
          <t>Yes</t>
        </is>
      </c>
      <c r="AR1313">
        <f>HYPERLINK("http://catalog.hathitrust.org/Record/000457137","HathiTrust Record")</f>
        <v/>
      </c>
      <c r="AS1313">
        <f>HYPERLINK("https://creighton-primo.hosted.exlibrisgroup.com/primo-explore/search?tab=default_tab&amp;search_scope=EVERYTHING&amp;vid=01CRU&amp;lang=en_US&amp;offset=0&amp;query=any,contains,991003035749702656","Catalog Record")</f>
        <v/>
      </c>
      <c r="AT1313">
        <f>HYPERLINK("http://www.worldcat.org/oclc/598681","WorldCat Record")</f>
        <v/>
      </c>
      <c r="AU1313" t="inlineStr">
        <is>
          <t>1818717:eng</t>
        </is>
      </c>
      <c r="AV1313" t="inlineStr">
        <is>
          <t>598681</t>
        </is>
      </c>
      <c r="AW1313" t="inlineStr">
        <is>
          <t>991003035749702656</t>
        </is>
      </c>
      <c r="AX1313" t="inlineStr">
        <is>
          <t>991003035749702656</t>
        </is>
      </c>
      <c r="AY1313" t="inlineStr">
        <is>
          <t>2267426530002656</t>
        </is>
      </c>
      <c r="AZ1313" t="inlineStr">
        <is>
          <t>BOOK</t>
        </is>
      </c>
      <c r="BC1313" t="inlineStr">
        <is>
          <t>32285000041615</t>
        </is>
      </c>
      <c r="BD1313" t="inlineStr">
        <is>
          <t>893251947</t>
        </is>
      </c>
    </row>
    <row r="1314">
      <c r="A1314" t="inlineStr">
        <is>
          <t>No</t>
        </is>
      </c>
      <c r="B1314" t="inlineStr">
        <is>
          <t>E457.2 .T74 2005</t>
        </is>
      </c>
      <c r="C1314" t="inlineStr">
        <is>
          <t>0                      E  0457200T  74          2005</t>
        </is>
      </c>
      <c r="D1314" t="inlineStr">
        <is>
          <t>"First among equals" : Abraham Lincoln's reputation during his administration / Hans L. Trefousse.</t>
        </is>
      </c>
      <c r="F1314" t="inlineStr">
        <is>
          <t>No</t>
        </is>
      </c>
      <c r="G1314" t="inlineStr">
        <is>
          <t>1</t>
        </is>
      </c>
      <c r="H1314" t="inlineStr">
        <is>
          <t>No</t>
        </is>
      </c>
      <c r="I1314" t="inlineStr">
        <is>
          <t>No</t>
        </is>
      </c>
      <c r="J1314" t="inlineStr">
        <is>
          <t>0</t>
        </is>
      </c>
      <c r="K1314" t="inlineStr">
        <is>
          <t>Trefousse, Hans L. (Hans Louis), 1921-2010.</t>
        </is>
      </c>
      <c r="L1314" t="inlineStr">
        <is>
          <t>New York : Fordham University Press, 2005.</t>
        </is>
      </c>
      <c r="M1314" t="inlineStr">
        <is>
          <t>2005</t>
        </is>
      </c>
      <c r="N1314" t="inlineStr">
        <is>
          <t>1st ed.</t>
        </is>
      </c>
      <c r="O1314" t="inlineStr">
        <is>
          <t>eng</t>
        </is>
      </c>
      <c r="P1314" t="inlineStr">
        <is>
          <t>nyu</t>
        </is>
      </c>
      <c r="R1314" t="inlineStr">
        <is>
          <t xml:space="preserve">E  </t>
        </is>
      </c>
      <c r="S1314" t="n">
        <v>2</v>
      </c>
      <c r="T1314" t="n">
        <v>2</v>
      </c>
      <c r="U1314" t="inlineStr">
        <is>
          <t>2005-11-29</t>
        </is>
      </c>
      <c r="V1314" t="inlineStr">
        <is>
          <t>2005-11-29</t>
        </is>
      </c>
      <c r="W1314" t="inlineStr">
        <is>
          <t>2005-07-25</t>
        </is>
      </c>
      <c r="X1314" t="inlineStr">
        <is>
          <t>2005-07-25</t>
        </is>
      </c>
      <c r="Y1314" t="n">
        <v>447</v>
      </c>
      <c r="Z1314" t="n">
        <v>411</v>
      </c>
      <c r="AA1314" t="n">
        <v>637</v>
      </c>
      <c r="AB1314" t="n">
        <v>3</v>
      </c>
      <c r="AC1314" t="n">
        <v>3</v>
      </c>
      <c r="AD1314" t="n">
        <v>21</v>
      </c>
      <c r="AE1314" t="n">
        <v>29</v>
      </c>
      <c r="AF1314" t="n">
        <v>8</v>
      </c>
      <c r="AG1314" t="n">
        <v>13</v>
      </c>
      <c r="AH1314" t="n">
        <v>4</v>
      </c>
      <c r="AI1314" t="n">
        <v>6</v>
      </c>
      <c r="AJ1314" t="n">
        <v>11</v>
      </c>
      <c r="AK1314" t="n">
        <v>15</v>
      </c>
      <c r="AL1314" t="n">
        <v>2</v>
      </c>
      <c r="AM1314" t="n">
        <v>2</v>
      </c>
      <c r="AN1314" t="n">
        <v>2</v>
      </c>
      <c r="AO1314" t="n">
        <v>2</v>
      </c>
      <c r="AP1314" t="inlineStr">
        <is>
          <t>No</t>
        </is>
      </c>
      <c r="AQ1314" t="inlineStr">
        <is>
          <t>No</t>
        </is>
      </c>
      <c r="AS1314">
        <f>HYPERLINK("https://creighton-primo.hosted.exlibrisgroup.com/primo-explore/search?tab=default_tab&amp;search_scope=EVERYTHING&amp;vid=01CRU&amp;lang=en_US&amp;offset=0&amp;query=any,contains,991004585339702656","Catalog Record")</f>
        <v/>
      </c>
      <c r="AT1314">
        <f>HYPERLINK("http://www.worldcat.org/oclc/57285964","WorldCat Record")</f>
        <v/>
      </c>
      <c r="AU1314" t="inlineStr">
        <is>
          <t>315793764:eng</t>
        </is>
      </c>
      <c r="AV1314" t="inlineStr">
        <is>
          <t>57285964</t>
        </is>
      </c>
      <c r="AW1314" t="inlineStr">
        <is>
          <t>991004585339702656</t>
        </is>
      </c>
      <c r="AX1314" t="inlineStr">
        <is>
          <t>991004585339702656</t>
        </is>
      </c>
      <c r="AY1314" t="inlineStr">
        <is>
          <t>2271271600002656</t>
        </is>
      </c>
      <c r="AZ1314" t="inlineStr">
        <is>
          <t>BOOK</t>
        </is>
      </c>
      <c r="BB1314" t="inlineStr">
        <is>
          <t>9780823224685</t>
        </is>
      </c>
      <c r="BC1314" t="inlineStr">
        <is>
          <t>32285005097711</t>
        </is>
      </c>
      <c r="BD1314" t="inlineStr">
        <is>
          <t>893337895</t>
        </is>
      </c>
    </row>
    <row r="1315">
      <c r="A1315" t="inlineStr">
        <is>
          <t>No</t>
        </is>
      </c>
      <c r="B1315" t="inlineStr">
        <is>
          <t>E457.2 .W853 1970</t>
        </is>
      </c>
      <c r="C1315" t="inlineStr">
        <is>
          <t>0                      E  0457200W  853         1970</t>
        </is>
      </c>
      <c r="D1315" t="inlineStr">
        <is>
          <t>Lincoln's religion / [by] William J. Wolf.</t>
        </is>
      </c>
      <c r="F1315" t="inlineStr">
        <is>
          <t>No</t>
        </is>
      </c>
      <c r="G1315" t="inlineStr">
        <is>
          <t>1</t>
        </is>
      </c>
      <c r="H1315" t="inlineStr">
        <is>
          <t>No</t>
        </is>
      </c>
      <c r="I1315" t="inlineStr">
        <is>
          <t>No</t>
        </is>
      </c>
      <c r="J1315" t="inlineStr">
        <is>
          <t>0</t>
        </is>
      </c>
      <c r="K1315" t="inlineStr">
        <is>
          <t>Wolf, William J.</t>
        </is>
      </c>
      <c r="L1315" t="inlineStr">
        <is>
          <t>Philadelphia : Pilgrim Press, [1970]</t>
        </is>
      </c>
      <c r="M1315" t="inlineStr">
        <is>
          <t>1970</t>
        </is>
      </c>
      <c r="O1315" t="inlineStr">
        <is>
          <t>eng</t>
        </is>
      </c>
      <c r="P1315" t="inlineStr">
        <is>
          <t>pau</t>
        </is>
      </c>
      <c r="R1315" t="inlineStr">
        <is>
          <t xml:space="preserve">E  </t>
        </is>
      </c>
      <c r="S1315" t="n">
        <v>2</v>
      </c>
      <c r="T1315" t="n">
        <v>2</v>
      </c>
      <c r="U1315" t="inlineStr">
        <is>
          <t>1995-05-02</t>
        </is>
      </c>
      <c r="V1315" t="inlineStr">
        <is>
          <t>1995-05-02</t>
        </is>
      </c>
      <c r="W1315" t="inlineStr">
        <is>
          <t>1992-12-09</t>
        </is>
      </c>
      <c r="X1315" t="inlineStr">
        <is>
          <t>1992-12-09</t>
        </is>
      </c>
      <c r="Y1315" t="n">
        <v>257</v>
      </c>
      <c r="Z1315" t="n">
        <v>246</v>
      </c>
      <c r="AA1315" t="n">
        <v>252</v>
      </c>
      <c r="AB1315" t="n">
        <v>3</v>
      </c>
      <c r="AC1315" t="n">
        <v>3</v>
      </c>
      <c r="AD1315" t="n">
        <v>20</v>
      </c>
      <c r="AE1315" t="n">
        <v>20</v>
      </c>
      <c r="AF1315" t="n">
        <v>8</v>
      </c>
      <c r="AG1315" t="n">
        <v>8</v>
      </c>
      <c r="AH1315" t="n">
        <v>2</v>
      </c>
      <c r="AI1315" t="n">
        <v>2</v>
      </c>
      <c r="AJ1315" t="n">
        <v>13</v>
      </c>
      <c r="AK1315" t="n">
        <v>13</v>
      </c>
      <c r="AL1315" t="n">
        <v>2</v>
      </c>
      <c r="AM1315" t="n">
        <v>2</v>
      </c>
      <c r="AN1315" t="n">
        <v>0</v>
      </c>
      <c r="AO1315" t="n">
        <v>0</v>
      </c>
      <c r="AP1315" t="inlineStr">
        <is>
          <t>No</t>
        </is>
      </c>
      <c r="AQ1315" t="inlineStr">
        <is>
          <t>Yes</t>
        </is>
      </c>
      <c r="AR1315">
        <f>HYPERLINK("http://catalog.hathitrust.org/Record/005995264","HathiTrust Record")</f>
        <v/>
      </c>
      <c r="AS1315">
        <f>HYPERLINK("https://creighton-primo.hosted.exlibrisgroup.com/primo-explore/search?tab=default_tab&amp;search_scope=EVERYTHING&amp;vid=01CRU&amp;lang=en_US&amp;offset=0&amp;query=any,contains,991000556369702656","Catalog Record")</f>
        <v/>
      </c>
      <c r="AT1315">
        <f>HYPERLINK("http://www.worldcat.org/oclc/93120","WorldCat Record")</f>
        <v/>
      </c>
      <c r="AU1315" t="inlineStr">
        <is>
          <t>1308639:eng</t>
        </is>
      </c>
      <c r="AV1315" t="inlineStr">
        <is>
          <t>93120</t>
        </is>
      </c>
      <c r="AW1315" t="inlineStr">
        <is>
          <t>991000556369702656</t>
        </is>
      </c>
      <c r="AX1315" t="inlineStr">
        <is>
          <t>991000556369702656</t>
        </is>
      </c>
      <c r="AY1315" t="inlineStr">
        <is>
          <t>2265587840002656</t>
        </is>
      </c>
      <c r="AZ1315" t="inlineStr">
        <is>
          <t>BOOK</t>
        </is>
      </c>
      <c r="BB1315" t="inlineStr">
        <is>
          <t>9780829801811</t>
        </is>
      </c>
      <c r="BC1315" t="inlineStr">
        <is>
          <t>32285001413821</t>
        </is>
      </c>
      <c r="BD1315" t="inlineStr">
        <is>
          <t>893689804</t>
        </is>
      </c>
    </row>
    <row r="1316">
      <c r="A1316" t="inlineStr">
        <is>
          <t>No</t>
        </is>
      </c>
      <c r="B1316" t="inlineStr">
        <is>
          <t>E457.35 .S57</t>
        </is>
      </c>
      <c r="C1316" t="inlineStr">
        <is>
          <t>0                      E  0457350S  57</t>
        </is>
      </c>
      <c r="D1316" t="inlineStr">
        <is>
          <t>Lincoln's preparation for greatness: the Illinois legislative years.</t>
        </is>
      </c>
      <c r="F1316" t="inlineStr">
        <is>
          <t>No</t>
        </is>
      </c>
      <c r="G1316" t="inlineStr">
        <is>
          <t>1</t>
        </is>
      </c>
      <c r="H1316" t="inlineStr">
        <is>
          <t>No</t>
        </is>
      </c>
      <c r="I1316" t="inlineStr">
        <is>
          <t>No</t>
        </is>
      </c>
      <c r="J1316" t="inlineStr">
        <is>
          <t>0</t>
        </is>
      </c>
      <c r="K1316" t="inlineStr">
        <is>
          <t>Simon, Paul, 1928-2003.</t>
        </is>
      </c>
      <c r="L1316" t="inlineStr">
        <is>
          <t>Norman, University of Oklahoma Press 1965</t>
        </is>
      </c>
      <c r="M1316" t="inlineStr">
        <is>
          <t>1965</t>
        </is>
      </c>
      <c r="N1316" t="inlineStr">
        <is>
          <t>1st ed.</t>
        </is>
      </c>
      <c r="O1316" t="inlineStr">
        <is>
          <t>eng</t>
        </is>
      </c>
      <c r="P1316" t="inlineStr">
        <is>
          <t>oku</t>
        </is>
      </c>
      <c r="R1316" t="inlineStr">
        <is>
          <t xml:space="preserve">E  </t>
        </is>
      </c>
      <c r="S1316" t="n">
        <v>1</v>
      </c>
      <c r="T1316" t="n">
        <v>1</v>
      </c>
      <c r="U1316" t="inlineStr">
        <is>
          <t>2000-10-04</t>
        </is>
      </c>
      <c r="V1316" t="inlineStr">
        <is>
          <t>2000-10-04</t>
        </is>
      </c>
      <c r="W1316" t="inlineStr">
        <is>
          <t>1997-04-17</t>
        </is>
      </c>
      <c r="X1316" t="inlineStr">
        <is>
          <t>1997-04-17</t>
        </is>
      </c>
      <c r="Y1316" t="n">
        <v>663</v>
      </c>
      <c r="Z1316" t="n">
        <v>622</v>
      </c>
      <c r="AA1316" t="n">
        <v>833</v>
      </c>
      <c r="AB1316" t="n">
        <v>6</v>
      </c>
      <c r="AC1316" t="n">
        <v>6</v>
      </c>
      <c r="AD1316" t="n">
        <v>30</v>
      </c>
      <c r="AE1316" t="n">
        <v>36</v>
      </c>
      <c r="AF1316" t="n">
        <v>8</v>
      </c>
      <c r="AG1316" t="n">
        <v>10</v>
      </c>
      <c r="AH1316" t="n">
        <v>5</v>
      </c>
      <c r="AI1316" t="n">
        <v>7</v>
      </c>
      <c r="AJ1316" t="n">
        <v>12</v>
      </c>
      <c r="AK1316" t="n">
        <v>13</v>
      </c>
      <c r="AL1316" t="n">
        <v>5</v>
      </c>
      <c r="AM1316" t="n">
        <v>5</v>
      </c>
      <c r="AN1316" t="n">
        <v>3</v>
      </c>
      <c r="AO1316" t="n">
        <v>5</v>
      </c>
      <c r="AP1316" t="inlineStr">
        <is>
          <t>No</t>
        </is>
      </c>
      <c r="AQ1316" t="inlineStr">
        <is>
          <t>Yes</t>
        </is>
      </c>
      <c r="AR1316">
        <f>HYPERLINK("http://catalog.hathitrust.org/Record/000457073","HathiTrust Record")</f>
        <v/>
      </c>
      <c r="AS1316">
        <f>HYPERLINK("https://creighton-primo.hosted.exlibrisgroup.com/primo-explore/search?tab=default_tab&amp;search_scope=EVERYTHING&amp;vid=01CRU&amp;lang=en_US&amp;offset=0&amp;query=any,contains,991002760959702656","Catalog Record")</f>
        <v/>
      </c>
      <c r="AT1316">
        <f>HYPERLINK("http://www.worldcat.org/oclc/428755","WorldCat Record")</f>
        <v/>
      </c>
      <c r="AU1316" t="inlineStr">
        <is>
          <t>51746103:eng</t>
        </is>
      </c>
      <c r="AV1316" t="inlineStr">
        <is>
          <t>428755</t>
        </is>
      </c>
      <c r="AW1316" t="inlineStr">
        <is>
          <t>991002760959702656</t>
        </is>
      </c>
      <c r="AX1316" t="inlineStr">
        <is>
          <t>991002760959702656</t>
        </is>
      </c>
      <c r="AY1316" t="inlineStr">
        <is>
          <t>2266159060002656</t>
        </is>
      </c>
      <c r="AZ1316" t="inlineStr">
        <is>
          <t>BOOK</t>
        </is>
      </c>
      <c r="BC1316" t="inlineStr">
        <is>
          <t>32285002538790</t>
        </is>
      </c>
      <c r="BD1316" t="inlineStr">
        <is>
          <t>893415609</t>
        </is>
      </c>
    </row>
    <row r="1317">
      <c r="A1317" t="inlineStr">
        <is>
          <t>No</t>
        </is>
      </c>
      <c r="B1317" t="inlineStr">
        <is>
          <t>E457.35 .W547 1998</t>
        </is>
      </c>
      <c r="C1317" t="inlineStr">
        <is>
          <t>0                      E  0457350W  547         1998</t>
        </is>
      </c>
      <c r="D1317" t="inlineStr">
        <is>
          <t>Honor's voice : the transformation of Abraham Lincoln / Douglas L. Wilson.</t>
        </is>
      </c>
      <c r="F1317" t="inlineStr">
        <is>
          <t>No</t>
        </is>
      </c>
      <c r="G1317" t="inlineStr">
        <is>
          <t>1</t>
        </is>
      </c>
      <c r="H1317" t="inlineStr">
        <is>
          <t>No</t>
        </is>
      </c>
      <c r="I1317" t="inlineStr">
        <is>
          <t>No</t>
        </is>
      </c>
      <c r="J1317" t="inlineStr">
        <is>
          <t>0</t>
        </is>
      </c>
      <c r="K1317" t="inlineStr">
        <is>
          <t>Wilson, Douglas L. (Douglas Lawson), 1935-</t>
        </is>
      </c>
      <c r="L1317" t="inlineStr">
        <is>
          <t>New York : Alfred A. Knopf : Distributed by Random House, 1998.</t>
        </is>
      </c>
      <c r="M1317" t="inlineStr">
        <is>
          <t>1998</t>
        </is>
      </c>
      <c r="N1317" t="inlineStr">
        <is>
          <t>1st ed.</t>
        </is>
      </c>
      <c r="O1317" t="inlineStr">
        <is>
          <t>eng</t>
        </is>
      </c>
      <c r="P1317" t="inlineStr">
        <is>
          <t>nyu</t>
        </is>
      </c>
      <c r="R1317" t="inlineStr">
        <is>
          <t xml:space="preserve">E  </t>
        </is>
      </c>
      <c r="S1317" t="n">
        <v>7</v>
      </c>
      <c r="T1317" t="n">
        <v>7</v>
      </c>
      <c r="U1317" t="inlineStr">
        <is>
          <t>2005-11-29</t>
        </is>
      </c>
      <c r="V1317" t="inlineStr">
        <is>
          <t>2005-11-29</t>
        </is>
      </c>
      <c r="W1317" t="inlineStr">
        <is>
          <t>1999-04-27</t>
        </is>
      </c>
      <c r="X1317" t="inlineStr">
        <is>
          <t>1999-04-27</t>
        </is>
      </c>
      <c r="Y1317" t="n">
        <v>1472</v>
      </c>
      <c r="Z1317" t="n">
        <v>1428</v>
      </c>
      <c r="AA1317" t="n">
        <v>1544</v>
      </c>
      <c r="AB1317" t="n">
        <v>8</v>
      </c>
      <c r="AC1317" t="n">
        <v>8</v>
      </c>
      <c r="AD1317" t="n">
        <v>37</v>
      </c>
      <c r="AE1317" t="n">
        <v>40</v>
      </c>
      <c r="AF1317" t="n">
        <v>13</v>
      </c>
      <c r="AG1317" t="n">
        <v>16</v>
      </c>
      <c r="AH1317" t="n">
        <v>8</v>
      </c>
      <c r="AI1317" t="n">
        <v>8</v>
      </c>
      <c r="AJ1317" t="n">
        <v>18</v>
      </c>
      <c r="AK1317" t="n">
        <v>18</v>
      </c>
      <c r="AL1317" t="n">
        <v>5</v>
      </c>
      <c r="AM1317" t="n">
        <v>5</v>
      </c>
      <c r="AN1317" t="n">
        <v>3</v>
      </c>
      <c r="AO1317" t="n">
        <v>3</v>
      </c>
      <c r="AP1317" t="inlineStr">
        <is>
          <t>No</t>
        </is>
      </c>
      <c r="AQ1317" t="inlineStr">
        <is>
          <t>Yes</t>
        </is>
      </c>
      <c r="AR1317">
        <f>HYPERLINK("http://catalog.hathitrust.org/Record/003961440","HathiTrust Record")</f>
        <v/>
      </c>
      <c r="AS1317">
        <f>HYPERLINK("https://creighton-primo.hosted.exlibrisgroup.com/primo-explore/search?tab=default_tab&amp;search_scope=EVERYTHING&amp;vid=01CRU&amp;lang=en_US&amp;offset=0&amp;query=any,contains,991002844939702656","Catalog Record")</f>
        <v/>
      </c>
      <c r="AT1317">
        <f>HYPERLINK("http://www.worldcat.org/oclc/37489540","WorldCat Record")</f>
        <v/>
      </c>
      <c r="AU1317" t="inlineStr">
        <is>
          <t>315597858:eng</t>
        </is>
      </c>
      <c r="AV1317" t="inlineStr">
        <is>
          <t>37489540</t>
        </is>
      </c>
      <c r="AW1317" t="inlineStr">
        <is>
          <t>991002844939702656</t>
        </is>
      </c>
      <c r="AX1317" t="inlineStr">
        <is>
          <t>991002844939702656</t>
        </is>
      </c>
      <c r="AY1317" t="inlineStr">
        <is>
          <t>2263157180002656</t>
        </is>
      </c>
      <c r="AZ1317" t="inlineStr">
        <is>
          <t>BOOK</t>
        </is>
      </c>
      <c r="BB1317" t="inlineStr">
        <is>
          <t>9780679407881</t>
        </is>
      </c>
      <c r="BC1317" t="inlineStr">
        <is>
          <t>32285003556528</t>
        </is>
      </c>
      <c r="BD1317" t="inlineStr">
        <is>
          <t>893622815</t>
        </is>
      </c>
    </row>
    <row r="1318">
      <c r="A1318" t="inlineStr">
        <is>
          <t>No</t>
        </is>
      </c>
      <c r="B1318" t="inlineStr">
        <is>
          <t>E457.4 .A56</t>
        </is>
      </c>
      <c r="C1318" t="inlineStr">
        <is>
          <t>0                      E  0457400A  56</t>
        </is>
      </c>
      <c r="D1318" t="inlineStr">
        <is>
          <t>Lincoln, 1854-1861; being the day-by-day activities of Abraham Lincoln from January 1, 1854 to March 4, 1861, by Paul M. Angle.</t>
        </is>
      </c>
      <c r="F1318" t="inlineStr">
        <is>
          <t>No</t>
        </is>
      </c>
      <c r="G1318" t="inlineStr">
        <is>
          <t>1</t>
        </is>
      </c>
      <c r="H1318" t="inlineStr">
        <is>
          <t>No</t>
        </is>
      </c>
      <c r="I1318" t="inlineStr">
        <is>
          <t>No</t>
        </is>
      </c>
      <c r="J1318" t="inlineStr">
        <is>
          <t>0</t>
        </is>
      </c>
      <c r="K1318" t="inlineStr">
        <is>
          <t>Angle, Paul M. (Paul McClelland), 1900-1975.</t>
        </is>
      </c>
      <c r="L1318" t="inlineStr">
        <is>
          <t>Springfield, Ill., The Abraham Lincoln Association [c1933]</t>
        </is>
      </c>
      <c r="M1318" t="inlineStr">
        <is>
          <t>1933</t>
        </is>
      </c>
      <c r="O1318" t="inlineStr">
        <is>
          <t>eng</t>
        </is>
      </c>
      <c r="P1318" t="inlineStr">
        <is>
          <t>ilu</t>
        </is>
      </c>
      <c r="R1318" t="inlineStr">
        <is>
          <t xml:space="preserve">E  </t>
        </is>
      </c>
      <c r="S1318" t="n">
        <v>1</v>
      </c>
      <c r="T1318" t="n">
        <v>1</v>
      </c>
      <c r="U1318" t="inlineStr">
        <is>
          <t>2000-10-04</t>
        </is>
      </c>
      <c r="V1318" t="inlineStr">
        <is>
          <t>2000-10-04</t>
        </is>
      </c>
      <c r="W1318" t="inlineStr">
        <is>
          <t>1997-04-17</t>
        </is>
      </c>
      <c r="X1318" t="inlineStr">
        <is>
          <t>1997-04-17</t>
        </is>
      </c>
      <c r="Y1318" t="n">
        <v>223</v>
      </c>
      <c r="Z1318" t="n">
        <v>220</v>
      </c>
      <c r="AA1318" t="n">
        <v>227</v>
      </c>
      <c r="AB1318" t="n">
        <v>1</v>
      </c>
      <c r="AC1318" t="n">
        <v>1</v>
      </c>
      <c r="AD1318" t="n">
        <v>11</v>
      </c>
      <c r="AE1318" t="n">
        <v>11</v>
      </c>
      <c r="AF1318" t="n">
        <v>4</v>
      </c>
      <c r="AG1318" t="n">
        <v>4</v>
      </c>
      <c r="AH1318" t="n">
        <v>5</v>
      </c>
      <c r="AI1318" t="n">
        <v>5</v>
      </c>
      <c r="AJ1318" t="n">
        <v>4</v>
      </c>
      <c r="AK1318" t="n">
        <v>4</v>
      </c>
      <c r="AL1318" t="n">
        <v>0</v>
      </c>
      <c r="AM1318" t="n">
        <v>0</v>
      </c>
      <c r="AN1318" t="n">
        <v>1</v>
      </c>
      <c r="AO1318" t="n">
        <v>1</v>
      </c>
      <c r="AP1318" t="inlineStr">
        <is>
          <t>Yes</t>
        </is>
      </c>
      <c r="AQ1318" t="inlineStr">
        <is>
          <t>No</t>
        </is>
      </c>
      <c r="AR1318">
        <f>HYPERLINK("http://catalog.hathitrust.org/Record/000566942","HathiTrust Record")</f>
        <v/>
      </c>
      <c r="AS1318">
        <f>HYPERLINK("https://creighton-primo.hosted.exlibrisgroup.com/primo-explore/search?tab=default_tab&amp;search_scope=EVERYTHING&amp;vid=01CRU&amp;lang=en_US&amp;offset=0&amp;query=any,contains,991003676549702656","Catalog Record")</f>
        <v/>
      </c>
      <c r="AT1318">
        <f>HYPERLINK("http://www.worldcat.org/oclc/1298032","WorldCat Record")</f>
        <v/>
      </c>
      <c r="AU1318" t="inlineStr">
        <is>
          <t>2238203:eng</t>
        </is>
      </c>
      <c r="AV1318" t="inlineStr">
        <is>
          <t>1298032</t>
        </is>
      </c>
      <c r="AW1318" t="inlineStr">
        <is>
          <t>991003676549702656</t>
        </is>
      </c>
      <c r="AX1318" t="inlineStr">
        <is>
          <t>991003676549702656</t>
        </is>
      </c>
      <c r="AY1318" t="inlineStr">
        <is>
          <t>2264216200002656</t>
        </is>
      </c>
      <c r="AZ1318" t="inlineStr">
        <is>
          <t>BOOK</t>
        </is>
      </c>
      <c r="BC1318" t="inlineStr">
        <is>
          <t>32285002538816</t>
        </is>
      </c>
      <c r="BD1318" t="inlineStr">
        <is>
          <t>893246611</t>
        </is>
      </c>
    </row>
    <row r="1319">
      <c r="A1319" t="inlineStr">
        <is>
          <t>No</t>
        </is>
      </c>
      <c r="B1319" t="inlineStr">
        <is>
          <t>E457.4 .H4</t>
        </is>
      </c>
      <c r="C1319" t="inlineStr">
        <is>
          <t>0                      E  0457400H  4</t>
        </is>
      </c>
      <c r="D1319" t="inlineStr">
        <is>
          <t>Lincoln vs. Douglas : the great debates campaign.</t>
        </is>
      </c>
      <c r="F1319" t="inlineStr">
        <is>
          <t>No</t>
        </is>
      </c>
      <c r="G1319" t="inlineStr">
        <is>
          <t>1</t>
        </is>
      </c>
      <c r="H1319" t="inlineStr">
        <is>
          <t>No</t>
        </is>
      </c>
      <c r="I1319" t="inlineStr">
        <is>
          <t>No</t>
        </is>
      </c>
      <c r="J1319" t="inlineStr">
        <is>
          <t>0</t>
        </is>
      </c>
      <c r="K1319" t="inlineStr">
        <is>
          <t>Heckman, Richard Allen, 1930-</t>
        </is>
      </c>
      <c r="L1319" t="inlineStr">
        <is>
          <t>Washington : Public Affairs Press, [1967]</t>
        </is>
      </c>
      <c r="M1319" t="inlineStr">
        <is>
          <t>1967</t>
        </is>
      </c>
      <c r="O1319" t="inlineStr">
        <is>
          <t>eng</t>
        </is>
      </c>
      <c r="P1319" t="inlineStr">
        <is>
          <t>dcu</t>
        </is>
      </c>
      <c r="R1319" t="inlineStr">
        <is>
          <t xml:space="preserve">E  </t>
        </is>
      </c>
      <c r="S1319" t="n">
        <v>5</v>
      </c>
      <c r="T1319" t="n">
        <v>5</v>
      </c>
      <c r="U1319" t="inlineStr">
        <is>
          <t>1995-10-28</t>
        </is>
      </c>
      <c r="V1319" t="inlineStr">
        <is>
          <t>1995-10-28</t>
        </is>
      </c>
      <c r="W1319" t="inlineStr">
        <is>
          <t>1994-06-01</t>
        </is>
      </c>
      <c r="X1319" t="inlineStr">
        <is>
          <t>1994-06-01</t>
        </is>
      </c>
      <c r="Y1319" t="n">
        <v>714</v>
      </c>
      <c r="Z1319" t="n">
        <v>676</v>
      </c>
      <c r="AA1319" t="n">
        <v>678</v>
      </c>
      <c r="AB1319" t="n">
        <v>6</v>
      </c>
      <c r="AC1319" t="n">
        <v>6</v>
      </c>
      <c r="AD1319" t="n">
        <v>29</v>
      </c>
      <c r="AE1319" t="n">
        <v>29</v>
      </c>
      <c r="AF1319" t="n">
        <v>13</v>
      </c>
      <c r="AG1319" t="n">
        <v>13</v>
      </c>
      <c r="AH1319" t="n">
        <v>5</v>
      </c>
      <c r="AI1319" t="n">
        <v>5</v>
      </c>
      <c r="AJ1319" t="n">
        <v>14</v>
      </c>
      <c r="AK1319" t="n">
        <v>14</v>
      </c>
      <c r="AL1319" t="n">
        <v>5</v>
      </c>
      <c r="AM1319" t="n">
        <v>5</v>
      </c>
      <c r="AN1319" t="n">
        <v>0</v>
      </c>
      <c r="AO1319" t="n">
        <v>0</v>
      </c>
      <c r="AP1319" t="inlineStr">
        <is>
          <t>No</t>
        </is>
      </c>
      <c r="AQ1319" t="inlineStr">
        <is>
          <t>Yes</t>
        </is>
      </c>
      <c r="AR1319">
        <f>HYPERLINK("http://catalog.hathitrust.org/Record/000457187","HathiTrust Record")</f>
        <v/>
      </c>
      <c r="AS1319">
        <f>HYPERLINK("https://creighton-primo.hosted.exlibrisgroup.com/primo-explore/search?tab=default_tab&amp;search_scope=EVERYTHING&amp;vid=01CRU&amp;lang=en_US&amp;offset=0&amp;query=any,contains,991003411789702656","Catalog Record")</f>
        <v/>
      </c>
      <c r="AT1319">
        <f>HYPERLINK("http://www.worldcat.org/oclc/949921","WorldCat Record")</f>
        <v/>
      </c>
      <c r="AU1319" t="inlineStr">
        <is>
          <t>422980925:eng</t>
        </is>
      </c>
      <c r="AV1319" t="inlineStr">
        <is>
          <t>949921</t>
        </is>
      </c>
      <c r="AW1319" t="inlineStr">
        <is>
          <t>991003411789702656</t>
        </is>
      </c>
      <c r="AX1319" t="inlineStr">
        <is>
          <t>991003411789702656</t>
        </is>
      </c>
      <c r="AY1319" t="inlineStr">
        <is>
          <t>2263044610002656</t>
        </is>
      </c>
      <c r="AZ1319" t="inlineStr">
        <is>
          <t>BOOK</t>
        </is>
      </c>
      <c r="BC1319" t="inlineStr">
        <is>
          <t>32285001913960</t>
        </is>
      </c>
      <c r="BD1319" t="inlineStr">
        <is>
          <t>893881133</t>
        </is>
      </c>
    </row>
    <row r="1320">
      <c r="A1320" t="inlineStr">
        <is>
          <t>No</t>
        </is>
      </c>
      <c r="B1320" t="inlineStr">
        <is>
          <t>E457.4 .J32 1973</t>
        </is>
      </c>
      <c r="C1320" t="inlineStr">
        <is>
          <t>0                      E  0457400J  32          1973</t>
        </is>
      </c>
      <c r="D1320" t="inlineStr">
        <is>
          <t>Crisis of the house divided : an interpretation of the issues in the Lincoln-Douglas debates / [by] Harry V. Jaffa.</t>
        </is>
      </c>
      <c r="F1320" t="inlineStr">
        <is>
          <t>No</t>
        </is>
      </c>
      <c r="G1320" t="inlineStr">
        <is>
          <t>1</t>
        </is>
      </c>
      <c r="H1320" t="inlineStr">
        <is>
          <t>No</t>
        </is>
      </c>
      <c r="I1320" t="inlineStr">
        <is>
          <t>No</t>
        </is>
      </c>
      <c r="J1320" t="inlineStr">
        <is>
          <t>0</t>
        </is>
      </c>
      <c r="K1320" t="inlineStr">
        <is>
          <t>Jaffa, Harry V.</t>
        </is>
      </c>
      <c r="L1320" t="inlineStr">
        <is>
          <t>Seattle : University of Washington Press, [1973, c1959]</t>
        </is>
      </c>
      <c r="M1320" t="inlineStr">
        <is>
          <t>1973</t>
        </is>
      </c>
      <c r="O1320" t="inlineStr">
        <is>
          <t>eng</t>
        </is>
      </c>
      <c r="P1320" t="inlineStr">
        <is>
          <t>wau</t>
        </is>
      </c>
      <c r="Q1320" t="inlineStr">
        <is>
          <t>Washington paperbacks ; WP-65</t>
        </is>
      </c>
      <c r="R1320" t="inlineStr">
        <is>
          <t xml:space="preserve">E  </t>
        </is>
      </c>
      <c r="S1320" t="n">
        <v>3</v>
      </c>
      <c r="T1320" t="n">
        <v>3</v>
      </c>
      <c r="U1320" t="inlineStr">
        <is>
          <t>1993-12-08</t>
        </is>
      </c>
      <c r="V1320" t="inlineStr">
        <is>
          <t>1993-12-08</t>
        </is>
      </c>
      <c r="W1320" t="inlineStr">
        <is>
          <t>1992-04-06</t>
        </is>
      </c>
      <c r="X1320" t="inlineStr">
        <is>
          <t>1992-04-06</t>
        </is>
      </c>
      <c r="Y1320" t="n">
        <v>226</v>
      </c>
      <c r="Z1320" t="n">
        <v>197</v>
      </c>
      <c r="AA1320" t="n">
        <v>933</v>
      </c>
      <c r="AB1320" t="n">
        <v>2</v>
      </c>
      <c r="AC1320" t="n">
        <v>8</v>
      </c>
      <c r="AD1320" t="n">
        <v>11</v>
      </c>
      <c r="AE1320" t="n">
        <v>52</v>
      </c>
      <c r="AF1320" t="n">
        <v>7</v>
      </c>
      <c r="AG1320" t="n">
        <v>19</v>
      </c>
      <c r="AH1320" t="n">
        <v>0</v>
      </c>
      <c r="AI1320" t="n">
        <v>10</v>
      </c>
      <c r="AJ1320" t="n">
        <v>6</v>
      </c>
      <c r="AK1320" t="n">
        <v>19</v>
      </c>
      <c r="AL1320" t="n">
        <v>1</v>
      </c>
      <c r="AM1320" t="n">
        <v>6</v>
      </c>
      <c r="AN1320" t="n">
        <v>0</v>
      </c>
      <c r="AO1320" t="n">
        <v>9</v>
      </c>
      <c r="AP1320" t="inlineStr">
        <is>
          <t>No</t>
        </is>
      </c>
      <c r="AQ1320" t="inlineStr">
        <is>
          <t>No</t>
        </is>
      </c>
      <c r="AS1320">
        <f>HYPERLINK("https://creighton-primo.hosted.exlibrisgroup.com/primo-explore/search?tab=default_tab&amp;search_scope=EVERYTHING&amp;vid=01CRU&amp;lang=en_US&amp;offset=0&amp;query=any,contains,991003381289702656","Catalog Record")</f>
        <v/>
      </c>
      <c r="AT1320">
        <f>HYPERLINK("http://www.worldcat.org/oclc/917767","WorldCat Record")</f>
        <v/>
      </c>
      <c r="AU1320" t="inlineStr">
        <is>
          <t>1578757:eng</t>
        </is>
      </c>
      <c r="AV1320" t="inlineStr">
        <is>
          <t>917767</t>
        </is>
      </c>
      <c r="AW1320" t="inlineStr">
        <is>
          <t>991003381289702656</t>
        </is>
      </c>
      <c r="AX1320" t="inlineStr">
        <is>
          <t>991003381289702656</t>
        </is>
      </c>
      <c r="AY1320" t="inlineStr">
        <is>
          <t>2259976710002656</t>
        </is>
      </c>
      <c r="AZ1320" t="inlineStr">
        <is>
          <t>BOOK</t>
        </is>
      </c>
      <c r="BB1320" t="inlineStr">
        <is>
          <t>9780295952635</t>
        </is>
      </c>
      <c r="BC1320" t="inlineStr">
        <is>
          <t>32285001034858</t>
        </is>
      </c>
      <c r="BD1320" t="inlineStr">
        <is>
          <t>893499246</t>
        </is>
      </c>
    </row>
    <row r="1321">
      <c r="A1321" t="inlineStr">
        <is>
          <t>No</t>
        </is>
      </c>
      <c r="B1321" t="inlineStr">
        <is>
          <t>E457.4 .L77</t>
        </is>
      </c>
      <c r="C1321" t="inlineStr">
        <is>
          <t>0                      E  0457400L  77</t>
        </is>
      </c>
      <c r="D1321" t="inlineStr">
        <is>
          <t>Created equal? : The complete Lincoln-Douglas debates of 1858 / Edited and with an introd. by Paul M. Angle.</t>
        </is>
      </c>
      <c r="F1321" t="inlineStr">
        <is>
          <t>No</t>
        </is>
      </c>
      <c r="G1321" t="inlineStr">
        <is>
          <t>1</t>
        </is>
      </c>
      <c r="H1321" t="inlineStr">
        <is>
          <t>No</t>
        </is>
      </c>
      <c r="I1321" t="inlineStr">
        <is>
          <t>No</t>
        </is>
      </c>
      <c r="J1321" t="inlineStr">
        <is>
          <t>0</t>
        </is>
      </c>
      <c r="K1321" t="inlineStr">
        <is>
          <t>Lincoln, Abraham, 1809-1865.</t>
        </is>
      </c>
      <c r="L1321" t="inlineStr">
        <is>
          <t>Chicago : University of Chicago Press, 1958.</t>
        </is>
      </c>
      <c r="M1321" t="inlineStr">
        <is>
          <t>1958</t>
        </is>
      </c>
      <c r="O1321" t="inlineStr">
        <is>
          <t>eng</t>
        </is>
      </c>
      <c r="P1321" t="inlineStr">
        <is>
          <t>ilu</t>
        </is>
      </c>
      <c r="R1321" t="inlineStr">
        <is>
          <t xml:space="preserve">E  </t>
        </is>
      </c>
      <c r="S1321" t="n">
        <v>5</v>
      </c>
      <c r="T1321" t="n">
        <v>5</v>
      </c>
      <c r="U1321" t="inlineStr">
        <is>
          <t>1998-02-10</t>
        </is>
      </c>
      <c r="V1321" t="inlineStr">
        <is>
          <t>1998-02-10</t>
        </is>
      </c>
      <c r="W1321" t="inlineStr">
        <is>
          <t>1991-04-29</t>
        </is>
      </c>
      <c r="X1321" t="inlineStr">
        <is>
          <t>1991-04-29</t>
        </is>
      </c>
      <c r="Y1321" t="n">
        <v>1427</v>
      </c>
      <c r="Z1321" t="n">
        <v>1333</v>
      </c>
      <c r="AA1321" t="n">
        <v>1457</v>
      </c>
      <c r="AB1321" t="n">
        <v>8</v>
      </c>
      <c r="AC1321" t="n">
        <v>8</v>
      </c>
      <c r="AD1321" t="n">
        <v>58</v>
      </c>
      <c r="AE1321" t="n">
        <v>63</v>
      </c>
      <c r="AF1321" t="n">
        <v>23</v>
      </c>
      <c r="AG1321" t="n">
        <v>25</v>
      </c>
      <c r="AH1321" t="n">
        <v>7</v>
      </c>
      <c r="AI1321" t="n">
        <v>8</v>
      </c>
      <c r="AJ1321" t="n">
        <v>24</v>
      </c>
      <c r="AK1321" t="n">
        <v>25</v>
      </c>
      <c r="AL1321" t="n">
        <v>7</v>
      </c>
      <c r="AM1321" t="n">
        <v>7</v>
      </c>
      <c r="AN1321" t="n">
        <v>9</v>
      </c>
      <c r="AO1321" t="n">
        <v>11</v>
      </c>
      <c r="AP1321" t="inlineStr">
        <is>
          <t>No</t>
        </is>
      </c>
      <c r="AQ1321" t="inlineStr">
        <is>
          <t>No</t>
        </is>
      </c>
      <c r="AS1321">
        <f>HYPERLINK("https://creighton-primo.hosted.exlibrisgroup.com/primo-explore/search?tab=default_tab&amp;search_scope=EVERYTHING&amp;vid=01CRU&amp;lang=en_US&amp;offset=0&amp;query=any,contains,991002794739702656","Catalog Record")</f>
        <v/>
      </c>
      <c r="AT1321">
        <f>HYPERLINK("http://www.worldcat.org/oclc/282731","WorldCat Record")</f>
        <v/>
      </c>
      <c r="AU1321" t="inlineStr">
        <is>
          <t>1438406:eng</t>
        </is>
      </c>
      <c r="AV1321" t="inlineStr">
        <is>
          <t>282731</t>
        </is>
      </c>
      <c r="AW1321" t="inlineStr">
        <is>
          <t>991002794739702656</t>
        </is>
      </c>
      <c r="AX1321" t="inlineStr">
        <is>
          <t>991002794739702656</t>
        </is>
      </c>
      <c r="AY1321" t="inlineStr">
        <is>
          <t>2264863800002656</t>
        </is>
      </c>
      <c r="AZ1321" t="inlineStr">
        <is>
          <t>BOOK</t>
        </is>
      </c>
      <c r="BC1321" t="inlineStr">
        <is>
          <t>32285000544642</t>
        </is>
      </c>
      <c r="BD1321" t="inlineStr">
        <is>
          <t>893511202</t>
        </is>
      </c>
    </row>
    <row r="1322">
      <c r="A1322" t="inlineStr">
        <is>
          <t>No</t>
        </is>
      </c>
      <c r="B1322" t="inlineStr">
        <is>
          <t>E457.4 .L7726 1965</t>
        </is>
      </c>
      <c r="C1322" t="inlineStr">
        <is>
          <t>0                      E  0457400L  7726        1965</t>
        </is>
      </c>
      <c r="D1322" t="inlineStr">
        <is>
          <t>The Lincoln-Douglas debates of 1858 / edited by Robert W. Johannsen.</t>
        </is>
      </c>
      <c r="F1322" t="inlineStr">
        <is>
          <t>No</t>
        </is>
      </c>
      <c r="G1322" t="inlineStr">
        <is>
          <t>1</t>
        </is>
      </c>
      <c r="H1322" t="inlineStr">
        <is>
          <t>No</t>
        </is>
      </c>
      <c r="I1322" t="inlineStr">
        <is>
          <t>Yes</t>
        </is>
      </c>
      <c r="J1322" t="inlineStr">
        <is>
          <t>0</t>
        </is>
      </c>
      <c r="K1322" t="inlineStr">
        <is>
          <t>Lincoln, Abraham, 1809-1865.</t>
        </is>
      </c>
      <c r="L1322" t="inlineStr">
        <is>
          <t>New York : Oxford University Press, 1965.</t>
        </is>
      </c>
      <c r="M1322" t="inlineStr">
        <is>
          <t>1965</t>
        </is>
      </c>
      <c r="O1322" t="inlineStr">
        <is>
          <t>eng</t>
        </is>
      </c>
      <c r="P1322" t="inlineStr">
        <is>
          <t>nyu</t>
        </is>
      </c>
      <c r="R1322" t="inlineStr">
        <is>
          <t xml:space="preserve">E  </t>
        </is>
      </c>
      <c r="S1322" t="n">
        <v>5</v>
      </c>
      <c r="T1322" t="n">
        <v>5</v>
      </c>
      <c r="U1322" t="inlineStr">
        <is>
          <t>1995-10-28</t>
        </is>
      </c>
      <c r="V1322" t="inlineStr">
        <is>
          <t>1995-10-28</t>
        </is>
      </c>
      <c r="W1322" t="inlineStr">
        <is>
          <t>1990-02-09</t>
        </is>
      </c>
      <c r="X1322" t="inlineStr">
        <is>
          <t>1990-02-09</t>
        </is>
      </c>
      <c r="Y1322" t="n">
        <v>1085</v>
      </c>
      <c r="Z1322" t="n">
        <v>1004</v>
      </c>
      <c r="AA1322" t="n">
        <v>1531</v>
      </c>
      <c r="AB1322" t="n">
        <v>8</v>
      </c>
      <c r="AC1322" t="n">
        <v>10</v>
      </c>
      <c r="AD1322" t="n">
        <v>38</v>
      </c>
      <c r="AE1322" t="n">
        <v>57</v>
      </c>
      <c r="AF1322" t="n">
        <v>16</v>
      </c>
      <c r="AG1322" t="n">
        <v>22</v>
      </c>
      <c r="AH1322" t="n">
        <v>7</v>
      </c>
      <c r="AI1322" t="n">
        <v>8</v>
      </c>
      <c r="AJ1322" t="n">
        <v>17</v>
      </c>
      <c r="AK1322" t="n">
        <v>17</v>
      </c>
      <c r="AL1322" t="n">
        <v>5</v>
      </c>
      <c r="AM1322" t="n">
        <v>6</v>
      </c>
      <c r="AN1322" t="n">
        <v>2</v>
      </c>
      <c r="AO1322" t="n">
        <v>14</v>
      </c>
      <c r="AP1322" t="inlineStr">
        <is>
          <t>No</t>
        </is>
      </c>
      <c r="AQ1322" t="inlineStr">
        <is>
          <t>Yes</t>
        </is>
      </c>
      <c r="AR1322">
        <f>HYPERLINK("http://catalog.hathitrust.org/Record/000333348","HathiTrust Record")</f>
        <v/>
      </c>
      <c r="AS1322">
        <f>HYPERLINK("https://creighton-primo.hosted.exlibrisgroup.com/primo-explore/search?tab=default_tab&amp;search_scope=EVERYTHING&amp;vid=01CRU&amp;lang=en_US&amp;offset=0&amp;query=any,contains,991003207689702656","Catalog Record")</f>
        <v/>
      </c>
      <c r="AT1322">
        <f>HYPERLINK("http://www.worldcat.org/oclc/732862","WorldCat Record")</f>
        <v/>
      </c>
      <c r="AU1322" t="inlineStr">
        <is>
          <t>23381905:eng</t>
        </is>
      </c>
      <c r="AV1322" t="inlineStr">
        <is>
          <t>732862</t>
        </is>
      </c>
      <c r="AW1322" t="inlineStr">
        <is>
          <t>991003207689702656</t>
        </is>
      </c>
      <c r="AX1322" t="inlineStr">
        <is>
          <t>991003207689702656</t>
        </is>
      </c>
      <c r="AY1322" t="inlineStr">
        <is>
          <t>2258491820002656</t>
        </is>
      </c>
      <c r="AZ1322" t="inlineStr">
        <is>
          <t>BOOK</t>
        </is>
      </c>
      <c r="BC1322" t="inlineStr">
        <is>
          <t>32285000009133</t>
        </is>
      </c>
      <c r="BD1322" t="inlineStr">
        <is>
          <t>893598364</t>
        </is>
      </c>
    </row>
    <row r="1323">
      <c r="A1323" t="inlineStr">
        <is>
          <t>No</t>
        </is>
      </c>
      <c r="B1323" t="inlineStr">
        <is>
          <t>E457.4 .L776 1993</t>
        </is>
      </c>
      <c r="C1323" t="inlineStr">
        <is>
          <t>0                      E  0457400L  776         1993</t>
        </is>
      </c>
      <c r="D1323" t="inlineStr">
        <is>
          <t>The Lincoln-Douglas debates : the first complete, unexpurgated text / edited and with an introduction by Harold Holzer.</t>
        </is>
      </c>
      <c r="F1323" t="inlineStr">
        <is>
          <t>No</t>
        </is>
      </c>
      <c r="G1323" t="inlineStr">
        <is>
          <t>1</t>
        </is>
      </c>
      <c r="H1323" t="inlineStr">
        <is>
          <t>No</t>
        </is>
      </c>
      <c r="I1323" t="inlineStr">
        <is>
          <t>No</t>
        </is>
      </c>
      <c r="J1323" t="inlineStr">
        <is>
          <t>0</t>
        </is>
      </c>
      <c r="K1323" t="inlineStr">
        <is>
          <t>Lincoln, Abraham, 1809-1865.</t>
        </is>
      </c>
      <c r="L1323" t="inlineStr">
        <is>
          <t>New York : HarperCollins Publishers, c1993.</t>
        </is>
      </c>
      <c r="M1323" t="inlineStr">
        <is>
          <t>1993</t>
        </is>
      </c>
      <c r="N1323" t="inlineStr">
        <is>
          <t>1st ed.</t>
        </is>
      </c>
      <c r="O1323" t="inlineStr">
        <is>
          <t>eng</t>
        </is>
      </c>
      <c r="P1323" t="inlineStr">
        <is>
          <t>nyu</t>
        </is>
      </c>
      <c r="R1323" t="inlineStr">
        <is>
          <t xml:space="preserve">E  </t>
        </is>
      </c>
      <c r="S1323" t="n">
        <v>3</v>
      </c>
      <c r="T1323" t="n">
        <v>3</v>
      </c>
      <c r="U1323" t="inlineStr">
        <is>
          <t>2002-03-18</t>
        </is>
      </c>
      <c r="V1323" t="inlineStr">
        <is>
          <t>2002-03-18</t>
        </is>
      </c>
      <c r="W1323" t="inlineStr">
        <is>
          <t>1993-06-01</t>
        </is>
      </c>
      <c r="X1323" t="inlineStr">
        <is>
          <t>1993-06-01</t>
        </is>
      </c>
      <c r="Y1323" t="n">
        <v>1193</v>
      </c>
      <c r="Z1323" t="n">
        <v>1144</v>
      </c>
      <c r="AA1323" t="n">
        <v>1717</v>
      </c>
      <c r="AB1323" t="n">
        <v>9</v>
      </c>
      <c r="AC1323" t="n">
        <v>12</v>
      </c>
      <c r="AD1323" t="n">
        <v>41</v>
      </c>
      <c r="AE1323" t="n">
        <v>58</v>
      </c>
      <c r="AF1323" t="n">
        <v>11</v>
      </c>
      <c r="AG1323" t="n">
        <v>21</v>
      </c>
      <c r="AH1323" t="n">
        <v>6</v>
      </c>
      <c r="AI1323" t="n">
        <v>9</v>
      </c>
      <c r="AJ1323" t="n">
        <v>13</v>
      </c>
      <c r="AK1323" t="n">
        <v>18</v>
      </c>
      <c r="AL1323" t="n">
        <v>7</v>
      </c>
      <c r="AM1323" t="n">
        <v>10</v>
      </c>
      <c r="AN1323" t="n">
        <v>8</v>
      </c>
      <c r="AO1323" t="n">
        <v>9</v>
      </c>
      <c r="AP1323" t="inlineStr">
        <is>
          <t>No</t>
        </is>
      </c>
      <c r="AQ1323" t="inlineStr">
        <is>
          <t>Yes</t>
        </is>
      </c>
      <c r="AR1323">
        <f>HYPERLINK("http://catalog.hathitrust.org/Record/002599109","HathiTrust Record")</f>
        <v/>
      </c>
      <c r="AS1323">
        <f>HYPERLINK("https://creighton-primo.hosted.exlibrisgroup.com/primo-explore/search?tab=default_tab&amp;search_scope=EVERYTHING&amp;vid=01CRU&amp;lang=en_US&amp;offset=0&amp;query=any,contains,991002068269702656","Catalog Record")</f>
        <v/>
      </c>
      <c r="AT1323">
        <f>HYPERLINK("http://www.worldcat.org/oclc/26502731","WorldCat Record")</f>
        <v/>
      </c>
      <c r="AU1323" t="inlineStr">
        <is>
          <t>4915148344:eng</t>
        </is>
      </c>
      <c r="AV1323" t="inlineStr">
        <is>
          <t>26502731</t>
        </is>
      </c>
      <c r="AW1323" t="inlineStr">
        <is>
          <t>991002068269702656</t>
        </is>
      </c>
      <c r="AX1323" t="inlineStr">
        <is>
          <t>991002068269702656</t>
        </is>
      </c>
      <c r="AY1323" t="inlineStr">
        <is>
          <t>2257043180002656</t>
        </is>
      </c>
      <c r="AZ1323" t="inlineStr">
        <is>
          <t>BOOK</t>
        </is>
      </c>
      <c r="BB1323" t="inlineStr">
        <is>
          <t>9780060168100</t>
        </is>
      </c>
      <c r="BC1323" t="inlineStr">
        <is>
          <t>32285001583813</t>
        </is>
      </c>
      <c r="BD1323" t="inlineStr">
        <is>
          <t>893238604</t>
        </is>
      </c>
    </row>
    <row r="1324">
      <c r="A1324" t="inlineStr">
        <is>
          <t>No</t>
        </is>
      </c>
      <c r="B1324" t="inlineStr">
        <is>
          <t>E457.4 .S54</t>
        </is>
      </c>
      <c r="C1324" t="inlineStr">
        <is>
          <t>0                      E  0457400S  54</t>
        </is>
      </c>
      <c r="D1324" t="inlineStr">
        <is>
          <t>The American conscience : the drama of the Lincoln-Douglas debates.</t>
        </is>
      </c>
      <c r="F1324" t="inlineStr">
        <is>
          <t>No</t>
        </is>
      </c>
      <c r="G1324" t="inlineStr">
        <is>
          <t>1</t>
        </is>
      </c>
      <c r="H1324" t="inlineStr">
        <is>
          <t>No</t>
        </is>
      </c>
      <c r="I1324" t="inlineStr">
        <is>
          <t>No</t>
        </is>
      </c>
      <c r="J1324" t="inlineStr">
        <is>
          <t>0</t>
        </is>
      </c>
      <c r="K1324" t="inlineStr">
        <is>
          <t>Sigelschiffer, Saul.</t>
        </is>
      </c>
      <c r="L1324" t="inlineStr">
        <is>
          <t>New York : Horizon Press, [1973]</t>
        </is>
      </c>
      <c r="M1324" t="inlineStr">
        <is>
          <t>1973</t>
        </is>
      </c>
      <c r="O1324" t="inlineStr">
        <is>
          <t>eng</t>
        </is>
      </c>
      <c r="P1324" t="inlineStr">
        <is>
          <t>nyu</t>
        </is>
      </c>
      <c r="R1324" t="inlineStr">
        <is>
          <t xml:space="preserve">E  </t>
        </is>
      </c>
      <c r="S1324" t="n">
        <v>3</v>
      </c>
      <c r="T1324" t="n">
        <v>3</v>
      </c>
      <c r="U1324" t="inlineStr">
        <is>
          <t>2002-03-18</t>
        </is>
      </c>
      <c r="V1324" t="inlineStr">
        <is>
          <t>2002-03-18</t>
        </is>
      </c>
      <c r="W1324" t="inlineStr">
        <is>
          <t>1990-09-21</t>
        </is>
      </c>
      <c r="X1324" t="inlineStr">
        <is>
          <t>1990-09-21</t>
        </is>
      </c>
      <c r="Y1324" t="n">
        <v>753</v>
      </c>
      <c r="Z1324" t="n">
        <v>699</v>
      </c>
      <c r="AA1324" t="n">
        <v>706</v>
      </c>
      <c r="AB1324" t="n">
        <v>8</v>
      </c>
      <c r="AC1324" t="n">
        <v>8</v>
      </c>
      <c r="AD1324" t="n">
        <v>34</v>
      </c>
      <c r="AE1324" t="n">
        <v>34</v>
      </c>
      <c r="AF1324" t="n">
        <v>12</v>
      </c>
      <c r="AG1324" t="n">
        <v>12</v>
      </c>
      <c r="AH1324" t="n">
        <v>7</v>
      </c>
      <c r="AI1324" t="n">
        <v>7</v>
      </c>
      <c r="AJ1324" t="n">
        <v>13</v>
      </c>
      <c r="AK1324" t="n">
        <v>13</v>
      </c>
      <c r="AL1324" t="n">
        <v>5</v>
      </c>
      <c r="AM1324" t="n">
        <v>5</v>
      </c>
      <c r="AN1324" t="n">
        <v>3</v>
      </c>
      <c r="AO1324" t="n">
        <v>3</v>
      </c>
      <c r="AP1324" t="inlineStr">
        <is>
          <t>No</t>
        </is>
      </c>
      <c r="AQ1324" t="inlineStr">
        <is>
          <t>Yes</t>
        </is>
      </c>
      <c r="AR1324">
        <f>HYPERLINK("http://catalog.hathitrust.org/Record/000456985","HathiTrust Record")</f>
        <v/>
      </c>
      <c r="AS1324">
        <f>HYPERLINK("https://creighton-primo.hosted.exlibrisgroup.com/primo-explore/search?tab=default_tab&amp;search_scope=EVERYTHING&amp;vid=01CRU&amp;lang=en_US&amp;offset=0&amp;query=any,contains,991003277289702656","Catalog Record")</f>
        <v/>
      </c>
      <c r="AT1324">
        <f>HYPERLINK("http://www.worldcat.org/oclc/800727","WorldCat Record")</f>
        <v/>
      </c>
      <c r="AU1324" t="inlineStr">
        <is>
          <t>213363715:eng</t>
        </is>
      </c>
      <c r="AV1324" t="inlineStr">
        <is>
          <t>800727</t>
        </is>
      </c>
      <c r="AW1324" t="inlineStr">
        <is>
          <t>991003277289702656</t>
        </is>
      </c>
      <c r="AX1324" t="inlineStr">
        <is>
          <t>991003277289702656</t>
        </is>
      </c>
      <c r="AY1324" t="inlineStr">
        <is>
          <t>2267037420002656</t>
        </is>
      </c>
      <c r="AZ1324" t="inlineStr">
        <is>
          <t>BOOK</t>
        </is>
      </c>
      <c r="BB1324" t="inlineStr">
        <is>
          <t>9780818008115</t>
        </is>
      </c>
      <c r="BC1324" t="inlineStr">
        <is>
          <t>32285000308022</t>
        </is>
      </c>
      <c r="BD1324" t="inlineStr">
        <is>
          <t>893705077</t>
        </is>
      </c>
    </row>
    <row r="1325">
      <c r="A1325" t="inlineStr">
        <is>
          <t>No</t>
        </is>
      </c>
      <c r="B1325" t="inlineStr">
        <is>
          <t>E457.5 .B764</t>
        </is>
      </c>
      <c r="C1325" t="inlineStr">
        <is>
          <t>0                      E  0457500B  764</t>
        </is>
      </c>
      <c r="D1325" t="inlineStr">
        <is>
          <t>When Lincoln died.</t>
        </is>
      </c>
      <c r="F1325" t="inlineStr">
        <is>
          <t>No</t>
        </is>
      </c>
      <c r="G1325" t="inlineStr">
        <is>
          <t>1</t>
        </is>
      </c>
      <c r="H1325" t="inlineStr">
        <is>
          <t>No</t>
        </is>
      </c>
      <c r="I1325" t="inlineStr">
        <is>
          <t>No</t>
        </is>
      </c>
      <c r="J1325" t="inlineStr">
        <is>
          <t>0</t>
        </is>
      </c>
      <c r="K1325" t="inlineStr">
        <is>
          <t>Borreson, Ralph.</t>
        </is>
      </c>
      <c r="L1325" t="inlineStr">
        <is>
          <t>New York : Appleton-Century, [1965]</t>
        </is>
      </c>
      <c r="M1325" t="inlineStr">
        <is>
          <t>1965</t>
        </is>
      </c>
      <c r="N1325" t="inlineStr">
        <is>
          <t>[1st ed.]</t>
        </is>
      </c>
      <c r="O1325" t="inlineStr">
        <is>
          <t>eng</t>
        </is>
      </c>
      <c r="P1325" t="inlineStr">
        <is>
          <t>nyu</t>
        </is>
      </c>
      <c r="R1325" t="inlineStr">
        <is>
          <t xml:space="preserve">E  </t>
        </is>
      </c>
      <c r="S1325" t="n">
        <v>3</v>
      </c>
      <c r="T1325" t="n">
        <v>3</v>
      </c>
      <c r="U1325" t="inlineStr">
        <is>
          <t>1993-12-06</t>
        </is>
      </c>
      <c r="V1325" t="inlineStr">
        <is>
          <t>1993-12-06</t>
        </is>
      </c>
      <c r="W1325" t="inlineStr">
        <is>
          <t>1990-09-21</t>
        </is>
      </c>
      <c r="X1325" t="inlineStr">
        <is>
          <t>1990-09-21</t>
        </is>
      </c>
      <c r="Y1325" t="n">
        <v>477</v>
      </c>
      <c r="Z1325" t="n">
        <v>465</v>
      </c>
      <c r="AA1325" t="n">
        <v>466</v>
      </c>
      <c r="AB1325" t="n">
        <v>6</v>
      </c>
      <c r="AC1325" t="n">
        <v>6</v>
      </c>
      <c r="AD1325" t="n">
        <v>13</v>
      </c>
      <c r="AE1325" t="n">
        <v>13</v>
      </c>
      <c r="AF1325" t="n">
        <v>6</v>
      </c>
      <c r="AG1325" t="n">
        <v>6</v>
      </c>
      <c r="AH1325" t="n">
        <v>1</v>
      </c>
      <c r="AI1325" t="n">
        <v>1</v>
      </c>
      <c r="AJ1325" t="n">
        <v>6</v>
      </c>
      <c r="AK1325" t="n">
        <v>6</v>
      </c>
      <c r="AL1325" t="n">
        <v>3</v>
      </c>
      <c r="AM1325" t="n">
        <v>3</v>
      </c>
      <c r="AN1325" t="n">
        <v>0</v>
      </c>
      <c r="AO1325" t="n">
        <v>0</v>
      </c>
      <c r="AP1325" t="inlineStr">
        <is>
          <t>No</t>
        </is>
      </c>
      <c r="AQ1325" t="inlineStr">
        <is>
          <t>Yes</t>
        </is>
      </c>
      <c r="AR1325">
        <f>HYPERLINK("http://catalog.hathitrust.org/Record/004521739","HathiTrust Record")</f>
        <v/>
      </c>
      <c r="AS1325">
        <f>HYPERLINK("https://creighton-primo.hosted.exlibrisgroup.com/primo-explore/search?tab=default_tab&amp;search_scope=EVERYTHING&amp;vid=01CRU&amp;lang=en_US&amp;offset=0&amp;query=any,contains,991003179989702656","Catalog Record")</f>
        <v/>
      </c>
      <c r="AT1325">
        <f>HYPERLINK("http://www.worldcat.org/oclc/711543","WorldCat Record")</f>
        <v/>
      </c>
      <c r="AU1325" t="inlineStr">
        <is>
          <t>1658852:eng</t>
        </is>
      </c>
      <c r="AV1325" t="inlineStr">
        <is>
          <t>711543</t>
        </is>
      </c>
      <c r="AW1325" t="inlineStr">
        <is>
          <t>991003179989702656</t>
        </is>
      </c>
      <c r="AX1325" t="inlineStr">
        <is>
          <t>991003179989702656</t>
        </is>
      </c>
      <c r="AY1325" t="inlineStr">
        <is>
          <t>2261912640002656</t>
        </is>
      </c>
      <c r="AZ1325" t="inlineStr">
        <is>
          <t>BOOK</t>
        </is>
      </c>
      <c r="BC1325" t="inlineStr">
        <is>
          <t>32285000308048</t>
        </is>
      </c>
      <c r="BD1325" t="inlineStr">
        <is>
          <t>893342298</t>
        </is>
      </c>
    </row>
    <row r="1326">
      <c r="A1326" t="inlineStr">
        <is>
          <t>No</t>
        </is>
      </c>
      <c r="B1326" t="inlineStr">
        <is>
          <t>E457.5 .H54 2004</t>
        </is>
      </c>
      <c r="C1326" t="inlineStr">
        <is>
          <t>0                      E  0457500H  54          2004</t>
        </is>
      </c>
      <c r="D1326" t="inlineStr">
        <is>
          <t>Murdering Mr. Lincoln: a new detection of the 19th century's most famous crime./ Charles Higham.</t>
        </is>
      </c>
      <c r="F1326" t="inlineStr">
        <is>
          <t>No</t>
        </is>
      </c>
      <c r="G1326" t="inlineStr">
        <is>
          <t>1</t>
        </is>
      </c>
      <c r="H1326" t="inlineStr">
        <is>
          <t>No</t>
        </is>
      </c>
      <c r="I1326" t="inlineStr">
        <is>
          <t>No</t>
        </is>
      </c>
      <c r="J1326" t="inlineStr">
        <is>
          <t>0</t>
        </is>
      </c>
      <c r="K1326" t="inlineStr">
        <is>
          <t>Higham, Charles.</t>
        </is>
      </c>
      <c r="L1326" t="inlineStr">
        <is>
          <t>Berverly Hills, CA : New Millennium Press, 2004.</t>
        </is>
      </c>
      <c r="M1326" t="inlineStr">
        <is>
          <t>2004</t>
        </is>
      </c>
      <c r="O1326" t="inlineStr">
        <is>
          <t>eng</t>
        </is>
      </c>
      <c r="P1326" t="inlineStr">
        <is>
          <t>cau</t>
        </is>
      </c>
      <c r="R1326" t="inlineStr">
        <is>
          <t xml:space="preserve">E  </t>
        </is>
      </c>
      <c r="S1326" t="n">
        <v>2</v>
      </c>
      <c r="T1326" t="n">
        <v>2</v>
      </c>
      <c r="U1326" t="inlineStr">
        <is>
          <t>2004-11-16</t>
        </is>
      </c>
      <c r="V1326" t="inlineStr">
        <is>
          <t>2004-11-16</t>
        </is>
      </c>
      <c r="W1326" t="inlineStr">
        <is>
          <t>2004-03-16</t>
        </is>
      </c>
      <c r="X1326" t="inlineStr">
        <is>
          <t>2004-03-16</t>
        </is>
      </c>
      <c r="Y1326" t="n">
        <v>479</v>
      </c>
      <c r="Z1326" t="n">
        <v>462</v>
      </c>
      <c r="AA1326" t="n">
        <v>469</v>
      </c>
      <c r="AB1326" t="n">
        <v>6</v>
      </c>
      <c r="AC1326" t="n">
        <v>6</v>
      </c>
      <c r="AD1326" t="n">
        <v>10</v>
      </c>
      <c r="AE1326" t="n">
        <v>10</v>
      </c>
      <c r="AF1326" t="n">
        <v>3</v>
      </c>
      <c r="AG1326" t="n">
        <v>3</v>
      </c>
      <c r="AH1326" t="n">
        <v>3</v>
      </c>
      <c r="AI1326" t="n">
        <v>3</v>
      </c>
      <c r="AJ1326" t="n">
        <v>4</v>
      </c>
      <c r="AK1326" t="n">
        <v>4</v>
      </c>
      <c r="AL1326" t="n">
        <v>0</v>
      </c>
      <c r="AM1326" t="n">
        <v>0</v>
      </c>
      <c r="AN1326" t="n">
        <v>1</v>
      </c>
      <c r="AO1326" t="n">
        <v>1</v>
      </c>
      <c r="AP1326" t="inlineStr">
        <is>
          <t>No</t>
        </is>
      </c>
      <c r="AQ1326" t="inlineStr">
        <is>
          <t>Yes</t>
        </is>
      </c>
      <c r="AR1326">
        <f>HYPERLINK("http://catalog.hathitrust.org/Record/004376222","HathiTrust Record")</f>
        <v/>
      </c>
      <c r="AS1326">
        <f>HYPERLINK("https://creighton-primo.hosted.exlibrisgroup.com/primo-explore/search?tab=default_tab&amp;search_scope=EVERYTHING&amp;vid=01CRU&amp;lang=en_US&amp;offset=0&amp;query=any,contains,991004237999702656","Catalog Record")</f>
        <v/>
      </c>
      <c r="AT1326">
        <f>HYPERLINK("http://www.worldcat.org/oclc/54346244","WorldCat Record")</f>
        <v/>
      </c>
      <c r="AU1326" t="inlineStr">
        <is>
          <t>830452:eng</t>
        </is>
      </c>
      <c r="AV1326" t="inlineStr">
        <is>
          <t>54346244</t>
        </is>
      </c>
      <c r="AW1326" t="inlineStr">
        <is>
          <t>991004237999702656</t>
        </is>
      </c>
      <c r="AX1326" t="inlineStr">
        <is>
          <t>991004237999702656</t>
        </is>
      </c>
      <c r="AY1326" t="inlineStr">
        <is>
          <t>2269220110002656</t>
        </is>
      </c>
      <c r="AZ1326" t="inlineStr">
        <is>
          <t>BOOK</t>
        </is>
      </c>
      <c r="BB1326" t="inlineStr">
        <is>
          <t>9781932407402</t>
        </is>
      </c>
      <c r="BC1326" t="inlineStr">
        <is>
          <t>32285004893912</t>
        </is>
      </c>
      <c r="BD1326" t="inlineStr">
        <is>
          <t>893512995</t>
        </is>
      </c>
    </row>
    <row r="1327">
      <c r="A1327" t="inlineStr">
        <is>
          <t>No</t>
        </is>
      </c>
      <c r="B1327" t="inlineStr">
        <is>
          <t>E457.5 .L67 1929</t>
        </is>
      </c>
      <c r="C1327" t="inlineStr">
        <is>
          <t>0                      E  0457500L  67          1929</t>
        </is>
      </c>
      <c r="D1327" t="inlineStr">
        <is>
          <t>Myths after Lincoln / [by] Lloyd Lewis.</t>
        </is>
      </c>
      <c r="F1327" t="inlineStr">
        <is>
          <t>No</t>
        </is>
      </c>
      <c r="G1327" t="inlineStr">
        <is>
          <t>1</t>
        </is>
      </c>
      <c r="H1327" t="inlineStr">
        <is>
          <t>No</t>
        </is>
      </c>
      <c r="I1327" t="inlineStr">
        <is>
          <t>Yes</t>
        </is>
      </c>
      <c r="J1327" t="inlineStr">
        <is>
          <t>0</t>
        </is>
      </c>
      <c r="K1327" t="inlineStr">
        <is>
          <t>Lewis, Lloyd, 1891-1949.</t>
        </is>
      </c>
      <c r="L1327" t="inlineStr">
        <is>
          <t>New York : Harcourt, Brace and Company, [c1929]</t>
        </is>
      </c>
      <c r="M1327" t="inlineStr">
        <is>
          <t>1929</t>
        </is>
      </c>
      <c r="O1327" t="inlineStr">
        <is>
          <t>eng</t>
        </is>
      </c>
      <c r="P1327" t="inlineStr">
        <is>
          <t>nyu</t>
        </is>
      </c>
      <c r="R1327" t="inlineStr">
        <is>
          <t xml:space="preserve">E  </t>
        </is>
      </c>
      <c r="S1327" t="n">
        <v>2</v>
      </c>
      <c r="T1327" t="n">
        <v>2</v>
      </c>
      <c r="U1327" t="inlineStr">
        <is>
          <t>1996-03-19</t>
        </is>
      </c>
      <c r="V1327" t="inlineStr">
        <is>
          <t>1996-03-19</t>
        </is>
      </c>
      <c r="W1327" t="inlineStr">
        <is>
          <t>1993-05-06</t>
        </is>
      </c>
      <c r="X1327" t="inlineStr">
        <is>
          <t>1993-05-06</t>
        </is>
      </c>
      <c r="Y1327" t="n">
        <v>319</v>
      </c>
      <c r="Z1327" t="n">
        <v>308</v>
      </c>
      <c r="AA1327" t="n">
        <v>1285</v>
      </c>
      <c r="AB1327" t="n">
        <v>3</v>
      </c>
      <c r="AC1327" t="n">
        <v>12</v>
      </c>
      <c r="AD1327" t="n">
        <v>11</v>
      </c>
      <c r="AE1327" t="n">
        <v>47</v>
      </c>
      <c r="AF1327" t="n">
        <v>5</v>
      </c>
      <c r="AG1327" t="n">
        <v>19</v>
      </c>
      <c r="AH1327" t="n">
        <v>3</v>
      </c>
      <c r="AI1327" t="n">
        <v>8</v>
      </c>
      <c r="AJ1327" t="n">
        <v>4</v>
      </c>
      <c r="AK1327" t="n">
        <v>20</v>
      </c>
      <c r="AL1327" t="n">
        <v>2</v>
      </c>
      <c r="AM1327" t="n">
        <v>5</v>
      </c>
      <c r="AN1327" t="n">
        <v>0</v>
      </c>
      <c r="AO1327" t="n">
        <v>4</v>
      </c>
      <c r="AP1327" t="inlineStr">
        <is>
          <t>No</t>
        </is>
      </c>
      <c r="AQ1327" t="inlineStr">
        <is>
          <t>No</t>
        </is>
      </c>
      <c r="AR1327">
        <f>HYPERLINK("http://catalog.hathitrust.org/Record/000567180","HathiTrust Record")</f>
        <v/>
      </c>
      <c r="AS1327">
        <f>HYPERLINK("https://creighton-primo.hosted.exlibrisgroup.com/primo-explore/search?tab=default_tab&amp;search_scope=EVERYTHING&amp;vid=01CRU&amp;lang=en_US&amp;offset=0&amp;query=any,contains,991002217709702656","Catalog Record")</f>
        <v/>
      </c>
      <c r="AT1327">
        <f>HYPERLINK("http://www.worldcat.org/oclc/289233","WorldCat Record")</f>
        <v/>
      </c>
      <c r="AU1327" t="inlineStr">
        <is>
          <t>1466454:eng</t>
        </is>
      </c>
      <c r="AV1327" t="inlineStr">
        <is>
          <t>289233</t>
        </is>
      </c>
      <c r="AW1327" t="inlineStr">
        <is>
          <t>991002217709702656</t>
        </is>
      </c>
      <c r="AX1327" t="inlineStr">
        <is>
          <t>991002217709702656</t>
        </is>
      </c>
      <c r="AY1327" t="inlineStr">
        <is>
          <t>2261954000002656</t>
        </is>
      </c>
      <c r="AZ1327" t="inlineStr">
        <is>
          <t>BOOK</t>
        </is>
      </c>
      <c r="BC1327" t="inlineStr">
        <is>
          <t>32285001651032</t>
        </is>
      </c>
      <c r="BD1327" t="inlineStr">
        <is>
          <t>893445029</t>
        </is>
      </c>
    </row>
    <row r="1328">
      <c r="A1328" t="inlineStr">
        <is>
          <t>No</t>
        </is>
      </c>
      <c r="B1328" t="inlineStr">
        <is>
          <t>E457.5 .L67 1941</t>
        </is>
      </c>
      <c r="C1328" t="inlineStr">
        <is>
          <t>0                      E  0457500L  67          1941</t>
        </is>
      </c>
      <c r="D1328" t="inlineStr">
        <is>
          <t>Myths after Lincoln / by Lloyd Lewis, with an introduction by Carl Sandburg.</t>
        </is>
      </c>
      <c r="F1328" t="inlineStr">
        <is>
          <t>No</t>
        </is>
      </c>
      <c r="G1328" t="inlineStr">
        <is>
          <t>1</t>
        </is>
      </c>
      <c r="H1328" t="inlineStr">
        <is>
          <t>No</t>
        </is>
      </c>
      <c r="I1328" t="inlineStr">
        <is>
          <t>Yes</t>
        </is>
      </c>
      <c r="J1328" t="inlineStr">
        <is>
          <t>0</t>
        </is>
      </c>
      <c r="K1328" t="inlineStr">
        <is>
          <t>Lewis, Lloyd, 1891-1949.</t>
        </is>
      </c>
      <c r="L1328" t="inlineStr">
        <is>
          <t>New York : Press of the Readers Club, [c1941]</t>
        </is>
      </c>
      <c r="M1328" t="inlineStr">
        <is>
          <t>1941</t>
        </is>
      </c>
      <c r="O1328" t="inlineStr">
        <is>
          <t>eng</t>
        </is>
      </c>
      <c r="P1328" t="inlineStr">
        <is>
          <t>nyu</t>
        </is>
      </c>
      <c r="R1328" t="inlineStr">
        <is>
          <t xml:space="preserve">E  </t>
        </is>
      </c>
      <c r="S1328" t="n">
        <v>4</v>
      </c>
      <c r="T1328" t="n">
        <v>4</v>
      </c>
      <c r="U1328" t="inlineStr">
        <is>
          <t>2000-10-04</t>
        </is>
      </c>
      <c r="V1328" t="inlineStr">
        <is>
          <t>2000-10-04</t>
        </is>
      </c>
      <c r="W1328" t="inlineStr">
        <is>
          <t>1993-05-06</t>
        </is>
      </c>
      <c r="X1328" t="inlineStr">
        <is>
          <t>1993-05-06</t>
        </is>
      </c>
      <c r="Y1328" t="n">
        <v>744</v>
      </c>
      <c r="Z1328" t="n">
        <v>722</v>
      </c>
      <c r="AA1328" t="n">
        <v>1285</v>
      </c>
      <c r="AB1328" t="n">
        <v>7</v>
      </c>
      <c r="AC1328" t="n">
        <v>12</v>
      </c>
      <c r="AD1328" t="n">
        <v>29</v>
      </c>
      <c r="AE1328" t="n">
        <v>47</v>
      </c>
      <c r="AF1328" t="n">
        <v>11</v>
      </c>
      <c r="AG1328" t="n">
        <v>19</v>
      </c>
      <c r="AH1328" t="n">
        <v>5</v>
      </c>
      <c r="AI1328" t="n">
        <v>8</v>
      </c>
      <c r="AJ1328" t="n">
        <v>11</v>
      </c>
      <c r="AK1328" t="n">
        <v>20</v>
      </c>
      <c r="AL1328" t="n">
        <v>3</v>
      </c>
      <c r="AM1328" t="n">
        <v>5</v>
      </c>
      <c r="AN1328" t="n">
        <v>3</v>
      </c>
      <c r="AO1328" t="n">
        <v>4</v>
      </c>
      <c r="AP1328" t="inlineStr">
        <is>
          <t>No</t>
        </is>
      </c>
      <c r="AQ1328" t="inlineStr">
        <is>
          <t>No</t>
        </is>
      </c>
      <c r="AR1328">
        <f>HYPERLINK("http://catalog.hathitrust.org/Record/000567185","HathiTrust Record")</f>
        <v/>
      </c>
      <c r="AS1328">
        <f>HYPERLINK("https://creighton-primo.hosted.exlibrisgroup.com/primo-explore/search?tab=default_tab&amp;search_scope=EVERYTHING&amp;vid=01CRU&amp;lang=en_US&amp;offset=0&amp;query=any,contains,991002760779702656","Catalog Record")</f>
        <v/>
      </c>
      <c r="AT1328">
        <f>HYPERLINK("http://www.worldcat.org/oclc/428667","WorldCat Record")</f>
        <v/>
      </c>
      <c r="AU1328" t="inlineStr">
        <is>
          <t>1466454:eng</t>
        </is>
      </c>
      <c r="AV1328" t="inlineStr">
        <is>
          <t>428667</t>
        </is>
      </c>
      <c r="AW1328" t="inlineStr">
        <is>
          <t>991002760779702656</t>
        </is>
      </c>
      <c r="AX1328" t="inlineStr">
        <is>
          <t>991002760779702656</t>
        </is>
      </c>
      <c r="AY1328" t="inlineStr">
        <is>
          <t>2266179050002656</t>
        </is>
      </c>
      <c r="AZ1328" t="inlineStr">
        <is>
          <t>BOOK</t>
        </is>
      </c>
      <c r="BC1328" t="inlineStr">
        <is>
          <t>32285001651024</t>
        </is>
      </c>
      <c r="BD1328" t="inlineStr">
        <is>
          <t>893610258</t>
        </is>
      </c>
    </row>
    <row r="1329">
      <c r="A1329" t="inlineStr">
        <is>
          <t>No</t>
        </is>
      </c>
      <c r="B1329" t="inlineStr">
        <is>
          <t>E457.5 .S825 1939</t>
        </is>
      </c>
      <c r="C1329" t="inlineStr">
        <is>
          <t>0                      E  0457500S  825         1939</t>
        </is>
      </c>
      <c r="D1329" t="inlineStr">
        <is>
          <t>The man who killed Lincoln : the story of John Wilkes Booth and his part in the assassination.</t>
        </is>
      </c>
      <c r="F1329" t="inlineStr">
        <is>
          <t>No</t>
        </is>
      </c>
      <c r="G1329" t="inlineStr">
        <is>
          <t>1</t>
        </is>
      </c>
      <c r="H1329" t="inlineStr">
        <is>
          <t>No</t>
        </is>
      </c>
      <c r="I1329" t="inlineStr">
        <is>
          <t>No</t>
        </is>
      </c>
      <c r="J1329" t="inlineStr">
        <is>
          <t>0</t>
        </is>
      </c>
      <c r="K1329" t="inlineStr">
        <is>
          <t>Stern, Philip Van Doren, 1900-1984.</t>
        </is>
      </c>
      <c r="L1329" t="inlineStr">
        <is>
          <t>New York : The Literary Guild of America, 1939.</t>
        </is>
      </c>
      <c r="M1329" t="inlineStr">
        <is>
          <t>1939</t>
        </is>
      </c>
      <c r="O1329" t="inlineStr">
        <is>
          <t>eng</t>
        </is>
      </c>
      <c r="P1329" t="inlineStr">
        <is>
          <t>nyu</t>
        </is>
      </c>
      <c r="R1329" t="inlineStr">
        <is>
          <t xml:space="preserve">E  </t>
        </is>
      </c>
      <c r="S1329" t="n">
        <v>5</v>
      </c>
      <c r="T1329" t="n">
        <v>5</v>
      </c>
      <c r="U1329" t="inlineStr">
        <is>
          <t>1993-12-06</t>
        </is>
      </c>
      <c r="V1329" t="inlineStr">
        <is>
          <t>1993-12-06</t>
        </is>
      </c>
      <c r="W1329" t="inlineStr">
        <is>
          <t>1991-01-10</t>
        </is>
      </c>
      <c r="X1329" t="inlineStr">
        <is>
          <t>1991-01-10</t>
        </is>
      </c>
      <c r="Y1329" t="n">
        <v>484</v>
      </c>
      <c r="Z1329" t="n">
        <v>470</v>
      </c>
      <c r="AA1329" t="n">
        <v>909</v>
      </c>
      <c r="AB1329" t="n">
        <v>6</v>
      </c>
      <c r="AC1329" t="n">
        <v>12</v>
      </c>
      <c r="AD1329" t="n">
        <v>16</v>
      </c>
      <c r="AE1329" t="n">
        <v>37</v>
      </c>
      <c r="AF1329" t="n">
        <v>5</v>
      </c>
      <c r="AG1329" t="n">
        <v>12</v>
      </c>
      <c r="AH1329" t="n">
        <v>3</v>
      </c>
      <c r="AI1329" t="n">
        <v>6</v>
      </c>
      <c r="AJ1329" t="n">
        <v>7</v>
      </c>
      <c r="AK1329" t="n">
        <v>15</v>
      </c>
      <c r="AL1329" t="n">
        <v>4</v>
      </c>
      <c r="AM1329" t="n">
        <v>9</v>
      </c>
      <c r="AN1329" t="n">
        <v>1</v>
      </c>
      <c r="AO1329" t="n">
        <v>3</v>
      </c>
      <c r="AP1329" t="inlineStr">
        <is>
          <t>No</t>
        </is>
      </c>
      <c r="AQ1329" t="inlineStr">
        <is>
          <t>No</t>
        </is>
      </c>
      <c r="AS1329">
        <f>HYPERLINK("https://creighton-primo.hosted.exlibrisgroup.com/primo-explore/search?tab=default_tab&amp;search_scope=EVERYTHING&amp;vid=01CRU&amp;lang=en_US&amp;offset=0&amp;query=any,contains,991003487869702656","Catalog Record")</f>
        <v/>
      </c>
      <c r="AT1329">
        <f>HYPERLINK("http://www.worldcat.org/oclc/1036032","WorldCat Record")</f>
        <v/>
      </c>
      <c r="AU1329" t="inlineStr">
        <is>
          <t>149578685:eng</t>
        </is>
      </c>
      <c r="AV1329" t="inlineStr">
        <is>
          <t>1036032</t>
        </is>
      </c>
      <c r="AW1329" t="inlineStr">
        <is>
          <t>991003487869702656</t>
        </is>
      </c>
      <c r="AX1329" t="inlineStr">
        <is>
          <t>991003487869702656</t>
        </is>
      </c>
      <c r="AY1329" t="inlineStr">
        <is>
          <t>2262694750002656</t>
        </is>
      </c>
      <c r="AZ1329" t="inlineStr">
        <is>
          <t>BOOK</t>
        </is>
      </c>
      <c r="BC1329" t="inlineStr">
        <is>
          <t>32285000430263</t>
        </is>
      </c>
      <c r="BD1329" t="inlineStr">
        <is>
          <t>893881210</t>
        </is>
      </c>
    </row>
    <row r="1330">
      <c r="A1330" t="inlineStr">
        <is>
          <t>No</t>
        </is>
      </c>
      <c r="B1330" t="inlineStr">
        <is>
          <t>E457.65 .H64 1984</t>
        </is>
      </c>
      <c r="C1330" t="inlineStr">
        <is>
          <t>0                      E  0457650H  64          1984</t>
        </is>
      </c>
      <c r="D1330" t="inlineStr">
        <is>
          <t>The Lincoln image : Abraham Lincoln and the popular print / Harold Holzer, Gabor S. Boritt, and Mark E. Neely, Jr.</t>
        </is>
      </c>
      <c r="F1330" t="inlineStr">
        <is>
          <t>No</t>
        </is>
      </c>
      <c r="G1330" t="inlineStr">
        <is>
          <t>1</t>
        </is>
      </c>
      <c r="H1330" t="inlineStr">
        <is>
          <t>No</t>
        </is>
      </c>
      <c r="I1330" t="inlineStr">
        <is>
          <t>No</t>
        </is>
      </c>
      <c r="J1330" t="inlineStr">
        <is>
          <t>0</t>
        </is>
      </c>
      <c r="K1330" t="inlineStr">
        <is>
          <t>Holzer, Harold.</t>
        </is>
      </c>
      <c r="L1330" t="inlineStr">
        <is>
          <t>New York : Scribner Press, c1984.</t>
        </is>
      </c>
      <c r="M1330" t="inlineStr">
        <is>
          <t>1984</t>
        </is>
      </c>
      <c r="O1330" t="inlineStr">
        <is>
          <t>eng</t>
        </is>
      </c>
      <c r="P1330" t="inlineStr">
        <is>
          <t>nyu</t>
        </is>
      </c>
      <c r="R1330" t="inlineStr">
        <is>
          <t xml:space="preserve">E  </t>
        </is>
      </c>
      <c r="S1330" t="n">
        <v>3</v>
      </c>
      <c r="T1330" t="n">
        <v>3</v>
      </c>
      <c r="U1330" t="inlineStr">
        <is>
          <t>1999-08-03</t>
        </is>
      </c>
      <c r="V1330" t="inlineStr">
        <is>
          <t>1999-08-03</t>
        </is>
      </c>
      <c r="W1330" t="inlineStr">
        <is>
          <t>1990-06-06</t>
        </is>
      </c>
      <c r="X1330" t="inlineStr">
        <is>
          <t>1990-06-06</t>
        </is>
      </c>
      <c r="Y1330" t="n">
        <v>724</v>
      </c>
      <c r="Z1330" t="n">
        <v>699</v>
      </c>
      <c r="AA1330" t="n">
        <v>716</v>
      </c>
      <c r="AB1330" t="n">
        <v>3</v>
      </c>
      <c r="AC1330" t="n">
        <v>3</v>
      </c>
      <c r="AD1330" t="n">
        <v>24</v>
      </c>
      <c r="AE1330" t="n">
        <v>25</v>
      </c>
      <c r="AF1330" t="n">
        <v>10</v>
      </c>
      <c r="AG1330" t="n">
        <v>10</v>
      </c>
      <c r="AH1330" t="n">
        <v>8</v>
      </c>
      <c r="AI1330" t="n">
        <v>9</v>
      </c>
      <c r="AJ1330" t="n">
        <v>9</v>
      </c>
      <c r="AK1330" t="n">
        <v>10</v>
      </c>
      <c r="AL1330" t="n">
        <v>2</v>
      </c>
      <c r="AM1330" t="n">
        <v>2</v>
      </c>
      <c r="AN1330" t="n">
        <v>1</v>
      </c>
      <c r="AO1330" t="n">
        <v>1</v>
      </c>
      <c r="AP1330" t="inlineStr">
        <is>
          <t>No</t>
        </is>
      </c>
      <c r="AQ1330" t="inlineStr">
        <is>
          <t>Yes</t>
        </is>
      </c>
      <c r="AR1330">
        <f>HYPERLINK("http://catalog.hathitrust.org/Record/000459110","HathiTrust Record")</f>
        <v/>
      </c>
      <c r="AS1330">
        <f>HYPERLINK("https://creighton-primo.hosted.exlibrisgroup.com/primo-explore/search?tab=default_tab&amp;search_scope=EVERYTHING&amp;vid=01CRU&amp;lang=en_US&amp;offset=0&amp;query=any,contains,991000304229702656","Catalog Record")</f>
        <v/>
      </c>
      <c r="AT1330">
        <f>HYPERLINK("http://www.worldcat.org/oclc/10046106","WorldCat Record")</f>
        <v/>
      </c>
      <c r="AU1330" t="inlineStr">
        <is>
          <t>3775577:eng</t>
        </is>
      </c>
      <c r="AV1330" t="inlineStr">
        <is>
          <t>10046106</t>
        </is>
      </c>
      <c r="AW1330" t="inlineStr">
        <is>
          <t>991000304229702656</t>
        </is>
      </c>
      <c r="AX1330" t="inlineStr">
        <is>
          <t>991000304229702656</t>
        </is>
      </c>
      <c r="AY1330" t="inlineStr">
        <is>
          <t>2256264570002656</t>
        </is>
      </c>
      <c r="AZ1330" t="inlineStr">
        <is>
          <t>BOOK</t>
        </is>
      </c>
      <c r="BB1330" t="inlineStr">
        <is>
          <t>9780684180724</t>
        </is>
      </c>
      <c r="BC1330" t="inlineStr">
        <is>
          <t>32285000182336</t>
        </is>
      </c>
      <c r="BD1330" t="inlineStr">
        <is>
          <t>893243135</t>
        </is>
      </c>
    </row>
    <row r="1331">
      <c r="A1331" t="inlineStr">
        <is>
          <t>No</t>
        </is>
      </c>
      <c r="B1331" t="inlineStr">
        <is>
          <t>E457.905 .F73 1987</t>
        </is>
      </c>
      <c r="C1331" t="inlineStr">
        <is>
          <t>0                      E  0457905F  73          1987</t>
        </is>
      </c>
      <c r="D1331" t="inlineStr">
        <is>
          <t>Lincoln : a photobiography / Russell Freedman.</t>
        </is>
      </c>
      <c r="F1331" t="inlineStr">
        <is>
          <t>No</t>
        </is>
      </c>
      <c r="G1331" t="inlineStr">
        <is>
          <t>1</t>
        </is>
      </c>
      <c r="H1331" t="inlineStr">
        <is>
          <t>No</t>
        </is>
      </c>
      <c r="I1331" t="inlineStr">
        <is>
          <t>No</t>
        </is>
      </c>
      <c r="J1331" t="inlineStr">
        <is>
          <t>0</t>
        </is>
      </c>
      <c r="K1331" t="inlineStr">
        <is>
          <t>Freedman, Russell, 1929-2018.</t>
        </is>
      </c>
      <c r="L1331" t="inlineStr">
        <is>
          <t>New York, N.Y. : Clarion Books, c1987.</t>
        </is>
      </c>
      <c r="M1331" t="inlineStr">
        <is>
          <t>1987</t>
        </is>
      </c>
      <c r="O1331" t="inlineStr">
        <is>
          <t>eng</t>
        </is>
      </c>
      <c r="P1331" t="inlineStr">
        <is>
          <t>nyu</t>
        </is>
      </c>
      <c r="R1331" t="inlineStr">
        <is>
          <t xml:space="preserve">E  </t>
        </is>
      </c>
      <c r="S1331" t="n">
        <v>10</v>
      </c>
      <c r="T1331" t="n">
        <v>10</v>
      </c>
      <c r="U1331" t="inlineStr">
        <is>
          <t>2000-08-09</t>
        </is>
      </c>
      <c r="V1331" t="inlineStr">
        <is>
          <t>2000-08-09</t>
        </is>
      </c>
      <c r="W1331" t="inlineStr">
        <is>
          <t>1992-09-08</t>
        </is>
      </c>
      <c r="X1331" t="inlineStr">
        <is>
          <t>1992-09-08</t>
        </is>
      </c>
      <c r="Y1331" t="n">
        <v>4680</v>
      </c>
      <c r="Z1331" t="n">
        <v>4579</v>
      </c>
      <c r="AA1331" t="n">
        <v>4778</v>
      </c>
      <c r="AB1331" t="n">
        <v>52</v>
      </c>
      <c r="AC1331" t="n">
        <v>53</v>
      </c>
      <c r="AD1331" t="n">
        <v>57</v>
      </c>
      <c r="AE1331" t="n">
        <v>58</v>
      </c>
      <c r="AF1331" t="n">
        <v>24</v>
      </c>
      <c r="AG1331" t="n">
        <v>25</v>
      </c>
      <c r="AH1331" t="n">
        <v>8</v>
      </c>
      <c r="AI1331" t="n">
        <v>9</v>
      </c>
      <c r="AJ1331" t="n">
        <v>21</v>
      </c>
      <c r="AK1331" t="n">
        <v>21</v>
      </c>
      <c r="AL1331" t="n">
        <v>15</v>
      </c>
      <c r="AM1331" t="n">
        <v>15</v>
      </c>
      <c r="AN1331" t="n">
        <v>1</v>
      </c>
      <c r="AO1331" t="n">
        <v>1</v>
      </c>
      <c r="AP1331" t="inlineStr">
        <is>
          <t>No</t>
        </is>
      </c>
      <c r="AQ1331" t="inlineStr">
        <is>
          <t>Yes</t>
        </is>
      </c>
      <c r="AR1331">
        <f>HYPERLINK("http://catalog.hathitrust.org/Record/000843104","HathiTrust Record")</f>
        <v/>
      </c>
      <c r="AS1331">
        <f>HYPERLINK("https://creighton-primo.hosted.exlibrisgroup.com/primo-explore/search?tab=default_tab&amp;search_scope=EVERYTHING&amp;vid=01CRU&amp;lang=en_US&amp;offset=0&amp;query=any,contains,991004447239702656","Catalog Record")</f>
        <v/>
      </c>
      <c r="AT1331">
        <f>HYPERLINK("http://www.worldcat.org/oclc/15053078","WorldCat Record")</f>
        <v/>
      </c>
      <c r="AU1331" t="inlineStr">
        <is>
          <t>3901086862:eng</t>
        </is>
      </c>
      <c r="AV1331" t="inlineStr">
        <is>
          <t>15053078</t>
        </is>
      </c>
      <c r="AW1331" t="inlineStr">
        <is>
          <t>991004447239702656</t>
        </is>
      </c>
      <c r="AX1331" t="inlineStr">
        <is>
          <t>991004447239702656</t>
        </is>
      </c>
      <c r="AY1331" t="inlineStr">
        <is>
          <t>2257164620002656</t>
        </is>
      </c>
      <c r="AZ1331" t="inlineStr">
        <is>
          <t>BOOK</t>
        </is>
      </c>
      <c r="BB1331" t="inlineStr">
        <is>
          <t>9780899193809</t>
        </is>
      </c>
      <c r="BC1331" t="inlineStr">
        <is>
          <t>32285001296341</t>
        </is>
      </c>
      <c r="BD1331" t="inlineStr">
        <is>
          <t>893585398</t>
        </is>
      </c>
    </row>
    <row r="1332">
      <c r="A1332" t="inlineStr">
        <is>
          <t>No</t>
        </is>
      </c>
      <c r="B1332" t="inlineStr">
        <is>
          <t>E457.92 1983</t>
        </is>
      </c>
      <c r="C1332" t="inlineStr">
        <is>
          <t>0                      E  0457920               1983</t>
        </is>
      </c>
      <c r="D1332" t="inlineStr">
        <is>
          <t>Lincoln on black and white : a documentary history / Arthur Zilversmit, editor.</t>
        </is>
      </c>
      <c r="F1332" t="inlineStr">
        <is>
          <t>No</t>
        </is>
      </c>
      <c r="G1332" t="inlineStr">
        <is>
          <t>1</t>
        </is>
      </c>
      <c r="H1332" t="inlineStr">
        <is>
          <t>No</t>
        </is>
      </c>
      <c r="I1332" t="inlineStr">
        <is>
          <t>No</t>
        </is>
      </c>
      <c r="J1332" t="inlineStr">
        <is>
          <t>0</t>
        </is>
      </c>
      <c r="L1332" t="inlineStr">
        <is>
          <t>Malabar, Fla. : Krieger Pub. Co., 1983, c1971.</t>
        </is>
      </c>
      <c r="M1332" t="inlineStr">
        <is>
          <t>1983</t>
        </is>
      </c>
      <c r="O1332" t="inlineStr">
        <is>
          <t>eng</t>
        </is>
      </c>
      <c r="P1332" t="inlineStr">
        <is>
          <t>flu</t>
        </is>
      </c>
      <c r="R1332" t="inlineStr">
        <is>
          <t xml:space="preserve">E  </t>
        </is>
      </c>
      <c r="S1332" t="n">
        <v>10</v>
      </c>
      <c r="T1332" t="n">
        <v>10</v>
      </c>
      <c r="U1332" t="inlineStr">
        <is>
          <t>1995-10-28</t>
        </is>
      </c>
      <c r="V1332" t="inlineStr">
        <is>
          <t>1995-10-28</t>
        </is>
      </c>
      <c r="W1332" t="inlineStr">
        <is>
          <t>1990-04-04</t>
        </is>
      </c>
      <c r="X1332" t="inlineStr">
        <is>
          <t>1990-04-04</t>
        </is>
      </c>
      <c r="Y1332" t="n">
        <v>136</v>
      </c>
      <c r="Z1332" t="n">
        <v>123</v>
      </c>
      <c r="AA1332" t="n">
        <v>137</v>
      </c>
      <c r="AB1332" t="n">
        <v>2</v>
      </c>
      <c r="AC1332" t="n">
        <v>2</v>
      </c>
      <c r="AD1332" t="n">
        <v>4</v>
      </c>
      <c r="AE1332" t="n">
        <v>4</v>
      </c>
      <c r="AF1332" t="n">
        <v>2</v>
      </c>
      <c r="AG1332" t="n">
        <v>2</v>
      </c>
      <c r="AH1332" t="n">
        <v>2</v>
      </c>
      <c r="AI1332" t="n">
        <v>2</v>
      </c>
      <c r="AJ1332" t="n">
        <v>0</v>
      </c>
      <c r="AK1332" t="n">
        <v>0</v>
      </c>
      <c r="AL1332" t="n">
        <v>1</v>
      </c>
      <c r="AM1332" t="n">
        <v>1</v>
      </c>
      <c r="AN1332" t="n">
        <v>0</v>
      </c>
      <c r="AO1332" t="n">
        <v>0</v>
      </c>
      <c r="AP1332" t="inlineStr">
        <is>
          <t>No</t>
        </is>
      </c>
      <c r="AQ1332" t="inlineStr">
        <is>
          <t>Yes</t>
        </is>
      </c>
      <c r="AR1332">
        <f>HYPERLINK("http://catalog.hathitrust.org/Record/004511529","HathiTrust Record")</f>
        <v/>
      </c>
      <c r="AS1332">
        <f>HYPERLINK("https://creighton-primo.hosted.exlibrisgroup.com/primo-explore/search?tab=default_tab&amp;search_scope=EVERYTHING&amp;vid=01CRU&amp;lang=en_US&amp;offset=0&amp;query=any,contains,991000190419702656","Catalog Record")</f>
        <v/>
      </c>
      <c r="AT1332">
        <f>HYPERLINK("http://www.worldcat.org/oclc/9412504","WorldCat Record")</f>
        <v/>
      </c>
      <c r="AU1332" t="inlineStr">
        <is>
          <t>54563545:eng</t>
        </is>
      </c>
      <c r="AV1332" t="inlineStr">
        <is>
          <t>9412504</t>
        </is>
      </c>
      <c r="AW1332" t="inlineStr">
        <is>
          <t>991000190419702656</t>
        </is>
      </c>
      <c r="AX1332" t="inlineStr">
        <is>
          <t>991000190419702656</t>
        </is>
      </c>
      <c r="AY1332" t="inlineStr">
        <is>
          <t>2261675040002656</t>
        </is>
      </c>
      <c r="AZ1332" t="inlineStr">
        <is>
          <t>BOOK</t>
        </is>
      </c>
      <c r="BB1332" t="inlineStr">
        <is>
          <t>9780898746334</t>
        </is>
      </c>
      <c r="BC1332" t="inlineStr">
        <is>
          <t>32285000110857</t>
        </is>
      </c>
      <c r="BD1332" t="inlineStr">
        <is>
          <t>893243070</t>
        </is>
      </c>
    </row>
    <row r="1333">
      <c r="A1333" t="inlineStr">
        <is>
          <t>No</t>
        </is>
      </c>
      <c r="B1333" t="inlineStr">
        <is>
          <t>E458 .S8 1965</t>
        </is>
      </c>
      <c r="C1333" t="inlineStr">
        <is>
          <t>0                      E  0458000S  8           1965</t>
        </is>
      </c>
      <c r="D1333" t="inlineStr">
        <is>
          <t>The causes of the Civil War / edited by Kenneth M. Stampp. With revisions.</t>
        </is>
      </c>
      <c r="F1333" t="inlineStr">
        <is>
          <t>No</t>
        </is>
      </c>
      <c r="G1333" t="inlineStr">
        <is>
          <t>1</t>
        </is>
      </c>
      <c r="H1333" t="inlineStr">
        <is>
          <t>No</t>
        </is>
      </c>
      <c r="I1333" t="inlineStr">
        <is>
          <t>Yes</t>
        </is>
      </c>
      <c r="J1333" t="inlineStr">
        <is>
          <t>0</t>
        </is>
      </c>
      <c r="K1333" t="inlineStr">
        <is>
          <t>Stampp, Kenneth M. (Kenneth Milton) editor.</t>
        </is>
      </c>
      <c r="L1333" t="inlineStr">
        <is>
          <t>Englewood Cliffs, N.J. : Prentice-Hall, [1965]</t>
        </is>
      </c>
      <c r="M1333" t="inlineStr">
        <is>
          <t>1965</t>
        </is>
      </c>
      <c r="O1333" t="inlineStr">
        <is>
          <t>eng</t>
        </is>
      </c>
      <c r="P1333" t="inlineStr">
        <is>
          <t>nju</t>
        </is>
      </c>
      <c r="Q1333" t="inlineStr">
        <is>
          <t>A Spectrum book, S-1</t>
        </is>
      </c>
      <c r="R1333" t="inlineStr">
        <is>
          <t xml:space="preserve">E  </t>
        </is>
      </c>
      <c r="S1333" t="n">
        <v>7</v>
      </c>
      <c r="T1333" t="n">
        <v>7</v>
      </c>
      <c r="U1333" t="inlineStr">
        <is>
          <t>2003-04-16</t>
        </is>
      </c>
      <c r="V1333" t="inlineStr">
        <is>
          <t>2003-04-16</t>
        </is>
      </c>
      <c r="W1333" t="inlineStr">
        <is>
          <t>1990-02-16</t>
        </is>
      </c>
      <c r="X1333" t="inlineStr">
        <is>
          <t>1990-02-16</t>
        </is>
      </c>
      <c r="Y1333" t="n">
        <v>844</v>
      </c>
      <c r="Z1333" t="n">
        <v>771</v>
      </c>
      <c r="AA1333" t="n">
        <v>2098</v>
      </c>
      <c r="AB1333" t="n">
        <v>13</v>
      </c>
      <c r="AC1333" t="n">
        <v>19</v>
      </c>
      <c r="AD1333" t="n">
        <v>27</v>
      </c>
      <c r="AE1333" t="n">
        <v>56</v>
      </c>
      <c r="AF1333" t="n">
        <v>6</v>
      </c>
      <c r="AG1333" t="n">
        <v>19</v>
      </c>
      <c r="AH1333" t="n">
        <v>4</v>
      </c>
      <c r="AI1333" t="n">
        <v>11</v>
      </c>
      <c r="AJ1333" t="n">
        <v>10</v>
      </c>
      <c r="AK1333" t="n">
        <v>22</v>
      </c>
      <c r="AL1333" t="n">
        <v>9</v>
      </c>
      <c r="AM1333" t="n">
        <v>12</v>
      </c>
      <c r="AN1333" t="n">
        <v>0</v>
      </c>
      <c r="AO1333" t="n">
        <v>2</v>
      </c>
      <c r="AP1333" t="inlineStr">
        <is>
          <t>No</t>
        </is>
      </c>
      <c r="AQ1333" t="inlineStr">
        <is>
          <t>Yes</t>
        </is>
      </c>
      <c r="AR1333">
        <f>HYPERLINK("http://catalog.hathitrust.org/Record/009909229","HathiTrust Record")</f>
        <v/>
      </c>
      <c r="AS1333">
        <f>HYPERLINK("https://creighton-primo.hosted.exlibrisgroup.com/primo-explore/search?tab=default_tab&amp;search_scope=EVERYTHING&amp;vid=01CRU&amp;lang=en_US&amp;offset=0&amp;query=any,contains,991002708129702656","Catalog Record")</f>
        <v/>
      </c>
      <c r="AT1333">
        <f>HYPERLINK("http://www.worldcat.org/oclc/407973","WorldCat Record")</f>
        <v/>
      </c>
      <c r="AU1333" t="inlineStr">
        <is>
          <t>54794718:eng</t>
        </is>
      </c>
      <c r="AV1333" t="inlineStr">
        <is>
          <t>407973</t>
        </is>
      </c>
      <c r="AW1333" t="inlineStr">
        <is>
          <t>991002708129702656</t>
        </is>
      </c>
      <c r="AX1333" t="inlineStr">
        <is>
          <t>991002708129702656</t>
        </is>
      </c>
      <c r="AY1333" t="inlineStr">
        <is>
          <t>2261541260002656</t>
        </is>
      </c>
      <c r="AZ1333" t="inlineStr">
        <is>
          <t>BOOK</t>
        </is>
      </c>
      <c r="BC1333" t="inlineStr">
        <is>
          <t>32285000042266</t>
        </is>
      </c>
      <c r="BD1333" t="inlineStr">
        <is>
          <t>893780120</t>
        </is>
      </c>
    </row>
    <row r="1334">
      <c r="A1334" t="inlineStr">
        <is>
          <t>No</t>
        </is>
      </c>
      <c r="B1334" t="inlineStr">
        <is>
          <t>E458.2 .C767 1969</t>
        </is>
      </c>
      <c r="C1334" t="inlineStr">
        <is>
          <t>0                      E  0458200C  767         1969</t>
        </is>
      </c>
      <c r="D1334" t="inlineStr">
        <is>
          <t>The golden hour.</t>
        </is>
      </c>
      <c r="F1334" t="inlineStr">
        <is>
          <t>No</t>
        </is>
      </c>
      <c r="G1334" t="inlineStr">
        <is>
          <t>1</t>
        </is>
      </c>
      <c r="H1334" t="inlineStr">
        <is>
          <t>No</t>
        </is>
      </c>
      <c r="I1334" t="inlineStr">
        <is>
          <t>No</t>
        </is>
      </c>
      <c r="J1334" t="inlineStr">
        <is>
          <t>0</t>
        </is>
      </c>
      <c r="K1334" t="inlineStr">
        <is>
          <t>Conway, Moncure Daniel, 1832-1907.</t>
        </is>
      </c>
      <c r="L1334" t="inlineStr">
        <is>
          <t>New York : Negro Universities Press, [1969]</t>
        </is>
      </c>
      <c r="M1334" t="inlineStr">
        <is>
          <t>1969</t>
        </is>
      </c>
      <c r="O1334" t="inlineStr">
        <is>
          <t>eng</t>
        </is>
      </c>
      <c r="P1334" t="inlineStr">
        <is>
          <t>nyu</t>
        </is>
      </c>
      <c r="R1334" t="inlineStr">
        <is>
          <t xml:space="preserve">E  </t>
        </is>
      </c>
      <c r="S1334" t="n">
        <v>3</v>
      </c>
      <c r="T1334" t="n">
        <v>3</v>
      </c>
      <c r="U1334" t="inlineStr">
        <is>
          <t>1995-02-16</t>
        </is>
      </c>
      <c r="V1334" t="inlineStr">
        <is>
          <t>1995-02-16</t>
        </is>
      </c>
      <c r="W1334" t="inlineStr">
        <is>
          <t>1992-04-06</t>
        </is>
      </c>
      <c r="X1334" t="inlineStr">
        <is>
          <t>1992-04-06</t>
        </is>
      </c>
      <c r="Y1334" t="n">
        <v>129</v>
      </c>
      <c r="Z1334" t="n">
        <v>127</v>
      </c>
      <c r="AA1334" t="n">
        <v>502</v>
      </c>
      <c r="AB1334" t="n">
        <v>4</v>
      </c>
      <c r="AC1334" t="n">
        <v>7</v>
      </c>
      <c r="AD1334" t="n">
        <v>6</v>
      </c>
      <c r="AE1334" t="n">
        <v>24</v>
      </c>
      <c r="AF1334" t="n">
        <v>0</v>
      </c>
      <c r="AG1334" t="n">
        <v>4</v>
      </c>
      <c r="AH1334" t="n">
        <v>1</v>
      </c>
      <c r="AI1334" t="n">
        <v>5</v>
      </c>
      <c r="AJ1334" t="n">
        <v>3</v>
      </c>
      <c r="AK1334" t="n">
        <v>8</v>
      </c>
      <c r="AL1334" t="n">
        <v>3</v>
      </c>
      <c r="AM1334" t="n">
        <v>4</v>
      </c>
      <c r="AN1334" t="n">
        <v>0</v>
      </c>
      <c r="AO1334" t="n">
        <v>5</v>
      </c>
      <c r="AP1334" t="inlineStr">
        <is>
          <t>Yes</t>
        </is>
      </c>
      <c r="AQ1334" t="inlineStr">
        <is>
          <t>No</t>
        </is>
      </c>
      <c r="AR1334">
        <f>HYPERLINK("http://catalog.hathitrust.org/Record/004388145","HathiTrust Record")</f>
        <v/>
      </c>
      <c r="AS1334">
        <f>HYPERLINK("https://creighton-primo.hosted.exlibrisgroup.com/primo-explore/search?tab=default_tab&amp;search_scope=EVERYTHING&amp;vid=01CRU&amp;lang=en_US&amp;offset=0&amp;query=any,contains,991000135239702656","Catalog Record")</f>
        <v/>
      </c>
      <c r="AT1334">
        <f>HYPERLINK("http://www.worldcat.org/oclc/55939","WorldCat Record")</f>
        <v/>
      </c>
      <c r="AU1334" t="inlineStr">
        <is>
          <t>1187140:eng</t>
        </is>
      </c>
      <c r="AV1334" t="inlineStr">
        <is>
          <t>55939</t>
        </is>
      </c>
      <c r="AW1334" t="inlineStr">
        <is>
          <t>991000135239702656</t>
        </is>
      </c>
      <c r="AX1334" t="inlineStr">
        <is>
          <t>991000135239702656</t>
        </is>
      </c>
      <c r="AY1334" t="inlineStr">
        <is>
          <t>2258317250002656</t>
        </is>
      </c>
      <c r="AZ1334" t="inlineStr">
        <is>
          <t>BOOK</t>
        </is>
      </c>
      <c r="BB1334" t="inlineStr">
        <is>
          <t>9780837126838</t>
        </is>
      </c>
      <c r="BC1334" t="inlineStr">
        <is>
          <t>32285001034825</t>
        </is>
      </c>
      <c r="BD1334" t="inlineStr">
        <is>
          <t>893613933</t>
        </is>
      </c>
    </row>
    <row r="1335">
      <c r="A1335" t="inlineStr">
        <is>
          <t>No</t>
        </is>
      </c>
      <c r="B1335" t="inlineStr">
        <is>
          <t>E458.4 .S24 1969</t>
        </is>
      </c>
      <c r="C1335" t="inlineStr">
        <is>
          <t>0                      E  0458400S  24          1969</t>
        </is>
      </c>
      <c r="D1335" t="inlineStr">
        <is>
          <t>England, the United States, and the Southern Confederacy.</t>
        </is>
      </c>
      <c r="F1335" t="inlineStr">
        <is>
          <t>No</t>
        </is>
      </c>
      <c r="G1335" t="inlineStr">
        <is>
          <t>1</t>
        </is>
      </c>
      <c r="H1335" t="inlineStr">
        <is>
          <t>No</t>
        </is>
      </c>
      <c r="I1335" t="inlineStr">
        <is>
          <t>No</t>
        </is>
      </c>
      <c r="J1335" t="inlineStr">
        <is>
          <t>0</t>
        </is>
      </c>
      <c r="K1335" t="inlineStr">
        <is>
          <t>Sargent, F. W. (Fitzwilliam), 1820-1889.</t>
        </is>
      </c>
      <c r="L1335" t="inlineStr">
        <is>
          <t>New York, Negro Universities Press [1969]</t>
        </is>
      </c>
      <c r="M1335" t="inlineStr">
        <is>
          <t>1969</t>
        </is>
      </c>
      <c r="O1335" t="inlineStr">
        <is>
          <t>eng</t>
        </is>
      </c>
      <c r="P1335" t="inlineStr">
        <is>
          <t>nyu</t>
        </is>
      </c>
      <c r="R1335" t="inlineStr">
        <is>
          <t xml:space="preserve">E  </t>
        </is>
      </c>
      <c r="S1335" t="n">
        <v>0</v>
      </c>
      <c r="T1335" t="n">
        <v>0</v>
      </c>
      <c r="U1335" t="inlineStr">
        <is>
          <t>2005-11-07</t>
        </is>
      </c>
      <c r="V1335" t="inlineStr">
        <is>
          <t>2005-11-07</t>
        </is>
      </c>
      <c r="W1335" t="inlineStr">
        <is>
          <t>1997-04-17</t>
        </is>
      </c>
      <c r="X1335" t="inlineStr">
        <is>
          <t>1997-04-17</t>
        </is>
      </c>
      <c r="Y1335" t="n">
        <v>176</v>
      </c>
      <c r="Z1335" t="n">
        <v>165</v>
      </c>
      <c r="AA1335" t="n">
        <v>173</v>
      </c>
      <c r="AB1335" t="n">
        <v>3</v>
      </c>
      <c r="AC1335" t="n">
        <v>3</v>
      </c>
      <c r="AD1335" t="n">
        <v>6</v>
      </c>
      <c r="AE1335" t="n">
        <v>6</v>
      </c>
      <c r="AF1335" t="n">
        <v>1</v>
      </c>
      <c r="AG1335" t="n">
        <v>1</v>
      </c>
      <c r="AH1335" t="n">
        <v>1</v>
      </c>
      <c r="AI1335" t="n">
        <v>1</v>
      </c>
      <c r="AJ1335" t="n">
        <v>3</v>
      </c>
      <c r="AK1335" t="n">
        <v>3</v>
      </c>
      <c r="AL1335" t="n">
        <v>2</v>
      </c>
      <c r="AM1335" t="n">
        <v>2</v>
      </c>
      <c r="AN1335" t="n">
        <v>0</v>
      </c>
      <c r="AO1335" t="n">
        <v>0</v>
      </c>
      <c r="AP1335" t="inlineStr">
        <is>
          <t>Yes</t>
        </is>
      </c>
      <c r="AQ1335" t="inlineStr">
        <is>
          <t>No</t>
        </is>
      </c>
      <c r="AR1335">
        <f>HYPERLINK("http://catalog.hathitrust.org/Record/100331912","HathiTrust Record")</f>
        <v/>
      </c>
      <c r="AS1335">
        <f>HYPERLINK("https://creighton-primo.hosted.exlibrisgroup.com/primo-explore/search?tab=default_tab&amp;search_scope=EVERYTHING&amp;vid=01CRU&amp;lang=en_US&amp;offset=0&amp;query=any,contains,991000361309702656","Catalog Record")</f>
        <v/>
      </c>
      <c r="AT1335">
        <f>HYPERLINK("http://www.worldcat.org/oclc/70773","WorldCat Record")</f>
        <v/>
      </c>
      <c r="AU1335" t="inlineStr">
        <is>
          <t>9621932533:eng</t>
        </is>
      </c>
      <c r="AV1335" t="inlineStr">
        <is>
          <t>70773</t>
        </is>
      </c>
      <c r="AW1335" t="inlineStr">
        <is>
          <t>991000361309702656</t>
        </is>
      </c>
      <c r="AX1335" t="inlineStr">
        <is>
          <t>991000361309702656</t>
        </is>
      </c>
      <c r="AY1335" t="inlineStr">
        <is>
          <t>2270323480002656</t>
        </is>
      </c>
      <c r="AZ1335" t="inlineStr">
        <is>
          <t>BOOK</t>
        </is>
      </c>
      <c r="BB1335" t="inlineStr">
        <is>
          <t>9780837127682</t>
        </is>
      </c>
      <c r="BC1335" t="inlineStr">
        <is>
          <t>32285002539293</t>
        </is>
      </c>
      <c r="BD1335" t="inlineStr">
        <is>
          <t>893255358</t>
        </is>
      </c>
    </row>
    <row r="1336">
      <c r="A1336" t="inlineStr">
        <is>
          <t>No</t>
        </is>
      </c>
      <c r="B1336" t="inlineStr">
        <is>
          <t>E458.4 .W38 1997</t>
        </is>
      </c>
      <c r="C1336" t="inlineStr">
        <is>
          <t>0                      E  0458400W  38          1997</t>
        </is>
      </c>
      <c r="D1336" t="inlineStr">
        <is>
          <t>Reelecting Lincoln : the battle for the 1864 presidency / John C. Waugh.</t>
        </is>
      </c>
      <c r="F1336" t="inlineStr">
        <is>
          <t>No</t>
        </is>
      </c>
      <c r="G1336" t="inlineStr">
        <is>
          <t>1</t>
        </is>
      </c>
      <c r="H1336" t="inlineStr">
        <is>
          <t>No</t>
        </is>
      </c>
      <c r="I1336" t="inlineStr">
        <is>
          <t>No</t>
        </is>
      </c>
      <c r="J1336" t="inlineStr">
        <is>
          <t>0</t>
        </is>
      </c>
      <c r="K1336" t="inlineStr">
        <is>
          <t>Waugh, John C.</t>
        </is>
      </c>
      <c r="L1336" t="inlineStr">
        <is>
          <t>New York : Crown Publishers, c1997.</t>
        </is>
      </c>
      <c r="M1336" t="inlineStr">
        <is>
          <t>1997</t>
        </is>
      </c>
      <c r="N1336" t="inlineStr">
        <is>
          <t>1st ed.</t>
        </is>
      </c>
      <c r="O1336" t="inlineStr">
        <is>
          <t>eng</t>
        </is>
      </c>
      <c r="P1336" t="inlineStr">
        <is>
          <t>nyu</t>
        </is>
      </c>
      <c r="R1336" t="inlineStr">
        <is>
          <t xml:space="preserve">E  </t>
        </is>
      </c>
      <c r="S1336" t="n">
        <v>2</v>
      </c>
      <c r="T1336" t="n">
        <v>2</v>
      </c>
      <c r="U1336" t="inlineStr">
        <is>
          <t>1999-04-13</t>
        </is>
      </c>
      <c r="V1336" t="inlineStr">
        <is>
          <t>1999-04-13</t>
        </is>
      </c>
      <c r="W1336" t="inlineStr">
        <is>
          <t>1998-03-30</t>
        </is>
      </c>
      <c r="X1336" t="inlineStr">
        <is>
          <t>1998-03-30</t>
        </is>
      </c>
      <c r="Y1336" t="n">
        <v>931</v>
      </c>
      <c r="Z1336" t="n">
        <v>911</v>
      </c>
      <c r="AA1336" t="n">
        <v>960</v>
      </c>
      <c r="AB1336" t="n">
        <v>11</v>
      </c>
      <c r="AC1336" t="n">
        <v>11</v>
      </c>
      <c r="AD1336" t="n">
        <v>32</v>
      </c>
      <c r="AE1336" t="n">
        <v>34</v>
      </c>
      <c r="AF1336" t="n">
        <v>10</v>
      </c>
      <c r="AG1336" t="n">
        <v>11</v>
      </c>
      <c r="AH1336" t="n">
        <v>7</v>
      </c>
      <c r="AI1336" t="n">
        <v>7</v>
      </c>
      <c r="AJ1336" t="n">
        <v>15</v>
      </c>
      <c r="AK1336" t="n">
        <v>16</v>
      </c>
      <c r="AL1336" t="n">
        <v>6</v>
      </c>
      <c r="AM1336" t="n">
        <v>6</v>
      </c>
      <c r="AN1336" t="n">
        <v>1</v>
      </c>
      <c r="AO1336" t="n">
        <v>1</v>
      </c>
      <c r="AP1336" t="inlineStr">
        <is>
          <t>No</t>
        </is>
      </c>
      <c r="AQ1336" t="inlineStr">
        <is>
          <t>Yes</t>
        </is>
      </c>
      <c r="AR1336">
        <f>HYPERLINK("http://catalog.hathitrust.org/Record/003961469","HathiTrust Record")</f>
        <v/>
      </c>
      <c r="AS1336">
        <f>HYPERLINK("https://creighton-primo.hosted.exlibrisgroup.com/primo-explore/search?tab=default_tab&amp;search_scope=EVERYTHING&amp;vid=01CRU&amp;lang=en_US&amp;offset=0&amp;query=any,contains,991002827799702656","Catalog Record")</f>
        <v/>
      </c>
      <c r="AT1336">
        <f>HYPERLINK("http://www.worldcat.org/oclc/37238905","WorldCat Record")</f>
        <v/>
      </c>
      <c r="AU1336" t="inlineStr">
        <is>
          <t>554056:eng</t>
        </is>
      </c>
      <c r="AV1336" t="inlineStr">
        <is>
          <t>37238905</t>
        </is>
      </c>
      <c r="AW1336" t="inlineStr">
        <is>
          <t>991002827799702656</t>
        </is>
      </c>
      <c r="AX1336" t="inlineStr">
        <is>
          <t>991002827799702656</t>
        </is>
      </c>
      <c r="AY1336" t="inlineStr">
        <is>
          <t>2254827860002656</t>
        </is>
      </c>
      <c r="AZ1336" t="inlineStr">
        <is>
          <t>BOOK</t>
        </is>
      </c>
      <c r="BB1336" t="inlineStr">
        <is>
          <t>9780517597668</t>
        </is>
      </c>
      <c r="BC1336" t="inlineStr">
        <is>
          <t>32285003381281</t>
        </is>
      </c>
      <c r="BD1336" t="inlineStr">
        <is>
          <t>893874053</t>
        </is>
      </c>
    </row>
    <row r="1337">
      <c r="A1337" t="inlineStr">
        <is>
          <t>No</t>
        </is>
      </c>
      <c r="B1337" t="inlineStr">
        <is>
          <t>E458.8 .H9 1978</t>
        </is>
      </c>
      <c r="C1337" t="inlineStr">
        <is>
          <t>0                      E  0458800H  9           1978</t>
        </is>
      </c>
      <c r="D1337" t="inlineStr">
        <is>
          <t>Era of the oath : Northern loyalty tests during the Civil War and Reconstruction / Harold Melvin Hyman.</t>
        </is>
      </c>
      <c r="F1337" t="inlineStr">
        <is>
          <t>No</t>
        </is>
      </c>
      <c r="G1337" t="inlineStr">
        <is>
          <t>1</t>
        </is>
      </c>
      <c r="H1337" t="inlineStr">
        <is>
          <t>No</t>
        </is>
      </c>
      <c r="I1337" t="inlineStr">
        <is>
          <t>No</t>
        </is>
      </c>
      <c r="J1337" t="inlineStr">
        <is>
          <t>0</t>
        </is>
      </c>
      <c r="K1337" t="inlineStr">
        <is>
          <t>Hyman, Harold Melvin, 1924-</t>
        </is>
      </c>
      <c r="L1337" t="inlineStr">
        <is>
          <t>New York : Octagon Books, 1978, c1954.</t>
        </is>
      </c>
      <c r="M1337" t="inlineStr">
        <is>
          <t>1978</t>
        </is>
      </c>
      <c r="O1337" t="inlineStr">
        <is>
          <t>eng</t>
        </is>
      </c>
      <c r="P1337" t="inlineStr">
        <is>
          <t>nyu</t>
        </is>
      </c>
      <c r="R1337" t="inlineStr">
        <is>
          <t xml:space="preserve">E  </t>
        </is>
      </c>
      <c r="S1337" t="n">
        <v>1</v>
      </c>
      <c r="T1337" t="n">
        <v>1</v>
      </c>
      <c r="U1337" t="inlineStr">
        <is>
          <t>2004-10-09</t>
        </is>
      </c>
      <c r="V1337" t="inlineStr">
        <is>
          <t>2004-10-09</t>
        </is>
      </c>
      <c r="W1337" t="inlineStr">
        <is>
          <t>1991-04-29</t>
        </is>
      </c>
      <c r="X1337" t="inlineStr">
        <is>
          <t>1991-04-29</t>
        </is>
      </c>
      <c r="Y1337" t="n">
        <v>130</v>
      </c>
      <c r="Z1337" t="n">
        <v>121</v>
      </c>
      <c r="AA1337" t="n">
        <v>719</v>
      </c>
      <c r="AB1337" t="n">
        <v>2</v>
      </c>
      <c r="AC1337" t="n">
        <v>3</v>
      </c>
      <c r="AD1337" t="n">
        <v>8</v>
      </c>
      <c r="AE1337" t="n">
        <v>35</v>
      </c>
      <c r="AF1337" t="n">
        <v>6</v>
      </c>
      <c r="AG1337" t="n">
        <v>18</v>
      </c>
      <c r="AH1337" t="n">
        <v>2</v>
      </c>
      <c r="AI1337" t="n">
        <v>8</v>
      </c>
      <c r="AJ1337" t="n">
        <v>2</v>
      </c>
      <c r="AK1337" t="n">
        <v>16</v>
      </c>
      <c r="AL1337" t="n">
        <v>1</v>
      </c>
      <c r="AM1337" t="n">
        <v>2</v>
      </c>
      <c r="AN1337" t="n">
        <v>0</v>
      </c>
      <c r="AO1337" t="n">
        <v>2</v>
      </c>
      <c r="AP1337" t="inlineStr">
        <is>
          <t>No</t>
        </is>
      </c>
      <c r="AQ1337" t="inlineStr">
        <is>
          <t>Yes</t>
        </is>
      </c>
      <c r="AR1337">
        <f>HYPERLINK("http://catalog.hathitrust.org/Record/004388156","HathiTrust Record")</f>
        <v/>
      </c>
      <c r="AS1337">
        <f>HYPERLINK("https://creighton-primo.hosted.exlibrisgroup.com/primo-explore/search?tab=default_tab&amp;search_scope=EVERYTHING&amp;vid=01CRU&amp;lang=en_US&amp;offset=0&amp;query=any,contains,991004580319702656","Catalog Record")</f>
        <v/>
      </c>
      <c r="AT1337">
        <f>HYPERLINK("http://www.worldcat.org/oclc/4056714","WorldCat Record")</f>
        <v/>
      </c>
      <c r="AU1337" t="inlineStr">
        <is>
          <t>1527999:eng</t>
        </is>
      </c>
      <c r="AV1337" t="inlineStr">
        <is>
          <t>4056714</t>
        </is>
      </c>
      <c r="AW1337" t="inlineStr">
        <is>
          <t>991004580319702656</t>
        </is>
      </c>
      <c r="AX1337" t="inlineStr">
        <is>
          <t>991004580319702656</t>
        </is>
      </c>
      <c r="AY1337" t="inlineStr">
        <is>
          <t>2271977940002656</t>
        </is>
      </c>
      <c r="AZ1337" t="inlineStr">
        <is>
          <t>BOOK</t>
        </is>
      </c>
      <c r="BB1337" t="inlineStr">
        <is>
          <t>9780374940850</t>
        </is>
      </c>
      <c r="BC1337" t="inlineStr">
        <is>
          <t>32285000544709</t>
        </is>
      </c>
      <c r="BD1337" t="inlineStr">
        <is>
          <t>893519814</t>
        </is>
      </c>
    </row>
    <row r="1338">
      <c r="A1338" t="inlineStr">
        <is>
          <t>No</t>
        </is>
      </c>
      <c r="B1338" t="inlineStr">
        <is>
          <t>E459 .B4 1979</t>
        </is>
      </c>
      <c r="C1338" t="inlineStr">
        <is>
          <t>0                      E  0459000B  4           1979</t>
        </is>
      </c>
      <c r="D1338" t="inlineStr">
        <is>
          <t>Reconstructing the Union : theory and policy during the Civil War / by Herman Belz.</t>
        </is>
      </c>
      <c r="F1338" t="inlineStr">
        <is>
          <t>No</t>
        </is>
      </c>
      <c r="G1338" t="inlineStr">
        <is>
          <t>1</t>
        </is>
      </c>
      <c r="H1338" t="inlineStr">
        <is>
          <t>No</t>
        </is>
      </c>
      <c r="I1338" t="inlineStr">
        <is>
          <t>No</t>
        </is>
      </c>
      <c r="J1338" t="inlineStr">
        <is>
          <t>0</t>
        </is>
      </c>
      <c r="K1338" t="inlineStr">
        <is>
          <t>Belz, Herman.</t>
        </is>
      </c>
      <c r="L1338" t="inlineStr">
        <is>
          <t>Westport, Conn. : Greenwood Press, 1979, c1969.</t>
        </is>
      </c>
      <c r="M1338" t="inlineStr">
        <is>
          <t>1979</t>
        </is>
      </c>
      <c r="O1338" t="inlineStr">
        <is>
          <t>eng</t>
        </is>
      </c>
      <c r="P1338" t="inlineStr">
        <is>
          <t>ctu</t>
        </is>
      </c>
      <c r="R1338" t="inlineStr">
        <is>
          <t xml:space="preserve">E  </t>
        </is>
      </c>
      <c r="S1338" t="n">
        <v>6</v>
      </c>
      <c r="T1338" t="n">
        <v>6</v>
      </c>
      <c r="U1338" t="inlineStr">
        <is>
          <t>1998-11-30</t>
        </is>
      </c>
      <c r="V1338" t="inlineStr">
        <is>
          <t>1998-11-30</t>
        </is>
      </c>
      <c r="W1338" t="inlineStr">
        <is>
          <t>1990-06-21</t>
        </is>
      </c>
      <c r="X1338" t="inlineStr">
        <is>
          <t>1990-06-21</t>
        </is>
      </c>
      <c r="Y1338" t="n">
        <v>90</v>
      </c>
      <c r="Z1338" t="n">
        <v>84</v>
      </c>
      <c r="AA1338" t="n">
        <v>1013</v>
      </c>
      <c r="AB1338" t="n">
        <v>1</v>
      </c>
      <c r="AC1338" t="n">
        <v>10</v>
      </c>
      <c r="AD1338" t="n">
        <v>1</v>
      </c>
      <c r="AE1338" t="n">
        <v>44</v>
      </c>
      <c r="AF1338" t="n">
        <v>1</v>
      </c>
      <c r="AG1338" t="n">
        <v>15</v>
      </c>
      <c r="AH1338" t="n">
        <v>0</v>
      </c>
      <c r="AI1338" t="n">
        <v>9</v>
      </c>
      <c r="AJ1338" t="n">
        <v>1</v>
      </c>
      <c r="AK1338" t="n">
        <v>22</v>
      </c>
      <c r="AL1338" t="n">
        <v>0</v>
      </c>
      <c r="AM1338" t="n">
        <v>9</v>
      </c>
      <c r="AN1338" t="n">
        <v>0</v>
      </c>
      <c r="AO1338" t="n">
        <v>1</v>
      </c>
      <c r="AP1338" t="inlineStr">
        <is>
          <t>No</t>
        </is>
      </c>
      <c r="AQ1338" t="inlineStr">
        <is>
          <t>No</t>
        </is>
      </c>
      <c r="AS1338">
        <f>HYPERLINK("https://creighton-primo.hosted.exlibrisgroup.com/primo-explore/search?tab=default_tab&amp;search_scope=EVERYTHING&amp;vid=01CRU&amp;lang=en_US&amp;offset=0&amp;query=any,contains,991004653869702656","Catalog Record")</f>
        <v/>
      </c>
      <c r="AT1338">
        <f>HYPERLINK("http://www.worldcat.org/oclc/4494724","WorldCat Record")</f>
        <v/>
      </c>
      <c r="AU1338" t="inlineStr">
        <is>
          <t>445423:eng</t>
        </is>
      </c>
      <c r="AV1338" t="inlineStr">
        <is>
          <t>4494724</t>
        </is>
      </c>
      <c r="AW1338" t="inlineStr">
        <is>
          <t>991004653869702656</t>
        </is>
      </c>
      <c r="AX1338" t="inlineStr">
        <is>
          <t>991004653869702656</t>
        </is>
      </c>
      <c r="AY1338" t="inlineStr">
        <is>
          <t>2265345900002656</t>
        </is>
      </c>
      <c r="AZ1338" t="inlineStr">
        <is>
          <t>BOOK</t>
        </is>
      </c>
      <c r="BB1338" t="inlineStr">
        <is>
          <t>9780313208621</t>
        </is>
      </c>
      <c r="BC1338" t="inlineStr">
        <is>
          <t>32285000210996</t>
        </is>
      </c>
      <c r="BD1338" t="inlineStr">
        <is>
          <t>893687985</t>
        </is>
      </c>
    </row>
    <row r="1339">
      <c r="A1339" t="inlineStr">
        <is>
          <t>No</t>
        </is>
      </c>
      <c r="B1339" t="inlineStr">
        <is>
          <t>E459 .C9</t>
        </is>
      </c>
      <c r="C1339" t="inlineStr">
        <is>
          <t>0                      E  0459000C  9</t>
        </is>
      </c>
      <c r="D1339" t="inlineStr">
        <is>
          <t>An historian and the Civil War, by Avery Craven.</t>
        </is>
      </c>
      <c r="F1339" t="inlineStr">
        <is>
          <t>No</t>
        </is>
      </c>
      <c r="G1339" t="inlineStr">
        <is>
          <t>1</t>
        </is>
      </c>
      <c r="H1339" t="inlineStr">
        <is>
          <t>No</t>
        </is>
      </c>
      <c r="I1339" t="inlineStr">
        <is>
          <t>No</t>
        </is>
      </c>
      <c r="J1339" t="inlineStr">
        <is>
          <t>0</t>
        </is>
      </c>
      <c r="K1339" t="inlineStr">
        <is>
          <t>Craven, Avery, 1885-1980.</t>
        </is>
      </c>
      <c r="L1339" t="inlineStr">
        <is>
          <t>Chicago, University of Chicago Press [1964]</t>
        </is>
      </c>
      <c r="M1339" t="inlineStr">
        <is>
          <t>1964</t>
        </is>
      </c>
      <c r="O1339" t="inlineStr">
        <is>
          <t>eng</t>
        </is>
      </c>
      <c r="P1339" t="inlineStr">
        <is>
          <t>ilu</t>
        </is>
      </c>
      <c r="R1339" t="inlineStr">
        <is>
          <t xml:space="preserve">E  </t>
        </is>
      </c>
      <c r="S1339" t="n">
        <v>1</v>
      </c>
      <c r="T1339" t="n">
        <v>1</v>
      </c>
      <c r="U1339" t="inlineStr">
        <is>
          <t>2001-12-05</t>
        </is>
      </c>
      <c r="V1339" t="inlineStr">
        <is>
          <t>2001-12-05</t>
        </is>
      </c>
      <c r="W1339" t="inlineStr">
        <is>
          <t>1997-04-17</t>
        </is>
      </c>
      <c r="X1339" t="inlineStr">
        <is>
          <t>1997-04-17</t>
        </is>
      </c>
      <c r="Y1339" t="n">
        <v>820</v>
      </c>
      <c r="Z1339" t="n">
        <v>713</v>
      </c>
      <c r="AA1339" t="n">
        <v>764</v>
      </c>
      <c r="AB1339" t="n">
        <v>6</v>
      </c>
      <c r="AC1339" t="n">
        <v>8</v>
      </c>
      <c r="AD1339" t="n">
        <v>35</v>
      </c>
      <c r="AE1339" t="n">
        <v>38</v>
      </c>
      <c r="AF1339" t="n">
        <v>14</v>
      </c>
      <c r="AG1339" t="n">
        <v>15</v>
      </c>
      <c r="AH1339" t="n">
        <v>9</v>
      </c>
      <c r="AI1339" t="n">
        <v>10</v>
      </c>
      <c r="AJ1339" t="n">
        <v>16</v>
      </c>
      <c r="AK1339" t="n">
        <v>17</v>
      </c>
      <c r="AL1339" t="n">
        <v>5</v>
      </c>
      <c r="AM1339" t="n">
        <v>6</v>
      </c>
      <c r="AN1339" t="n">
        <v>0</v>
      </c>
      <c r="AO1339" t="n">
        <v>0</v>
      </c>
      <c r="AP1339" t="inlineStr">
        <is>
          <t>No</t>
        </is>
      </c>
      <c r="AQ1339" t="inlineStr">
        <is>
          <t>No</t>
        </is>
      </c>
      <c r="AS1339">
        <f>HYPERLINK("https://creighton-primo.hosted.exlibrisgroup.com/primo-explore/search?tab=default_tab&amp;search_scope=EVERYTHING&amp;vid=01CRU&amp;lang=en_US&amp;offset=0&amp;query=any,contains,991002761069702656","Catalog Record")</f>
        <v/>
      </c>
      <c r="AT1339">
        <f>HYPERLINK("http://www.worldcat.org/oclc/428847","WorldCat Record")</f>
        <v/>
      </c>
      <c r="AU1339" t="inlineStr">
        <is>
          <t>225356888:eng</t>
        </is>
      </c>
      <c r="AV1339" t="inlineStr">
        <is>
          <t>428847</t>
        </is>
      </c>
      <c r="AW1339" t="inlineStr">
        <is>
          <t>991002761069702656</t>
        </is>
      </c>
      <c r="AX1339" t="inlineStr">
        <is>
          <t>991002761069702656</t>
        </is>
      </c>
      <c r="AY1339" t="inlineStr">
        <is>
          <t>2266233880002656</t>
        </is>
      </c>
      <c r="AZ1339" t="inlineStr">
        <is>
          <t>BOOK</t>
        </is>
      </c>
      <c r="BC1339" t="inlineStr">
        <is>
          <t>32285002539376</t>
        </is>
      </c>
      <c r="BD1339" t="inlineStr">
        <is>
          <t>893780185</t>
        </is>
      </c>
    </row>
    <row r="1340">
      <c r="A1340" t="inlineStr">
        <is>
          <t>No</t>
        </is>
      </c>
      <c r="B1340" t="inlineStr">
        <is>
          <t>E459 .F67</t>
        </is>
      </c>
      <c r="C1340" t="inlineStr">
        <is>
          <t>0                      E  0459000F  67</t>
        </is>
      </c>
      <c r="D1340" t="inlineStr">
        <is>
          <t>Politics and ideology in the age of the Civil War / Eric Foner.</t>
        </is>
      </c>
      <c r="F1340" t="inlineStr">
        <is>
          <t>No</t>
        </is>
      </c>
      <c r="G1340" t="inlineStr">
        <is>
          <t>1</t>
        </is>
      </c>
      <c r="H1340" t="inlineStr">
        <is>
          <t>No</t>
        </is>
      </c>
      <c r="I1340" t="inlineStr">
        <is>
          <t>No</t>
        </is>
      </c>
      <c r="J1340" t="inlineStr">
        <is>
          <t>0</t>
        </is>
      </c>
      <c r="K1340" t="inlineStr">
        <is>
          <t>Foner, Eric, 1943-</t>
        </is>
      </c>
      <c r="L1340" t="inlineStr">
        <is>
          <t>New York : Oxford University Press, 1980.</t>
        </is>
      </c>
      <c r="M1340" t="inlineStr">
        <is>
          <t>1980</t>
        </is>
      </c>
      <c r="O1340" t="inlineStr">
        <is>
          <t>eng</t>
        </is>
      </c>
      <c r="P1340" t="inlineStr">
        <is>
          <t>nyu</t>
        </is>
      </c>
      <c r="R1340" t="inlineStr">
        <is>
          <t xml:space="preserve">E  </t>
        </is>
      </c>
      <c r="S1340" t="n">
        <v>11</v>
      </c>
      <c r="T1340" t="n">
        <v>11</v>
      </c>
      <c r="U1340" t="inlineStr">
        <is>
          <t>1995-01-23</t>
        </is>
      </c>
      <c r="V1340" t="inlineStr">
        <is>
          <t>1995-01-23</t>
        </is>
      </c>
      <c r="W1340" t="inlineStr">
        <is>
          <t>1991-04-29</t>
        </is>
      </c>
      <c r="X1340" t="inlineStr">
        <is>
          <t>1991-04-29</t>
        </is>
      </c>
      <c r="Y1340" t="n">
        <v>1108</v>
      </c>
      <c r="Z1340" t="n">
        <v>933</v>
      </c>
      <c r="AA1340" t="n">
        <v>995</v>
      </c>
      <c r="AB1340" t="n">
        <v>7</v>
      </c>
      <c r="AC1340" t="n">
        <v>7</v>
      </c>
      <c r="AD1340" t="n">
        <v>38</v>
      </c>
      <c r="AE1340" t="n">
        <v>39</v>
      </c>
      <c r="AF1340" t="n">
        <v>18</v>
      </c>
      <c r="AG1340" t="n">
        <v>18</v>
      </c>
      <c r="AH1340" t="n">
        <v>8</v>
      </c>
      <c r="AI1340" t="n">
        <v>8</v>
      </c>
      <c r="AJ1340" t="n">
        <v>17</v>
      </c>
      <c r="AK1340" t="n">
        <v>18</v>
      </c>
      <c r="AL1340" t="n">
        <v>6</v>
      </c>
      <c r="AM1340" t="n">
        <v>6</v>
      </c>
      <c r="AN1340" t="n">
        <v>0</v>
      </c>
      <c r="AO1340" t="n">
        <v>0</v>
      </c>
      <c r="AP1340" t="inlineStr">
        <is>
          <t>No</t>
        </is>
      </c>
      <c r="AQ1340" t="inlineStr">
        <is>
          <t>No</t>
        </is>
      </c>
      <c r="AS1340">
        <f>HYPERLINK("https://creighton-primo.hosted.exlibrisgroup.com/primo-explore/search?tab=default_tab&amp;search_scope=EVERYTHING&amp;vid=01CRU&amp;lang=en_US&amp;offset=0&amp;query=any,contains,991004941459702656","Catalog Record")</f>
        <v/>
      </c>
      <c r="AT1340">
        <f>HYPERLINK("http://www.worldcat.org/oclc/6194424","WorldCat Record")</f>
        <v/>
      </c>
      <c r="AU1340" t="inlineStr">
        <is>
          <t>415181:eng</t>
        </is>
      </c>
      <c r="AV1340" t="inlineStr">
        <is>
          <t>6194424</t>
        </is>
      </c>
      <c r="AW1340" t="inlineStr">
        <is>
          <t>991004941459702656</t>
        </is>
      </c>
      <c r="AX1340" t="inlineStr">
        <is>
          <t>991004941459702656</t>
        </is>
      </c>
      <c r="AY1340" t="inlineStr">
        <is>
          <t>2262648260002656</t>
        </is>
      </c>
      <c r="AZ1340" t="inlineStr">
        <is>
          <t>BOOK</t>
        </is>
      </c>
      <c r="BB1340" t="inlineStr">
        <is>
          <t>9780195027815</t>
        </is>
      </c>
      <c r="BC1340" t="inlineStr">
        <is>
          <t>32285000544725</t>
        </is>
      </c>
      <c r="BD1340" t="inlineStr">
        <is>
          <t>893722671</t>
        </is>
      </c>
    </row>
    <row r="1341">
      <c r="A1341" t="inlineStr">
        <is>
          <t>No</t>
        </is>
      </c>
      <c r="B1341" t="inlineStr">
        <is>
          <t>E459 .J34 2000</t>
        </is>
      </c>
      <c r="C1341" t="inlineStr">
        <is>
          <t>0                      E  0459000J  34          2000</t>
        </is>
      </c>
      <c r="D1341" t="inlineStr">
        <is>
          <t>A new birth of freedom : Abraham Lincoln and the coming of the Civil War / Harry V. Jaffa.</t>
        </is>
      </c>
      <c r="F1341" t="inlineStr">
        <is>
          <t>No</t>
        </is>
      </c>
      <c r="G1341" t="inlineStr">
        <is>
          <t>1</t>
        </is>
      </c>
      <c r="H1341" t="inlineStr">
        <is>
          <t>No</t>
        </is>
      </c>
      <c r="I1341" t="inlineStr">
        <is>
          <t>No</t>
        </is>
      </c>
      <c r="J1341" t="inlineStr">
        <is>
          <t>0</t>
        </is>
      </c>
      <c r="K1341" t="inlineStr">
        <is>
          <t>Jaffa, Harry V.</t>
        </is>
      </c>
      <c r="L1341" t="inlineStr">
        <is>
          <t>Lanham, Md. : Rowman &amp; Littlefield Publishers, c2000.</t>
        </is>
      </c>
      <c r="M1341" t="inlineStr">
        <is>
          <t>2000</t>
        </is>
      </c>
      <c r="O1341" t="inlineStr">
        <is>
          <t>eng</t>
        </is>
      </c>
      <c r="P1341" t="inlineStr">
        <is>
          <t>mdu</t>
        </is>
      </c>
      <c r="R1341" t="inlineStr">
        <is>
          <t xml:space="preserve">E  </t>
        </is>
      </c>
      <c r="S1341" t="n">
        <v>3</v>
      </c>
      <c r="T1341" t="n">
        <v>3</v>
      </c>
      <c r="U1341" t="inlineStr">
        <is>
          <t>2004-09-27</t>
        </is>
      </c>
      <c r="V1341" t="inlineStr">
        <is>
          <t>2004-09-27</t>
        </is>
      </c>
      <c r="W1341" t="inlineStr">
        <is>
          <t>2001-08-22</t>
        </is>
      </c>
      <c r="X1341" t="inlineStr">
        <is>
          <t>2001-08-22</t>
        </is>
      </c>
      <c r="Y1341" t="n">
        <v>1070</v>
      </c>
      <c r="Z1341" t="n">
        <v>995</v>
      </c>
      <c r="AA1341" t="n">
        <v>1087</v>
      </c>
      <c r="AB1341" t="n">
        <v>10</v>
      </c>
      <c r="AC1341" t="n">
        <v>10</v>
      </c>
      <c r="AD1341" t="n">
        <v>41</v>
      </c>
      <c r="AE1341" t="n">
        <v>44</v>
      </c>
      <c r="AF1341" t="n">
        <v>15</v>
      </c>
      <c r="AG1341" t="n">
        <v>15</v>
      </c>
      <c r="AH1341" t="n">
        <v>8</v>
      </c>
      <c r="AI1341" t="n">
        <v>8</v>
      </c>
      <c r="AJ1341" t="n">
        <v>15</v>
      </c>
      <c r="AK1341" t="n">
        <v>16</v>
      </c>
      <c r="AL1341" t="n">
        <v>8</v>
      </c>
      <c r="AM1341" t="n">
        <v>8</v>
      </c>
      <c r="AN1341" t="n">
        <v>3</v>
      </c>
      <c r="AO1341" t="n">
        <v>5</v>
      </c>
      <c r="AP1341" t="inlineStr">
        <is>
          <t>No</t>
        </is>
      </c>
      <c r="AQ1341" t="inlineStr">
        <is>
          <t>No</t>
        </is>
      </c>
      <c r="AS1341">
        <f>HYPERLINK("https://creighton-primo.hosted.exlibrisgroup.com/primo-explore/search?tab=default_tab&amp;search_scope=EVERYTHING&amp;vid=01CRU&amp;lang=en_US&amp;offset=0&amp;query=any,contains,991003582179702656","Catalog Record")</f>
        <v/>
      </c>
      <c r="AT1341">
        <f>HYPERLINK("http://www.worldcat.org/oclc/43894284","WorldCat Record")</f>
        <v/>
      </c>
      <c r="AU1341" t="inlineStr">
        <is>
          <t>14473994:eng</t>
        </is>
      </c>
      <c r="AV1341" t="inlineStr">
        <is>
          <t>43894284</t>
        </is>
      </c>
      <c r="AW1341" t="inlineStr">
        <is>
          <t>991003582179702656</t>
        </is>
      </c>
      <c r="AX1341" t="inlineStr">
        <is>
          <t>991003582179702656</t>
        </is>
      </c>
      <c r="AY1341" t="inlineStr">
        <is>
          <t>2263222980002656</t>
        </is>
      </c>
      <c r="AZ1341" t="inlineStr">
        <is>
          <t>BOOK</t>
        </is>
      </c>
      <c r="BB1341" t="inlineStr">
        <is>
          <t>9780847699520</t>
        </is>
      </c>
      <c r="BC1341" t="inlineStr">
        <is>
          <t>32285004379847</t>
        </is>
      </c>
      <c r="BD1341" t="inlineStr">
        <is>
          <t>893793767</t>
        </is>
      </c>
    </row>
    <row r="1342">
      <c r="A1342" t="inlineStr">
        <is>
          <t>No</t>
        </is>
      </c>
      <c r="B1342" t="inlineStr">
        <is>
          <t>E459 .K46 1994</t>
        </is>
      </c>
      <c r="C1342" t="inlineStr">
        <is>
          <t>0                      E  0459000K  46          1994</t>
        </is>
      </c>
      <c r="D1342" t="inlineStr">
        <is>
          <t>The South was right! / James Ronald Kennedy, Walter Donald Kennedy.</t>
        </is>
      </c>
      <c r="F1342" t="inlineStr">
        <is>
          <t>No</t>
        </is>
      </c>
      <c r="G1342" t="inlineStr">
        <is>
          <t>1</t>
        </is>
      </c>
      <c r="H1342" t="inlineStr">
        <is>
          <t>No</t>
        </is>
      </c>
      <c r="I1342" t="inlineStr">
        <is>
          <t>No</t>
        </is>
      </c>
      <c r="J1342" t="inlineStr">
        <is>
          <t>0</t>
        </is>
      </c>
      <c r="K1342" t="inlineStr">
        <is>
          <t>Kennedy, James Ronald.</t>
        </is>
      </c>
      <c r="L1342" t="inlineStr">
        <is>
          <t>Gretna, La. : Pelican, 1994.</t>
        </is>
      </c>
      <c r="M1342" t="inlineStr">
        <is>
          <t>1994</t>
        </is>
      </c>
      <c r="N1342" t="inlineStr">
        <is>
          <t>2nd ed. rev.</t>
        </is>
      </c>
      <c r="O1342" t="inlineStr">
        <is>
          <t>eng</t>
        </is>
      </c>
      <c r="P1342" t="inlineStr">
        <is>
          <t>lau</t>
        </is>
      </c>
      <c r="R1342" t="inlineStr">
        <is>
          <t xml:space="preserve">E  </t>
        </is>
      </c>
      <c r="S1342" t="n">
        <v>6</v>
      </c>
      <c r="T1342" t="n">
        <v>6</v>
      </c>
      <c r="U1342" t="inlineStr">
        <is>
          <t>2005-10-27</t>
        </is>
      </c>
      <c r="V1342" t="inlineStr">
        <is>
          <t>2005-10-27</t>
        </is>
      </c>
      <c r="W1342" t="inlineStr">
        <is>
          <t>1995-10-30</t>
        </is>
      </c>
      <c r="X1342" t="inlineStr">
        <is>
          <t>1995-10-30</t>
        </is>
      </c>
      <c r="Y1342" t="n">
        <v>426</v>
      </c>
      <c r="Z1342" t="n">
        <v>420</v>
      </c>
      <c r="AA1342" t="n">
        <v>486</v>
      </c>
      <c r="AB1342" t="n">
        <v>3</v>
      </c>
      <c r="AC1342" t="n">
        <v>3</v>
      </c>
      <c r="AD1342" t="n">
        <v>6</v>
      </c>
      <c r="AE1342" t="n">
        <v>7</v>
      </c>
      <c r="AF1342" t="n">
        <v>2</v>
      </c>
      <c r="AG1342" t="n">
        <v>3</v>
      </c>
      <c r="AH1342" t="n">
        <v>0</v>
      </c>
      <c r="AI1342" t="n">
        <v>0</v>
      </c>
      <c r="AJ1342" t="n">
        <v>2</v>
      </c>
      <c r="AK1342" t="n">
        <v>2</v>
      </c>
      <c r="AL1342" t="n">
        <v>2</v>
      </c>
      <c r="AM1342" t="n">
        <v>2</v>
      </c>
      <c r="AN1342" t="n">
        <v>0</v>
      </c>
      <c r="AO1342" t="n">
        <v>0</v>
      </c>
      <c r="AP1342" t="inlineStr">
        <is>
          <t>No</t>
        </is>
      </c>
      <c r="AQ1342" t="inlineStr">
        <is>
          <t>Yes</t>
        </is>
      </c>
      <c r="AR1342">
        <f>HYPERLINK("http://catalog.hathitrust.org/Record/002810074","HathiTrust Record")</f>
        <v/>
      </c>
      <c r="AS1342">
        <f>HYPERLINK("https://creighton-primo.hosted.exlibrisgroup.com/primo-explore/search?tab=default_tab&amp;search_scope=EVERYTHING&amp;vid=01CRU&amp;lang=en_US&amp;offset=0&amp;query=any,contains,991002223109702656","Catalog Record")</f>
        <v/>
      </c>
      <c r="AT1342">
        <f>HYPERLINK("http://www.worldcat.org/oclc/28633737","WorldCat Record")</f>
        <v/>
      </c>
      <c r="AU1342" t="inlineStr">
        <is>
          <t>30830209:eng</t>
        </is>
      </c>
      <c r="AV1342" t="inlineStr">
        <is>
          <t>28633737</t>
        </is>
      </c>
      <c r="AW1342" t="inlineStr">
        <is>
          <t>991002223109702656</t>
        </is>
      </c>
      <c r="AX1342" t="inlineStr">
        <is>
          <t>991002223109702656</t>
        </is>
      </c>
      <c r="AY1342" t="inlineStr">
        <is>
          <t>2257852430002656</t>
        </is>
      </c>
      <c r="AZ1342" t="inlineStr">
        <is>
          <t>BOOK</t>
        </is>
      </c>
      <c r="BB1342" t="inlineStr">
        <is>
          <t>9781565540248</t>
        </is>
      </c>
      <c r="BC1342" t="inlineStr">
        <is>
          <t>32285002099439</t>
        </is>
      </c>
      <c r="BD1342" t="inlineStr">
        <is>
          <t>893257035</t>
        </is>
      </c>
    </row>
    <row r="1343">
      <c r="A1343" t="inlineStr">
        <is>
          <t>No</t>
        </is>
      </c>
      <c r="B1343" t="inlineStr">
        <is>
          <t>E459 .P67 1976</t>
        </is>
      </c>
      <c r="C1343" t="inlineStr">
        <is>
          <t>0                      E  0459000P  67          1976</t>
        </is>
      </c>
      <c r="D1343" t="inlineStr">
        <is>
          <t>The impending crisis, 1848-1861 / by David M. Potter ; completed and edited by Don E. Fehrenbacher.</t>
        </is>
      </c>
      <c r="F1343" t="inlineStr">
        <is>
          <t>No</t>
        </is>
      </c>
      <c r="G1343" t="inlineStr">
        <is>
          <t>1</t>
        </is>
      </c>
      <c r="H1343" t="inlineStr">
        <is>
          <t>No</t>
        </is>
      </c>
      <c r="I1343" t="inlineStr">
        <is>
          <t>No</t>
        </is>
      </c>
      <c r="J1343" t="inlineStr">
        <is>
          <t>0</t>
        </is>
      </c>
      <c r="K1343" t="inlineStr">
        <is>
          <t>Potter, David Morris.</t>
        </is>
      </c>
      <c r="L1343" t="inlineStr">
        <is>
          <t>New York : Harper &amp; Row, c1976.</t>
        </is>
      </c>
      <c r="M1343" t="inlineStr">
        <is>
          <t>1976</t>
        </is>
      </c>
      <c r="N1343" t="inlineStr">
        <is>
          <t>1st ed.</t>
        </is>
      </c>
      <c r="O1343" t="inlineStr">
        <is>
          <t>eng</t>
        </is>
      </c>
      <c r="P1343" t="inlineStr">
        <is>
          <t>nyu</t>
        </is>
      </c>
      <c r="Q1343" t="inlineStr">
        <is>
          <t>The New American Nation series</t>
        </is>
      </c>
      <c r="R1343" t="inlineStr">
        <is>
          <t xml:space="preserve">E  </t>
        </is>
      </c>
      <c r="S1343" t="n">
        <v>7</v>
      </c>
      <c r="T1343" t="n">
        <v>7</v>
      </c>
      <c r="U1343" t="inlineStr">
        <is>
          <t>2001-12-06</t>
        </is>
      </c>
      <c r="V1343" t="inlineStr">
        <is>
          <t>2001-12-06</t>
        </is>
      </c>
      <c r="W1343" t="inlineStr">
        <is>
          <t>1994-05-11</t>
        </is>
      </c>
      <c r="X1343" t="inlineStr">
        <is>
          <t>1994-05-11</t>
        </is>
      </c>
      <c r="Y1343" t="n">
        <v>2089</v>
      </c>
      <c r="Z1343" t="n">
        <v>1873</v>
      </c>
      <c r="AA1343" t="n">
        <v>1947</v>
      </c>
      <c r="AB1343" t="n">
        <v>18</v>
      </c>
      <c r="AC1343" t="n">
        <v>18</v>
      </c>
      <c r="AD1343" t="n">
        <v>60</v>
      </c>
      <c r="AE1343" t="n">
        <v>61</v>
      </c>
      <c r="AF1343" t="n">
        <v>26</v>
      </c>
      <c r="AG1343" t="n">
        <v>26</v>
      </c>
      <c r="AH1343" t="n">
        <v>9</v>
      </c>
      <c r="AI1343" t="n">
        <v>10</v>
      </c>
      <c r="AJ1343" t="n">
        <v>25</v>
      </c>
      <c r="AK1343" t="n">
        <v>25</v>
      </c>
      <c r="AL1343" t="n">
        <v>12</v>
      </c>
      <c r="AM1343" t="n">
        <v>12</v>
      </c>
      <c r="AN1343" t="n">
        <v>1</v>
      </c>
      <c r="AO1343" t="n">
        <v>1</v>
      </c>
      <c r="AP1343" t="inlineStr">
        <is>
          <t>No</t>
        </is>
      </c>
      <c r="AQ1343" t="inlineStr">
        <is>
          <t>Yes</t>
        </is>
      </c>
      <c r="AR1343">
        <f>HYPERLINK("http://catalog.hathitrust.org/Record/000025513","HathiTrust Record")</f>
        <v/>
      </c>
      <c r="AS1343">
        <f>HYPERLINK("https://creighton-primo.hosted.exlibrisgroup.com/primo-explore/search?tab=default_tab&amp;search_scope=EVERYTHING&amp;vid=01CRU&amp;lang=en_US&amp;offset=0&amp;query=any,contains,991003817659702656","Catalog Record")</f>
        <v/>
      </c>
      <c r="AT1343">
        <f>HYPERLINK("http://www.worldcat.org/oclc/1551249","WorldCat Record")</f>
        <v/>
      </c>
      <c r="AU1343" t="inlineStr">
        <is>
          <t>1950531:eng</t>
        </is>
      </c>
      <c r="AV1343" t="inlineStr">
        <is>
          <t>1551249</t>
        </is>
      </c>
      <c r="AW1343" t="inlineStr">
        <is>
          <t>991003817659702656</t>
        </is>
      </c>
      <c r="AX1343" t="inlineStr">
        <is>
          <t>991003817659702656</t>
        </is>
      </c>
      <c r="AY1343" t="inlineStr">
        <is>
          <t>2265670350002656</t>
        </is>
      </c>
      <c r="AZ1343" t="inlineStr">
        <is>
          <t>BOOK</t>
        </is>
      </c>
      <c r="BB1343" t="inlineStr">
        <is>
          <t>9780060134037</t>
        </is>
      </c>
      <c r="BC1343" t="inlineStr">
        <is>
          <t>32285001910578</t>
        </is>
      </c>
      <c r="BD1343" t="inlineStr">
        <is>
          <t>893422999</t>
        </is>
      </c>
    </row>
    <row r="1344">
      <c r="A1344" t="inlineStr">
        <is>
          <t>No</t>
        </is>
      </c>
      <c r="B1344" t="inlineStr">
        <is>
          <t>E462 .D38 1996</t>
        </is>
      </c>
      <c r="C1344" t="inlineStr">
        <is>
          <t>0                      E  0462000D  38          1996</t>
        </is>
      </c>
      <c r="D1344" t="inlineStr">
        <is>
          <t>Don't know much about the Civil War : everything you need to know about America's greatest conflict but never learned / Kenneth C. Davis.</t>
        </is>
      </c>
      <c r="F1344" t="inlineStr">
        <is>
          <t>No</t>
        </is>
      </c>
      <c r="G1344" t="inlineStr">
        <is>
          <t>1</t>
        </is>
      </c>
      <c r="H1344" t="inlineStr">
        <is>
          <t>No</t>
        </is>
      </c>
      <c r="I1344" t="inlineStr">
        <is>
          <t>No</t>
        </is>
      </c>
      <c r="J1344" t="inlineStr">
        <is>
          <t>0</t>
        </is>
      </c>
      <c r="K1344" t="inlineStr">
        <is>
          <t>Davis, Kenneth C.</t>
        </is>
      </c>
      <c r="L1344" t="inlineStr">
        <is>
          <t>New York : William Morrow, c1996.</t>
        </is>
      </c>
      <c r="M1344" t="inlineStr">
        <is>
          <t>1996</t>
        </is>
      </c>
      <c r="N1344" t="inlineStr">
        <is>
          <t>1st ed.</t>
        </is>
      </c>
      <c r="O1344" t="inlineStr">
        <is>
          <t>eng</t>
        </is>
      </c>
      <c r="P1344" t="inlineStr">
        <is>
          <t>nyu</t>
        </is>
      </c>
      <c r="R1344" t="inlineStr">
        <is>
          <t xml:space="preserve">E  </t>
        </is>
      </c>
      <c r="S1344" t="n">
        <v>3</v>
      </c>
      <c r="T1344" t="n">
        <v>3</v>
      </c>
      <c r="U1344" t="inlineStr">
        <is>
          <t>1996-08-26</t>
        </is>
      </c>
      <c r="V1344" t="inlineStr">
        <is>
          <t>1996-08-26</t>
        </is>
      </c>
      <c r="W1344" t="inlineStr">
        <is>
          <t>1996-08-06</t>
        </is>
      </c>
      <c r="X1344" t="inlineStr">
        <is>
          <t>1996-08-06</t>
        </is>
      </c>
      <c r="Y1344" t="n">
        <v>1429</v>
      </c>
      <c r="Z1344" t="n">
        <v>1397</v>
      </c>
      <c r="AA1344" t="n">
        <v>1704</v>
      </c>
      <c r="AB1344" t="n">
        <v>12</v>
      </c>
      <c r="AC1344" t="n">
        <v>14</v>
      </c>
      <c r="AD1344" t="n">
        <v>12</v>
      </c>
      <c r="AE1344" t="n">
        <v>16</v>
      </c>
      <c r="AF1344" t="n">
        <v>2</v>
      </c>
      <c r="AG1344" t="n">
        <v>4</v>
      </c>
      <c r="AH1344" t="n">
        <v>1</v>
      </c>
      <c r="AI1344" t="n">
        <v>2</v>
      </c>
      <c r="AJ1344" t="n">
        <v>6</v>
      </c>
      <c r="AK1344" t="n">
        <v>7</v>
      </c>
      <c r="AL1344" t="n">
        <v>3</v>
      </c>
      <c r="AM1344" t="n">
        <v>4</v>
      </c>
      <c r="AN1344" t="n">
        <v>0</v>
      </c>
      <c r="AO1344" t="n">
        <v>0</v>
      </c>
      <c r="AP1344" t="inlineStr">
        <is>
          <t>No</t>
        </is>
      </c>
      <c r="AQ1344" t="inlineStr">
        <is>
          <t>No</t>
        </is>
      </c>
      <c r="AS1344">
        <f>HYPERLINK("https://creighton-primo.hosted.exlibrisgroup.com/primo-explore/search?tab=default_tab&amp;search_scope=EVERYTHING&amp;vid=01CRU&amp;lang=en_US&amp;offset=0&amp;query=any,contains,991002590499702656","Catalog Record")</f>
        <v/>
      </c>
      <c r="AT1344">
        <f>HYPERLINK("http://www.worldcat.org/oclc/33948054","WorldCat Record")</f>
        <v/>
      </c>
      <c r="AU1344" t="inlineStr">
        <is>
          <t>534087:eng</t>
        </is>
      </c>
      <c r="AV1344" t="inlineStr">
        <is>
          <t>33948054</t>
        </is>
      </c>
      <c r="AW1344" t="inlineStr">
        <is>
          <t>991002590499702656</t>
        </is>
      </c>
      <c r="AX1344" t="inlineStr">
        <is>
          <t>991002590499702656</t>
        </is>
      </c>
      <c r="AY1344" t="inlineStr">
        <is>
          <t>2260821590002656</t>
        </is>
      </c>
      <c r="AZ1344" t="inlineStr">
        <is>
          <t>BOOK</t>
        </is>
      </c>
      <c r="BB1344" t="inlineStr">
        <is>
          <t>9780688118143</t>
        </is>
      </c>
      <c r="BC1344" t="inlineStr">
        <is>
          <t>32285002270931</t>
        </is>
      </c>
      <c r="BD1344" t="inlineStr">
        <is>
          <t>893251415</t>
        </is>
      </c>
    </row>
    <row r="1345">
      <c r="A1345" t="inlineStr">
        <is>
          <t>No</t>
        </is>
      </c>
      <c r="B1345" t="inlineStr">
        <is>
          <t>E464 .F7</t>
        </is>
      </c>
      <c r="C1345" t="inlineStr">
        <is>
          <t>0                      E  0464000F  7</t>
        </is>
      </c>
      <c r="D1345" t="inlineStr">
        <is>
          <t>Union pamphlets of the Civil War, 1861-1865 / edited by Frank Freidel.</t>
        </is>
      </c>
      <c r="E1345" t="inlineStr">
        <is>
          <t>V.1</t>
        </is>
      </c>
      <c r="F1345" t="inlineStr">
        <is>
          <t>Yes</t>
        </is>
      </c>
      <c r="G1345" t="inlineStr">
        <is>
          <t>1</t>
        </is>
      </c>
      <c r="H1345" t="inlineStr">
        <is>
          <t>No</t>
        </is>
      </c>
      <c r="I1345" t="inlineStr">
        <is>
          <t>No</t>
        </is>
      </c>
      <c r="J1345" t="inlineStr">
        <is>
          <t>0</t>
        </is>
      </c>
      <c r="K1345" t="inlineStr">
        <is>
          <t>Freidel, Frank, 1916-1993, compiler.</t>
        </is>
      </c>
      <c r="L1345" t="inlineStr">
        <is>
          <t>Cambridge, Belknap Press of Harvard University Press, 1967.</t>
        </is>
      </c>
      <c r="M1345" t="inlineStr">
        <is>
          <t>1967</t>
        </is>
      </c>
      <c r="O1345" t="inlineStr">
        <is>
          <t>eng</t>
        </is>
      </c>
      <c r="P1345" t="inlineStr">
        <is>
          <t>mau</t>
        </is>
      </c>
      <c r="Q1345" t="inlineStr">
        <is>
          <t>The John Harvard library</t>
        </is>
      </c>
      <c r="R1345" t="inlineStr">
        <is>
          <t xml:space="preserve">E  </t>
        </is>
      </c>
      <c r="S1345" t="n">
        <v>2</v>
      </c>
      <c r="T1345" t="n">
        <v>5</v>
      </c>
      <c r="U1345" t="inlineStr">
        <is>
          <t>2004-12-15</t>
        </is>
      </c>
      <c r="V1345" t="inlineStr">
        <is>
          <t>2004-12-15</t>
        </is>
      </c>
      <c r="W1345" t="inlineStr">
        <is>
          <t>1997-04-21</t>
        </is>
      </c>
      <c r="X1345" t="inlineStr">
        <is>
          <t>1997-04-21</t>
        </is>
      </c>
      <c r="Y1345" t="n">
        <v>944</v>
      </c>
      <c r="Z1345" t="n">
        <v>874</v>
      </c>
      <c r="AA1345" t="n">
        <v>899</v>
      </c>
      <c r="AB1345" t="n">
        <v>6</v>
      </c>
      <c r="AC1345" t="n">
        <v>6</v>
      </c>
      <c r="AD1345" t="n">
        <v>39</v>
      </c>
      <c r="AE1345" t="n">
        <v>40</v>
      </c>
      <c r="AF1345" t="n">
        <v>13</v>
      </c>
      <c r="AG1345" t="n">
        <v>14</v>
      </c>
      <c r="AH1345" t="n">
        <v>8</v>
      </c>
      <c r="AI1345" t="n">
        <v>8</v>
      </c>
      <c r="AJ1345" t="n">
        <v>21</v>
      </c>
      <c r="AK1345" t="n">
        <v>22</v>
      </c>
      <c r="AL1345" t="n">
        <v>5</v>
      </c>
      <c r="AM1345" t="n">
        <v>5</v>
      </c>
      <c r="AN1345" t="n">
        <v>0</v>
      </c>
      <c r="AO1345" t="n">
        <v>0</v>
      </c>
      <c r="AP1345" t="inlineStr">
        <is>
          <t>No</t>
        </is>
      </c>
      <c r="AQ1345" t="inlineStr">
        <is>
          <t>Yes</t>
        </is>
      </c>
      <c r="AR1345">
        <f>HYPERLINK("http://catalog.hathitrust.org/Record/000564633","HathiTrust Record")</f>
        <v/>
      </c>
      <c r="AS1345">
        <f>HYPERLINK("https://creighton-primo.hosted.exlibrisgroup.com/primo-explore/search?tab=default_tab&amp;search_scope=EVERYTHING&amp;vid=01CRU&amp;lang=en_US&amp;offset=0&amp;query=any,contains,991003391999702656","Catalog Record")</f>
        <v/>
      </c>
      <c r="AT1345">
        <f>HYPERLINK("http://www.worldcat.org/oclc/930278","WorldCat Record")</f>
        <v/>
      </c>
      <c r="AU1345" t="inlineStr">
        <is>
          <t>1881232:eng</t>
        </is>
      </c>
      <c r="AV1345" t="inlineStr">
        <is>
          <t>930278</t>
        </is>
      </c>
      <c r="AW1345" t="inlineStr">
        <is>
          <t>991003391999702656</t>
        </is>
      </c>
      <c r="AX1345" t="inlineStr">
        <is>
          <t>991003391999702656</t>
        </is>
      </c>
      <c r="AY1345" t="inlineStr">
        <is>
          <t>2269460200002656</t>
        </is>
      </c>
      <c r="AZ1345" t="inlineStr">
        <is>
          <t>BOOK</t>
        </is>
      </c>
      <c r="BC1345" t="inlineStr">
        <is>
          <t>32285002539475</t>
        </is>
      </c>
      <c r="BD1345" t="inlineStr">
        <is>
          <t>893598547</t>
        </is>
      </c>
    </row>
    <row r="1346">
      <c r="A1346" t="inlineStr">
        <is>
          <t>No</t>
        </is>
      </c>
      <c r="B1346" t="inlineStr">
        <is>
          <t>E464 .F7</t>
        </is>
      </c>
      <c r="C1346" t="inlineStr">
        <is>
          <t>0                      E  0464000F  7</t>
        </is>
      </c>
      <c r="D1346" t="inlineStr">
        <is>
          <t>Union pamphlets of the Civil War, 1861-1865 / edited by Frank Freidel.</t>
        </is>
      </c>
      <c r="E1346" t="inlineStr">
        <is>
          <t>V.2</t>
        </is>
      </c>
      <c r="F1346" t="inlineStr">
        <is>
          <t>Yes</t>
        </is>
      </c>
      <c r="G1346" t="inlineStr">
        <is>
          <t>1</t>
        </is>
      </c>
      <c r="H1346" t="inlineStr">
        <is>
          <t>No</t>
        </is>
      </c>
      <c r="I1346" t="inlineStr">
        <is>
          <t>No</t>
        </is>
      </c>
      <c r="J1346" t="inlineStr">
        <is>
          <t>0</t>
        </is>
      </c>
      <c r="K1346" t="inlineStr">
        <is>
          <t>Freidel, Frank, 1916-1993, compiler.</t>
        </is>
      </c>
      <c r="L1346" t="inlineStr">
        <is>
          <t>Cambridge, Belknap Press of Harvard University Press, 1967.</t>
        </is>
      </c>
      <c r="M1346" t="inlineStr">
        <is>
          <t>1967</t>
        </is>
      </c>
      <c r="O1346" t="inlineStr">
        <is>
          <t>eng</t>
        </is>
      </c>
      <c r="P1346" t="inlineStr">
        <is>
          <t>mau</t>
        </is>
      </c>
      <c r="Q1346" t="inlineStr">
        <is>
          <t>The John Harvard library</t>
        </is>
      </c>
      <c r="R1346" t="inlineStr">
        <is>
          <t xml:space="preserve">E  </t>
        </is>
      </c>
      <c r="S1346" t="n">
        <v>3</v>
      </c>
      <c r="T1346" t="n">
        <v>5</v>
      </c>
      <c r="V1346" t="inlineStr">
        <is>
          <t>2004-12-15</t>
        </is>
      </c>
      <c r="W1346" t="inlineStr">
        <is>
          <t>1997-04-21</t>
        </is>
      </c>
      <c r="X1346" t="inlineStr">
        <is>
          <t>1997-04-21</t>
        </is>
      </c>
      <c r="Y1346" t="n">
        <v>944</v>
      </c>
      <c r="Z1346" t="n">
        <v>874</v>
      </c>
      <c r="AA1346" t="n">
        <v>899</v>
      </c>
      <c r="AB1346" t="n">
        <v>6</v>
      </c>
      <c r="AC1346" t="n">
        <v>6</v>
      </c>
      <c r="AD1346" t="n">
        <v>39</v>
      </c>
      <c r="AE1346" t="n">
        <v>40</v>
      </c>
      <c r="AF1346" t="n">
        <v>13</v>
      </c>
      <c r="AG1346" t="n">
        <v>14</v>
      </c>
      <c r="AH1346" t="n">
        <v>8</v>
      </c>
      <c r="AI1346" t="n">
        <v>8</v>
      </c>
      <c r="AJ1346" t="n">
        <v>21</v>
      </c>
      <c r="AK1346" t="n">
        <v>22</v>
      </c>
      <c r="AL1346" t="n">
        <v>5</v>
      </c>
      <c r="AM1346" t="n">
        <v>5</v>
      </c>
      <c r="AN1346" t="n">
        <v>0</v>
      </c>
      <c r="AO1346" t="n">
        <v>0</v>
      </c>
      <c r="AP1346" t="inlineStr">
        <is>
          <t>No</t>
        </is>
      </c>
      <c r="AQ1346" t="inlineStr">
        <is>
          <t>Yes</t>
        </is>
      </c>
      <c r="AR1346">
        <f>HYPERLINK("http://catalog.hathitrust.org/Record/000564633","HathiTrust Record")</f>
        <v/>
      </c>
      <c r="AS1346">
        <f>HYPERLINK("https://creighton-primo.hosted.exlibrisgroup.com/primo-explore/search?tab=default_tab&amp;search_scope=EVERYTHING&amp;vid=01CRU&amp;lang=en_US&amp;offset=0&amp;query=any,contains,991003391999702656","Catalog Record")</f>
        <v/>
      </c>
      <c r="AT1346">
        <f>HYPERLINK("http://www.worldcat.org/oclc/930278","WorldCat Record")</f>
        <v/>
      </c>
      <c r="AU1346" t="inlineStr">
        <is>
          <t>1881232:eng</t>
        </is>
      </c>
      <c r="AV1346" t="inlineStr">
        <is>
          <t>930278</t>
        </is>
      </c>
      <c r="AW1346" t="inlineStr">
        <is>
          <t>991003391999702656</t>
        </is>
      </c>
      <c r="AX1346" t="inlineStr">
        <is>
          <t>991003391999702656</t>
        </is>
      </c>
      <c r="AY1346" t="inlineStr">
        <is>
          <t>2269460200002656</t>
        </is>
      </c>
      <c r="AZ1346" t="inlineStr">
        <is>
          <t>BOOK</t>
        </is>
      </c>
      <c r="BC1346" t="inlineStr">
        <is>
          <t>32285002539483</t>
        </is>
      </c>
      <c r="BD1346" t="inlineStr">
        <is>
          <t>893604754</t>
        </is>
      </c>
    </row>
    <row r="1347">
      <c r="A1347" t="inlineStr">
        <is>
          <t>No</t>
        </is>
      </c>
      <c r="B1347" t="inlineStr">
        <is>
          <t>E464 .H4</t>
        </is>
      </c>
      <c r="C1347" t="inlineStr">
        <is>
          <t>0                      E  0464000H  4</t>
        </is>
      </c>
      <c r="D1347" t="inlineStr">
        <is>
          <t>The tragic conflict : the Civil War and reconstruction / selected and edited with introd. and notes by William B. Hesseltine.</t>
        </is>
      </c>
      <c r="F1347" t="inlineStr">
        <is>
          <t>No</t>
        </is>
      </c>
      <c r="G1347" t="inlineStr">
        <is>
          <t>1</t>
        </is>
      </c>
      <c r="H1347" t="inlineStr">
        <is>
          <t>No</t>
        </is>
      </c>
      <c r="I1347" t="inlineStr">
        <is>
          <t>No</t>
        </is>
      </c>
      <c r="J1347" t="inlineStr">
        <is>
          <t>0</t>
        </is>
      </c>
      <c r="K1347" t="inlineStr">
        <is>
          <t>Hesseltine, William B. (William Best), 1902-1963 editor.</t>
        </is>
      </c>
      <c r="L1347" t="inlineStr">
        <is>
          <t>New York : G. Braziller, 1962.</t>
        </is>
      </c>
      <c r="M1347" t="inlineStr">
        <is>
          <t>1962</t>
        </is>
      </c>
      <c r="O1347" t="inlineStr">
        <is>
          <t>eng</t>
        </is>
      </c>
      <c r="P1347" t="inlineStr">
        <is>
          <t>nyu</t>
        </is>
      </c>
      <c r="Q1347" t="inlineStr">
        <is>
          <t>[The American epochs series]</t>
        </is>
      </c>
      <c r="R1347" t="inlineStr">
        <is>
          <t xml:space="preserve">E  </t>
        </is>
      </c>
      <c r="S1347" t="n">
        <v>4</v>
      </c>
      <c r="T1347" t="n">
        <v>4</v>
      </c>
      <c r="U1347" t="inlineStr">
        <is>
          <t>1996-04-09</t>
        </is>
      </c>
      <c r="V1347" t="inlineStr">
        <is>
          <t>1996-04-09</t>
        </is>
      </c>
      <c r="W1347" t="inlineStr">
        <is>
          <t>1990-02-16</t>
        </is>
      </c>
      <c r="X1347" t="inlineStr">
        <is>
          <t>1990-02-16</t>
        </is>
      </c>
      <c r="Y1347" t="n">
        <v>1264</v>
      </c>
      <c r="Z1347" t="n">
        <v>1201</v>
      </c>
      <c r="AA1347" t="n">
        <v>1206</v>
      </c>
      <c r="AB1347" t="n">
        <v>10</v>
      </c>
      <c r="AC1347" t="n">
        <v>10</v>
      </c>
      <c r="AD1347" t="n">
        <v>48</v>
      </c>
      <c r="AE1347" t="n">
        <v>48</v>
      </c>
      <c r="AF1347" t="n">
        <v>21</v>
      </c>
      <c r="AG1347" t="n">
        <v>21</v>
      </c>
      <c r="AH1347" t="n">
        <v>9</v>
      </c>
      <c r="AI1347" t="n">
        <v>9</v>
      </c>
      <c r="AJ1347" t="n">
        <v>23</v>
      </c>
      <c r="AK1347" t="n">
        <v>23</v>
      </c>
      <c r="AL1347" t="n">
        <v>8</v>
      </c>
      <c r="AM1347" t="n">
        <v>8</v>
      </c>
      <c r="AN1347" t="n">
        <v>0</v>
      </c>
      <c r="AO1347" t="n">
        <v>0</v>
      </c>
      <c r="AP1347" t="inlineStr">
        <is>
          <t>No</t>
        </is>
      </c>
      <c r="AQ1347" t="inlineStr">
        <is>
          <t>No</t>
        </is>
      </c>
      <c r="AR1347">
        <f>HYPERLINK("http://catalog.hathitrust.org/Record/000564557","HathiTrust Record")</f>
        <v/>
      </c>
      <c r="AS1347">
        <f>HYPERLINK("https://creighton-primo.hosted.exlibrisgroup.com/primo-explore/search?tab=default_tab&amp;search_scope=EVERYTHING&amp;vid=01CRU&amp;lang=en_US&amp;offset=0&amp;query=any,contains,991003577679702656","Catalog Record")</f>
        <v/>
      </c>
      <c r="AT1347">
        <f>HYPERLINK("http://www.worldcat.org/oclc/1157412","WorldCat Record")</f>
        <v/>
      </c>
      <c r="AU1347" t="inlineStr">
        <is>
          <t>303762291:eng</t>
        </is>
      </c>
      <c r="AV1347" t="inlineStr">
        <is>
          <t>1157412</t>
        </is>
      </c>
      <c r="AW1347" t="inlineStr">
        <is>
          <t>991003577679702656</t>
        </is>
      </c>
      <c r="AX1347" t="inlineStr">
        <is>
          <t>991003577679702656</t>
        </is>
      </c>
      <c r="AY1347" t="inlineStr">
        <is>
          <t>2264076720002656</t>
        </is>
      </c>
      <c r="AZ1347" t="inlineStr">
        <is>
          <t>BOOK</t>
        </is>
      </c>
      <c r="BC1347" t="inlineStr">
        <is>
          <t>32285000042274</t>
        </is>
      </c>
      <c r="BD1347" t="inlineStr">
        <is>
          <t>893598720</t>
        </is>
      </c>
    </row>
    <row r="1348">
      <c r="A1348" t="inlineStr">
        <is>
          <t>No</t>
        </is>
      </c>
      <c r="B1348" t="inlineStr">
        <is>
          <t>E467 .A53 1994</t>
        </is>
      </c>
      <c r="C1348" t="inlineStr">
        <is>
          <t>0                      E  0467000A  53          1994</t>
        </is>
      </c>
      <c r="D1348" t="inlineStr">
        <is>
          <t>The generals : Ulysses S. Grant and Robert E. Lee / by Nancy Scott Anderson and Dwight Anderson.</t>
        </is>
      </c>
      <c r="F1348" t="inlineStr">
        <is>
          <t>No</t>
        </is>
      </c>
      <c r="G1348" t="inlineStr">
        <is>
          <t>1</t>
        </is>
      </c>
      <c r="H1348" t="inlineStr">
        <is>
          <t>No</t>
        </is>
      </c>
      <c r="I1348" t="inlineStr">
        <is>
          <t>No</t>
        </is>
      </c>
      <c r="J1348" t="inlineStr">
        <is>
          <t>0</t>
        </is>
      </c>
      <c r="K1348" t="inlineStr">
        <is>
          <t>McLaughlin, Nancy Scott, 1939-2019.</t>
        </is>
      </c>
      <c r="L1348" t="inlineStr">
        <is>
          <t>New York : Wings Books ; Avenel, N.J. : Distributed by Random House Value Pub., 1994.</t>
        </is>
      </c>
      <c r="M1348" t="inlineStr">
        <is>
          <t>1994</t>
        </is>
      </c>
      <c r="O1348" t="inlineStr">
        <is>
          <t>eng</t>
        </is>
      </c>
      <c r="P1348" t="inlineStr">
        <is>
          <t>nyu</t>
        </is>
      </c>
      <c r="R1348" t="inlineStr">
        <is>
          <t xml:space="preserve">E  </t>
        </is>
      </c>
      <c r="S1348" t="n">
        <v>3</v>
      </c>
      <c r="T1348" t="n">
        <v>3</v>
      </c>
      <c r="U1348" t="inlineStr">
        <is>
          <t>2005-12-01</t>
        </is>
      </c>
      <c r="V1348" t="inlineStr">
        <is>
          <t>2005-12-01</t>
        </is>
      </c>
      <c r="W1348" t="inlineStr">
        <is>
          <t>1997-08-11</t>
        </is>
      </c>
      <c r="X1348" t="inlineStr">
        <is>
          <t>1997-08-11</t>
        </is>
      </c>
      <c r="Y1348" t="n">
        <v>124</v>
      </c>
      <c r="Z1348" t="n">
        <v>122</v>
      </c>
      <c r="AA1348" t="n">
        <v>1299</v>
      </c>
      <c r="AB1348" t="n">
        <v>2</v>
      </c>
      <c r="AC1348" t="n">
        <v>7</v>
      </c>
      <c r="AD1348" t="n">
        <v>2</v>
      </c>
      <c r="AE1348" t="n">
        <v>35</v>
      </c>
      <c r="AF1348" t="n">
        <v>1</v>
      </c>
      <c r="AG1348" t="n">
        <v>17</v>
      </c>
      <c r="AH1348" t="n">
        <v>0</v>
      </c>
      <c r="AI1348" t="n">
        <v>6</v>
      </c>
      <c r="AJ1348" t="n">
        <v>2</v>
      </c>
      <c r="AK1348" t="n">
        <v>16</v>
      </c>
      <c r="AL1348" t="n">
        <v>0</v>
      </c>
      <c r="AM1348" t="n">
        <v>4</v>
      </c>
      <c r="AN1348" t="n">
        <v>0</v>
      </c>
      <c r="AO1348" t="n">
        <v>0</v>
      </c>
      <c r="AP1348" t="inlineStr">
        <is>
          <t>No</t>
        </is>
      </c>
      <c r="AQ1348" t="inlineStr">
        <is>
          <t>No</t>
        </is>
      </c>
      <c r="AS1348">
        <f>HYPERLINK("https://creighton-primo.hosted.exlibrisgroup.com/primo-explore/search?tab=default_tab&amp;search_scope=EVERYTHING&amp;vid=01CRU&amp;lang=en_US&amp;offset=0&amp;query=any,contains,991002321759702656","Catalog Record")</f>
        <v/>
      </c>
      <c r="AT1348">
        <f>HYPERLINK("http://www.worldcat.org/oclc/30110405","WorldCat Record")</f>
        <v/>
      </c>
      <c r="AU1348" t="inlineStr">
        <is>
          <t>12764757:eng</t>
        </is>
      </c>
      <c r="AV1348" t="inlineStr">
        <is>
          <t>30110405</t>
        </is>
      </c>
      <c r="AW1348" t="inlineStr">
        <is>
          <t>991002321759702656</t>
        </is>
      </c>
      <c r="AX1348" t="inlineStr">
        <is>
          <t>991002321759702656</t>
        </is>
      </c>
      <c r="AY1348" t="inlineStr">
        <is>
          <t>2256246780002656</t>
        </is>
      </c>
      <c r="AZ1348" t="inlineStr">
        <is>
          <t>BOOK</t>
        </is>
      </c>
      <c r="BB1348" t="inlineStr">
        <is>
          <t>9780517118856</t>
        </is>
      </c>
      <c r="BC1348" t="inlineStr">
        <is>
          <t>32285003000923</t>
        </is>
      </c>
      <c r="BD1348" t="inlineStr">
        <is>
          <t>893523464</t>
        </is>
      </c>
    </row>
    <row r="1349">
      <c r="A1349" t="inlineStr">
        <is>
          <t>No</t>
        </is>
      </c>
      <c r="B1349" t="inlineStr">
        <is>
          <t>E467 .B78</t>
        </is>
      </c>
      <c r="C1349" t="inlineStr">
        <is>
          <t>0                      E  0467000B  78</t>
        </is>
      </c>
      <c r="D1349" t="inlineStr">
        <is>
          <t>Confederate portraits, by Gamaliel Bradford.</t>
        </is>
      </c>
      <c r="F1349" t="inlineStr">
        <is>
          <t>No</t>
        </is>
      </c>
      <c r="G1349" t="inlineStr">
        <is>
          <t>1</t>
        </is>
      </c>
      <c r="H1349" t="inlineStr">
        <is>
          <t>No</t>
        </is>
      </c>
      <c r="I1349" t="inlineStr">
        <is>
          <t>No</t>
        </is>
      </c>
      <c r="J1349" t="inlineStr">
        <is>
          <t>0</t>
        </is>
      </c>
      <c r="K1349" t="inlineStr">
        <is>
          <t>Bradford, Gamaliel, 1863-1932.</t>
        </is>
      </c>
      <c r="L1349" t="inlineStr">
        <is>
          <t>Boston, New York, Houghton Mifflin Company, 1914.</t>
        </is>
      </c>
      <c r="M1349" t="inlineStr">
        <is>
          <t>1914</t>
        </is>
      </c>
      <c r="O1349" t="inlineStr">
        <is>
          <t>eng</t>
        </is>
      </c>
      <c r="P1349" t="inlineStr">
        <is>
          <t>mau</t>
        </is>
      </c>
      <c r="R1349" t="inlineStr">
        <is>
          <t xml:space="preserve">E  </t>
        </is>
      </c>
      <c r="S1349" t="n">
        <v>4</v>
      </c>
      <c r="T1349" t="n">
        <v>4</v>
      </c>
      <c r="U1349" t="inlineStr">
        <is>
          <t>2002-03-24</t>
        </is>
      </c>
      <c r="V1349" t="inlineStr">
        <is>
          <t>2002-03-24</t>
        </is>
      </c>
      <c r="W1349" t="inlineStr">
        <is>
          <t>1997-04-17</t>
        </is>
      </c>
      <c r="X1349" t="inlineStr">
        <is>
          <t>1997-04-17</t>
        </is>
      </c>
      <c r="Y1349" t="n">
        <v>540</v>
      </c>
      <c r="Z1349" t="n">
        <v>524</v>
      </c>
      <c r="AA1349" t="n">
        <v>921</v>
      </c>
      <c r="AB1349" t="n">
        <v>4</v>
      </c>
      <c r="AC1349" t="n">
        <v>4</v>
      </c>
      <c r="AD1349" t="n">
        <v>15</v>
      </c>
      <c r="AE1349" t="n">
        <v>29</v>
      </c>
      <c r="AF1349" t="n">
        <v>6</v>
      </c>
      <c r="AG1349" t="n">
        <v>13</v>
      </c>
      <c r="AH1349" t="n">
        <v>5</v>
      </c>
      <c r="AI1349" t="n">
        <v>7</v>
      </c>
      <c r="AJ1349" t="n">
        <v>7</v>
      </c>
      <c r="AK1349" t="n">
        <v>14</v>
      </c>
      <c r="AL1349" t="n">
        <v>2</v>
      </c>
      <c r="AM1349" t="n">
        <v>2</v>
      </c>
      <c r="AN1349" t="n">
        <v>0</v>
      </c>
      <c r="AO1349" t="n">
        <v>0</v>
      </c>
      <c r="AP1349" t="inlineStr">
        <is>
          <t>Yes</t>
        </is>
      </c>
      <c r="AQ1349" t="inlineStr">
        <is>
          <t>No</t>
        </is>
      </c>
      <c r="AR1349">
        <f>HYPERLINK("http://catalog.hathitrust.org/Record/000318869","HathiTrust Record")</f>
        <v/>
      </c>
      <c r="AS1349">
        <f>HYPERLINK("https://creighton-primo.hosted.exlibrisgroup.com/primo-explore/search?tab=default_tab&amp;search_scope=EVERYTHING&amp;vid=01CRU&amp;lang=en_US&amp;offset=0&amp;query=any,contains,991003769729702656","Catalog Record")</f>
        <v/>
      </c>
      <c r="AT1349">
        <f>HYPERLINK("http://www.worldcat.org/oclc/1468070","WorldCat Record")</f>
        <v/>
      </c>
      <c r="AU1349" t="inlineStr">
        <is>
          <t>1589271:eng</t>
        </is>
      </c>
      <c r="AV1349" t="inlineStr">
        <is>
          <t>1468070</t>
        </is>
      </c>
      <c r="AW1349" t="inlineStr">
        <is>
          <t>991003769729702656</t>
        </is>
      </c>
      <c r="AX1349" t="inlineStr">
        <is>
          <t>991003769729702656</t>
        </is>
      </c>
      <c r="AY1349" t="inlineStr">
        <is>
          <t>2259727220002656</t>
        </is>
      </c>
      <c r="AZ1349" t="inlineStr">
        <is>
          <t>BOOK</t>
        </is>
      </c>
      <c r="BC1349" t="inlineStr">
        <is>
          <t>32285002539491</t>
        </is>
      </c>
      <c r="BD1349" t="inlineStr">
        <is>
          <t>893318389</t>
        </is>
      </c>
    </row>
    <row r="1350">
      <c r="A1350" t="inlineStr">
        <is>
          <t>No</t>
        </is>
      </c>
      <c r="B1350" t="inlineStr">
        <is>
          <t>E467 .F557 2005</t>
        </is>
      </c>
      <c r="C1350" t="inlineStr">
        <is>
          <t>0                      E  0467000F  557         2005</t>
        </is>
      </c>
      <c r="D1350" t="inlineStr">
        <is>
          <t>Grant and Sherman : the friendship that won the Civil War / Charles Bracelen Flood.</t>
        </is>
      </c>
      <c r="F1350" t="inlineStr">
        <is>
          <t>No</t>
        </is>
      </c>
      <c r="G1350" t="inlineStr">
        <is>
          <t>1</t>
        </is>
      </c>
      <c r="H1350" t="inlineStr">
        <is>
          <t>No</t>
        </is>
      </c>
      <c r="I1350" t="inlineStr">
        <is>
          <t>No</t>
        </is>
      </c>
      <c r="J1350" t="inlineStr">
        <is>
          <t>0</t>
        </is>
      </c>
      <c r="K1350" t="inlineStr">
        <is>
          <t>Flood, Charles Bracelen.</t>
        </is>
      </c>
      <c r="L1350" t="inlineStr">
        <is>
          <t>New York : Farrar, Straus and Giroux, 2005.</t>
        </is>
      </c>
      <c r="M1350" t="inlineStr">
        <is>
          <t>2005</t>
        </is>
      </c>
      <c r="N1350" t="inlineStr">
        <is>
          <t>1st ed.</t>
        </is>
      </c>
      <c r="O1350" t="inlineStr">
        <is>
          <t>eng</t>
        </is>
      </c>
      <c r="P1350" t="inlineStr">
        <is>
          <t>nyu</t>
        </is>
      </c>
      <c r="R1350" t="inlineStr">
        <is>
          <t xml:space="preserve">E  </t>
        </is>
      </c>
      <c r="S1350" t="n">
        <v>1</v>
      </c>
      <c r="T1350" t="n">
        <v>1</v>
      </c>
      <c r="U1350" t="inlineStr">
        <is>
          <t>2005-10-13</t>
        </is>
      </c>
      <c r="V1350" t="inlineStr">
        <is>
          <t>2005-10-13</t>
        </is>
      </c>
      <c r="W1350" t="inlineStr">
        <is>
          <t>2005-10-12</t>
        </is>
      </c>
      <c r="X1350" t="inlineStr">
        <is>
          <t>2005-10-12</t>
        </is>
      </c>
      <c r="Y1350" t="n">
        <v>1426</v>
      </c>
      <c r="Z1350" t="n">
        <v>1398</v>
      </c>
      <c r="AA1350" t="n">
        <v>1503</v>
      </c>
      <c r="AB1350" t="n">
        <v>16</v>
      </c>
      <c r="AC1350" t="n">
        <v>16</v>
      </c>
      <c r="AD1350" t="n">
        <v>30</v>
      </c>
      <c r="AE1350" t="n">
        <v>32</v>
      </c>
      <c r="AF1350" t="n">
        <v>14</v>
      </c>
      <c r="AG1350" t="n">
        <v>14</v>
      </c>
      <c r="AH1350" t="n">
        <v>7</v>
      </c>
      <c r="AI1350" t="n">
        <v>7</v>
      </c>
      <c r="AJ1350" t="n">
        <v>11</v>
      </c>
      <c r="AK1350" t="n">
        <v>13</v>
      </c>
      <c r="AL1350" t="n">
        <v>6</v>
      </c>
      <c r="AM1350" t="n">
        <v>6</v>
      </c>
      <c r="AN1350" t="n">
        <v>0</v>
      </c>
      <c r="AO1350" t="n">
        <v>0</v>
      </c>
      <c r="AP1350" t="inlineStr">
        <is>
          <t>No</t>
        </is>
      </c>
      <c r="AQ1350" t="inlineStr">
        <is>
          <t>No</t>
        </is>
      </c>
      <c r="AS1350">
        <f>HYPERLINK("https://creighton-primo.hosted.exlibrisgroup.com/primo-explore/search?tab=default_tab&amp;search_scope=EVERYTHING&amp;vid=01CRU&amp;lang=en_US&amp;offset=0&amp;query=any,contains,991004628569702656","Catalog Record")</f>
        <v/>
      </c>
      <c r="AT1350">
        <f>HYPERLINK("http://www.worldcat.org/oclc/57694861","WorldCat Record")</f>
        <v/>
      </c>
      <c r="AU1350" t="inlineStr">
        <is>
          <t>878648:eng</t>
        </is>
      </c>
      <c r="AV1350" t="inlineStr">
        <is>
          <t>57694861</t>
        </is>
      </c>
      <c r="AW1350" t="inlineStr">
        <is>
          <t>991004628569702656</t>
        </is>
      </c>
      <c r="AX1350" t="inlineStr">
        <is>
          <t>991004628569702656</t>
        </is>
      </c>
      <c r="AY1350" t="inlineStr">
        <is>
          <t>2266066630002656</t>
        </is>
      </c>
      <c r="AZ1350" t="inlineStr">
        <is>
          <t>BOOK</t>
        </is>
      </c>
      <c r="BB1350" t="inlineStr">
        <is>
          <t>9780374166007</t>
        </is>
      </c>
      <c r="BC1350" t="inlineStr">
        <is>
          <t>32285005088884</t>
        </is>
      </c>
      <c r="BD1350" t="inlineStr">
        <is>
          <t>893869923</t>
        </is>
      </c>
    </row>
    <row r="1351">
      <c r="A1351" t="inlineStr">
        <is>
          <t>No</t>
        </is>
      </c>
      <c r="B1351" t="inlineStr">
        <is>
          <t>E467 .G77 1985</t>
        </is>
      </c>
      <c r="C1351" t="inlineStr">
        <is>
          <t>0                      E  0467000G  77          1985</t>
        </is>
      </c>
      <c r="D1351" t="inlineStr">
        <is>
          <t>Great Civil War heroes and their battles / edited and with an introduction by Walton Rawls.</t>
        </is>
      </c>
      <c r="F1351" t="inlineStr">
        <is>
          <t>No</t>
        </is>
      </c>
      <c r="G1351" t="inlineStr">
        <is>
          <t>1</t>
        </is>
      </c>
      <c r="H1351" t="inlineStr">
        <is>
          <t>No</t>
        </is>
      </c>
      <c r="I1351" t="inlineStr">
        <is>
          <t>No</t>
        </is>
      </c>
      <c r="J1351" t="inlineStr">
        <is>
          <t>0</t>
        </is>
      </c>
      <c r="L1351" t="inlineStr">
        <is>
          <t>New York : Abbeville Press, c1985.</t>
        </is>
      </c>
      <c r="M1351" t="inlineStr">
        <is>
          <t>1985</t>
        </is>
      </c>
      <c r="N1351" t="inlineStr">
        <is>
          <t>1st ed.</t>
        </is>
      </c>
      <c r="O1351" t="inlineStr">
        <is>
          <t>eng</t>
        </is>
      </c>
      <c r="P1351" t="inlineStr">
        <is>
          <t>nyu</t>
        </is>
      </c>
      <c r="R1351" t="inlineStr">
        <is>
          <t xml:space="preserve">E  </t>
        </is>
      </c>
      <c r="S1351" t="n">
        <v>7</v>
      </c>
      <c r="T1351" t="n">
        <v>7</v>
      </c>
      <c r="U1351" t="inlineStr">
        <is>
          <t>2002-04-15</t>
        </is>
      </c>
      <c r="V1351" t="inlineStr">
        <is>
          <t>2002-04-15</t>
        </is>
      </c>
      <c r="W1351" t="inlineStr">
        <is>
          <t>1990-03-06</t>
        </is>
      </c>
      <c r="X1351" t="inlineStr">
        <is>
          <t>1990-03-06</t>
        </is>
      </c>
      <c r="Y1351" t="n">
        <v>642</v>
      </c>
      <c r="Z1351" t="n">
        <v>628</v>
      </c>
      <c r="AA1351" t="n">
        <v>684</v>
      </c>
      <c r="AB1351" t="n">
        <v>4</v>
      </c>
      <c r="AC1351" t="n">
        <v>4</v>
      </c>
      <c r="AD1351" t="n">
        <v>4</v>
      </c>
      <c r="AE1351" t="n">
        <v>5</v>
      </c>
      <c r="AF1351" t="n">
        <v>2</v>
      </c>
      <c r="AG1351" t="n">
        <v>2</v>
      </c>
      <c r="AH1351" t="n">
        <v>0</v>
      </c>
      <c r="AI1351" t="n">
        <v>0</v>
      </c>
      <c r="AJ1351" t="n">
        <v>1</v>
      </c>
      <c r="AK1351" t="n">
        <v>2</v>
      </c>
      <c r="AL1351" t="n">
        <v>1</v>
      </c>
      <c r="AM1351" t="n">
        <v>1</v>
      </c>
      <c r="AN1351" t="n">
        <v>0</v>
      </c>
      <c r="AO1351" t="n">
        <v>0</v>
      </c>
      <c r="AP1351" t="inlineStr">
        <is>
          <t>No</t>
        </is>
      </c>
      <c r="AQ1351" t="inlineStr">
        <is>
          <t>Yes</t>
        </is>
      </c>
      <c r="AR1351">
        <f>HYPERLINK("http://catalog.hathitrust.org/Record/000572681","HathiTrust Record")</f>
        <v/>
      </c>
      <c r="AS1351">
        <f>HYPERLINK("https://creighton-primo.hosted.exlibrisgroup.com/primo-explore/search?tab=default_tab&amp;search_scope=EVERYTHING&amp;vid=01CRU&amp;lang=en_US&amp;offset=0&amp;query=any,contains,991000580519702656","Catalog Record")</f>
        <v/>
      </c>
      <c r="AT1351">
        <f>HYPERLINK("http://www.worldcat.org/oclc/11728368","WorldCat Record")</f>
        <v/>
      </c>
      <c r="AU1351" t="inlineStr">
        <is>
          <t>4536904:eng</t>
        </is>
      </c>
      <c r="AV1351" t="inlineStr">
        <is>
          <t>11728368</t>
        </is>
      </c>
      <c r="AW1351" t="inlineStr">
        <is>
          <t>991000580519702656</t>
        </is>
      </c>
      <c r="AX1351" t="inlineStr">
        <is>
          <t>991000580519702656</t>
        </is>
      </c>
      <c r="AY1351" t="inlineStr">
        <is>
          <t>2262307620002656</t>
        </is>
      </c>
      <c r="AZ1351" t="inlineStr">
        <is>
          <t>BOOK</t>
        </is>
      </c>
      <c r="BB1351" t="inlineStr">
        <is>
          <t>9780896595224</t>
        </is>
      </c>
      <c r="BC1351" t="inlineStr">
        <is>
          <t>32285000078179</t>
        </is>
      </c>
      <c r="BD1351" t="inlineStr">
        <is>
          <t>893614312</t>
        </is>
      </c>
    </row>
    <row r="1352">
      <c r="A1352" t="inlineStr">
        <is>
          <t>No</t>
        </is>
      </c>
      <c r="B1352" t="inlineStr">
        <is>
          <t>E467 .H425 2001</t>
        </is>
      </c>
      <c r="C1352" t="inlineStr">
        <is>
          <t>0                      E  0467000H  425         2001</t>
        </is>
      </c>
      <c r="D1352" t="inlineStr">
        <is>
          <t>Clashes of cavalry : the Civil War careers of George Armstrong Custer and Jeb Stuart / by Thom Hatch.</t>
        </is>
      </c>
      <c r="F1352" t="inlineStr">
        <is>
          <t>No</t>
        </is>
      </c>
      <c r="G1352" t="inlineStr">
        <is>
          <t>1</t>
        </is>
      </c>
      <c r="H1352" t="inlineStr">
        <is>
          <t>No</t>
        </is>
      </c>
      <c r="I1352" t="inlineStr">
        <is>
          <t>No</t>
        </is>
      </c>
      <c r="J1352" t="inlineStr">
        <is>
          <t>0</t>
        </is>
      </c>
      <c r="K1352" t="inlineStr">
        <is>
          <t>Hatch, Thom, 1946-</t>
        </is>
      </c>
      <c r="L1352" t="inlineStr">
        <is>
          <t>Mechanicsburg, PA : Stackpole Books, c2001.</t>
        </is>
      </c>
      <c r="M1352" t="inlineStr">
        <is>
          <t>2001</t>
        </is>
      </c>
      <c r="N1352" t="inlineStr">
        <is>
          <t>1st ed.</t>
        </is>
      </c>
      <c r="O1352" t="inlineStr">
        <is>
          <t>eng</t>
        </is>
      </c>
      <c r="P1352" t="inlineStr">
        <is>
          <t>pau</t>
        </is>
      </c>
      <c r="R1352" t="inlineStr">
        <is>
          <t xml:space="preserve">E  </t>
        </is>
      </c>
      <c r="S1352" t="n">
        <v>2</v>
      </c>
      <c r="T1352" t="n">
        <v>2</v>
      </c>
      <c r="U1352" t="inlineStr">
        <is>
          <t>2005-12-01</t>
        </is>
      </c>
      <c r="V1352" t="inlineStr">
        <is>
          <t>2005-12-01</t>
        </is>
      </c>
      <c r="W1352" t="inlineStr">
        <is>
          <t>2001-10-01</t>
        </is>
      </c>
      <c r="X1352" t="inlineStr">
        <is>
          <t>2001-10-01</t>
        </is>
      </c>
      <c r="Y1352" t="n">
        <v>312</v>
      </c>
      <c r="Z1352" t="n">
        <v>300</v>
      </c>
      <c r="AA1352" t="n">
        <v>309</v>
      </c>
      <c r="AB1352" t="n">
        <v>3</v>
      </c>
      <c r="AC1352" t="n">
        <v>3</v>
      </c>
      <c r="AD1352" t="n">
        <v>8</v>
      </c>
      <c r="AE1352" t="n">
        <v>8</v>
      </c>
      <c r="AF1352" t="n">
        <v>3</v>
      </c>
      <c r="AG1352" t="n">
        <v>3</v>
      </c>
      <c r="AH1352" t="n">
        <v>1</v>
      </c>
      <c r="AI1352" t="n">
        <v>1</v>
      </c>
      <c r="AJ1352" t="n">
        <v>3</v>
      </c>
      <c r="AK1352" t="n">
        <v>3</v>
      </c>
      <c r="AL1352" t="n">
        <v>2</v>
      </c>
      <c r="AM1352" t="n">
        <v>2</v>
      </c>
      <c r="AN1352" t="n">
        <v>0</v>
      </c>
      <c r="AO1352" t="n">
        <v>0</v>
      </c>
      <c r="AP1352" t="inlineStr">
        <is>
          <t>No</t>
        </is>
      </c>
      <c r="AQ1352" t="inlineStr">
        <is>
          <t>No</t>
        </is>
      </c>
      <c r="AS1352">
        <f>HYPERLINK("https://creighton-primo.hosted.exlibrisgroup.com/primo-explore/search?tab=default_tab&amp;search_scope=EVERYTHING&amp;vid=01CRU&amp;lang=en_US&amp;offset=0&amp;query=any,contains,991003610059702656","Catalog Record")</f>
        <v/>
      </c>
      <c r="AT1352">
        <f>HYPERLINK("http://www.worldcat.org/oclc/45668878","WorldCat Record")</f>
        <v/>
      </c>
      <c r="AU1352" t="inlineStr">
        <is>
          <t>35446119:eng</t>
        </is>
      </c>
      <c r="AV1352" t="inlineStr">
        <is>
          <t>45668878</t>
        </is>
      </c>
      <c r="AW1352" t="inlineStr">
        <is>
          <t>991003610059702656</t>
        </is>
      </c>
      <c r="AX1352" t="inlineStr">
        <is>
          <t>991003610059702656</t>
        </is>
      </c>
      <c r="AY1352" t="inlineStr">
        <is>
          <t>2271644720002656</t>
        </is>
      </c>
      <c r="AZ1352" t="inlineStr">
        <is>
          <t>BOOK</t>
        </is>
      </c>
      <c r="BB1352" t="inlineStr">
        <is>
          <t>9780811703567</t>
        </is>
      </c>
      <c r="BC1352" t="inlineStr">
        <is>
          <t>32285004393228</t>
        </is>
      </c>
      <c r="BD1352" t="inlineStr">
        <is>
          <t>893604983</t>
        </is>
      </c>
    </row>
    <row r="1353">
      <c r="A1353" t="inlineStr">
        <is>
          <t>No</t>
        </is>
      </c>
      <c r="B1353" t="inlineStr">
        <is>
          <t>E467 .S62 1984</t>
        </is>
      </c>
      <c r="C1353" t="inlineStr">
        <is>
          <t>0                      E  0467000S  62          1984</t>
        </is>
      </c>
      <c r="D1353" t="inlineStr">
        <is>
          <t>Lee and Grant, a dual biography / Gene Smith.</t>
        </is>
      </c>
      <c r="F1353" t="inlineStr">
        <is>
          <t>No</t>
        </is>
      </c>
      <c r="G1353" t="inlineStr">
        <is>
          <t>1</t>
        </is>
      </c>
      <c r="H1353" t="inlineStr">
        <is>
          <t>No</t>
        </is>
      </c>
      <c r="I1353" t="inlineStr">
        <is>
          <t>No</t>
        </is>
      </c>
      <c r="J1353" t="inlineStr">
        <is>
          <t>0</t>
        </is>
      </c>
      <c r="K1353" t="inlineStr">
        <is>
          <t>Smith, Gene.</t>
        </is>
      </c>
      <c r="L1353" t="inlineStr">
        <is>
          <t>New York : McGraw-Hill, c1984.</t>
        </is>
      </c>
      <c r="M1353" t="inlineStr">
        <is>
          <t>1984</t>
        </is>
      </c>
      <c r="O1353" t="inlineStr">
        <is>
          <t>eng</t>
        </is>
      </c>
      <c r="P1353" t="inlineStr">
        <is>
          <t>nyu</t>
        </is>
      </c>
      <c r="R1353" t="inlineStr">
        <is>
          <t xml:space="preserve">E  </t>
        </is>
      </c>
      <c r="S1353" t="n">
        <v>5</v>
      </c>
      <c r="T1353" t="n">
        <v>5</v>
      </c>
      <c r="U1353" t="inlineStr">
        <is>
          <t>1996-02-07</t>
        </is>
      </c>
      <c r="V1353" t="inlineStr">
        <is>
          <t>1996-02-07</t>
        </is>
      </c>
      <c r="W1353" t="inlineStr">
        <is>
          <t>1991-04-29</t>
        </is>
      </c>
      <c r="X1353" t="inlineStr">
        <is>
          <t>1991-04-29</t>
        </is>
      </c>
      <c r="Y1353" t="n">
        <v>1428</v>
      </c>
      <c r="Z1353" t="n">
        <v>1392</v>
      </c>
      <c r="AA1353" t="n">
        <v>1745</v>
      </c>
      <c r="AB1353" t="n">
        <v>9</v>
      </c>
      <c r="AC1353" t="n">
        <v>12</v>
      </c>
      <c r="AD1353" t="n">
        <v>27</v>
      </c>
      <c r="AE1353" t="n">
        <v>34</v>
      </c>
      <c r="AF1353" t="n">
        <v>13</v>
      </c>
      <c r="AG1353" t="n">
        <v>16</v>
      </c>
      <c r="AH1353" t="n">
        <v>6</v>
      </c>
      <c r="AI1353" t="n">
        <v>9</v>
      </c>
      <c r="AJ1353" t="n">
        <v>11</v>
      </c>
      <c r="AK1353" t="n">
        <v>13</v>
      </c>
      <c r="AL1353" t="n">
        <v>3</v>
      </c>
      <c r="AM1353" t="n">
        <v>5</v>
      </c>
      <c r="AN1353" t="n">
        <v>0</v>
      </c>
      <c r="AO1353" t="n">
        <v>0</v>
      </c>
      <c r="AP1353" t="inlineStr">
        <is>
          <t>No</t>
        </is>
      </c>
      <c r="AQ1353" t="inlineStr">
        <is>
          <t>Yes</t>
        </is>
      </c>
      <c r="AR1353">
        <f>HYPERLINK("http://catalog.hathitrust.org/Record/000779604","HathiTrust Record")</f>
        <v/>
      </c>
      <c r="AS1353">
        <f>HYPERLINK("https://creighton-primo.hosted.exlibrisgroup.com/primo-explore/search?tab=default_tab&amp;search_scope=EVERYTHING&amp;vid=01CRU&amp;lang=en_US&amp;offset=0&amp;query=any,contains,991000337959702656","Catalog Record")</f>
        <v/>
      </c>
      <c r="AT1353">
        <f>HYPERLINK("http://www.worldcat.org/oclc/10230903","WorldCat Record")</f>
        <v/>
      </c>
      <c r="AU1353" t="inlineStr">
        <is>
          <t>4916888:eng</t>
        </is>
      </c>
      <c r="AV1353" t="inlineStr">
        <is>
          <t>10230903</t>
        </is>
      </c>
      <c r="AW1353" t="inlineStr">
        <is>
          <t>991000337959702656</t>
        </is>
      </c>
      <c r="AX1353" t="inlineStr">
        <is>
          <t>991000337959702656</t>
        </is>
      </c>
      <c r="AY1353" t="inlineStr">
        <is>
          <t>2258540850002656</t>
        </is>
      </c>
      <c r="AZ1353" t="inlineStr">
        <is>
          <t>BOOK</t>
        </is>
      </c>
      <c r="BB1353" t="inlineStr">
        <is>
          <t>9780070584730</t>
        </is>
      </c>
      <c r="BC1353" t="inlineStr">
        <is>
          <t>32285000544733</t>
        </is>
      </c>
      <c r="BD1353" t="inlineStr">
        <is>
          <t>893702025</t>
        </is>
      </c>
    </row>
    <row r="1354">
      <c r="A1354" t="inlineStr">
        <is>
          <t>No</t>
        </is>
      </c>
      <c r="B1354" t="inlineStr">
        <is>
          <t>E467.1.B785 L66 1995</t>
        </is>
      </c>
      <c r="C1354" t="inlineStr">
        <is>
          <t>0                      E  0467100B  785                L  66          1995</t>
        </is>
      </c>
      <c r="D1354" t="inlineStr">
        <is>
          <t>General John Buford / Edward G. Longacre.</t>
        </is>
      </c>
      <c r="F1354" t="inlineStr">
        <is>
          <t>No</t>
        </is>
      </c>
      <c r="G1354" t="inlineStr">
        <is>
          <t>1</t>
        </is>
      </c>
      <c r="H1354" t="inlineStr">
        <is>
          <t>No</t>
        </is>
      </c>
      <c r="I1354" t="inlineStr">
        <is>
          <t>No</t>
        </is>
      </c>
      <c r="J1354" t="inlineStr">
        <is>
          <t>0</t>
        </is>
      </c>
      <c r="K1354" t="inlineStr">
        <is>
          <t>Longacre, Edward G., 1946-</t>
        </is>
      </c>
      <c r="L1354" t="inlineStr">
        <is>
          <t>Philadelphia : Combined Books, c1995.</t>
        </is>
      </c>
      <c r="M1354" t="inlineStr">
        <is>
          <t>1995</t>
        </is>
      </c>
      <c r="O1354" t="inlineStr">
        <is>
          <t>eng</t>
        </is>
      </c>
      <c r="P1354" t="inlineStr">
        <is>
          <t>pau</t>
        </is>
      </c>
      <c r="R1354" t="inlineStr">
        <is>
          <t xml:space="preserve">E  </t>
        </is>
      </c>
      <c r="S1354" t="n">
        <v>1</v>
      </c>
      <c r="T1354" t="n">
        <v>1</v>
      </c>
      <c r="U1354" t="inlineStr">
        <is>
          <t>1997-08-20</t>
        </is>
      </c>
      <c r="V1354" t="inlineStr">
        <is>
          <t>1997-08-20</t>
        </is>
      </c>
      <c r="W1354" t="inlineStr">
        <is>
          <t>1996-04-04</t>
        </is>
      </c>
      <c r="X1354" t="inlineStr">
        <is>
          <t>1996-04-04</t>
        </is>
      </c>
      <c r="Y1354" t="n">
        <v>369</v>
      </c>
      <c r="Z1354" t="n">
        <v>360</v>
      </c>
      <c r="AA1354" t="n">
        <v>800</v>
      </c>
      <c r="AB1354" t="n">
        <v>3</v>
      </c>
      <c r="AC1354" t="n">
        <v>4</v>
      </c>
      <c r="AD1354" t="n">
        <v>8</v>
      </c>
      <c r="AE1354" t="n">
        <v>14</v>
      </c>
      <c r="AF1354" t="n">
        <v>3</v>
      </c>
      <c r="AG1354" t="n">
        <v>8</v>
      </c>
      <c r="AH1354" t="n">
        <v>3</v>
      </c>
      <c r="AI1354" t="n">
        <v>3</v>
      </c>
      <c r="AJ1354" t="n">
        <v>2</v>
      </c>
      <c r="AK1354" t="n">
        <v>4</v>
      </c>
      <c r="AL1354" t="n">
        <v>1</v>
      </c>
      <c r="AM1354" t="n">
        <v>2</v>
      </c>
      <c r="AN1354" t="n">
        <v>0</v>
      </c>
      <c r="AO1354" t="n">
        <v>0</v>
      </c>
      <c r="AP1354" t="inlineStr">
        <is>
          <t>No</t>
        </is>
      </c>
      <c r="AQ1354" t="inlineStr">
        <is>
          <t>Yes</t>
        </is>
      </c>
      <c r="AR1354">
        <f>HYPERLINK("http://catalog.hathitrust.org/Record/003031167","HathiTrust Record")</f>
        <v/>
      </c>
      <c r="AS1354">
        <f>HYPERLINK("https://creighton-primo.hosted.exlibrisgroup.com/primo-explore/search?tab=default_tab&amp;search_scope=EVERYTHING&amp;vid=01CRU&amp;lang=en_US&amp;offset=0&amp;query=any,contains,991002558669702656","Catalog Record")</f>
        <v/>
      </c>
      <c r="AT1354">
        <f>HYPERLINK("http://www.worldcat.org/oclc/33246104","WorldCat Record")</f>
        <v/>
      </c>
      <c r="AU1354" t="inlineStr">
        <is>
          <t>673152:eng</t>
        </is>
      </c>
      <c r="AV1354" t="inlineStr">
        <is>
          <t>33246104</t>
        </is>
      </c>
      <c r="AW1354" t="inlineStr">
        <is>
          <t>991002558669702656</t>
        </is>
      </c>
      <c r="AX1354" t="inlineStr">
        <is>
          <t>991002558669702656</t>
        </is>
      </c>
      <c r="AY1354" t="inlineStr">
        <is>
          <t>2258861580002656</t>
        </is>
      </c>
      <c r="AZ1354" t="inlineStr">
        <is>
          <t>BOOK</t>
        </is>
      </c>
      <c r="BB1354" t="inlineStr">
        <is>
          <t>9780938289463</t>
        </is>
      </c>
      <c r="BC1354" t="inlineStr">
        <is>
          <t>32285002150224</t>
        </is>
      </c>
      <c r="BD1354" t="inlineStr">
        <is>
          <t>893440270</t>
        </is>
      </c>
    </row>
    <row r="1355">
      <c r="A1355" t="inlineStr">
        <is>
          <t>No</t>
        </is>
      </c>
      <c r="B1355" t="inlineStr">
        <is>
          <t>E467.1.B87 B9</t>
        </is>
      </c>
      <c r="C1355" t="inlineStr">
        <is>
          <t>0                      E  0467100B  87                 B  9</t>
        </is>
      </c>
      <c r="D1355" t="inlineStr">
        <is>
          <t>Butler's book ; a review of his legal, political and military career - illustrated with 125 engravings, maps, photogravures / by Benjamin Franklin Butler.</t>
        </is>
      </c>
      <c r="F1355" t="inlineStr">
        <is>
          <t>No</t>
        </is>
      </c>
      <c r="G1355" t="inlineStr">
        <is>
          <t>1</t>
        </is>
      </c>
      <c r="H1355" t="inlineStr">
        <is>
          <t>No</t>
        </is>
      </c>
      <c r="I1355" t="inlineStr">
        <is>
          <t>No</t>
        </is>
      </c>
      <c r="J1355" t="inlineStr">
        <is>
          <t>0</t>
        </is>
      </c>
      <c r="K1355" t="inlineStr">
        <is>
          <t>Butler, Benjamin F. (Benjamin Franklin), 1818-1893.</t>
        </is>
      </c>
      <c r="L1355" t="inlineStr">
        <is>
          <t>Boston : Thayer, 1892.</t>
        </is>
      </c>
      <c r="M1355" t="inlineStr">
        <is>
          <t>1892</t>
        </is>
      </c>
      <c r="O1355" t="inlineStr">
        <is>
          <t>eng</t>
        </is>
      </c>
      <c r="P1355" t="inlineStr">
        <is>
          <t>mau</t>
        </is>
      </c>
      <c r="R1355" t="inlineStr">
        <is>
          <t xml:space="preserve">E  </t>
        </is>
      </c>
      <c r="S1355" t="n">
        <v>2</v>
      </c>
      <c r="T1355" t="n">
        <v>2</v>
      </c>
      <c r="U1355" t="inlineStr">
        <is>
          <t>1997-09-29</t>
        </is>
      </c>
      <c r="V1355" t="inlineStr">
        <is>
          <t>1997-09-29</t>
        </is>
      </c>
      <c r="W1355" t="inlineStr">
        <is>
          <t>1997-04-17</t>
        </is>
      </c>
      <c r="X1355" t="inlineStr">
        <is>
          <t>1997-04-17</t>
        </is>
      </c>
      <c r="Y1355" t="n">
        <v>99</v>
      </c>
      <c r="Z1355" t="n">
        <v>99</v>
      </c>
      <c r="AA1355" t="n">
        <v>722</v>
      </c>
      <c r="AB1355" t="n">
        <v>1</v>
      </c>
      <c r="AC1355" t="n">
        <v>4</v>
      </c>
      <c r="AD1355" t="n">
        <v>7</v>
      </c>
      <c r="AE1355" t="n">
        <v>40</v>
      </c>
      <c r="AF1355" t="n">
        <v>3</v>
      </c>
      <c r="AG1355" t="n">
        <v>9</v>
      </c>
      <c r="AH1355" t="n">
        <v>1</v>
      </c>
      <c r="AI1355" t="n">
        <v>6</v>
      </c>
      <c r="AJ1355" t="n">
        <v>4</v>
      </c>
      <c r="AK1355" t="n">
        <v>16</v>
      </c>
      <c r="AL1355" t="n">
        <v>0</v>
      </c>
      <c r="AM1355" t="n">
        <v>2</v>
      </c>
      <c r="AN1355" t="n">
        <v>1</v>
      </c>
      <c r="AO1355" t="n">
        <v>13</v>
      </c>
      <c r="AP1355" t="inlineStr">
        <is>
          <t>No</t>
        </is>
      </c>
      <c r="AQ1355" t="inlineStr">
        <is>
          <t>No</t>
        </is>
      </c>
      <c r="AS1355">
        <f>HYPERLINK("https://creighton-primo.hosted.exlibrisgroup.com/primo-explore/search?tab=default_tab&amp;search_scope=EVERYTHING&amp;vid=01CRU&amp;lang=en_US&amp;offset=0&amp;query=any,contains,991000267219702656","Catalog Record")</f>
        <v/>
      </c>
      <c r="AT1355">
        <f>HYPERLINK("http://www.worldcat.org/oclc/9831657","WorldCat Record")</f>
        <v/>
      </c>
      <c r="AU1355" t="inlineStr">
        <is>
          <t>2542045294:eng</t>
        </is>
      </c>
      <c r="AV1355" t="inlineStr">
        <is>
          <t>9831657</t>
        </is>
      </c>
      <c r="AW1355" t="inlineStr">
        <is>
          <t>991000267219702656</t>
        </is>
      </c>
      <c r="AX1355" t="inlineStr">
        <is>
          <t>991000267219702656</t>
        </is>
      </c>
      <c r="AY1355" t="inlineStr">
        <is>
          <t>2254846920002656</t>
        </is>
      </c>
      <c r="AZ1355" t="inlineStr">
        <is>
          <t>BOOK</t>
        </is>
      </c>
      <c r="BC1355" t="inlineStr">
        <is>
          <t>32285002539657</t>
        </is>
      </c>
      <c r="BD1355" t="inlineStr">
        <is>
          <t>893777819</t>
        </is>
      </c>
    </row>
    <row r="1356">
      <c r="A1356" t="inlineStr">
        <is>
          <t>No</t>
        </is>
      </c>
      <c r="B1356" t="inlineStr">
        <is>
          <t>E467.1.C99 B27 1996</t>
        </is>
      </c>
      <c r="C1356" t="inlineStr">
        <is>
          <t>0                      E  0467100C  99                 B  27          1996</t>
        </is>
      </c>
      <c r="D1356" t="inlineStr">
        <is>
          <t>Touched by fire : the life, death, and mythic afterlife of George Armstrong Custer / Louise Barnett.</t>
        </is>
      </c>
      <c r="F1356" t="inlineStr">
        <is>
          <t>No</t>
        </is>
      </c>
      <c r="G1356" t="inlineStr">
        <is>
          <t>1</t>
        </is>
      </c>
      <c r="H1356" t="inlineStr">
        <is>
          <t>No</t>
        </is>
      </c>
      <c r="I1356" t="inlineStr">
        <is>
          <t>No</t>
        </is>
      </c>
      <c r="J1356" t="inlineStr">
        <is>
          <t>0</t>
        </is>
      </c>
      <c r="K1356" t="inlineStr">
        <is>
          <t>Barnett, Louise K.</t>
        </is>
      </c>
      <c r="L1356" t="inlineStr">
        <is>
          <t>New York : Henry Holt, 1996.</t>
        </is>
      </c>
      <c r="M1356" t="inlineStr">
        <is>
          <t>1996</t>
        </is>
      </c>
      <c r="N1356" t="inlineStr">
        <is>
          <t>1st ed.</t>
        </is>
      </c>
      <c r="O1356" t="inlineStr">
        <is>
          <t>eng</t>
        </is>
      </c>
      <c r="P1356" t="inlineStr">
        <is>
          <t>nyu</t>
        </is>
      </c>
      <c r="R1356" t="inlineStr">
        <is>
          <t xml:space="preserve">E  </t>
        </is>
      </c>
      <c r="S1356" t="n">
        <v>6</v>
      </c>
      <c r="T1356" t="n">
        <v>6</v>
      </c>
      <c r="U1356" t="inlineStr">
        <is>
          <t>2000-03-27</t>
        </is>
      </c>
      <c r="V1356" t="inlineStr">
        <is>
          <t>2000-03-27</t>
        </is>
      </c>
      <c r="W1356" t="inlineStr">
        <is>
          <t>1996-06-19</t>
        </is>
      </c>
      <c r="X1356" t="inlineStr">
        <is>
          <t>1996-06-19</t>
        </is>
      </c>
      <c r="Y1356" t="n">
        <v>870</v>
      </c>
      <c r="Z1356" t="n">
        <v>839</v>
      </c>
      <c r="AA1356" t="n">
        <v>943</v>
      </c>
      <c r="AB1356" t="n">
        <v>10</v>
      </c>
      <c r="AC1356" t="n">
        <v>13</v>
      </c>
      <c r="AD1356" t="n">
        <v>23</v>
      </c>
      <c r="AE1356" t="n">
        <v>26</v>
      </c>
      <c r="AF1356" t="n">
        <v>5</v>
      </c>
      <c r="AG1356" t="n">
        <v>7</v>
      </c>
      <c r="AH1356" t="n">
        <v>5</v>
      </c>
      <c r="AI1356" t="n">
        <v>6</v>
      </c>
      <c r="AJ1356" t="n">
        <v>13</v>
      </c>
      <c r="AK1356" t="n">
        <v>14</v>
      </c>
      <c r="AL1356" t="n">
        <v>5</v>
      </c>
      <c r="AM1356" t="n">
        <v>5</v>
      </c>
      <c r="AN1356" t="n">
        <v>0</v>
      </c>
      <c r="AO1356" t="n">
        <v>0</v>
      </c>
      <c r="AP1356" t="inlineStr">
        <is>
          <t>No</t>
        </is>
      </c>
      <c r="AQ1356" t="inlineStr">
        <is>
          <t>No</t>
        </is>
      </c>
      <c r="AS1356">
        <f>HYPERLINK("https://creighton-primo.hosted.exlibrisgroup.com/primo-explore/search?tab=default_tab&amp;search_scope=EVERYTHING&amp;vid=01CRU&amp;lang=en_US&amp;offset=0&amp;query=any,contains,991002557839702656","Catalog Record")</f>
        <v/>
      </c>
      <c r="AT1356">
        <f>HYPERLINK("http://www.worldcat.org/oclc/33244755","WorldCat Record")</f>
        <v/>
      </c>
      <c r="AU1356" t="inlineStr">
        <is>
          <t>38361934:eng</t>
        </is>
      </c>
      <c r="AV1356" t="inlineStr">
        <is>
          <t>33244755</t>
        </is>
      </c>
      <c r="AW1356" t="inlineStr">
        <is>
          <t>991002557839702656</t>
        </is>
      </c>
      <c r="AX1356" t="inlineStr">
        <is>
          <t>991002557839702656</t>
        </is>
      </c>
      <c r="AY1356" t="inlineStr">
        <is>
          <t>2256019950002656</t>
        </is>
      </c>
      <c r="AZ1356" t="inlineStr">
        <is>
          <t>BOOK</t>
        </is>
      </c>
      <c r="BB1356" t="inlineStr">
        <is>
          <t>9780805037203</t>
        </is>
      </c>
      <c r="BC1356" t="inlineStr">
        <is>
          <t>32285002194537</t>
        </is>
      </c>
      <c r="BD1356" t="inlineStr">
        <is>
          <t>893530155</t>
        </is>
      </c>
    </row>
    <row r="1357">
      <c r="A1357" t="inlineStr">
        <is>
          <t>No</t>
        </is>
      </c>
      <c r="B1357" t="inlineStr">
        <is>
          <t>E467.1.C99 H38 2002</t>
        </is>
      </c>
      <c r="C1357" t="inlineStr">
        <is>
          <t>0                      E  0467100C  99                 H  38          2002</t>
        </is>
      </c>
      <c r="D1357" t="inlineStr">
        <is>
          <t>The Custer companion : a comprehensive guide to the life of George Armstrong Custer and the Plains Indian wars/ Thom Hatch.</t>
        </is>
      </c>
      <c r="F1357" t="inlineStr">
        <is>
          <t>No</t>
        </is>
      </c>
      <c r="G1357" t="inlineStr">
        <is>
          <t>1</t>
        </is>
      </c>
      <c r="H1357" t="inlineStr">
        <is>
          <t>No</t>
        </is>
      </c>
      <c r="I1357" t="inlineStr">
        <is>
          <t>No</t>
        </is>
      </c>
      <c r="J1357" t="inlineStr">
        <is>
          <t>0</t>
        </is>
      </c>
      <c r="K1357" t="inlineStr">
        <is>
          <t>Hatch, Thom, 1946-</t>
        </is>
      </c>
      <c r="L1357" t="inlineStr">
        <is>
          <t>Mechanicsburg, PA : Stackpole Books, c2002.</t>
        </is>
      </c>
      <c r="M1357" t="inlineStr">
        <is>
          <t>2002</t>
        </is>
      </c>
      <c r="N1357" t="inlineStr">
        <is>
          <t>1st ed.</t>
        </is>
      </c>
      <c r="O1357" t="inlineStr">
        <is>
          <t>eng</t>
        </is>
      </c>
      <c r="P1357" t="inlineStr">
        <is>
          <t>pau</t>
        </is>
      </c>
      <c r="R1357" t="inlineStr">
        <is>
          <t xml:space="preserve">E  </t>
        </is>
      </c>
      <c r="S1357" t="n">
        <v>3</v>
      </c>
      <c r="T1357" t="n">
        <v>3</v>
      </c>
      <c r="U1357" t="inlineStr">
        <is>
          <t>2005-12-01</t>
        </is>
      </c>
      <c r="V1357" t="inlineStr">
        <is>
          <t>2005-12-01</t>
        </is>
      </c>
      <c r="W1357" t="inlineStr">
        <is>
          <t>2002-11-13</t>
        </is>
      </c>
      <c r="X1357" t="inlineStr">
        <is>
          <t>2002-11-13</t>
        </is>
      </c>
      <c r="Y1357" t="n">
        <v>294</v>
      </c>
      <c r="Z1357" t="n">
        <v>288</v>
      </c>
      <c r="AA1357" t="n">
        <v>506</v>
      </c>
      <c r="AB1357" t="n">
        <v>5</v>
      </c>
      <c r="AC1357" t="n">
        <v>5</v>
      </c>
      <c r="AD1357" t="n">
        <v>11</v>
      </c>
      <c r="AE1357" t="n">
        <v>11</v>
      </c>
      <c r="AF1357" t="n">
        <v>3</v>
      </c>
      <c r="AG1357" t="n">
        <v>3</v>
      </c>
      <c r="AH1357" t="n">
        <v>2</v>
      </c>
      <c r="AI1357" t="n">
        <v>2</v>
      </c>
      <c r="AJ1357" t="n">
        <v>5</v>
      </c>
      <c r="AK1357" t="n">
        <v>5</v>
      </c>
      <c r="AL1357" t="n">
        <v>3</v>
      </c>
      <c r="AM1357" t="n">
        <v>3</v>
      </c>
      <c r="AN1357" t="n">
        <v>0</v>
      </c>
      <c r="AO1357" t="n">
        <v>0</v>
      </c>
      <c r="AP1357" t="inlineStr">
        <is>
          <t>No</t>
        </is>
      </c>
      <c r="AQ1357" t="inlineStr">
        <is>
          <t>No</t>
        </is>
      </c>
      <c r="AS1357">
        <f>HYPERLINK("https://creighton-primo.hosted.exlibrisgroup.com/primo-explore/search?tab=default_tab&amp;search_scope=EVERYTHING&amp;vid=01CRU&amp;lang=en_US&amp;offset=0&amp;query=any,contains,991003892689702656","Catalog Record")</f>
        <v/>
      </c>
      <c r="AT1357">
        <f>HYPERLINK("http://www.worldcat.org/oclc/48920195","WorldCat Record")</f>
        <v/>
      </c>
      <c r="AU1357" t="inlineStr">
        <is>
          <t>200919300:eng</t>
        </is>
      </c>
      <c r="AV1357" t="inlineStr">
        <is>
          <t>48920195</t>
        </is>
      </c>
      <c r="AW1357" t="inlineStr">
        <is>
          <t>991003892689702656</t>
        </is>
      </c>
      <c r="AX1357" t="inlineStr">
        <is>
          <t>991003892689702656</t>
        </is>
      </c>
      <c r="AY1357" t="inlineStr">
        <is>
          <t>2264629690002656</t>
        </is>
      </c>
      <c r="AZ1357" t="inlineStr">
        <is>
          <t>BOOK</t>
        </is>
      </c>
      <c r="BB1357" t="inlineStr">
        <is>
          <t>9780811704779</t>
        </is>
      </c>
      <c r="BC1357" t="inlineStr">
        <is>
          <t>32285004659552</t>
        </is>
      </c>
      <c r="BD1357" t="inlineStr">
        <is>
          <t>893599167</t>
        </is>
      </c>
    </row>
    <row r="1358">
      <c r="A1358" t="inlineStr">
        <is>
          <t>No</t>
        </is>
      </c>
      <c r="B1358" t="inlineStr">
        <is>
          <t>E467.1.C99 V3</t>
        </is>
      </c>
      <c r="C1358" t="inlineStr">
        <is>
          <t>0                      E  0467100C  99                 V  3</t>
        </is>
      </c>
      <c r="D1358" t="inlineStr">
        <is>
          <t>Glory-hunter : a life of General Custer / by Frederic F. Van de Water.</t>
        </is>
      </c>
      <c r="F1358" t="inlineStr">
        <is>
          <t>No</t>
        </is>
      </c>
      <c r="G1358" t="inlineStr">
        <is>
          <t>1</t>
        </is>
      </c>
      <c r="H1358" t="inlineStr">
        <is>
          <t>No</t>
        </is>
      </c>
      <c r="I1358" t="inlineStr">
        <is>
          <t>No</t>
        </is>
      </c>
      <c r="J1358" t="inlineStr">
        <is>
          <t>0</t>
        </is>
      </c>
      <c r="K1358" t="inlineStr">
        <is>
          <t>Van de Water, Frederic F., 1890-1968.</t>
        </is>
      </c>
      <c r="L1358" t="inlineStr">
        <is>
          <t>Indianapolis ; New York : The Bobbs-Merrill Company, [c1934]</t>
        </is>
      </c>
      <c r="M1358" t="inlineStr">
        <is>
          <t>1934</t>
        </is>
      </c>
      <c r="O1358" t="inlineStr">
        <is>
          <t>eng</t>
        </is>
      </c>
      <c r="P1358" t="inlineStr">
        <is>
          <t>inu</t>
        </is>
      </c>
      <c r="R1358" t="inlineStr">
        <is>
          <t xml:space="preserve">E  </t>
        </is>
      </c>
      <c r="S1358" t="n">
        <v>2</v>
      </c>
      <c r="T1358" t="n">
        <v>2</v>
      </c>
      <c r="U1358" t="inlineStr">
        <is>
          <t>1992-12-23</t>
        </is>
      </c>
      <c r="V1358" t="inlineStr">
        <is>
          <t>1992-12-23</t>
        </is>
      </c>
      <c r="W1358" t="inlineStr">
        <is>
          <t>1992-12-23</t>
        </is>
      </c>
      <c r="X1358" t="inlineStr">
        <is>
          <t>1992-12-23</t>
        </is>
      </c>
      <c r="Y1358" t="n">
        <v>316</v>
      </c>
      <c r="Z1358" t="n">
        <v>310</v>
      </c>
      <c r="AA1358" t="n">
        <v>614</v>
      </c>
      <c r="AB1358" t="n">
        <v>5</v>
      </c>
      <c r="AC1358" t="n">
        <v>7</v>
      </c>
      <c r="AD1358" t="n">
        <v>10</v>
      </c>
      <c r="AE1358" t="n">
        <v>17</v>
      </c>
      <c r="AF1358" t="n">
        <v>2</v>
      </c>
      <c r="AG1358" t="n">
        <v>4</v>
      </c>
      <c r="AH1358" t="n">
        <v>3</v>
      </c>
      <c r="AI1358" t="n">
        <v>5</v>
      </c>
      <c r="AJ1358" t="n">
        <v>5</v>
      </c>
      <c r="AK1358" t="n">
        <v>8</v>
      </c>
      <c r="AL1358" t="n">
        <v>3</v>
      </c>
      <c r="AM1358" t="n">
        <v>4</v>
      </c>
      <c r="AN1358" t="n">
        <v>0</v>
      </c>
      <c r="AO1358" t="n">
        <v>0</v>
      </c>
      <c r="AP1358" t="inlineStr">
        <is>
          <t>No</t>
        </is>
      </c>
      <c r="AQ1358" t="inlineStr">
        <is>
          <t>Yes</t>
        </is>
      </c>
      <c r="AR1358">
        <f>HYPERLINK("http://catalog.hathitrust.org/Record/000603315","HathiTrust Record")</f>
        <v/>
      </c>
      <c r="AS1358">
        <f>HYPERLINK("https://creighton-primo.hosted.exlibrisgroup.com/primo-explore/search?tab=default_tab&amp;search_scope=EVERYTHING&amp;vid=01CRU&amp;lang=en_US&amp;offset=0&amp;query=any,contains,991004117479702656","Catalog Record")</f>
        <v/>
      </c>
      <c r="AT1358">
        <f>HYPERLINK("http://www.worldcat.org/oclc/2419517","WorldCat Record")</f>
        <v/>
      </c>
      <c r="AU1358" t="inlineStr">
        <is>
          <t>851195439:eng</t>
        </is>
      </c>
      <c r="AV1358" t="inlineStr">
        <is>
          <t>2419517</t>
        </is>
      </c>
      <c r="AW1358" t="inlineStr">
        <is>
          <t>991004117479702656</t>
        </is>
      </c>
      <c r="AX1358" t="inlineStr">
        <is>
          <t>991004117479702656</t>
        </is>
      </c>
      <c r="AY1358" t="inlineStr">
        <is>
          <t>2270534230002656</t>
        </is>
      </c>
      <c r="AZ1358" t="inlineStr">
        <is>
          <t>BOOK</t>
        </is>
      </c>
      <c r="BC1358" t="inlineStr">
        <is>
          <t>32285001404119</t>
        </is>
      </c>
      <c r="BD1358" t="inlineStr">
        <is>
          <t>893235075</t>
        </is>
      </c>
    </row>
    <row r="1359">
      <c r="A1359" t="inlineStr">
        <is>
          <t>No</t>
        </is>
      </c>
      <c r="B1359" t="inlineStr">
        <is>
          <t>E467.1.C99 W47 1996</t>
        </is>
      </c>
      <c r="C1359" t="inlineStr">
        <is>
          <t>0                      E  0467100C  99                 W  47          1996</t>
        </is>
      </c>
      <c r="D1359" t="inlineStr">
        <is>
          <t>Custer : the controversial life of George Armstrong Custer / Jeffry D. Wert.</t>
        </is>
      </c>
      <c r="F1359" t="inlineStr">
        <is>
          <t>No</t>
        </is>
      </c>
      <c r="G1359" t="inlineStr">
        <is>
          <t>1</t>
        </is>
      </c>
      <c r="H1359" t="inlineStr">
        <is>
          <t>No</t>
        </is>
      </c>
      <c r="I1359" t="inlineStr">
        <is>
          <t>No</t>
        </is>
      </c>
      <c r="J1359" t="inlineStr">
        <is>
          <t>0</t>
        </is>
      </c>
      <c r="K1359" t="inlineStr">
        <is>
          <t>Wert, Jeffry D.</t>
        </is>
      </c>
      <c r="L1359" t="inlineStr">
        <is>
          <t>New York : Simon &amp; Schuster, c1996.</t>
        </is>
      </c>
      <c r="M1359" t="inlineStr">
        <is>
          <t>1996</t>
        </is>
      </c>
      <c r="O1359" t="inlineStr">
        <is>
          <t>eng</t>
        </is>
      </c>
      <c r="P1359" t="inlineStr">
        <is>
          <t>nyu</t>
        </is>
      </c>
      <c r="R1359" t="inlineStr">
        <is>
          <t xml:space="preserve">E  </t>
        </is>
      </c>
      <c r="S1359" t="n">
        <v>6</v>
      </c>
      <c r="T1359" t="n">
        <v>6</v>
      </c>
      <c r="U1359" t="inlineStr">
        <is>
          <t>2000-03-27</t>
        </is>
      </c>
      <c r="V1359" t="inlineStr">
        <is>
          <t>2000-03-27</t>
        </is>
      </c>
      <c r="W1359" t="inlineStr">
        <is>
          <t>1996-06-21</t>
        </is>
      </c>
      <c r="X1359" t="inlineStr">
        <is>
          <t>1996-06-21</t>
        </is>
      </c>
      <c r="Y1359" t="n">
        <v>1415</v>
      </c>
      <c r="Z1359" t="n">
        <v>1363</v>
      </c>
      <c r="AA1359" t="n">
        <v>1449</v>
      </c>
      <c r="AB1359" t="n">
        <v>15</v>
      </c>
      <c r="AC1359" t="n">
        <v>15</v>
      </c>
      <c r="AD1359" t="n">
        <v>33</v>
      </c>
      <c r="AE1359" t="n">
        <v>34</v>
      </c>
      <c r="AF1359" t="n">
        <v>10</v>
      </c>
      <c r="AG1359" t="n">
        <v>10</v>
      </c>
      <c r="AH1359" t="n">
        <v>7</v>
      </c>
      <c r="AI1359" t="n">
        <v>7</v>
      </c>
      <c r="AJ1359" t="n">
        <v>15</v>
      </c>
      <c r="AK1359" t="n">
        <v>16</v>
      </c>
      <c r="AL1359" t="n">
        <v>8</v>
      </c>
      <c r="AM1359" t="n">
        <v>8</v>
      </c>
      <c r="AN1359" t="n">
        <v>1</v>
      </c>
      <c r="AO1359" t="n">
        <v>1</v>
      </c>
      <c r="AP1359" t="inlineStr">
        <is>
          <t>No</t>
        </is>
      </c>
      <c r="AQ1359" t="inlineStr">
        <is>
          <t>Yes</t>
        </is>
      </c>
      <c r="AR1359">
        <f>HYPERLINK("http://catalog.hathitrust.org/Record/003062979","HathiTrust Record")</f>
        <v/>
      </c>
      <c r="AS1359">
        <f>HYPERLINK("https://creighton-primo.hosted.exlibrisgroup.com/primo-explore/search?tab=default_tab&amp;search_scope=EVERYTHING&amp;vid=01CRU&amp;lang=en_US&amp;offset=0&amp;query=any,contains,991002617609702656","Catalog Record")</f>
        <v/>
      </c>
      <c r="AT1359">
        <f>HYPERLINK("http://www.worldcat.org/oclc/34319508","WorldCat Record")</f>
        <v/>
      </c>
      <c r="AU1359" t="inlineStr">
        <is>
          <t>572349:eng</t>
        </is>
      </c>
      <c r="AV1359" t="inlineStr">
        <is>
          <t>34319508</t>
        </is>
      </c>
      <c r="AW1359" t="inlineStr">
        <is>
          <t>991002617609702656</t>
        </is>
      </c>
      <c r="AX1359" t="inlineStr">
        <is>
          <t>991002617609702656</t>
        </is>
      </c>
      <c r="AY1359" t="inlineStr">
        <is>
          <t>2268742270002656</t>
        </is>
      </c>
      <c r="AZ1359" t="inlineStr">
        <is>
          <t>BOOK</t>
        </is>
      </c>
      <c r="BB1359" t="inlineStr">
        <is>
          <t>9780684810430</t>
        </is>
      </c>
      <c r="BC1359" t="inlineStr">
        <is>
          <t>32285002171303</t>
        </is>
      </c>
      <c r="BD1359" t="inlineStr">
        <is>
          <t>893591562</t>
        </is>
      </c>
    </row>
    <row r="1360">
      <c r="A1360" t="inlineStr">
        <is>
          <t>No</t>
        </is>
      </c>
      <c r="B1360" t="inlineStr">
        <is>
          <t>E467.1.D26 C66 2000</t>
        </is>
      </c>
      <c r="C1360" t="inlineStr">
        <is>
          <t>0                      E  0467100D  26                 C  66          2000</t>
        </is>
      </c>
      <c r="D1360" t="inlineStr">
        <is>
          <t>Jefferson Davis, American / William J. Cooper, Jr.</t>
        </is>
      </c>
      <c r="F1360" t="inlineStr">
        <is>
          <t>No</t>
        </is>
      </c>
      <c r="G1360" t="inlineStr">
        <is>
          <t>1</t>
        </is>
      </c>
      <c r="H1360" t="inlineStr">
        <is>
          <t>No</t>
        </is>
      </c>
      <c r="I1360" t="inlineStr">
        <is>
          <t>No</t>
        </is>
      </c>
      <c r="J1360" t="inlineStr">
        <is>
          <t>0</t>
        </is>
      </c>
      <c r="K1360" t="inlineStr">
        <is>
          <t>Cooper, William J., Jr. (William James), 1940-</t>
        </is>
      </c>
      <c r="L1360" t="inlineStr">
        <is>
          <t>New York : Alfred A Knopf : Distributed by Random House, 2000.</t>
        </is>
      </c>
      <c r="M1360" t="inlineStr">
        <is>
          <t>2000</t>
        </is>
      </c>
      <c r="N1360" t="inlineStr">
        <is>
          <t>1st ed.</t>
        </is>
      </c>
      <c r="O1360" t="inlineStr">
        <is>
          <t>eng</t>
        </is>
      </c>
      <c r="P1360" t="inlineStr">
        <is>
          <t>nyu</t>
        </is>
      </c>
      <c r="R1360" t="inlineStr">
        <is>
          <t xml:space="preserve">E  </t>
        </is>
      </c>
      <c r="S1360" t="n">
        <v>2</v>
      </c>
      <c r="T1360" t="n">
        <v>2</v>
      </c>
      <c r="U1360" t="inlineStr">
        <is>
          <t>2001-02-05</t>
        </is>
      </c>
      <c r="V1360" t="inlineStr">
        <is>
          <t>2001-02-05</t>
        </is>
      </c>
      <c r="W1360" t="inlineStr">
        <is>
          <t>2001-01-03</t>
        </is>
      </c>
      <c r="X1360" t="inlineStr">
        <is>
          <t>2001-01-03</t>
        </is>
      </c>
      <c r="Y1360" t="n">
        <v>1533</v>
      </c>
      <c r="Z1360" t="n">
        <v>1476</v>
      </c>
      <c r="AA1360" t="n">
        <v>1678</v>
      </c>
      <c r="AB1360" t="n">
        <v>13</v>
      </c>
      <c r="AC1360" t="n">
        <v>16</v>
      </c>
      <c r="AD1360" t="n">
        <v>36</v>
      </c>
      <c r="AE1360" t="n">
        <v>46</v>
      </c>
      <c r="AF1360" t="n">
        <v>12</v>
      </c>
      <c r="AG1360" t="n">
        <v>18</v>
      </c>
      <c r="AH1360" t="n">
        <v>8</v>
      </c>
      <c r="AI1360" t="n">
        <v>10</v>
      </c>
      <c r="AJ1360" t="n">
        <v>14</v>
      </c>
      <c r="AK1360" t="n">
        <v>17</v>
      </c>
      <c r="AL1360" t="n">
        <v>8</v>
      </c>
      <c r="AM1360" t="n">
        <v>10</v>
      </c>
      <c r="AN1360" t="n">
        <v>0</v>
      </c>
      <c r="AO1360" t="n">
        <v>0</v>
      </c>
      <c r="AP1360" t="inlineStr">
        <is>
          <t>No</t>
        </is>
      </c>
      <c r="AQ1360" t="inlineStr">
        <is>
          <t>Yes</t>
        </is>
      </c>
      <c r="AR1360">
        <f>HYPERLINK("http://catalog.hathitrust.org/Record/004133009","HathiTrust Record")</f>
        <v/>
      </c>
      <c r="AS1360">
        <f>HYPERLINK("https://creighton-primo.hosted.exlibrisgroup.com/primo-explore/search?tab=default_tab&amp;search_scope=EVERYTHING&amp;vid=01CRU&amp;lang=en_US&amp;offset=0&amp;query=any,contains,991003348069702656","Catalog Record")</f>
        <v/>
      </c>
      <c r="AT1360">
        <f>HYPERLINK("http://www.worldcat.org/oclc/44764011","WorldCat Record")</f>
        <v/>
      </c>
      <c r="AU1360" t="inlineStr">
        <is>
          <t>14448249:eng</t>
        </is>
      </c>
      <c r="AV1360" t="inlineStr">
        <is>
          <t>44764011</t>
        </is>
      </c>
      <c r="AW1360" t="inlineStr">
        <is>
          <t>991003348069702656</t>
        </is>
      </c>
      <c r="AX1360" t="inlineStr">
        <is>
          <t>991003348069702656</t>
        </is>
      </c>
      <c r="AY1360" t="inlineStr">
        <is>
          <t>2263068890002656</t>
        </is>
      </c>
      <c r="AZ1360" t="inlineStr">
        <is>
          <t>BOOK</t>
        </is>
      </c>
      <c r="BB1360" t="inlineStr">
        <is>
          <t>9780394569161</t>
        </is>
      </c>
      <c r="BC1360" t="inlineStr">
        <is>
          <t>32285004278734</t>
        </is>
      </c>
      <c r="BD1360" t="inlineStr">
        <is>
          <t>893416297</t>
        </is>
      </c>
    </row>
    <row r="1361">
      <c r="A1361" t="inlineStr">
        <is>
          <t>No</t>
        </is>
      </c>
      <c r="B1361" t="inlineStr">
        <is>
          <t>E467.1.D26 D32 1991</t>
        </is>
      </c>
      <c r="C1361" t="inlineStr">
        <is>
          <t>0                      E  0467100D  26                 D  32          1991</t>
        </is>
      </c>
      <c r="D1361" t="inlineStr">
        <is>
          <t>Jefferson Davis : the man and his hour / William C. Davis.</t>
        </is>
      </c>
      <c r="F1361" t="inlineStr">
        <is>
          <t>No</t>
        </is>
      </c>
      <c r="G1361" t="inlineStr">
        <is>
          <t>1</t>
        </is>
      </c>
      <c r="H1361" t="inlineStr">
        <is>
          <t>No</t>
        </is>
      </c>
      <c r="I1361" t="inlineStr">
        <is>
          <t>No</t>
        </is>
      </c>
      <c r="J1361" t="inlineStr">
        <is>
          <t>0</t>
        </is>
      </c>
      <c r="K1361" t="inlineStr">
        <is>
          <t>Davis, William C., 1946-</t>
        </is>
      </c>
      <c r="L1361" t="inlineStr">
        <is>
          <t>New York, NY : HarperCollins, c1991.</t>
        </is>
      </c>
      <c r="M1361" t="inlineStr">
        <is>
          <t>1991</t>
        </is>
      </c>
      <c r="N1361" t="inlineStr">
        <is>
          <t>1st ed.</t>
        </is>
      </c>
      <c r="O1361" t="inlineStr">
        <is>
          <t>eng</t>
        </is>
      </c>
      <c r="P1361" t="inlineStr">
        <is>
          <t>nyu</t>
        </is>
      </c>
      <c r="R1361" t="inlineStr">
        <is>
          <t xml:space="preserve">E  </t>
        </is>
      </c>
      <c r="S1361" t="n">
        <v>3</v>
      </c>
      <c r="T1361" t="n">
        <v>3</v>
      </c>
      <c r="U1361" t="inlineStr">
        <is>
          <t>1993-03-08</t>
        </is>
      </c>
      <c r="V1361" t="inlineStr">
        <is>
          <t>1993-03-08</t>
        </is>
      </c>
      <c r="W1361" t="inlineStr">
        <is>
          <t>1992-05-22</t>
        </is>
      </c>
      <c r="X1361" t="inlineStr">
        <is>
          <t>1992-05-22</t>
        </is>
      </c>
      <c r="Y1361" t="n">
        <v>1312</v>
      </c>
      <c r="Z1361" t="n">
        <v>1256</v>
      </c>
      <c r="AA1361" t="n">
        <v>1443</v>
      </c>
      <c r="AB1361" t="n">
        <v>9</v>
      </c>
      <c r="AC1361" t="n">
        <v>11</v>
      </c>
      <c r="AD1361" t="n">
        <v>37</v>
      </c>
      <c r="AE1361" t="n">
        <v>47</v>
      </c>
      <c r="AF1361" t="n">
        <v>14</v>
      </c>
      <c r="AG1361" t="n">
        <v>20</v>
      </c>
      <c r="AH1361" t="n">
        <v>8</v>
      </c>
      <c r="AI1361" t="n">
        <v>8</v>
      </c>
      <c r="AJ1361" t="n">
        <v>18</v>
      </c>
      <c r="AK1361" t="n">
        <v>19</v>
      </c>
      <c r="AL1361" t="n">
        <v>6</v>
      </c>
      <c r="AM1361" t="n">
        <v>8</v>
      </c>
      <c r="AN1361" t="n">
        <v>0</v>
      </c>
      <c r="AO1361" t="n">
        <v>1</v>
      </c>
      <c r="AP1361" t="inlineStr">
        <is>
          <t>No</t>
        </is>
      </c>
      <c r="AQ1361" t="inlineStr">
        <is>
          <t>Yes</t>
        </is>
      </c>
      <c r="AR1361">
        <f>HYPERLINK("http://catalog.hathitrust.org/Record/002501185","HathiTrust Record")</f>
        <v/>
      </c>
      <c r="AS1361">
        <f>HYPERLINK("https://creighton-primo.hosted.exlibrisgroup.com/primo-explore/search?tab=default_tab&amp;search_scope=EVERYTHING&amp;vid=01CRU&amp;lang=en_US&amp;offset=0&amp;query=any,contains,991001878049702656","Catalog Record")</f>
        <v/>
      </c>
      <c r="AT1361">
        <f>HYPERLINK("http://www.worldcat.org/oclc/23692701","WorldCat Record")</f>
        <v/>
      </c>
      <c r="AU1361" t="inlineStr">
        <is>
          <t>12440776:eng</t>
        </is>
      </c>
      <c r="AV1361" t="inlineStr">
        <is>
          <t>23692701</t>
        </is>
      </c>
      <c r="AW1361" t="inlineStr">
        <is>
          <t>991001878049702656</t>
        </is>
      </c>
      <c r="AX1361" t="inlineStr">
        <is>
          <t>991001878049702656</t>
        </is>
      </c>
      <c r="AY1361" t="inlineStr">
        <is>
          <t>2259819610002656</t>
        </is>
      </c>
      <c r="AZ1361" t="inlineStr">
        <is>
          <t>BOOK</t>
        </is>
      </c>
      <c r="BB1361" t="inlineStr">
        <is>
          <t>9780060167066</t>
        </is>
      </c>
      <c r="BC1361" t="inlineStr">
        <is>
          <t>32285001117042</t>
        </is>
      </c>
      <c r="BD1361" t="inlineStr">
        <is>
          <t>893621683</t>
        </is>
      </c>
    </row>
    <row r="1362">
      <c r="A1362" t="inlineStr">
        <is>
          <t>No</t>
        </is>
      </c>
      <c r="B1362" t="inlineStr">
        <is>
          <t>E467.1.D26 E24</t>
        </is>
      </c>
      <c r="C1362" t="inlineStr">
        <is>
          <t>0                      E  0467100D  26                 E  24</t>
        </is>
      </c>
      <c r="D1362" t="inlineStr">
        <is>
          <t>Jefferson Davis / Clement Eaton.</t>
        </is>
      </c>
      <c r="F1362" t="inlineStr">
        <is>
          <t>No</t>
        </is>
      </c>
      <c r="G1362" t="inlineStr">
        <is>
          <t>1</t>
        </is>
      </c>
      <c r="H1362" t="inlineStr">
        <is>
          <t>No</t>
        </is>
      </c>
      <c r="I1362" t="inlineStr">
        <is>
          <t>No</t>
        </is>
      </c>
      <c r="J1362" t="inlineStr">
        <is>
          <t>0</t>
        </is>
      </c>
      <c r="K1362" t="inlineStr">
        <is>
          <t>Eaton, Clement, 1898-1980.</t>
        </is>
      </c>
      <c r="L1362" t="inlineStr">
        <is>
          <t>New York : Free Press, c1977.</t>
        </is>
      </c>
      <c r="M1362" t="inlineStr">
        <is>
          <t>1977</t>
        </is>
      </c>
      <c r="O1362" t="inlineStr">
        <is>
          <t>eng</t>
        </is>
      </c>
      <c r="P1362" t="inlineStr">
        <is>
          <t>nyu</t>
        </is>
      </c>
      <c r="R1362" t="inlineStr">
        <is>
          <t xml:space="preserve">E  </t>
        </is>
      </c>
      <c r="S1362" t="n">
        <v>2</v>
      </c>
      <c r="T1362" t="n">
        <v>2</v>
      </c>
      <c r="U1362" t="inlineStr">
        <is>
          <t>1993-03-08</t>
        </is>
      </c>
      <c r="V1362" t="inlineStr">
        <is>
          <t>1993-03-08</t>
        </is>
      </c>
      <c r="W1362" t="inlineStr">
        <is>
          <t>1990-09-21</t>
        </is>
      </c>
      <c r="X1362" t="inlineStr">
        <is>
          <t>1990-09-21</t>
        </is>
      </c>
      <c r="Y1362" t="n">
        <v>1714</v>
      </c>
      <c r="Z1362" t="n">
        <v>1613</v>
      </c>
      <c r="AA1362" t="n">
        <v>1681</v>
      </c>
      <c r="AB1362" t="n">
        <v>13</v>
      </c>
      <c r="AC1362" t="n">
        <v>13</v>
      </c>
      <c r="AD1362" t="n">
        <v>48</v>
      </c>
      <c r="AE1362" t="n">
        <v>52</v>
      </c>
      <c r="AF1362" t="n">
        <v>21</v>
      </c>
      <c r="AG1362" t="n">
        <v>23</v>
      </c>
      <c r="AH1362" t="n">
        <v>10</v>
      </c>
      <c r="AI1362" t="n">
        <v>10</v>
      </c>
      <c r="AJ1362" t="n">
        <v>19</v>
      </c>
      <c r="AK1362" t="n">
        <v>22</v>
      </c>
      <c r="AL1362" t="n">
        <v>8</v>
      </c>
      <c r="AM1362" t="n">
        <v>8</v>
      </c>
      <c r="AN1362" t="n">
        <v>1</v>
      </c>
      <c r="AO1362" t="n">
        <v>1</v>
      </c>
      <c r="AP1362" t="inlineStr">
        <is>
          <t>No</t>
        </is>
      </c>
      <c r="AQ1362" t="inlineStr">
        <is>
          <t>Yes</t>
        </is>
      </c>
      <c r="AR1362">
        <f>HYPERLINK("http://catalog.hathitrust.org/Record/000293816","HathiTrust Record")</f>
        <v/>
      </c>
      <c r="AS1362">
        <f>HYPERLINK("https://creighton-primo.hosted.exlibrisgroup.com/primo-explore/search?tab=default_tab&amp;search_scope=EVERYTHING&amp;vid=01CRU&amp;lang=en_US&amp;offset=0&amp;query=any,contains,991004365909702656","Catalog Record")</f>
        <v/>
      </c>
      <c r="AT1362">
        <f>HYPERLINK("http://www.worldcat.org/oclc/3169490","WorldCat Record")</f>
        <v/>
      </c>
      <c r="AU1362" t="inlineStr">
        <is>
          <t>158959793:eng</t>
        </is>
      </c>
      <c r="AV1362" t="inlineStr">
        <is>
          <t>3169490</t>
        </is>
      </c>
      <c r="AW1362" t="inlineStr">
        <is>
          <t>991004365909702656</t>
        </is>
      </c>
      <c r="AX1362" t="inlineStr">
        <is>
          <t>991004365909702656</t>
        </is>
      </c>
      <c r="AY1362" t="inlineStr">
        <is>
          <t>2263119970002656</t>
        </is>
      </c>
      <c r="AZ1362" t="inlineStr">
        <is>
          <t>BOOK</t>
        </is>
      </c>
      <c r="BB1362" t="inlineStr">
        <is>
          <t>9780029087008</t>
        </is>
      </c>
      <c r="BC1362" t="inlineStr">
        <is>
          <t>32285000308071</t>
        </is>
      </c>
      <c r="BD1362" t="inlineStr">
        <is>
          <t>893263228</t>
        </is>
      </c>
    </row>
    <row r="1363">
      <c r="A1363" t="inlineStr">
        <is>
          <t>No</t>
        </is>
      </c>
      <c r="B1363" t="inlineStr">
        <is>
          <t>E467.1.F23 M2 1968f</t>
        </is>
      </c>
      <c r="C1363" t="inlineStr">
        <is>
          <t>0                      E  0467100F  23                 M  2           1968f</t>
        </is>
      </c>
      <c r="D1363" t="inlineStr">
        <is>
          <t>Admiral Farragut.</t>
        </is>
      </c>
      <c r="F1363" t="inlineStr">
        <is>
          <t>No</t>
        </is>
      </c>
      <c r="G1363" t="inlineStr">
        <is>
          <t>1</t>
        </is>
      </c>
      <c r="H1363" t="inlineStr">
        <is>
          <t>No</t>
        </is>
      </c>
      <c r="I1363" t="inlineStr">
        <is>
          <t>No</t>
        </is>
      </c>
      <c r="J1363" t="inlineStr">
        <is>
          <t>0</t>
        </is>
      </c>
      <c r="K1363" t="inlineStr">
        <is>
          <t>Mahan, A. T. (Alfred Thayer), 1840-1914.</t>
        </is>
      </c>
      <c r="L1363" t="inlineStr">
        <is>
          <t>New York : Greenwood Press, 1968.</t>
        </is>
      </c>
      <c r="M1363" t="inlineStr">
        <is>
          <t>1968</t>
        </is>
      </c>
      <c r="O1363" t="inlineStr">
        <is>
          <t>eng</t>
        </is>
      </c>
      <c r="P1363" t="inlineStr">
        <is>
          <t>nyu</t>
        </is>
      </c>
      <c r="R1363" t="inlineStr">
        <is>
          <t xml:space="preserve">E  </t>
        </is>
      </c>
      <c r="S1363" t="n">
        <v>3</v>
      </c>
      <c r="T1363" t="n">
        <v>3</v>
      </c>
      <c r="U1363" t="inlineStr">
        <is>
          <t>1999-10-06</t>
        </is>
      </c>
      <c r="V1363" t="inlineStr">
        <is>
          <t>1999-10-06</t>
        </is>
      </c>
      <c r="W1363" t="inlineStr">
        <is>
          <t>1990-12-28</t>
        </is>
      </c>
      <c r="X1363" t="inlineStr">
        <is>
          <t>1990-12-28</t>
        </is>
      </c>
      <c r="Y1363" t="n">
        <v>141</v>
      </c>
      <c r="Z1363" t="n">
        <v>130</v>
      </c>
      <c r="AA1363" t="n">
        <v>904</v>
      </c>
      <c r="AB1363" t="n">
        <v>5</v>
      </c>
      <c r="AC1363" t="n">
        <v>7</v>
      </c>
      <c r="AD1363" t="n">
        <v>8</v>
      </c>
      <c r="AE1363" t="n">
        <v>42</v>
      </c>
      <c r="AF1363" t="n">
        <v>2</v>
      </c>
      <c r="AG1363" t="n">
        <v>16</v>
      </c>
      <c r="AH1363" t="n">
        <v>2</v>
      </c>
      <c r="AI1363" t="n">
        <v>9</v>
      </c>
      <c r="AJ1363" t="n">
        <v>2</v>
      </c>
      <c r="AK1363" t="n">
        <v>21</v>
      </c>
      <c r="AL1363" t="n">
        <v>4</v>
      </c>
      <c r="AM1363" t="n">
        <v>6</v>
      </c>
      <c r="AN1363" t="n">
        <v>0</v>
      </c>
      <c r="AO1363" t="n">
        <v>0</v>
      </c>
      <c r="AP1363" t="inlineStr">
        <is>
          <t>No</t>
        </is>
      </c>
      <c r="AQ1363" t="inlineStr">
        <is>
          <t>No</t>
        </is>
      </c>
      <c r="AS1363">
        <f>HYPERLINK("https://creighton-primo.hosted.exlibrisgroup.com/primo-explore/search?tab=default_tab&amp;search_scope=EVERYTHING&amp;vid=01CRU&amp;lang=en_US&amp;offset=0&amp;query=any,contains,991000282799702656","Catalog Record")</f>
        <v/>
      </c>
      <c r="AT1363">
        <f>HYPERLINK("http://www.worldcat.org/oclc/68688","WorldCat Record")</f>
        <v/>
      </c>
      <c r="AU1363" t="inlineStr">
        <is>
          <t>536413:eng</t>
        </is>
      </c>
      <c r="AV1363" t="inlineStr">
        <is>
          <t>68688</t>
        </is>
      </c>
      <c r="AW1363" t="inlineStr">
        <is>
          <t>991000282799702656</t>
        </is>
      </c>
      <c r="AX1363" t="inlineStr">
        <is>
          <t>991000282799702656</t>
        </is>
      </c>
      <c r="AY1363" t="inlineStr">
        <is>
          <t>2257548130002656</t>
        </is>
      </c>
      <c r="AZ1363" t="inlineStr">
        <is>
          <t>BOOK</t>
        </is>
      </c>
      <c r="BC1363" t="inlineStr">
        <is>
          <t>32285000426055</t>
        </is>
      </c>
      <c r="BD1363" t="inlineStr">
        <is>
          <t>893255308</t>
        </is>
      </c>
    </row>
    <row r="1364">
      <c r="A1364" t="inlineStr">
        <is>
          <t>No</t>
        </is>
      </c>
      <c r="B1364" t="inlineStr">
        <is>
          <t>E467.1.F72 H4</t>
        </is>
      </c>
      <c r="C1364" t="inlineStr">
        <is>
          <t>0                      E  0467100F  72                 H  4</t>
        </is>
      </c>
      <c r="D1364" t="inlineStr">
        <is>
          <t>"First with the most" Forrest / by Robert Selph Henry.</t>
        </is>
      </c>
      <c r="F1364" t="inlineStr">
        <is>
          <t>No</t>
        </is>
      </c>
      <c r="G1364" t="inlineStr">
        <is>
          <t>1</t>
        </is>
      </c>
      <c r="H1364" t="inlineStr">
        <is>
          <t>No</t>
        </is>
      </c>
      <c r="I1364" t="inlineStr">
        <is>
          <t>No</t>
        </is>
      </c>
      <c r="J1364" t="inlineStr">
        <is>
          <t>0</t>
        </is>
      </c>
      <c r="K1364" t="inlineStr">
        <is>
          <t>Henry, Robert Selph, 1889-1970.</t>
        </is>
      </c>
      <c r="L1364" t="inlineStr">
        <is>
          <t>Indianapolis : Bobbs-Merrill, [1944]</t>
        </is>
      </c>
      <c r="M1364" t="inlineStr">
        <is>
          <t>1944</t>
        </is>
      </c>
      <c r="N1364" t="inlineStr">
        <is>
          <t>[1st ed.]</t>
        </is>
      </c>
      <c r="O1364" t="inlineStr">
        <is>
          <t>eng</t>
        </is>
      </c>
      <c r="P1364" t="inlineStr">
        <is>
          <t>inu</t>
        </is>
      </c>
      <c r="R1364" t="inlineStr">
        <is>
          <t xml:space="preserve">E  </t>
        </is>
      </c>
      <c r="S1364" t="n">
        <v>1</v>
      </c>
      <c r="T1364" t="n">
        <v>1</v>
      </c>
      <c r="U1364" t="inlineStr">
        <is>
          <t>1993-07-22</t>
        </is>
      </c>
      <c r="V1364" t="inlineStr">
        <is>
          <t>1993-07-22</t>
        </is>
      </c>
      <c r="W1364" t="inlineStr">
        <is>
          <t>1992-01-28</t>
        </is>
      </c>
      <c r="X1364" t="inlineStr">
        <is>
          <t>1992-01-28</t>
        </is>
      </c>
      <c r="Y1364" t="n">
        <v>583</v>
      </c>
      <c r="Z1364" t="n">
        <v>560</v>
      </c>
      <c r="AA1364" t="n">
        <v>985</v>
      </c>
      <c r="AB1364" t="n">
        <v>5</v>
      </c>
      <c r="AC1364" t="n">
        <v>6</v>
      </c>
      <c r="AD1364" t="n">
        <v>22</v>
      </c>
      <c r="AE1364" t="n">
        <v>30</v>
      </c>
      <c r="AF1364" t="n">
        <v>7</v>
      </c>
      <c r="AG1364" t="n">
        <v>14</v>
      </c>
      <c r="AH1364" t="n">
        <v>3</v>
      </c>
      <c r="AI1364" t="n">
        <v>5</v>
      </c>
      <c r="AJ1364" t="n">
        <v>13</v>
      </c>
      <c r="AK1364" t="n">
        <v>14</v>
      </c>
      <c r="AL1364" t="n">
        <v>3</v>
      </c>
      <c r="AM1364" t="n">
        <v>3</v>
      </c>
      <c r="AN1364" t="n">
        <v>1</v>
      </c>
      <c r="AO1364" t="n">
        <v>1</v>
      </c>
      <c r="AP1364" t="inlineStr">
        <is>
          <t>Yes</t>
        </is>
      </c>
      <c r="AQ1364" t="inlineStr">
        <is>
          <t>No</t>
        </is>
      </c>
      <c r="AR1364">
        <f>HYPERLINK("http://catalog.hathitrust.org/Record/000563092","HathiTrust Record")</f>
        <v/>
      </c>
      <c r="AS1364">
        <f>HYPERLINK("https://creighton-primo.hosted.exlibrisgroup.com/primo-explore/search?tab=default_tab&amp;search_scope=EVERYTHING&amp;vid=01CRU&amp;lang=en_US&amp;offset=0&amp;query=any,contains,991001180989702656","Catalog Record")</f>
        <v/>
      </c>
      <c r="AT1364">
        <f>HYPERLINK("http://www.worldcat.org/oclc/190282","WorldCat Record")</f>
        <v/>
      </c>
      <c r="AU1364" t="inlineStr">
        <is>
          <t>1220388:eng</t>
        </is>
      </c>
      <c r="AV1364" t="inlineStr">
        <is>
          <t>190282</t>
        </is>
      </c>
      <c r="AW1364" t="inlineStr">
        <is>
          <t>991001180989702656</t>
        </is>
      </c>
      <c r="AX1364" t="inlineStr">
        <is>
          <t>991001180989702656</t>
        </is>
      </c>
      <c r="AY1364" t="inlineStr">
        <is>
          <t>2259562450002656</t>
        </is>
      </c>
      <c r="AZ1364" t="inlineStr">
        <is>
          <t>BOOK</t>
        </is>
      </c>
      <c r="BC1364" t="inlineStr">
        <is>
          <t>32285000919653</t>
        </is>
      </c>
      <c r="BD1364" t="inlineStr">
        <is>
          <t>893414021</t>
        </is>
      </c>
    </row>
    <row r="1365">
      <c r="A1365" t="inlineStr">
        <is>
          <t>No</t>
        </is>
      </c>
      <c r="B1365" t="inlineStr">
        <is>
          <t>E467.1.J15 A42 1992</t>
        </is>
      </c>
      <c r="C1365" t="inlineStr">
        <is>
          <t>0                      E  0467100J  15                 A  42          1992</t>
        </is>
      </c>
      <c r="D1365" t="inlineStr">
        <is>
          <t>Lost victories : the military genius of Stonewall Jackson / Bevin Alexander.</t>
        </is>
      </c>
      <c r="F1365" t="inlineStr">
        <is>
          <t>No</t>
        </is>
      </c>
      <c r="G1365" t="inlineStr">
        <is>
          <t>1</t>
        </is>
      </c>
      <c r="H1365" t="inlineStr">
        <is>
          <t>No</t>
        </is>
      </c>
      <c r="I1365" t="inlineStr">
        <is>
          <t>No</t>
        </is>
      </c>
      <c r="J1365" t="inlineStr">
        <is>
          <t>0</t>
        </is>
      </c>
      <c r="K1365" t="inlineStr">
        <is>
          <t>Alexander, Bevin.</t>
        </is>
      </c>
      <c r="L1365" t="inlineStr">
        <is>
          <t>New York : Holt, 1992.</t>
        </is>
      </c>
      <c r="M1365" t="inlineStr">
        <is>
          <t>1992</t>
        </is>
      </c>
      <c r="N1365" t="inlineStr">
        <is>
          <t>1st ed.</t>
        </is>
      </c>
      <c r="O1365" t="inlineStr">
        <is>
          <t>eng</t>
        </is>
      </c>
      <c r="P1365" t="inlineStr">
        <is>
          <t>nyu</t>
        </is>
      </c>
      <c r="R1365" t="inlineStr">
        <is>
          <t xml:space="preserve">E  </t>
        </is>
      </c>
      <c r="S1365" t="n">
        <v>5</v>
      </c>
      <c r="T1365" t="n">
        <v>5</v>
      </c>
      <c r="U1365" t="inlineStr">
        <is>
          <t>1996-02-02</t>
        </is>
      </c>
      <c r="V1365" t="inlineStr">
        <is>
          <t>1996-02-02</t>
        </is>
      </c>
      <c r="W1365" t="inlineStr">
        <is>
          <t>1993-10-04</t>
        </is>
      </c>
      <c r="X1365" t="inlineStr">
        <is>
          <t>1993-10-04</t>
        </is>
      </c>
      <c r="Y1365" t="n">
        <v>636</v>
      </c>
      <c r="Z1365" t="n">
        <v>611</v>
      </c>
      <c r="AA1365" t="n">
        <v>710</v>
      </c>
      <c r="AB1365" t="n">
        <v>6</v>
      </c>
      <c r="AC1365" t="n">
        <v>6</v>
      </c>
      <c r="AD1365" t="n">
        <v>23</v>
      </c>
      <c r="AE1365" t="n">
        <v>26</v>
      </c>
      <c r="AF1365" t="n">
        <v>8</v>
      </c>
      <c r="AG1365" t="n">
        <v>9</v>
      </c>
      <c r="AH1365" t="n">
        <v>6</v>
      </c>
      <c r="AI1365" t="n">
        <v>7</v>
      </c>
      <c r="AJ1365" t="n">
        <v>11</v>
      </c>
      <c r="AK1365" t="n">
        <v>13</v>
      </c>
      <c r="AL1365" t="n">
        <v>2</v>
      </c>
      <c r="AM1365" t="n">
        <v>2</v>
      </c>
      <c r="AN1365" t="n">
        <v>1</v>
      </c>
      <c r="AO1365" t="n">
        <v>1</v>
      </c>
      <c r="AP1365" t="inlineStr">
        <is>
          <t>No</t>
        </is>
      </c>
      <c r="AQ1365" t="inlineStr">
        <is>
          <t>No</t>
        </is>
      </c>
      <c r="AS1365">
        <f>HYPERLINK("https://creighton-primo.hosted.exlibrisgroup.com/primo-explore/search?tab=default_tab&amp;search_scope=EVERYTHING&amp;vid=01CRU&amp;lang=en_US&amp;offset=0&amp;query=any,contains,991002013779702656","Catalog Record")</f>
        <v/>
      </c>
      <c r="AT1365">
        <f>HYPERLINK("http://www.worldcat.org/oclc/25629687","WorldCat Record")</f>
        <v/>
      </c>
      <c r="AU1365" t="inlineStr">
        <is>
          <t>599491:eng</t>
        </is>
      </c>
      <c r="AV1365" t="inlineStr">
        <is>
          <t>25629687</t>
        </is>
      </c>
      <c r="AW1365" t="inlineStr">
        <is>
          <t>991002013779702656</t>
        </is>
      </c>
      <c r="AX1365" t="inlineStr">
        <is>
          <t>991002013779702656</t>
        </is>
      </c>
      <c r="AY1365" t="inlineStr">
        <is>
          <t>2259934680002656</t>
        </is>
      </c>
      <c r="AZ1365" t="inlineStr">
        <is>
          <t>BOOK</t>
        </is>
      </c>
      <c r="BB1365" t="inlineStr">
        <is>
          <t>9780805018301</t>
        </is>
      </c>
      <c r="BC1365" t="inlineStr">
        <is>
          <t>32285001769495</t>
        </is>
      </c>
      <c r="BD1365" t="inlineStr">
        <is>
          <t>893503918</t>
        </is>
      </c>
    </row>
    <row r="1366">
      <c r="A1366" t="inlineStr">
        <is>
          <t>No</t>
        </is>
      </c>
      <c r="B1366" t="inlineStr">
        <is>
          <t>E467.1.J15 B68 1989</t>
        </is>
      </c>
      <c r="C1366" t="inlineStr">
        <is>
          <t>0                      E  0467100J  15                 B  68          1989</t>
        </is>
      </c>
      <c r="D1366" t="inlineStr">
        <is>
          <t>Stonewall Jackson : portrait of a soldier / John Bowers.</t>
        </is>
      </c>
      <c r="F1366" t="inlineStr">
        <is>
          <t>No</t>
        </is>
      </c>
      <c r="G1366" t="inlineStr">
        <is>
          <t>1</t>
        </is>
      </c>
      <c r="H1366" t="inlineStr">
        <is>
          <t>No</t>
        </is>
      </c>
      <c r="I1366" t="inlineStr">
        <is>
          <t>No</t>
        </is>
      </c>
      <c r="J1366" t="inlineStr">
        <is>
          <t>0</t>
        </is>
      </c>
      <c r="K1366" t="inlineStr">
        <is>
          <t>Bowers, John, 1928-</t>
        </is>
      </c>
      <c r="L1366" t="inlineStr">
        <is>
          <t>New York : Morrow, c1989.</t>
        </is>
      </c>
      <c r="M1366" t="inlineStr">
        <is>
          <t>1989</t>
        </is>
      </c>
      <c r="N1366" t="inlineStr">
        <is>
          <t>1st ed.</t>
        </is>
      </c>
      <c r="O1366" t="inlineStr">
        <is>
          <t>eng</t>
        </is>
      </c>
      <c r="P1366" t="inlineStr">
        <is>
          <t>nyu</t>
        </is>
      </c>
      <c r="R1366" t="inlineStr">
        <is>
          <t xml:space="preserve">E  </t>
        </is>
      </c>
      <c r="S1366" t="n">
        <v>7</v>
      </c>
      <c r="T1366" t="n">
        <v>7</v>
      </c>
      <c r="U1366" t="inlineStr">
        <is>
          <t>1996-02-02</t>
        </is>
      </c>
      <c r="V1366" t="inlineStr">
        <is>
          <t>1996-02-02</t>
        </is>
      </c>
      <c r="W1366" t="inlineStr">
        <is>
          <t>1990-06-05</t>
        </is>
      </c>
      <c r="X1366" t="inlineStr">
        <is>
          <t>1990-06-05</t>
        </is>
      </c>
      <c r="Y1366" t="n">
        <v>908</v>
      </c>
      <c r="Z1366" t="n">
        <v>872</v>
      </c>
      <c r="AA1366" t="n">
        <v>974</v>
      </c>
      <c r="AB1366" t="n">
        <v>5</v>
      </c>
      <c r="AC1366" t="n">
        <v>6</v>
      </c>
      <c r="AD1366" t="n">
        <v>14</v>
      </c>
      <c r="AE1366" t="n">
        <v>16</v>
      </c>
      <c r="AF1366" t="n">
        <v>5</v>
      </c>
      <c r="AG1366" t="n">
        <v>5</v>
      </c>
      <c r="AH1366" t="n">
        <v>4</v>
      </c>
      <c r="AI1366" t="n">
        <v>5</v>
      </c>
      <c r="AJ1366" t="n">
        <v>7</v>
      </c>
      <c r="AK1366" t="n">
        <v>7</v>
      </c>
      <c r="AL1366" t="n">
        <v>2</v>
      </c>
      <c r="AM1366" t="n">
        <v>3</v>
      </c>
      <c r="AN1366" t="n">
        <v>0</v>
      </c>
      <c r="AO1366" t="n">
        <v>0</v>
      </c>
      <c r="AP1366" t="inlineStr">
        <is>
          <t>No</t>
        </is>
      </c>
      <c r="AQ1366" t="inlineStr">
        <is>
          <t>No</t>
        </is>
      </c>
      <c r="AS1366">
        <f>HYPERLINK("https://creighton-primo.hosted.exlibrisgroup.com/primo-explore/search?tab=default_tab&amp;search_scope=EVERYTHING&amp;vid=01CRU&amp;lang=en_US&amp;offset=0&amp;query=any,contains,991001384599702656","Catalog Record")</f>
        <v/>
      </c>
      <c r="AT1366">
        <f>HYPERLINK("http://www.worldcat.org/oclc/18715210","WorldCat Record")</f>
        <v/>
      </c>
      <c r="AU1366" t="inlineStr">
        <is>
          <t>18340213:eng</t>
        </is>
      </c>
      <c r="AV1366" t="inlineStr">
        <is>
          <t>18715210</t>
        </is>
      </c>
      <c r="AW1366" t="inlineStr">
        <is>
          <t>991001384599702656</t>
        </is>
      </c>
      <c r="AX1366" t="inlineStr">
        <is>
          <t>991001384599702656</t>
        </is>
      </c>
      <c r="AY1366" t="inlineStr">
        <is>
          <t>2265587560002656</t>
        </is>
      </c>
      <c r="AZ1366" t="inlineStr">
        <is>
          <t>BOOK</t>
        </is>
      </c>
      <c r="BB1366" t="inlineStr">
        <is>
          <t>9780688057473</t>
        </is>
      </c>
      <c r="BC1366" t="inlineStr">
        <is>
          <t>32285000158948</t>
        </is>
      </c>
      <c r="BD1366" t="inlineStr">
        <is>
          <t>893238087</t>
        </is>
      </c>
    </row>
    <row r="1367">
      <c r="A1367" t="inlineStr">
        <is>
          <t>No</t>
        </is>
      </c>
      <c r="B1367" t="inlineStr">
        <is>
          <t>E467.1.J15 C64</t>
        </is>
      </c>
      <c r="C1367" t="inlineStr">
        <is>
          <t>0                      E  0467100J  15                 C  64</t>
        </is>
      </c>
      <c r="D1367" t="inlineStr">
        <is>
          <t>Stonewall Jackson / by John Esten Cooke.</t>
        </is>
      </c>
      <c r="F1367" t="inlineStr">
        <is>
          <t>No</t>
        </is>
      </c>
      <c r="G1367" t="inlineStr">
        <is>
          <t>1</t>
        </is>
      </c>
      <c r="H1367" t="inlineStr">
        <is>
          <t>No</t>
        </is>
      </c>
      <c r="I1367" t="inlineStr">
        <is>
          <t>No</t>
        </is>
      </c>
      <c r="J1367" t="inlineStr">
        <is>
          <t>0</t>
        </is>
      </c>
      <c r="K1367" t="inlineStr">
        <is>
          <t>Cooke, John Esten, 1830-1886.</t>
        </is>
      </c>
      <c r="L1367" t="inlineStr">
        <is>
          <t>New York : G.W. Dillingham, 1894.</t>
        </is>
      </c>
      <c r="M1367" t="inlineStr">
        <is>
          <t>1894</t>
        </is>
      </c>
      <c r="O1367" t="inlineStr">
        <is>
          <t>eng</t>
        </is>
      </c>
      <c r="P1367" t="inlineStr">
        <is>
          <t>nyu</t>
        </is>
      </c>
      <c r="R1367" t="inlineStr">
        <is>
          <t xml:space="preserve">E  </t>
        </is>
      </c>
      <c r="S1367" t="n">
        <v>3</v>
      </c>
      <c r="T1367" t="n">
        <v>3</v>
      </c>
      <c r="U1367" t="inlineStr">
        <is>
          <t>1994-03-27</t>
        </is>
      </c>
      <c r="V1367" t="inlineStr">
        <is>
          <t>1994-03-27</t>
        </is>
      </c>
      <c r="W1367" t="inlineStr">
        <is>
          <t>1993-01-08</t>
        </is>
      </c>
      <c r="X1367" t="inlineStr">
        <is>
          <t>1993-01-08</t>
        </is>
      </c>
      <c r="Y1367" t="n">
        <v>101</v>
      </c>
      <c r="Z1367" t="n">
        <v>99</v>
      </c>
      <c r="AA1367" t="n">
        <v>152</v>
      </c>
      <c r="AB1367" t="n">
        <v>1</v>
      </c>
      <c r="AC1367" t="n">
        <v>2</v>
      </c>
      <c r="AD1367" t="n">
        <v>3</v>
      </c>
      <c r="AE1367" t="n">
        <v>7</v>
      </c>
      <c r="AF1367" t="n">
        <v>1</v>
      </c>
      <c r="AG1367" t="n">
        <v>2</v>
      </c>
      <c r="AH1367" t="n">
        <v>1</v>
      </c>
      <c r="AI1367" t="n">
        <v>3</v>
      </c>
      <c r="AJ1367" t="n">
        <v>1</v>
      </c>
      <c r="AK1367" t="n">
        <v>2</v>
      </c>
      <c r="AL1367" t="n">
        <v>0</v>
      </c>
      <c r="AM1367" t="n">
        <v>1</v>
      </c>
      <c r="AN1367" t="n">
        <v>0</v>
      </c>
      <c r="AO1367" t="n">
        <v>0</v>
      </c>
      <c r="AP1367" t="inlineStr">
        <is>
          <t>No</t>
        </is>
      </c>
      <c r="AQ1367" t="inlineStr">
        <is>
          <t>No</t>
        </is>
      </c>
      <c r="AS1367">
        <f>HYPERLINK("https://creighton-primo.hosted.exlibrisgroup.com/primo-explore/search?tab=default_tab&amp;search_scope=EVERYTHING&amp;vid=01CRU&amp;lang=en_US&amp;offset=0&amp;query=any,contains,991003920159702656","Catalog Record")</f>
        <v/>
      </c>
      <c r="AT1367">
        <f>HYPERLINK("http://www.worldcat.org/oclc/1868663","WorldCat Record")</f>
        <v/>
      </c>
      <c r="AU1367" t="inlineStr">
        <is>
          <t>3856247568:eng</t>
        </is>
      </c>
      <c r="AV1367" t="inlineStr">
        <is>
          <t>1868663</t>
        </is>
      </c>
      <c r="AW1367" t="inlineStr">
        <is>
          <t>991003920159702656</t>
        </is>
      </c>
      <c r="AX1367" t="inlineStr">
        <is>
          <t>991003920159702656</t>
        </is>
      </c>
      <c r="AY1367" t="inlineStr">
        <is>
          <t>2262650250002656</t>
        </is>
      </c>
      <c r="AZ1367" t="inlineStr">
        <is>
          <t>BOOK</t>
        </is>
      </c>
      <c r="BC1367" t="inlineStr">
        <is>
          <t>32285001474252</t>
        </is>
      </c>
      <c r="BD1367" t="inlineStr">
        <is>
          <t>893711944</t>
        </is>
      </c>
    </row>
    <row r="1368">
      <c r="A1368" t="inlineStr">
        <is>
          <t>No</t>
        </is>
      </c>
      <c r="B1368" t="inlineStr">
        <is>
          <t>E467.1.J15 F37 1992</t>
        </is>
      </c>
      <c r="C1368" t="inlineStr">
        <is>
          <t>0                      E  0467100J  15                 F  37          1992</t>
        </is>
      </c>
      <c r="D1368" t="inlineStr">
        <is>
          <t>Stonewall : a biography of General Thomas J. Jackson / by Byron Farwell.</t>
        </is>
      </c>
      <c r="F1368" t="inlineStr">
        <is>
          <t>No</t>
        </is>
      </c>
      <c r="G1368" t="inlineStr">
        <is>
          <t>1</t>
        </is>
      </c>
      <c r="H1368" t="inlineStr">
        <is>
          <t>No</t>
        </is>
      </c>
      <c r="I1368" t="inlineStr">
        <is>
          <t>No</t>
        </is>
      </c>
      <c r="J1368" t="inlineStr">
        <is>
          <t>0</t>
        </is>
      </c>
      <c r="K1368" t="inlineStr">
        <is>
          <t>Farwell, Byron.</t>
        </is>
      </c>
      <c r="L1368" t="inlineStr">
        <is>
          <t>New York : W.W. Norton, 1992.</t>
        </is>
      </c>
      <c r="M1368" t="inlineStr">
        <is>
          <t>1992</t>
        </is>
      </c>
      <c r="N1368" t="inlineStr">
        <is>
          <t>1st ed.</t>
        </is>
      </c>
      <c r="O1368" t="inlineStr">
        <is>
          <t>eng</t>
        </is>
      </c>
      <c r="P1368" t="inlineStr">
        <is>
          <t>nyu</t>
        </is>
      </c>
      <c r="R1368" t="inlineStr">
        <is>
          <t xml:space="preserve">E  </t>
        </is>
      </c>
      <c r="S1368" t="n">
        <v>7</v>
      </c>
      <c r="T1368" t="n">
        <v>7</v>
      </c>
      <c r="U1368" t="inlineStr">
        <is>
          <t>1999-05-01</t>
        </is>
      </c>
      <c r="V1368" t="inlineStr">
        <is>
          <t>1999-05-01</t>
        </is>
      </c>
      <c r="W1368" t="inlineStr">
        <is>
          <t>1993-10-04</t>
        </is>
      </c>
      <c r="X1368" t="inlineStr">
        <is>
          <t>1993-10-04</t>
        </is>
      </c>
      <c r="Y1368" t="n">
        <v>814</v>
      </c>
      <c r="Z1368" t="n">
        <v>784</v>
      </c>
      <c r="AA1368" t="n">
        <v>917</v>
      </c>
      <c r="AB1368" t="n">
        <v>9</v>
      </c>
      <c r="AC1368" t="n">
        <v>11</v>
      </c>
      <c r="AD1368" t="n">
        <v>27</v>
      </c>
      <c r="AE1368" t="n">
        <v>31</v>
      </c>
      <c r="AF1368" t="n">
        <v>10</v>
      </c>
      <c r="AG1368" t="n">
        <v>13</v>
      </c>
      <c r="AH1368" t="n">
        <v>7</v>
      </c>
      <c r="AI1368" t="n">
        <v>8</v>
      </c>
      <c r="AJ1368" t="n">
        <v>12</v>
      </c>
      <c r="AK1368" t="n">
        <v>12</v>
      </c>
      <c r="AL1368" t="n">
        <v>4</v>
      </c>
      <c r="AM1368" t="n">
        <v>5</v>
      </c>
      <c r="AN1368" t="n">
        <v>0</v>
      </c>
      <c r="AO1368" t="n">
        <v>0</v>
      </c>
      <c r="AP1368" t="inlineStr">
        <is>
          <t>No</t>
        </is>
      </c>
      <c r="AQ1368" t="inlineStr">
        <is>
          <t>No</t>
        </is>
      </c>
      <c r="AS1368">
        <f>HYPERLINK("https://creighton-primo.hosted.exlibrisgroup.com/primo-explore/search?tab=default_tab&amp;search_scope=EVERYTHING&amp;vid=01CRU&amp;lang=en_US&amp;offset=0&amp;query=any,contains,991001967149702656","Catalog Record")</f>
        <v/>
      </c>
      <c r="AT1368">
        <f>HYPERLINK("http://www.worldcat.org/oclc/24951891","WorldCat Record")</f>
        <v/>
      </c>
      <c r="AU1368" t="inlineStr">
        <is>
          <t>26230209:eng</t>
        </is>
      </c>
      <c r="AV1368" t="inlineStr">
        <is>
          <t>24951891</t>
        </is>
      </c>
      <c r="AW1368" t="inlineStr">
        <is>
          <t>991001967149702656</t>
        </is>
      </c>
      <c r="AX1368" t="inlineStr">
        <is>
          <t>991001967149702656</t>
        </is>
      </c>
      <c r="AY1368" t="inlineStr">
        <is>
          <t>2270038270002656</t>
        </is>
      </c>
      <c r="AZ1368" t="inlineStr">
        <is>
          <t>BOOK</t>
        </is>
      </c>
      <c r="BB1368" t="inlineStr">
        <is>
          <t>9780393033892</t>
        </is>
      </c>
      <c r="BC1368" t="inlineStr">
        <is>
          <t>32285001769362</t>
        </is>
      </c>
      <c r="BD1368" t="inlineStr">
        <is>
          <t>893798007</t>
        </is>
      </c>
    </row>
    <row r="1369">
      <c r="A1369" t="inlineStr">
        <is>
          <t>No</t>
        </is>
      </c>
      <c r="B1369" t="inlineStr">
        <is>
          <t>E467.1.J15 H55 1968</t>
        </is>
      </c>
      <c r="C1369" t="inlineStr">
        <is>
          <t>0                      E  0467100J  15                 H  55          1968</t>
        </is>
      </c>
      <c r="D1369" t="inlineStr">
        <is>
          <t>Stonewall Jackson and the American Civil War / a modern abridgment, with an introd., by E. B. Long. Maps by Barbara Long.</t>
        </is>
      </c>
      <c r="F1369" t="inlineStr">
        <is>
          <t>No</t>
        </is>
      </c>
      <c r="G1369" t="inlineStr">
        <is>
          <t>1</t>
        </is>
      </c>
      <c r="H1369" t="inlineStr">
        <is>
          <t>No</t>
        </is>
      </c>
      <c r="I1369" t="inlineStr">
        <is>
          <t>No</t>
        </is>
      </c>
      <c r="J1369" t="inlineStr">
        <is>
          <t>0</t>
        </is>
      </c>
      <c r="K1369" t="inlineStr">
        <is>
          <t>Henderson, G. F. R. (George Francis Robert), 1854-1903.</t>
        </is>
      </c>
      <c r="L1369" t="inlineStr">
        <is>
          <t>Gloucester, Mass. : P. Smith, 1968 [c1962]</t>
        </is>
      </c>
      <c r="M1369" t="inlineStr">
        <is>
          <t>1968</t>
        </is>
      </c>
      <c r="O1369" t="inlineStr">
        <is>
          <t>eng</t>
        </is>
      </c>
      <c r="P1369" t="inlineStr">
        <is>
          <t>mau</t>
        </is>
      </c>
      <c r="R1369" t="inlineStr">
        <is>
          <t xml:space="preserve">E  </t>
        </is>
      </c>
      <c r="S1369" t="n">
        <v>3</v>
      </c>
      <c r="T1369" t="n">
        <v>3</v>
      </c>
      <c r="U1369" t="inlineStr">
        <is>
          <t>1996-02-02</t>
        </is>
      </c>
      <c r="V1369" t="inlineStr">
        <is>
          <t>1996-02-02</t>
        </is>
      </c>
      <c r="W1369" t="inlineStr">
        <is>
          <t>1990-11-15</t>
        </is>
      </c>
      <c r="X1369" t="inlineStr">
        <is>
          <t>1990-11-15</t>
        </is>
      </c>
      <c r="Y1369" t="n">
        <v>213</v>
      </c>
      <c r="Z1369" t="n">
        <v>206</v>
      </c>
      <c r="AA1369" t="n">
        <v>1705</v>
      </c>
      <c r="AB1369" t="n">
        <v>2</v>
      </c>
      <c r="AC1369" t="n">
        <v>12</v>
      </c>
      <c r="AD1369" t="n">
        <v>2</v>
      </c>
      <c r="AE1369" t="n">
        <v>52</v>
      </c>
      <c r="AF1369" t="n">
        <v>0</v>
      </c>
      <c r="AG1369" t="n">
        <v>23</v>
      </c>
      <c r="AH1369" t="n">
        <v>1</v>
      </c>
      <c r="AI1369" t="n">
        <v>9</v>
      </c>
      <c r="AJ1369" t="n">
        <v>0</v>
      </c>
      <c r="AK1369" t="n">
        <v>23</v>
      </c>
      <c r="AL1369" t="n">
        <v>1</v>
      </c>
      <c r="AM1369" t="n">
        <v>7</v>
      </c>
      <c r="AN1369" t="n">
        <v>0</v>
      </c>
      <c r="AO1369" t="n">
        <v>2</v>
      </c>
      <c r="AP1369" t="inlineStr">
        <is>
          <t>No</t>
        </is>
      </c>
      <c r="AQ1369" t="inlineStr">
        <is>
          <t>Yes</t>
        </is>
      </c>
      <c r="AR1369">
        <f>HYPERLINK("http://catalog.hathitrust.org/Record/004388434","HathiTrust Record")</f>
        <v/>
      </c>
      <c r="AS1369">
        <f>HYPERLINK("https://creighton-primo.hosted.exlibrisgroup.com/primo-explore/search?tab=default_tab&amp;search_scope=EVERYTHING&amp;vid=01CRU&amp;lang=en_US&amp;offset=0&amp;query=any,contains,991002765629702656","Catalog Record")</f>
        <v/>
      </c>
      <c r="AT1369">
        <f>HYPERLINK("http://www.worldcat.org/oclc/433407","WorldCat Record")</f>
        <v/>
      </c>
      <c r="AU1369" t="inlineStr">
        <is>
          <t>507280:eng</t>
        </is>
      </c>
      <c r="AV1369" t="inlineStr">
        <is>
          <t>433407</t>
        </is>
      </c>
      <c r="AW1369" t="inlineStr">
        <is>
          <t>991002765629702656</t>
        </is>
      </c>
      <c r="AX1369" t="inlineStr">
        <is>
          <t>991002765629702656</t>
        </is>
      </c>
      <c r="AY1369" t="inlineStr">
        <is>
          <t>2270191150002656</t>
        </is>
      </c>
      <c r="AZ1369" t="inlineStr">
        <is>
          <t>BOOK</t>
        </is>
      </c>
      <c r="BC1369" t="inlineStr">
        <is>
          <t>32285000396241</t>
        </is>
      </c>
      <c r="BD1369" t="inlineStr">
        <is>
          <t>893233387</t>
        </is>
      </c>
    </row>
    <row r="1370">
      <c r="A1370" t="inlineStr">
        <is>
          <t>No</t>
        </is>
      </c>
      <c r="B1370" t="inlineStr">
        <is>
          <t>E467.1.J15 R63 1997</t>
        </is>
      </c>
      <c r="C1370" t="inlineStr">
        <is>
          <t>0                      E  0467100J  15                 R  63          1997</t>
        </is>
      </c>
      <c r="D1370" t="inlineStr">
        <is>
          <t>Stonewall Jackson : the man, the soldier, the legend / James I. Robertson, Jr.</t>
        </is>
      </c>
      <c r="F1370" t="inlineStr">
        <is>
          <t>No</t>
        </is>
      </c>
      <c r="G1370" t="inlineStr">
        <is>
          <t>1</t>
        </is>
      </c>
      <c r="H1370" t="inlineStr">
        <is>
          <t>No</t>
        </is>
      </c>
      <c r="I1370" t="inlineStr">
        <is>
          <t>No</t>
        </is>
      </c>
      <c r="J1370" t="inlineStr">
        <is>
          <t>0</t>
        </is>
      </c>
      <c r="K1370" t="inlineStr">
        <is>
          <t>Robertson, James I., Jr. (James Irvin), 1930-2019.</t>
        </is>
      </c>
      <c r="L1370" t="inlineStr">
        <is>
          <t>New York : Macmillan ; London : Prentice Hall International, c1997.</t>
        </is>
      </c>
      <c r="M1370" t="inlineStr">
        <is>
          <t>1997</t>
        </is>
      </c>
      <c r="O1370" t="inlineStr">
        <is>
          <t>eng</t>
        </is>
      </c>
      <c r="P1370" t="inlineStr">
        <is>
          <t>nyu</t>
        </is>
      </c>
      <c r="R1370" t="inlineStr">
        <is>
          <t xml:space="preserve">E  </t>
        </is>
      </c>
      <c r="S1370" t="n">
        <v>5</v>
      </c>
      <c r="T1370" t="n">
        <v>5</v>
      </c>
      <c r="U1370" t="inlineStr">
        <is>
          <t>2004-03-01</t>
        </is>
      </c>
      <c r="V1370" t="inlineStr">
        <is>
          <t>2004-03-01</t>
        </is>
      </c>
      <c r="W1370" t="inlineStr">
        <is>
          <t>1997-03-21</t>
        </is>
      </c>
      <c r="X1370" t="inlineStr">
        <is>
          <t>1997-03-21</t>
        </is>
      </c>
      <c r="Y1370" t="n">
        <v>1829</v>
      </c>
      <c r="Z1370" t="n">
        <v>1775</v>
      </c>
      <c r="AA1370" t="n">
        <v>1816</v>
      </c>
      <c r="AB1370" t="n">
        <v>13</v>
      </c>
      <c r="AC1370" t="n">
        <v>13</v>
      </c>
      <c r="AD1370" t="n">
        <v>51</v>
      </c>
      <c r="AE1370" t="n">
        <v>51</v>
      </c>
      <c r="AF1370" t="n">
        <v>24</v>
      </c>
      <c r="AG1370" t="n">
        <v>24</v>
      </c>
      <c r="AH1370" t="n">
        <v>11</v>
      </c>
      <c r="AI1370" t="n">
        <v>11</v>
      </c>
      <c r="AJ1370" t="n">
        <v>20</v>
      </c>
      <c r="AK1370" t="n">
        <v>20</v>
      </c>
      <c r="AL1370" t="n">
        <v>8</v>
      </c>
      <c r="AM1370" t="n">
        <v>8</v>
      </c>
      <c r="AN1370" t="n">
        <v>0</v>
      </c>
      <c r="AO1370" t="n">
        <v>0</v>
      </c>
      <c r="AP1370" t="inlineStr">
        <is>
          <t>No</t>
        </is>
      </c>
      <c r="AQ1370" t="inlineStr">
        <is>
          <t>Yes</t>
        </is>
      </c>
      <c r="AR1370">
        <f>HYPERLINK("http://catalog.hathitrust.org/Record/003148178","HathiTrust Record")</f>
        <v/>
      </c>
      <c r="AS1370">
        <f>HYPERLINK("https://creighton-primo.hosted.exlibrisgroup.com/primo-explore/search?tab=default_tab&amp;search_scope=EVERYTHING&amp;vid=01CRU&amp;lang=en_US&amp;offset=0&amp;query=any,contains,991002637119702656","Catalog Record")</f>
        <v/>
      </c>
      <c r="AT1370">
        <f>HYPERLINK("http://www.worldcat.org/oclc/34546180","WorldCat Record")</f>
        <v/>
      </c>
      <c r="AU1370" t="inlineStr">
        <is>
          <t>6465481:eng</t>
        </is>
      </c>
      <c r="AV1370" t="inlineStr">
        <is>
          <t>34546180</t>
        </is>
      </c>
      <c r="AW1370" t="inlineStr">
        <is>
          <t>991002637119702656</t>
        </is>
      </c>
      <c r="AX1370" t="inlineStr">
        <is>
          <t>991002637119702656</t>
        </is>
      </c>
      <c r="AY1370" t="inlineStr">
        <is>
          <t>2263108710002656</t>
        </is>
      </c>
      <c r="AZ1370" t="inlineStr">
        <is>
          <t>BOOK</t>
        </is>
      </c>
      <c r="BB1370" t="inlineStr">
        <is>
          <t>9780028646855</t>
        </is>
      </c>
      <c r="BC1370" t="inlineStr">
        <is>
          <t>32285002475654</t>
        </is>
      </c>
      <c r="BD1370" t="inlineStr">
        <is>
          <t>893421614</t>
        </is>
      </c>
    </row>
    <row r="1371">
      <c r="A1371" t="inlineStr">
        <is>
          <t>No</t>
        </is>
      </c>
      <c r="B1371" t="inlineStr">
        <is>
          <t>E467.1.J73 R58 2000</t>
        </is>
      </c>
      <c r="C1371" t="inlineStr">
        <is>
          <t>0                      E  0467100J  73                 R  58          2000</t>
        </is>
      </c>
      <c r="D1371" t="inlineStr">
        <is>
          <t>Jefferson Davis's greatest general : Albert Sidney Johnston / [by Charles P. Roland].</t>
        </is>
      </c>
      <c r="F1371" t="inlineStr">
        <is>
          <t>No</t>
        </is>
      </c>
      <c r="G1371" t="inlineStr">
        <is>
          <t>1</t>
        </is>
      </c>
      <c r="H1371" t="inlineStr">
        <is>
          <t>No</t>
        </is>
      </c>
      <c r="I1371" t="inlineStr">
        <is>
          <t>No</t>
        </is>
      </c>
      <c r="J1371" t="inlineStr">
        <is>
          <t>0</t>
        </is>
      </c>
      <c r="K1371" t="inlineStr">
        <is>
          <t>Roland, Charles Pierce, 1918-</t>
        </is>
      </c>
      <c r="L1371" t="inlineStr">
        <is>
          <t>Abilene, TX : McWhiney Foundation Press, c2000.</t>
        </is>
      </c>
      <c r="M1371" t="inlineStr">
        <is>
          <t>2000</t>
        </is>
      </c>
      <c r="O1371" t="inlineStr">
        <is>
          <t>eng</t>
        </is>
      </c>
      <c r="P1371" t="inlineStr">
        <is>
          <t>txu</t>
        </is>
      </c>
      <c r="Q1371" t="inlineStr">
        <is>
          <t>Civil War campaigns and commanders</t>
        </is>
      </c>
      <c r="R1371" t="inlineStr">
        <is>
          <t xml:space="preserve">E  </t>
        </is>
      </c>
      <c r="S1371" t="n">
        <v>1</v>
      </c>
      <c r="T1371" t="n">
        <v>1</v>
      </c>
      <c r="U1371" t="inlineStr">
        <is>
          <t>2004-03-08</t>
        </is>
      </c>
      <c r="V1371" t="inlineStr">
        <is>
          <t>2004-03-08</t>
        </is>
      </c>
      <c r="W1371" t="inlineStr">
        <is>
          <t>2001-01-04</t>
        </is>
      </c>
      <c r="X1371" t="inlineStr">
        <is>
          <t>2001-01-04</t>
        </is>
      </c>
      <c r="Y1371" t="n">
        <v>184</v>
      </c>
      <c r="Z1371" t="n">
        <v>178</v>
      </c>
      <c r="AA1371" t="n">
        <v>185</v>
      </c>
      <c r="AB1371" t="n">
        <v>2</v>
      </c>
      <c r="AC1371" t="n">
        <v>2</v>
      </c>
      <c r="AD1371" t="n">
        <v>7</v>
      </c>
      <c r="AE1371" t="n">
        <v>7</v>
      </c>
      <c r="AF1371" t="n">
        <v>1</v>
      </c>
      <c r="AG1371" t="n">
        <v>1</v>
      </c>
      <c r="AH1371" t="n">
        <v>2</v>
      </c>
      <c r="AI1371" t="n">
        <v>2</v>
      </c>
      <c r="AJ1371" t="n">
        <v>6</v>
      </c>
      <c r="AK1371" t="n">
        <v>6</v>
      </c>
      <c r="AL1371" t="n">
        <v>1</v>
      </c>
      <c r="AM1371" t="n">
        <v>1</v>
      </c>
      <c r="AN1371" t="n">
        <v>0</v>
      </c>
      <c r="AO1371" t="n">
        <v>0</v>
      </c>
      <c r="AP1371" t="inlineStr">
        <is>
          <t>No</t>
        </is>
      </c>
      <c r="AQ1371" t="inlineStr">
        <is>
          <t>Yes</t>
        </is>
      </c>
      <c r="AR1371">
        <f>HYPERLINK("http://catalog.hathitrust.org/Record/008996837","HathiTrust Record")</f>
        <v/>
      </c>
      <c r="AS1371">
        <f>HYPERLINK("https://creighton-primo.hosted.exlibrisgroup.com/primo-explore/search?tab=default_tab&amp;search_scope=EVERYTHING&amp;vid=01CRU&amp;lang=en_US&amp;offset=0&amp;query=any,contains,991003342499702656","Catalog Record")</f>
        <v/>
      </c>
      <c r="AT1371">
        <f>HYPERLINK("http://www.worldcat.org/oclc/42786225","WorldCat Record")</f>
        <v/>
      </c>
      <c r="AU1371" t="inlineStr">
        <is>
          <t>45337063:eng</t>
        </is>
      </c>
      <c r="AV1371" t="inlineStr">
        <is>
          <t>42786225</t>
        </is>
      </c>
      <c r="AW1371" t="inlineStr">
        <is>
          <t>991003342499702656</t>
        </is>
      </c>
      <c r="AX1371" t="inlineStr">
        <is>
          <t>991003342499702656</t>
        </is>
      </c>
      <c r="AY1371" t="inlineStr">
        <is>
          <t>2267071080002656</t>
        </is>
      </c>
      <c r="AZ1371" t="inlineStr">
        <is>
          <t>BOOK</t>
        </is>
      </c>
      <c r="BB1371" t="inlineStr">
        <is>
          <t>9781893114203</t>
        </is>
      </c>
      <c r="BC1371" t="inlineStr">
        <is>
          <t>32285004279815</t>
        </is>
      </c>
      <c r="BD1371" t="inlineStr">
        <is>
          <t>893252283</t>
        </is>
      </c>
    </row>
    <row r="1372">
      <c r="A1372" t="inlineStr">
        <is>
          <t>No</t>
        </is>
      </c>
      <c r="B1372" t="inlineStr">
        <is>
          <t>E467.1.K2 K34</t>
        </is>
      </c>
      <c r="C1372" t="inlineStr">
        <is>
          <t>0                      E  0467100K  2                  K  34</t>
        </is>
      </c>
      <c r="D1372" t="inlineStr">
        <is>
          <t>Star on many a battlefield, Brevet Brigadier General Joseph Kargé in the American Civil War / Francis C. Kajencki.</t>
        </is>
      </c>
      <c r="F1372" t="inlineStr">
        <is>
          <t>No</t>
        </is>
      </c>
      <c r="G1372" t="inlineStr">
        <is>
          <t>1</t>
        </is>
      </c>
      <c r="H1372" t="inlineStr">
        <is>
          <t>No</t>
        </is>
      </c>
      <c r="I1372" t="inlineStr">
        <is>
          <t>No</t>
        </is>
      </c>
      <c r="J1372" t="inlineStr">
        <is>
          <t>0</t>
        </is>
      </c>
      <c r="K1372" t="inlineStr">
        <is>
          <t>Kajencki, Francis C.</t>
        </is>
      </c>
      <c r="L1372" t="inlineStr">
        <is>
          <t>Rutherford : Fairleigh Dickinson University Press, c1980.</t>
        </is>
      </c>
      <c r="M1372" t="inlineStr">
        <is>
          <t>1980</t>
        </is>
      </c>
      <c r="O1372" t="inlineStr">
        <is>
          <t>eng</t>
        </is>
      </c>
      <c r="P1372" t="inlineStr">
        <is>
          <t>nju</t>
        </is>
      </c>
      <c r="R1372" t="inlineStr">
        <is>
          <t xml:space="preserve">E  </t>
        </is>
      </c>
      <c r="S1372" t="n">
        <v>1</v>
      </c>
      <c r="T1372" t="n">
        <v>1</v>
      </c>
      <c r="U1372" t="inlineStr">
        <is>
          <t>2002-04-17</t>
        </is>
      </c>
      <c r="V1372" t="inlineStr">
        <is>
          <t>2002-04-17</t>
        </is>
      </c>
      <c r="W1372" t="inlineStr">
        <is>
          <t>1994-11-28</t>
        </is>
      </c>
      <c r="X1372" t="inlineStr">
        <is>
          <t>1994-11-28</t>
        </is>
      </c>
      <c r="Y1372" t="n">
        <v>215</v>
      </c>
      <c r="Z1372" t="n">
        <v>198</v>
      </c>
      <c r="AA1372" t="n">
        <v>202</v>
      </c>
      <c r="AB1372" t="n">
        <v>3</v>
      </c>
      <c r="AC1372" t="n">
        <v>3</v>
      </c>
      <c r="AD1372" t="n">
        <v>7</v>
      </c>
      <c r="AE1372" t="n">
        <v>7</v>
      </c>
      <c r="AF1372" t="n">
        <v>1</v>
      </c>
      <c r="AG1372" t="n">
        <v>1</v>
      </c>
      <c r="AH1372" t="n">
        <v>3</v>
      </c>
      <c r="AI1372" t="n">
        <v>3</v>
      </c>
      <c r="AJ1372" t="n">
        <v>4</v>
      </c>
      <c r="AK1372" t="n">
        <v>4</v>
      </c>
      <c r="AL1372" t="n">
        <v>2</v>
      </c>
      <c r="AM1372" t="n">
        <v>2</v>
      </c>
      <c r="AN1372" t="n">
        <v>0</v>
      </c>
      <c r="AO1372" t="n">
        <v>0</v>
      </c>
      <c r="AP1372" t="inlineStr">
        <is>
          <t>No</t>
        </is>
      </c>
      <c r="AQ1372" t="inlineStr">
        <is>
          <t>Yes</t>
        </is>
      </c>
      <c r="AR1372">
        <f>HYPERLINK("http://catalog.hathitrust.org/Record/000300036","HathiTrust Record")</f>
        <v/>
      </c>
      <c r="AS1372">
        <f>HYPERLINK("https://creighton-primo.hosted.exlibrisgroup.com/primo-explore/search?tab=default_tab&amp;search_scope=EVERYTHING&amp;vid=01CRU&amp;lang=en_US&amp;offset=0&amp;query=any,contains,991004742289702656","Catalog Record")</f>
        <v/>
      </c>
      <c r="AT1372">
        <f>HYPERLINK("http://www.worldcat.org/oclc/4884669","WorldCat Record")</f>
        <v/>
      </c>
      <c r="AU1372" t="inlineStr">
        <is>
          <t>15080617:eng</t>
        </is>
      </c>
      <c r="AV1372" t="inlineStr">
        <is>
          <t>4884669</t>
        </is>
      </c>
      <c r="AW1372" t="inlineStr">
        <is>
          <t>991004742289702656</t>
        </is>
      </c>
      <c r="AX1372" t="inlineStr">
        <is>
          <t>991004742289702656</t>
        </is>
      </c>
      <c r="AY1372" t="inlineStr">
        <is>
          <t>2262135840002656</t>
        </is>
      </c>
      <c r="AZ1372" t="inlineStr">
        <is>
          <t>BOOK</t>
        </is>
      </c>
      <c r="BB1372" t="inlineStr">
        <is>
          <t>9780838621493</t>
        </is>
      </c>
      <c r="BC1372" t="inlineStr">
        <is>
          <t>32285000544907</t>
        </is>
      </c>
      <c r="BD1372" t="inlineStr">
        <is>
          <t>893600182</t>
        </is>
      </c>
    </row>
    <row r="1373">
      <c r="A1373" t="inlineStr">
        <is>
          <t>No</t>
        </is>
      </c>
      <c r="B1373" t="inlineStr">
        <is>
          <t>E467.1.L4 F45 2000</t>
        </is>
      </c>
      <c r="C1373" t="inlineStr">
        <is>
          <t>0                      E  0467100L  4                  F  45          2000</t>
        </is>
      </c>
      <c r="D1373" t="inlineStr">
        <is>
          <t>The making of Robert E. Lee / Michael Fellman.</t>
        </is>
      </c>
      <c r="F1373" t="inlineStr">
        <is>
          <t>No</t>
        </is>
      </c>
      <c r="G1373" t="inlineStr">
        <is>
          <t>1</t>
        </is>
      </c>
      <c r="H1373" t="inlineStr">
        <is>
          <t>No</t>
        </is>
      </c>
      <c r="I1373" t="inlineStr">
        <is>
          <t>No</t>
        </is>
      </c>
      <c r="J1373" t="inlineStr">
        <is>
          <t>0</t>
        </is>
      </c>
      <c r="K1373" t="inlineStr">
        <is>
          <t>Fellman, Michael.</t>
        </is>
      </c>
      <c r="L1373" t="inlineStr">
        <is>
          <t>New York : Random House, c2000.</t>
        </is>
      </c>
      <c r="M1373" t="inlineStr">
        <is>
          <t>2000</t>
        </is>
      </c>
      <c r="N1373" t="inlineStr">
        <is>
          <t>1st ed.</t>
        </is>
      </c>
      <c r="O1373" t="inlineStr">
        <is>
          <t>eng</t>
        </is>
      </c>
      <c r="P1373" t="inlineStr">
        <is>
          <t>nyu</t>
        </is>
      </c>
      <c r="R1373" t="inlineStr">
        <is>
          <t xml:space="preserve">E  </t>
        </is>
      </c>
      <c r="S1373" t="n">
        <v>3</v>
      </c>
      <c r="T1373" t="n">
        <v>3</v>
      </c>
      <c r="U1373" t="inlineStr">
        <is>
          <t>2000-12-04</t>
        </is>
      </c>
      <c r="V1373" t="inlineStr">
        <is>
          <t>2000-12-04</t>
        </is>
      </c>
      <c r="W1373" t="inlineStr">
        <is>
          <t>2000-12-04</t>
        </is>
      </c>
      <c r="X1373" t="inlineStr">
        <is>
          <t>2000-12-04</t>
        </is>
      </c>
      <c r="Y1373" t="n">
        <v>1192</v>
      </c>
      <c r="Z1373" t="n">
        <v>1149</v>
      </c>
      <c r="AA1373" t="n">
        <v>1156</v>
      </c>
      <c r="AB1373" t="n">
        <v>11</v>
      </c>
      <c r="AC1373" t="n">
        <v>11</v>
      </c>
      <c r="AD1373" t="n">
        <v>30</v>
      </c>
      <c r="AE1373" t="n">
        <v>30</v>
      </c>
      <c r="AF1373" t="n">
        <v>7</v>
      </c>
      <c r="AG1373" t="n">
        <v>7</v>
      </c>
      <c r="AH1373" t="n">
        <v>7</v>
      </c>
      <c r="AI1373" t="n">
        <v>7</v>
      </c>
      <c r="AJ1373" t="n">
        <v>12</v>
      </c>
      <c r="AK1373" t="n">
        <v>12</v>
      </c>
      <c r="AL1373" t="n">
        <v>8</v>
      </c>
      <c r="AM1373" t="n">
        <v>8</v>
      </c>
      <c r="AN1373" t="n">
        <v>0</v>
      </c>
      <c r="AO1373" t="n">
        <v>0</v>
      </c>
      <c r="AP1373" t="inlineStr">
        <is>
          <t>No</t>
        </is>
      </c>
      <c r="AQ1373" t="inlineStr">
        <is>
          <t>Yes</t>
        </is>
      </c>
      <c r="AR1373">
        <f>HYPERLINK("http://catalog.hathitrust.org/Record/004133315","HathiTrust Record")</f>
        <v/>
      </c>
      <c r="AS1373">
        <f>HYPERLINK("https://creighton-primo.hosted.exlibrisgroup.com/primo-explore/search?tab=default_tab&amp;search_scope=EVERYTHING&amp;vid=01CRU&amp;lang=en_US&amp;offset=0&amp;query=any,contains,991003348089702656","Catalog Record")</f>
        <v/>
      </c>
      <c r="AT1373">
        <f>HYPERLINK("http://www.worldcat.org/oclc/43207735","WorldCat Record")</f>
        <v/>
      </c>
      <c r="AU1373" t="inlineStr">
        <is>
          <t>5218542165:eng</t>
        </is>
      </c>
      <c r="AV1373" t="inlineStr">
        <is>
          <t>43207735</t>
        </is>
      </c>
      <c r="AW1373" t="inlineStr">
        <is>
          <t>991003348089702656</t>
        </is>
      </c>
      <c r="AX1373" t="inlineStr">
        <is>
          <t>991003348089702656</t>
        </is>
      </c>
      <c r="AY1373" t="inlineStr">
        <is>
          <t>2267334740002656</t>
        </is>
      </c>
      <c r="AZ1373" t="inlineStr">
        <is>
          <t>BOOK</t>
        </is>
      </c>
      <c r="BB1373" t="inlineStr">
        <is>
          <t>9780679456506</t>
        </is>
      </c>
      <c r="BC1373" t="inlineStr">
        <is>
          <t>32285004269261</t>
        </is>
      </c>
      <c r="BD1373" t="inlineStr">
        <is>
          <t>893441203</t>
        </is>
      </c>
    </row>
    <row r="1374">
      <c r="A1374" t="inlineStr">
        <is>
          <t>No</t>
        </is>
      </c>
      <c r="B1374" t="inlineStr">
        <is>
          <t>E467.1.L4 F5 1973</t>
        </is>
      </c>
      <c r="C1374" t="inlineStr">
        <is>
          <t>0                      E  0467100L  4                  F  5           1973</t>
        </is>
      </c>
      <c r="D1374" t="inlineStr">
        <is>
          <t>Lee after the war [by] Marshall W. Fishwick.</t>
        </is>
      </c>
      <c r="F1374" t="inlineStr">
        <is>
          <t>No</t>
        </is>
      </c>
      <c r="G1374" t="inlineStr">
        <is>
          <t>1</t>
        </is>
      </c>
      <c r="H1374" t="inlineStr">
        <is>
          <t>No</t>
        </is>
      </c>
      <c r="I1374" t="inlineStr">
        <is>
          <t>No</t>
        </is>
      </c>
      <c r="J1374" t="inlineStr">
        <is>
          <t>0</t>
        </is>
      </c>
      <c r="K1374" t="inlineStr">
        <is>
          <t>Fishwick, Marshall W. (Marshall William), 1923-2006.</t>
        </is>
      </c>
      <c r="L1374" t="inlineStr">
        <is>
          <t>Westport, Conn., Greenwood Press [1973, c1963]</t>
        </is>
      </c>
      <c r="M1374" t="inlineStr">
        <is>
          <t>1973</t>
        </is>
      </c>
      <c r="O1374" t="inlineStr">
        <is>
          <t>eng</t>
        </is>
      </c>
      <c r="P1374" t="inlineStr">
        <is>
          <t>ctu</t>
        </is>
      </c>
      <c r="R1374" t="inlineStr">
        <is>
          <t xml:space="preserve">E  </t>
        </is>
      </c>
      <c r="S1374" t="n">
        <v>1</v>
      </c>
      <c r="T1374" t="n">
        <v>1</v>
      </c>
      <c r="U1374" t="inlineStr">
        <is>
          <t>2002-11-06</t>
        </is>
      </c>
      <c r="V1374" t="inlineStr">
        <is>
          <t>2002-11-06</t>
        </is>
      </c>
      <c r="W1374" t="inlineStr">
        <is>
          <t>1997-04-17</t>
        </is>
      </c>
      <c r="X1374" t="inlineStr">
        <is>
          <t>1997-04-17</t>
        </is>
      </c>
      <c r="Y1374" t="n">
        <v>182</v>
      </c>
      <c r="Z1374" t="n">
        <v>172</v>
      </c>
      <c r="AA1374" t="n">
        <v>1091</v>
      </c>
      <c r="AB1374" t="n">
        <v>2</v>
      </c>
      <c r="AC1374" t="n">
        <v>12</v>
      </c>
      <c r="AD1374" t="n">
        <v>7</v>
      </c>
      <c r="AE1374" t="n">
        <v>28</v>
      </c>
      <c r="AF1374" t="n">
        <v>1</v>
      </c>
      <c r="AG1374" t="n">
        <v>11</v>
      </c>
      <c r="AH1374" t="n">
        <v>4</v>
      </c>
      <c r="AI1374" t="n">
        <v>8</v>
      </c>
      <c r="AJ1374" t="n">
        <v>4</v>
      </c>
      <c r="AK1374" t="n">
        <v>11</v>
      </c>
      <c r="AL1374" t="n">
        <v>0</v>
      </c>
      <c r="AM1374" t="n">
        <v>4</v>
      </c>
      <c r="AN1374" t="n">
        <v>0</v>
      </c>
      <c r="AO1374" t="n">
        <v>0</v>
      </c>
      <c r="AP1374" t="inlineStr">
        <is>
          <t>No</t>
        </is>
      </c>
      <c r="AQ1374" t="inlineStr">
        <is>
          <t>Yes</t>
        </is>
      </c>
      <c r="AR1374">
        <f>HYPERLINK("http://catalog.hathitrust.org/Record/102073422","HathiTrust Record")</f>
        <v/>
      </c>
      <c r="AS1374">
        <f>HYPERLINK("https://creighton-primo.hosted.exlibrisgroup.com/primo-explore/search?tab=default_tab&amp;search_scope=EVERYTHING&amp;vid=01CRU&amp;lang=en_US&amp;offset=0&amp;query=any,contains,991003123239702656","Catalog Record")</f>
        <v/>
      </c>
      <c r="AT1374">
        <f>HYPERLINK("http://www.worldcat.org/oclc/668396","WorldCat Record")</f>
        <v/>
      </c>
      <c r="AU1374" t="inlineStr">
        <is>
          <t>500763:eng</t>
        </is>
      </c>
      <c r="AV1374" t="inlineStr">
        <is>
          <t>668396</t>
        </is>
      </c>
      <c r="AW1374" t="inlineStr">
        <is>
          <t>991003123239702656</t>
        </is>
      </c>
      <c r="AX1374" t="inlineStr">
        <is>
          <t>991003123239702656</t>
        </is>
      </c>
      <c r="AY1374" t="inlineStr">
        <is>
          <t>2255345300002656</t>
        </is>
      </c>
      <c r="AZ1374" t="inlineStr">
        <is>
          <t>BOOK</t>
        </is>
      </c>
      <c r="BB1374" t="inlineStr">
        <is>
          <t>9780837169118</t>
        </is>
      </c>
      <c r="BC1374" t="inlineStr">
        <is>
          <t>32285002539988</t>
        </is>
      </c>
      <c r="BD1374" t="inlineStr">
        <is>
          <t>893252054</t>
        </is>
      </c>
    </row>
    <row r="1375">
      <c r="A1375" t="inlineStr">
        <is>
          <t>No</t>
        </is>
      </c>
      <c r="B1375" t="inlineStr">
        <is>
          <t>E467.1.L4 H35</t>
        </is>
      </c>
      <c r="C1375" t="inlineStr">
        <is>
          <t>0                      E  0467100L  4                  H  35</t>
        </is>
      </c>
      <c r="D1375" t="inlineStr">
        <is>
          <t>The Lees of Virginia : biography of a family / by Burton J. Hendrick.</t>
        </is>
      </c>
      <c r="F1375" t="inlineStr">
        <is>
          <t>No</t>
        </is>
      </c>
      <c r="G1375" t="inlineStr">
        <is>
          <t>1</t>
        </is>
      </c>
      <c r="H1375" t="inlineStr">
        <is>
          <t>No</t>
        </is>
      </c>
      <c r="I1375" t="inlineStr">
        <is>
          <t>No</t>
        </is>
      </c>
      <c r="J1375" t="inlineStr">
        <is>
          <t>0</t>
        </is>
      </c>
      <c r="K1375" t="inlineStr">
        <is>
          <t>Hendrick, Burton J. (Burton Jesse), 1870-1949.</t>
        </is>
      </c>
      <c r="L1375" t="inlineStr">
        <is>
          <t>Boston : Little, Brown, and Company, 1935.</t>
        </is>
      </c>
      <c r="M1375" t="inlineStr">
        <is>
          <t>1935</t>
        </is>
      </c>
      <c r="O1375" t="inlineStr">
        <is>
          <t>eng</t>
        </is>
      </c>
      <c r="P1375" t="inlineStr">
        <is>
          <t>mau</t>
        </is>
      </c>
      <c r="R1375" t="inlineStr">
        <is>
          <t xml:space="preserve">E  </t>
        </is>
      </c>
      <c r="S1375" t="n">
        <v>3</v>
      </c>
      <c r="T1375" t="n">
        <v>3</v>
      </c>
      <c r="U1375" t="inlineStr">
        <is>
          <t>1996-02-07</t>
        </is>
      </c>
      <c r="V1375" t="inlineStr">
        <is>
          <t>1996-02-07</t>
        </is>
      </c>
      <c r="W1375" t="inlineStr">
        <is>
          <t>1990-07-31</t>
        </is>
      </c>
      <c r="X1375" t="inlineStr">
        <is>
          <t>1990-07-31</t>
        </is>
      </c>
      <c r="Y1375" t="n">
        <v>826</v>
      </c>
      <c r="Z1375" t="n">
        <v>802</v>
      </c>
      <c r="AA1375" t="n">
        <v>1002</v>
      </c>
      <c r="AB1375" t="n">
        <v>6</v>
      </c>
      <c r="AC1375" t="n">
        <v>7</v>
      </c>
      <c r="AD1375" t="n">
        <v>31</v>
      </c>
      <c r="AE1375" t="n">
        <v>39</v>
      </c>
      <c r="AF1375" t="n">
        <v>11</v>
      </c>
      <c r="AG1375" t="n">
        <v>15</v>
      </c>
      <c r="AH1375" t="n">
        <v>7</v>
      </c>
      <c r="AI1375" t="n">
        <v>8</v>
      </c>
      <c r="AJ1375" t="n">
        <v>16</v>
      </c>
      <c r="AK1375" t="n">
        <v>19</v>
      </c>
      <c r="AL1375" t="n">
        <v>3</v>
      </c>
      <c r="AM1375" t="n">
        <v>4</v>
      </c>
      <c r="AN1375" t="n">
        <v>1</v>
      </c>
      <c r="AO1375" t="n">
        <v>1</v>
      </c>
      <c r="AP1375" t="inlineStr">
        <is>
          <t>No</t>
        </is>
      </c>
      <c r="AQ1375" t="inlineStr">
        <is>
          <t>Yes</t>
        </is>
      </c>
      <c r="AR1375">
        <f>HYPERLINK("http://catalog.hathitrust.org/Record/001263625","HathiTrust Record")</f>
        <v/>
      </c>
      <c r="AS1375">
        <f>HYPERLINK("https://creighton-primo.hosted.exlibrisgroup.com/primo-explore/search?tab=default_tab&amp;search_scope=EVERYTHING&amp;vid=01CRU&amp;lang=en_US&amp;offset=0&amp;query=any,contains,991002795729702656","Catalog Record")</f>
        <v/>
      </c>
      <c r="AT1375">
        <f>HYPERLINK("http://www.worldcat.org/oclc/445163","WorldCat Record")</f>
        <v/>
      </c>
      <c r="AU1375" t="inlineStr">
        <is>
          <t>1578963:eng</t>
        </is>
      </c>
      <c r="AV1375" t="inlineStr">
        <is>
          <t>445163</t>
        </is>
      </c>
      <c r="AW1375" t="inlineStr">
        <is>
          <t>991002795729702656</t>
        </is>
      </c>
      <c r="AX1375" t="inlineStr">
        <is>
          <t>991002795729702656</t>
        </is>
      </c>
      <c r="AY1375" t="inlineStr">
        <is>
          <t>2265547170002656</t>
        </is>
      </c>
      <c r="AZ1375" t="inlineStr">
        <is>
          <t>BOOK</t>
        </is>
      </c>
      <c r="BC1375" t="inlineStr">
        <is>
          <t>32285000252303</t>
        </is>
      </c>
      <c r="BD1375" t="inlineStr">
        <is>
          <t>893792925</t>
        </is>
      </c>
    </row>
    <row r="1376">
      <c r="A1376" t="inlineStr">
        <is>
          <t>No</t>
        </is>
      </c>
      <c r="B1376" t="inlineStr">
        <is>
          <t>E467.1.L4 M45 1975</t>
        </is>
      </c>
      <c r="C1376" t="inlineStr">
        <is>
          <t>0                      E  0467100L  4                  M  45          1975</t>
        </is>
      </c>
      <c r="D1376" t="inlineStr">
        <is>
          <t>Robert E. Lee, the soldier / by Major-General Sir Frederick Maurice.</t>
        </is>
      </c>
      <c r="F1376" t="inlineStr">
        <is>
          <t>No</t>
        </is>
      </c>
      <c r="G1376" t="inlineStr">
        <is>
          <t>1</t>
        </is>
      </c>
      <c r="H1376" t="inlineStr">
        <is>
          <t>No</t>
        </is>
      </c>
      <c r="I1376" t="inlineStr">
        <is>
          <t>No</t>
        </is>
      </c>
      <c r="J1376" t="inlineStr">
        <is>
          <t>0</t>
        </is>
      </c>
      <c r="K1376" t="inlineStr">
        <is>
          <t>Maurice, Frederick, Sir, 1871-1951.</t>
        </is>
      </c>
      <c r="L1376" t="inlineStr">
        <is>
          <t>N.Y. : Bonanza Books, c1975.</t>
        </is>
      </c>
      <c r="M1376" t="inlineStr">
        <is>
          <t>1975</t>
        </is>
      </c>
      <c r="O1376" t="inlineStr">
        <is>
          <t>eng</t>
        </is>
      </c>
      <c r="P1376" t="inlineStr">
        <is>
          <t>nyu</t>
        </is>
      </c>
      <c r="R1376" t="inlineStr">
        <is>
          <t xml:space="preserve">E  </t>
        </is>
      </c>
      <c r="S1376" t="n">
        <v>3</v>
      </c>
      <c r="T1376" t="n">
        <v>3</v>
      </c>
      <c r="U1376" t="inlineStr">
        <is>
          <t>2002-11-06</t>
        </is>
      </c>
      <c r="V1376" t="inlineStr">
        <is>
          <t>2002-11-06</t>
        </is>
      </c>
      <c r="W1376" t="inlineStr">
        <is>
          <t>1990-06-21</t>
        </is>
      </c>
      <c r="X1376" t="inlineStr">
        <is>
          <t>1990-06-21</t>
        </is>
      </c>
      <c r="Y1376" t="n">
        <v>170</v>
      </c>
      <c r="Z1376" t="n">
        <v>166</v>
      </c>
      <c r="AA1376" t="n">
        <v>827</v>
      </c>
      <c r="AB1376" t="n">
        <v>3</v>
      </c>
      <c r="AC1376" t="n">
        <v>7</v>
      </c>
      <c r="AD1376" t="n">
        <v>3</v>
      </c>
      <c r="AE1376" t="n">
        <v>27</v>
      </c>
      <c r="AF1376" t="n">
        <v>0</v>
      </c>
      <c r="AG1376" t="n">
        <v>12</v>
      </c>
      <c r="AH1376" t="n">
        <v>1</v>
      </c>
      <c r="AI1376" t="n">
        <v>4</v>
      </c>
      <c r="AJ1376" t="n">
        <v>1</v>
      </c>
      <c r="AK1376" t="n">
        <v>10</v>
      </c>
      <c r="AL1376" t="n">
        <v>1</v>
      </c>
      <c r="AM1376" t="n">
        <v>4</v>
      </c>
      <c r="AN1376" t="n">
        <v>0</v>
      </c>
      <c r="AO1376" t="n">
        <v>0</v>
      </c>
      <c r="AP1376" t="inlineStr">
        <is>
          <t>No</t>
        </is>
      </c>
      <c r="AQ1376" t="inlineStr">
        <is>
          <t>No</t>
        </is>
      </c>
      <c r="AS1376">
        <f>HYPERLINK("https://creighton-primo.hosted.exlibrisgroup.com/primo-explore/search?tab=default_tab&amp;search_scope=EVERYTHING&amp;vid=01CRU&amp;lang=en_US&amp;offset=0&amp;query=any,contains,991004421349702656","Catalog Record")</f>
        <v/>
      </c>
      <c r="AT1376">
        <f>HYPERLINK("http://www.worldcat.org/oclc/3382319","WorldCat Record")</f>
        <v/>
      </c>
      <c r="AU1376" t="inlineStr">
        <is>
          <t>292149966:eng</t>
        </is>
      </c>
      <c r="AV1376" t="inlineStr">
        <is>
          <t>3382319</t>
        </is>
      </c>
      <c r="AW1376" t="inlineStr">
        <is>
          <t>991004421349702656</t>
        </is>
      </c>
      <c r="AX1376" t="inlineStr">
        <is>
          <t>991004421349702656</t>
        </is>
      </c>
      <c r="AY1376" t="inlineStr">
        <is>
          <t>2267502720002656</t>
        </is>
      </c>
      <c r="AZ1376" t="inlineStr">
        <is>
          <t>BOOK</t>
        </is>
      </c>
      <c r="BC1376" t="inlineStr">
        <is>
          <t>32285000211002</t>
        </is>
      </c>
      <c r="BD1376" t="inlineStr">
        <is>
          <t>893331567</t>
        </is>
      </c>
    </row>
    <row r="1377">
      <c r="A1377" t="inlineStr">
        <is>
          <t>No</t>
        </is>
      </c>
      <c r="B1377" t="inlineStr">
        <is>
          <t>E467.1.L4 M5</t>
        </is>
      </c>
      <c r="C1377" t="inlineStr">
        <is>
          <t>0                      E  0467100L  4                  M  5</t>
        </is>
      </c>
      <c r="D1377" t="inlineStr">
        <is>
          <t>Robert E. Lee, a great life in brief / by Earl Schenck Miers.</t>
        </is>
      </c>
      <c r="F1377" t="inlineStr">
        <is>
          <t>No</t>
        </is>
      </c>
      <c r="G1377" t="inlineStr">
        <is>
          <t>1</t>
        </is>
      </c>
      <c r="H1377" t="inlineStr">
        <is>
          <t>No</t>
        </is>
      </c>
      <c r="I1377" t="inlineStr">
        <is>
          <t>No</t>
        </is>
      </c>
      <c r="J1377" t="inlineStr">
        <is>
          <t>0</t>
        </is>
      </c>
      <c r="K1377" t="inlineStr">
        <is>
          <t>Miers, Earl Schenck, 1910-1972.</t>
        </is>
      </c>
      <c r="L1377" t="inlineStr">
        <is>
          <t>New York : Knopf, 1956.</t>
        </is>
      </c>
      <c r="M1377" t="inlineStr">
        <is>
          <t>1956</t>
        </is>
      </c>
      <c r="N1377" t="inlineStr">
        <is>
          <t>1st ed.</t>
        </is>
      </c>
      <c r="O1377" t="inlineStr">
        <is>
          <t>eng</t>
        </is>
      </c>
      <c r="P1377" t="inlineStr">
        <is>
          <t>nyu</t>
        </is>
      </c>
      <c r="Q1377" t="inlineStr">
        <is>
          <t>Great lives in brief</t>
        </is>
      </c>
      <c r="R1377" t="inlineStr">
        <is>
          <t xml:space="preserve">E  </t>
        </is>
      </c>
      <c r="S1377" t="n">
        <v>8</v>
      </c>
      <c r="T1377" t="n">
        <v>8</v>
      </c>
      <c r="U1377" t="inlineStr">
        <is>
          <t>2002-11-06</t>
        </is>
      </c>
      <c r="V1377" t="inlineStr">
        <is>
          <t>2002-11-06</t>
        </is>
      </c>
      <c r="W1377" t="inlineStr">
        <is>
          <t>1994-04-12</t>
        </is>
      </c>
      <c r="X1377" t="inlineStr">
        <is>
          <t>1994-04-12</t>
        </is>
      </c>
      <c r="Y1377" t="n">
        <v>745</v>
      </c>
      <c r="Z1377" t="n">
        <v>718</v>
      </c>
      <c r="AA1377" t="n">
        <v>813</v>
      </c>
      <c r="AB1377" t="n">
        <v>7</v>
      </c>
      <c r="AC1377" t="n">
        <v>8</v>
      </c>
      <c r="AD1377" t="n">
        <v>21</v>
      </c>
      <c r="AE1377" t="n">
        <v>26</v>
      </c>
      <c r="AF1377" t="n">
        <v>9</v>
      </c>
      <c r="AG1377" t="n">
        <v>10</v>
      </c>
      <c r="AH1377" t="n">
        <v>4</v>
      </c>
      <c r="AI1377" t="n">
        <v>6</v>
      </c>
      <c r="AJ1377" t="n">
        <v>8</v>
      </c>
      <c r="AK1377" t="n">
        <v>10</v>
      </c>
      <c r="AL1377" t="n">
        <v>4</v>
      </c>
      <c r="AM1377" t="n">
        <v>5</v>
      </c>
      <c r="AN1377" t="n">
        <v>0</v>
      </c>
      <c r="AO1377" t="n">
        <v>0</v>
      </c>
      <c r="AP1377" t="inlineStr">
        <is>
          <t>No</t>
        </is>
      </c>
      <c r="AQ1377" t="inlineStr">
        <is>
          <t>Yes</t>
        </is>
      </c>
      <c r="AR1377">
        <f>HYPERLINK("http://catalog.hathitrust.org/Record/000564569","HathiTrust Record")</f>
        <v/>
      </c>
      <c r="AS1377">
        <f>HYPERLINK("https://creighton-primo.hosted.exlibrisgroup.com/primo-explore/search?tab=default_tab&amp;search_scope=EVERYTHING&amp;vid=01CRU&amp;lang=en_US&amp;offset=0&amp;query=any,contains,991000932789702656","Catalog Record")</f>
        <v/>
      </c>
      <c r="AT1377">
        <f>HYPERLINK("http://www.worldcat.org/oclc/14279580","WorldCat Record")</f>
        <v/>
      </c>
      <c r="AU1377" t="inlineStr">
        <is>
          <t>4915892051:eng</t>
        </is>
      </c>
      <c r="AV1377" t="inlineStr">
        <is>
          <t>14279580</t>
        </is>
      </c>
      <c r="AW1377" t="inlineStr">
        <is>
          <t>991000932789702656</t>
        </is>
      </c>
      <c r="AX1377" t="inlineStr">
        <is>
          <t>991000932789702656</t>
        </is>
      </c>
      <c r="AY1377" t="inlineStr">
        <is>
          <t>2257637760002656</t>
        </is>
      </c>
      <c r="AZ1377" t="inlineStr">
        <is>
          <t>BOOK</t>
        </is>
      </c>
      <c r="BC1377" t="inlineStr">
        <is>
          <t>32285001886380</t>
        </is>
      </c>
      <c r="BD1377" t="inlineStr">
        <is>
          <t>893797124</t>
        </is>
      </c>
    </row>
    <row r="1378">
      <c r="A1378" t="inlineStr">
        <is>
          <t>No</t>
        </is>
      </c>
      <c r="B1378" t="inlineStr">
        <is>
          <t>E467.1.L55 W46 1993</t>
        </is>
      </c>
      <c r="C1378" t="inlineStr">
        <is>
          <t>0                      E  0467100L  55                 W  46          1993</t>
        </is>
      </c>
      <c r="D1378" t="inlineStr">
        <is>
          <t>General James Longstreet : the Confederacy's most controversial soldier : a biography / Jeffry D. Wert.</t>
        </is>
      </c>
      <c r="F1378" t="inlineStr">
        <is>
          <t>No</t>
        </is>
      </c>
      <c r="G1378" t="inlineStr">
        <is>
          <t>1</t>
        </is>
      </c>
      <c r="H1378" t="inlineStr">
        <is>
          <t>No</t>
        </is>
      </c>
      <c r="I1378" t="inlineStr">
        <is>
          <t>No</t>
        </is>
      </c>
      <c r="J1378" t="inlineStr">
        <is>
          <t>0</t>
        </is>
      </c>
      <c r="K1378" t="inlineStr">
        <is>
          <t>Wert, Jeffry D.</t>
        </is>
      </c>
      <c r="L1378" t="inlineStr">
        <is>
          <t>New York : Simon &amp; Schuster, c1993.</t>
        </is>
      </c>
      <c r="M1378" t="inlineStr">
        <is>
          <t>1993</t>
        </is>
      </c>
      <c r="O1378" t="inlineStr">
        <is>
          <t>eng</t>
        </is>
      </c>
      <c r="P1378" t="inlineStr">
        <is>
          <t>nyu</t>
        </is>
      </c>
      <c r="R1378" t="inlineStr">
        <is>
          <t xml:space="preserve">E  </t>
        </is>
      </c>
      <c r="S1378" t="n">
        <v>9</v>
      </c>
      <c r="T1378" t="n">
        <v>9</v>
      </c>
      <c r="U1378" t="inlineStr">
        <is>
          <t>2005-12-01</t>
        </is>
      </c>
      <c r="V1378" t="inlineStr">
        <is>
          <t>2005-12-01</t>
        </is>
      </c>
      <c r="W1378" t="inlineStr">
        <is>
          <t>1994-01-14</t>
        </is>
      </c>
      <c r="X1378" t="inlineStr">
        <is>
          <t>1994-01-14</t>
        </is>
      </c>
      <c r="Y1378" t="n">
        <v>1198</v>
      </c>
      <c r="Z1378" t="n">
        <v>1166</v>
      </c>
      <c r="AA1378" t="n">
        <v>1378</v>
      </c>
      <c r="AB1378" t="n">
        <v>9</v>
      </c>
      <c r="AC1378" t="n">
        <v>10</v>
      </c>
      <c r="AD1378" t="n">
        <v>30</v>
      </c>
      <c r="AE1378" t="n">
        <v>33</v>
      </c>
      <c r="AF1378" t="n">
        <v>13</v>
      </c>
      <c r="AG1378" t="n">
        <v>14</v>
      </c>
      <c r="AH1378" t="n">
        <v>7</v>
      </c>
      <c r="AI1378" t="n">
        <v>8</v>
      </c>
      <c r="AJ1378" t="n">
        <v>10</v>
      </c>
      <c r="AK1378" t="n">
        <v>11</v>
      </c>
      <c r="AL1378" t="n">
        <v>7</v>
      </c>
      <c r="AM1378" t="n">
        <v>8</v>
      </c>
      <c r="AN1378" t="n">
        <v>0</v>
      </c>
      <c r="AO1378" t="n">
        <v>0</v>
      </c>
      <c r="AP1378" t="inlineStr">
        <is>
          <t>No</t>
        </is>
      </c>
      <c r="AQ1378" t="inlineStr">
        <is>
          <t>Yes</t>
        </is>
      </c>
      <c r="AR1378">
        <f>HYPERLINK("http://catalog.hathitrust.org/Record/002882539","HathiTrust Record")</f>
        <v/>
      </c>
      <c r="AS1378">
        <f>HYPERLINK("https://creighton-primo.hosted.exlibrisgroup.com/primo-explore/search?tab=default_tab&amp;search_scope=EVERYTHING&amp;vid=01CRU&amp;lang=en_US&amp;offset=0&amp;query=any,contains,991002215309702656","Catalog Record")</f>
        <v/>
      </c>
      <c r="AT1378">
        <f>HYPERLINK("http://www.worldcat.org/oclc/28508465","WorldCat Record")</f>
        <v/>
      </c>
      <c r="AU1378" t="inlineStr">
        <is>
          <t>30430607:eng</t>
        </is>
      </c>
      <c r="AV1378" t="inlineStr">
        <is>
          <t>28508465</t>
        </is>
      </c>
      <c r="AW1378" t="inlineStr">
        <is>
          <t>991002215309702656</t>
        </is>
      </c>
      <c r="AX1378" t="inlineStr">
        <is>
          <t>991002215309702656</t>
        </is>
      </c>
      <c r="AY1378" t="inlineStr">
        <is>
          <t>2272008970002656</t>
        </is>
      </c>
      <c r="AZ1378" t="inlineStr">
        <is>
          <t>BOOK</t>
        </is>
      </c>
      <c r="BB1378" t="inlineStr">
        <is>
          <t>9780671709211</t>
        </is>
      </c>
      <c r="BC1378" t="inlineStr">
        <is>
          <t>32285001831592</t>
        </is>
      </c>
      <c r="BD1378" t="inlineStr">
        <is>
          <t>893798324</t>
        </is>
      </c>
    </row>
    <row r="1379">
      <c r="A1379" t="inlineStr">
        <is>
          <t>No</t>
        </is>
      </c>
      <c r="B1379" t="inlineStr">
        <is>
          <t>E467.1.M2 S43 1988</t>
        </is>
      </c>
      <c r="C1379" t="inlineStr">
        <is>
          <t>0                      E  0467100M  2                  S  43          1988</t>
        </is>
      </c>
      <c r="D1379" t="inlineStr">
        <is>
          <t>George B. McClellan : the young Napoleon / Stephen W. Sears.</t>
        </is>
      </c>
      <c r="F1379" t="inlineStr">
        <is>
          <t>No</t>
        </is>
      </c>
      <c r="G1379" t="inlineStr">
        <is>
          <t>1</t>
        </is>
      </c>
      <c r="H1379" t="inlineStr">
        <is>
          <t>No</t>
        </is>
      </c>
      <c r="I1379" t="inlineStr">
        <is>
          <t>No</t>
        </is>
      </c>
      <c r="J1379" t="inlineStr">
        <is>
          <t>0</t>
        </is>
      </c>
      <c r="K1379" t="inlineStr">
        <is>
          <t>Sears, Stephen W.</t>
        </is>
      </c>
      <c r="L1379" t="inlineStr">
        <is>
          <t>New York : Ticknor &amp; Fields, 1988.</t>
        </is>
      </c>
      <c r="M1379" t="inlineStr">
        <is>
          <t>1988</t>
        </is>
      </c>
      <c r="O1379" t="inlineStr">
        <is>
          <t>eng</t>
        </is>
      </c>
      <c r="P1379" t="inlineStr">
        <is>
          <t>nyu</t>
        </is>
      </c>
      <c r="R1379" t="inlineStr">
        <is>
          <t xml:space="preserve">E  </t>
        </is>
      </c>
      <c r="S1379" t="n">
        <v>7</v>
      </c>
      <c r="T1379" t="n">
        <v>7</v>
      </c>
      <c r="U1379" t="inlineStr">
        <is>
          <t>1995-11-26</t>
        </is>
      </c>
      <c r="V1379" t="inlineStr">
        <is>
          <t>1995-11-26</t>
        </is>
      </c>
      <c r="W1379" t="inlineStr">
        <is>
          <t>1991-05-03</t>
        </is>
      </c>
      <c r="X1379" t="inlineStr">
        <is>
          <t>1991-05-03</t>
        </is>
      </c>
      <c r="Y1379" t="n">
        <v>1453</v>
      </c>
      <c r="Z1379" t="n">
        <v>1404</v>
      </c>
      <c r="AA1379" t="n">
        <v>1498</v>
      </c>
      <c r="AB1379" t="n">
        <v>15</v>
      </c>
      <c r="AC1379" t="n">
        <v>17</v>
      </c>
      <c r="AD1379" t="n">
        <v>43</v>
      </c>
      <c r="AE1379" t="n">
        <v>44</v>
      </c>
      <c r="AF1379" t="n">
        <v>17</v>
      </c>
      <c r="AG1379" t="n">
        <v>18</v>
      </c>
      <c r="AH1379" t="n">
        <v>9</v>
      </c>
      <c r="AI1379" t="n">
        <v>9</v>
      </c>
      <c r="AJ1379" t="n">
        <v>18</v>
      </c>
      <c r="AK1379" t="n">
        <v>19</v>
      </c>
      <c r="AL1379" t="n">
        <v>9</v>
      </c>
      <c r="AM1379" t="n">
        <v>9</v>
      </c>
      <c r="AN1379" t="n">
        <v>0</v>
      </c>
      <c r="AO1379" t="n">
        <v>0</v>
      </c>
      <c r="AP1379" t="inlineStr">
        <is>
          <t>No</t>
        </is>
      </c>
      <c r="AQ1379" t="inlineStr">
        <is>
          <t>Yes</t>
        </is>
      </c>
      <c r="AR1379">
        <f>HYPERLINK("http://catalog.hathitrust.org/Record/000930383","HathiTrust Record")</f>
        <v/>
      </c>
      <c r="AS1379">
        <f>HYPERLINK("https://creighton-primo.hosted.exlibrisgroup.com/primo-explore/search?tab=default_tab&amp;search_scope=EVERYTHING&amp;vid=01CRU&amp;lang=en_US&amp;offset=0&amp;query=any,contains,991001242689702656","Catalog Record")</f>
        <v/>
      </c>
      <c r="AT1379">
        <f>HYPERLINK("http://www.worldcat.org/oclc/17621613","WorldCat Record")</f>
        <v/>
      </c>
      <c r="AU1379" t="inlineStr">
        <is>
          <t>15749652:eng</t>
        </is>
      </c>
      <c r="AV1379" t="inlineStr">
        <is>
          <t>17621613</t>
        </is>
      </c>
      <c r="AW1379" t="inlineStr">
        <is>
          <t>991001242689702656</t>
        </is>
      </c>
      <c r="AX1379" t="inlineStr">
        <is>
          <t>991001242689702656</t>
        </is>
      </c>
      <c r="AY1379" t="inlineStr">
        <is>
          <t>2261005380002656</t>
        </is>
      </c>
      <c r="AZ1379" t="inlineStr">
        <is>
          <t>BOOK</t>
        </is>
      </c>
      <c r="BB1379" t="inlineStr">
        <is>
          <t>9780899192642</t>
        </is>
      </c>
      <c r="BC1379" t="inlineStr">
        <is>
          <t>32285000544915</t>
        </is>
      </c>
      <c r="BD1379" t="inlineStr">
        <is>
          <t>893509499</t>
        </is>
      </c>
    </row>
    <row r="1380">
      <c r="A1380" t="inlineStr">
        <is>
          <t>No</t>
        </is>
      </c>
      <c r="B1380" t="inlineStr">
        <is>
          <t>E467.1.P57 P42</t>
        </is>
      </c>
      <c r="C1380" t="inlineStr">
        <is>
          <t>0                      E  0467100P  57                 P  42</t>
        </is>
      </c>
      <c r="D1380" t="inlineStr">
        <is>
          <t>Pickett and his men, by La Salle Corbell Pickett (Mrs. G. E. Pickett) with sixteen illustrations.</t>
        </is>
      </c>
      <c r="F1380" t="inlineStr">
        <is>
          <t>No</t>
        </is>
      </c>
      <c r="G1380" t="inlineStr">
        <is>
          <t>1</t>
        </is>
      </c>
      <c r="H1380" t="inlineStr">
        <is>
          <t>No</t>
        </is>
      </c>
      <c r="I1380" t="inlineStr">
        <is>
          <t>No</t>
        </is>
      </c>
      <c r="J1380" t="inlineStr">
        <is>
          <t>0</t>
        </is>
      </c>
      <c r="K1380" t="inlineStr">
        <is>
          <t>Pickett, La Salle Corbell, 1848-1931.</t>
        </is>
      </c>
      <c r="L1380" t="inlineStr">
        <is>
          <t>Philadelphia, London, J. B. Lippincott company, 1913.</t>
        </is>
      </c>
      <c r="M1380" t="inlineStr">
        <is>
          <t>1913</t>
        </is>
      </c>
      <c r="O1380" t="inlineStr">
        <is>
          <t>eng</t>
        </is>
      </c>
      <c r="P1380" t="inlineStr">
        <is>
          <t xml:space="preserve">vp </t>
        </is>
      </c>
      <c r="R1380" t="inlineStr">
        <is>
          <t xml:space="preserve">E  </t>
        </is>
      </c>
      <c r="S1380" t="n">
        <v>3</v>
      </c>
      <c r="T1380" t="n">
        <v>3</v>
      </c>
      <c r="U1380" t="inlineStr">
        <is>
          <t>2005-11-28</t>
        </is>
      </c>
      <c r="V1380" t="inlineStr">
        <is>
          <t>2005-11-28</t>
        </is>
      </c>
      <c r="W1380" t="inlineStr">
        <is>
          <t>1997-04-17</t>
        </is>
      </c>
      <c r="X1380" t="inlineStr">
        <is>
          <t>1997-04-17</t>
        </is>
      </c>
      <c r="Y1380" t="n">
        <v>120</v>
      </c>
      <c r="Z1380" t="n">
        <v>117</v>
      </c>
      <c r="AA1380" t="n">
        <v>335</v>
      </c>
      <c r="AB1380" t="n">
        <v>1</v>
      </c>
      <c r="AC1380" t="n">
        <v>2</v>
      </c>
      <c r="AD1380" t="n">
        <v>3</v>
      </c>
      <c r="AE1380" t="n">
        <v>13</v>
      </c>
      <c r="AF1380" t="n">
        <v>1</v>
      </c>
      <c r="AG1380" t="n">
        <v>4</v>
      </c>
      <c r="AH1380" t="n">
        <v>0</v>
      </c>
      <c r="AI1380" t="n">
        <v>2</v>
      </c>
      <c r="AJ1380" t="n">
        <v>3</v>
      </c>
      <c r="AK1380" t="n">
        <v>8</v>
      </c>
      <c r="AL1380" t="n">
        <v>0</v>
      </c>
      <c r="AM1380" t="n">
        <v>1</v>
      </c>
      <c r="AN1380" t="n">
        <v>0</v>
      </c>
      <c r="AO1380" t="n">
        <v>0</v>
      </c>
      <c r="AP1380" t="inlineStr">
        <is>
          <t>Yes</t>
        </is>
      </c>
      <c r="AQ1380" t="inlineStr">
        <is>
          <t>No</t>
        </is>
      </c>
      <c r="AR1380">
        <f>HYPERLINK("http://catalog.hathitrust.org/Record/000319625","HathiTrust Record")</f>
        <v/>
      </c>
      <c r="AS1380">
        <f>HYPERLINK("https://creighton-primo.hosted.exlibrisgroup.com/primo-explore/search?tab=default_tab&amp;search_scope=EVERYTHING&amp;vid=01CRU&amp;lang=en_US&amp;offset=0&amp;query=any,contains,991003896689702656","Catalog Record")</f>
        <v/>
      </c>
      <c r="AT1380">
        <f>HYPERLINK("http://www.worldcat.org/oclc/1811838","WorldCat Record")</f>
        <v/>
      </c>
      <c r="AU1380" t="inlineStr">
        <is>
          <t>495088658:eng</t>
        </is>
      </c>
      <c r="AV1380" t="inlineStr">
        <is>
          <t>1811838</t>
        </is>
      </c>
      <c r="AW1380" t="inlineStr">
        <is>
          <t>991003896689702656</t>
        </is>
      </c>
      <c r="AX1380" t="inlineStr">
        <is>
          <t>991003896689702656</t>
        </is>
      </c>
      <c r="AY1380" t="inlineStr">
        <is>
          <t>2259072380002656</t>
        </is>
      </c>
      <c r="AZ1380" t="inlineStr">
        <is>
          <t>BOOK</t>
        </is>
      </c>
      <c r="BC1380" t="inlineStr">
        <is>
          <t>32285002555067</t>
        </is>
      </c>
      <c r="BD1380" t="inlineStr">
        <is>
          <t>893611645</t>
        </is>
      </c>
    </row>
    <row r="1381">
      <c r="A1381" t="inlineStr">
        <is>
          <t>No</t>
        </is>
      </c>
      <c r="B1381" t="inlineStr">
        <is>
          <t>E467.1.S4 W54 1982</t>
        </is>
      </c>
      <c r="C1381" t="inlineStr">
        <is>
          <t>0                      E  0467100S  4                  W  54          1982</t>
        </is>
      </c>
      <c r="D1381" t="inlineStr">
        <is>
          <t>General John Sedgwick, the story of a Union corps commander / Richard Elliot Winslow III.</t>
        </is>
      </c>
      <c r="F1381" t="inlineStr">
        <is>
          <t>No</t>
        </is>
      </c>
      <c r="G1381" t="inlineStr">
        <is>
          <t>1</t>
        </is>
      </c>
      <c r="H1381" t="inlineStr">
        <is>
          <t>No</t>
        </is>
      </c>
      <c r="I1381" t="inlineStr">
        <is>
          <t>No</t>
        </is>
      </c>
      <c r="J1381" t="inlineStr">
        <is>
          <t>0</t>
        </is>
      </c>
      <c r="K1381" t="inlineStr">
        <is>
          <t>Winslow, Richard Elliott, 1934-</t>
        </is>
      </c>
      <c r="L1381" t="inlineStr">
        <is>
          <t>Novato, CA : Presidio Press, 1982.</t>
        </is>
      </c>
      <c r="M1381" t="inlineStr">
        <is>
          <t>1982</t>
        </is>
      </c>
      <c r="O1381" t="inlineStr">
        <is>
          <t>eng</t>
        </is>
      </c>
      <c r="P1381" t="inlineStr">
        <is>
          <t>cau</t>
        </is>
      </c>
      <c r="R1381" t="inlineStr">
        <is>
          <t xml:space="preserve">E  </t>
        </is>
      </c>
      <c r="S1381" t="n">
        <v>2</v>
      </c>
      <c r="T1381" t="n">
        <v>2</v>
      </c>
      <c r="U1381" t="inlineStr">
        <is>
          <t>2000-07-20</t>
        </is>
      </c>
      <c r="V1381" t="inlineStr">
        <is>
          <t>2000-07-20</t>
        </is>
      </c>
      <c r="W1381" t="inlineStr">
        <is>
          <t>1991-05-03</t>
        </is>
      </c>
      <c r="X1381" t="inlineStr">
        <is>
          <t>1991-05-03</t>
        </is>
      </c>
      <c r="Y1381" t="n">
        <v>260</v>
      </c>
      <c r="Z1381" t="n">
        <v>241</v>
      </c>
      <c r="AA1381" t="n">
        <v>252</v>
      </c>
      <c r="AB1381" t="n">
        <v>2</v>
      </c>
      <c r="AC1381" t="n">
        <v>2</v>
      </c>
      <c r="AD1381" t="n">
        <v>11</v>
      </c>
      <c r="AE1381" t="n">
        <v>11</v>
      </c>
      <c r="AF1381" t="n">
        <v>4</v>
      </c>
      <c r="AG1381" t="n">
        <v>4</v>
      </c>
      <c r="AH1381" t="n">
        <v>2</v>
      </c>
      <c r="AI1381" t="n">
        <v>2</v>
      </c>
      <c r="AJ1381" t="n">
        <v>7</v>
      </c>
      <c r="AK1381" t="n">
        <v>7</v>
      </c>
      <c r="AL1381" t="n">
        <v>1</v>
      </c>
      <c r="AM1381" t="n">
        <v>1</v>
      </c>
      <c r="AN1381" t="n">
        <v>0</v>
      </c>
      <c r="AO1381" t="n">
        <v>0</v>
      </c>
      <c r="AP1381" t="inlineStr">
        <is>
          <t>No</t>
        </is>
      </c>
      <c r="AQ1381" t="inlineStr">
        <is>
          <t>No</t>
        </is>
      </c>
      <c r="AS1381">
        <f>HYPERLINK("https://creighton-primo.hosted.exlibrisgroup.com/primo-explore/search?tab=default_tab&amp;search_scope=EVERYTHING&amp;vid=01CRU&amp;lang=en_US&amp;offset=0&amp;query=any,contains,991005069929702656","Catalog Record")</f>
        <v/>
      </c>
      <c r="AT1381">
        <f>HYPERLINK("http://www.worldcat.org/oclc/7006724","WorldCat Record")</f>
        <v/>
      </c>
      <c r="AU1381" t="inlineStr">
        <is>
          <t>24613730:eng</t>
        </is>
      </c>
      <c r="AV1381" t="inlineStr">
        <is>
          <t>7006724</t>
        </is>
      </c>
      <c r="AW1381" t="inlineStr">
        <is>
          <t>991005069929702656</t>
        </is>
      </c>
      <c r="AX1381" t="inlineStr">
        <is>
          <t>991005069929702656</t>
        </is>
      </c>
      <c r="AY1381" t="inlineStr">
        <is>
          <t>2267895910002656</t>
        </is>
      </c>
      <c r="AZ1381" t="inlineStr">
        <is>
          <t>BOOK</t>
        </is>
      </c>
      <c r="BB1381" t="inlineStr">
        <is>
          <t>9780891410300</t>
        </is>
      </c>
      <c r="BC1381" t="inlineStr">
        <is>
          <t>32285000544931</t>
        </is>
      </c>
      <c r="BD1381" t="inlineStr">
        <is>
          <t>893424501</t>
        </is>
      </c>
    </row>
    <row r="1382">
      <c r="A1382" t="inlineStr">
        <is>
          <t>No</t>
        </is>
      </c>
      <c r="B1382" t="inlineStr">
        <is>
          <t>E467.1.S54 M67 1992</t>
        </is>
      </c>
      <c r="C1382" t="inlineStr">
        <is>
          <t>0                      E  0467100S  54                 M  67          1992</t>
        </is>
      </c>
      <c r="D1382" t="inlineStr">
        <is>
          <t>Sheridan : the life and wars of General Phil Sheridan / Roy Morris, Jr.</t>
        </is>
      </c>
      <c r="F1382" t="inlineStr">
        <is>
          <t>No</t>
        </is>
      </c>
      <c r="G1382" t="inlineStr">
        <is>
          <t>1</t>
        </is>
      </c>
      <c r="H1382" t="inlineStr">
        <is>
          <t>No</t>
        </is>
      </c>
      <c r="I1382" t="inlineStr">
        <is>
          <t>No</t>
        </is>
      </c>
      <c r="J1382" t="inlineStr">
        <is>
          <t>0</t>
        </is>
      </c>
      <c r="K1382" t="inlineStr">
        <is>
          <t>Morris, Roy.</t>
        </is>
      </c>
      <c r="L1382" t="inlineStr">
        <is>
          <t>New York : Crown, c1992.</t>
        </is>
      </c>
      <c r="M1382" t="inlineStr">
        <is>
          <t>1992</t>
        </is>
      </c>
      <c r="N1382" t="inlineStr">
        <is>
          <t>1st ed.</t>
        </is>
      </c>
      <c r="O1382" t="inlineStr">
        <is>
          <t>eng</t>
        </is>
      </c>
      <c r="P1382" t="inlineStr">
        <is>
          <t>nyu</t>
        </is>
      </c>
      <c r="R1382" t="inlineStr">
        <is>
          <t xml:space="preserve">E  </t>
        </is>
      </c>
      <c r="S1382" t="n">
        <v>2</v>
      </c>
      <c r="T1382" t="n">
        <v>2</v>
      </c>
      <c r="U1382" t="inlineStr">
        <is>
          <t>1997-08-15</t>
        </is>
      </c>
      <c r="V1382" t="inlineStr">
        <is>
          <t>1997-08-15</t>
        </is>
      </c>
      <c r="W1382" t="inlineStr">
        <is>
          <t>1997-08-11</t>
        </is>
      </c>
      <c r="X1382" t="inlineStr">
        <is>
          <t>1997-08-11</t>
        </is>
      </c>
      <c r="Y1382" t="n">
        <v>877</v>
      </c>
      <c r="Z1382" t="n">
        <v>848</v>
      </c>
      <c r="AA1382" t="n">
        <v>964</v>
      </c>
      <c r="AB1382" t="n">
        <v>10</v>
      </c>
      <c r="AC1382" t="n">
        <v>10</v>
      </c>
      <c r="AD1382" t="n">
        <v>27</v>
      </c>
      <c r="AE1382" t="n">
        <v>28</v>
      </c>
      <c r="AF1382" t="n">
        <v>9</v>
      </c>
      <c r="AG1382" t="n">
        <v>10</v>
      </c>
      <c r="AH1382" t="n">
        <v>6</v>
      </c>
      <c r="AI1382" t="n">
        <v>6</v>
      </c>
      <c r="AJ1382" t="n">
        <v>12</v>
      </c>
      <c r="AK1382" t="n">
        <v>13</v>
      </c>
      <c r="AL1382" t="n">
        <v>5</v>
      </c>
      <c r="AM1382" t="n">
        <v>5</v>
      </c>
      <c r="AN1382" t="n">
        <v>0</v>
      </c>
      <c r="AO1382" t="n">
        <v>0</v>
      </c>
      <c r="AP1382" t="inlineStr">
        <is>
          <t>No</t>
        </is>
      </c>
      <c r="AQ1382" t="inlineStr">
        <is>
          <t>Yes</t>
        </is>
      </c>
      <c r="AR1382">
        <f>HYPERLINK("http://catalog.hathitrust.org/Record/002545373","HathiTrust Record")</f>
        <v/>
      </c>
      <c r="AS1382">
        <f>HYPERLINK("https://creighton-primo.hosted.exlibrisgroup.com/primo-explore/search?tab=default_tab&amp;search_scope=EVERYTHING&amp;vid=01CRU&amp;lang=en_US&amp;offset=0&amp;query=any,contains,991001964599702656","Catalog Record")</f>
        <v/>
      </c>
      <c r="AT1382">
        <f>HYPERLINK("http://www.worldcat.org/oclc/24906319","WorldCat Record")</f>
        <v/>
      </c>
      <c r="AU1382" t="inlineStr">
        <is>
          <t>796292638:eng</t>
        </is>
      </c>
      <c r="AV1382" t="inlineStr">
        <is>
          <t>24906319</t>
        </is>
      </c>
      <c r="AW1382" t="inlineStr">
        <is>
          <t>991001964599702656</t>
        </is>
      </c>
      <c r="AX1382" t="inlineStr">
        <is>
          <t>991001964599702656</t>
        </is>
      </c>
      <c r="AY1382" t="inlineStr">
        <is>
          <t>2270844300002656</t>
        </is>
      </c>
      <c r="AZ1382" t="inlineStr">
        <is>
          <t>BOOK</t>
        </is>
      </c>
      <c r="BB1382" t="inlineStr">
        <is>
          <t>9780517580707</t>
        </is>
      </c>
      <c r="BC1382" t="inlineStr">
        <is>
          <t>32285003000907</t>
        </is>
      </c>
      <c r="BD1382" t="inlineStr">
        <is>
          <t>893721211</t>
        </is>
      </c>
    </row>
    <row r="1383">
      <c r="A1383" t="inlineStr">
        <is>
          <t>No</t>
        </is>
      </c>
      <c r="B1383" t="inlineStr">
        <is>
          <t>E467.1.S54 R5 1974</t>
        </is>
      </c>
      <c r="C1383" t="inlineStr">
        <is>
          <t>0                      E  0467100S  54                 R  5           1974</t>
        </is>
      </c>
      <c r="D1383" t="inlineStr">
        <is>
          <t>Border command : General Phil Sheridan in the West.</t>
        </is>
      </c>
      <c r="F1383" t="inlineStr">
        <is>
          <t>No</t>
        </is>
      </c>
      <c r="G1383" t="inlineStr">
        <is>
          <t>1</t>
        </is>
      </c>
      <c r="H1383" t="inlineStr">
        <is>
          <t>No</t>
        </is>
      </c>
      <c r="I1383" t="inlineStr">
        <is>
          <t>No</t>
        </is>
      </c>
      <c r="J1383" t="inlineStr">
        <is>
          <t>0</t>
        </is>
      </c>
      <c r="K1383" t="inlineStr">
        <is>
          <t>Rister, Carl Coke, 1889-1955.</t>
        </is>
      </c>
      <c r="L1383" t="inlineStr">
        <is>
          <t>Westport, Conn. : Greenwood Press, [1974, c1944]</t>
        </is>
      </c>
      <c r="M1383" t="inlineStr">
        <is>
          <t>1974</t>
        </is>
      </c>
      <c r="O1383" t="inlineStr">
        <is>
          <t>eng</t>
        </is>
      </c>
      <c r="P1383" t="inlineStr">
        <is>
          <t>ctu</t>
        </is>
      </c>
      <c r="R1383" t="inlineStr">
        <is>
          <t xml:space="preserve">E  </t>
        </is>
      </c>
      <c r="S1383" t="n">
        <v>0</v>
      </c>
      <c r="T1383" t="n">
        <v>0</v>
      </c>
      <c r="U1383" t="inlineStr">
        <is>
          <t>2004-10-21</t>
        </is>
      </c>
      <c r="V1383" t="inlineStr">
        <is>
          <t>2004-10-21</t>
        </is>
      </c>
      <c r="W1383" t="inlineStr">
        <is>
          <t>1991-04-10</t>
        </is>
      </c>
      <c r="X1383" t="inlineStr">
        <is>
          <t>1991-04-10</t>
        </is>
      </c>
      <c r="Y1383" t="n">
        <v>102</v>
      </c>
      <c r="Z1383" t="n">
        <v>95</v>
      </c>
      <c r="AA1383" t="n">
        <v>413</v>
      </c>
      <c r="AB1383" t="n">
        <v>1</v>
      </c>
      <c r="AC1383" t="n">
        <v>6</v>
      </c>
      <c r="AD1383" t="n">
        <v>4</v>
      </c>
      <c r="AE1383" t="n">
        <v>15</v>
      </c>
      <c r="AF1383" t="n">
        <v>1</v>
      </c>
      <c r="AG1383" t="n">
        <v>3</v>
      </c>
      <c r="AH1383" t="n">
        <v>3</v>
      </c>
      <c r="AI1383" t="n">
        <v>4</v>
      </c>
      <c r="AJ1383" t="n">
        <v>2</v>
      </c>
      <c r="AK1383" t="n">
        <v>6</v>
      </c>
      <c r="AL1383" t="n">
        <v>0</v>
      </c>
      <c r="AM1383" t="n">
        <v>4</v>
      </c>
      <c r="AN1383" t="n">
        <v>0</v>
      </c>
      <c r="AO1383" t="n">
        <v>1</v>
      </c>
      <c r="AP1383" t="inlineStr">
        <is>
          <t>No</t>
        </is>
      </c>
      <c r="AQ1383" t="inlineStr">
        <is>
          <t>No</t>
        </is>
      </c>
      <c r="AS1383">
        <f>HYPERLINK("https://creighton-primo.hosted.exlibrisgroup.com/primo-explore/search?tab=default_tab&amp;search_scope=EVERYTHING&amp;vid=01CRU&amp;lang=en_US&amp;offset=0&amp;query=any,contains,991003274999702656","Catalog Record")</f>
        <v/>
      </c>
      <c r="AT1383">
        <f>HYPERLINK("http://www.worldcat.org/oclc/799570","WorldCat Record")</f>
        <v/>
      </c>
      <c r="AU1383" t="inlineStr">
        <is>
          <t>1782333:eng</t>
        </is>
      </c>
      <c r="AV1383" t="inlineStr">
        <is>
          <t>799570</t>
        </is>
      </c>
      <c r="AW1383" t="inlineStr">
        <is>
          <t>991003274999702656</t>
        </is>
      </c>
      <c r="AX1383" t="inlineStr">
        <is>
          <t>991003274999702656</t>
        </is>
      </c>
      <c r="AY1383" t="inlineStr">
        <is>
          <t>2266908040002656</t>
        </is>
      </c>
      <c r="AZ1383" t="inlineStr">
        <is>
          <t>BOOK</t>
        </is>
      </c>
      <c r="BB1383" t="inlineStr">
        <is>
          <t>9780837172446</t>
        </is>
      </c>
      <c r="BC1383" t="inlineStr">
        <is>
          <t>32285000580281</t>
        </is>
      </c>
      <c r="BD1383" t="inlineStr">
        <is>
          <t>893899802</t>
        </is>
      </c>
    </row>
    <row r="1384">
      <c r="A1384" t="inlineStr">
        <is>
          <t>No</t>
        </is>
      </c>
      <c r="B1384" t="inlineStr">
        <is>
          <t>E467.1.S55 L48 1958</t>
        </is>
      </c>
      <c r="C1384" t="inlineStr">
        <is>
          <t>0                      E  0467100S  55                 L  48          1958</t>
        </is>
      </c>
      <c r="D1384" t="inlineStr">
        <is>
          <t>Sherman, fighting prophet / illustrated with reproductions of maps, engravings, and photos. With a new appraisal by Bruce Catton.</t>
        </is>
      </c>
      <c r="F1384" t="inlineStr">
        <is>
          <t>No</t>
        </is>
      </c>
      <c r="G1384" t="inlineStr">
        <is>
          <t>1</t>
        </is>
      </c>
      <c r="H1384" t="inlineStr">
        <is>
          <t>No</t>
        </is>
      </c>
      <c r="I1384" t="inlineStr">
        <is>
          <t>No</t>
        </is>
      </c>
      <c r="J1384" t="inlineStr">
        <is>
          <t>0</t>
        </is>
      </c>
      <c r="K1384" t="inlineStr">
        <is>
          <t>Lewis, Lloyd, 1891-1949.</t>
        </is>
      </c>
      <c r="L1384" t="inlineStr">
        <is>
          <t>New York : Harcourt, Brace, [1958]</t>
        </is>
      </c>
      <c r="M1384" t="inlineStr">
        <is>
          <t>1958</t>
        </is>
      </c>
      <c r="O1384" t="inlineStr">
        <is>
          <t>eng</t>
        </is>
      </c>
      <c r="P1384" t="inlineStr">
        <is>
          <t>nyu</t>
        </is>
      </c>
      <c r="R1384" t="inlineStr">
        <is>
          <t xml:space="preserve">E  </t>
        </is>
      </c>
      <c r="S1384" t="n">
        <v>3</v>
      </c>
      <c r="T1384" t="n">
        <v>3</v>
      </c>
      <c r="U1384" t="inlineStr">
        <is>
          <t>1993-11-28</t>
        </is>
      </c>
      <c r="V1384" t="inlineStr">
        <is>
          <t>1993-11-28</t>
        </is>
      </c>
      <c r="W1384" t="inlineStr">
        <is>
          <t>1990-10-05</t>
        </is>
      </c>
      <c r="X1384" t="inlineStr">
        <is>
          <t>1990-10-05</t>
        </is>
      </c>
      <c r="Y1384" t="n">
        <v>496</v>
      </c>
      <c r="Z1384" t="n">
        <v>482</v>
      </c>
      <c r="AA1384" t="n">
        <v>1704</v>
      </c>
      <c r="AB1384" t="n">
        <v>4</v>
      </c>
      <c r="AC1384" t="n">
        <v>16</v>
      </c>
      <c r="AD1384" t="n">
        <v>13</v>
      </c>
      <c r="AE1384" t="n">
        <v>52</v>
      </c>
      <c r="AF1384" t="n">
        <v>6</v>
      </c>
      <c r="AG1384" t="n">
        <v>23</v>
      </c>
      <c r="AH1384" t="n">
        <v>3</v>
      </c>
      <c r="AI1384" t="n">
        <v>8</v>
      </c>
      <c r="AJ1384" t="n">
        <v>7</v>
      </c>
      <c r="AK1384" t="n">
        <v>24</v>
      </c>
      <c r="AL1384" t="n">
        <v>1</v>
      </c>
      <c r="AM1384" t="n">
        <v>8</v>
      </c>
      <c r="AN1384" t="n">
        <v>1</v>
      </c>
      <c r="AO1384" t="n">
        <v>1</v>
      </c>
      <c r="AP1384" t="inlineStr">
        <is>
          <t>No</t>
        </is>
      </c>
      <c r="AQ1384" t="inlineStr">
        <is>
          <t>Yes</t>
        </is>
      </c>
      <c r="AR1384">
        <f>HYPERLINK("http://catalog.hathitrust.org/Record/009517575","HathiTrust Record")</f>
        <v/>
      </c>
      <c r="AS1384">
        <f>HYPERLINK("https://creighton-primo.hosted.exlibrisgroup.com/primo-explore/search?tab=default_tab&amp;search_scope=EVERYTHING&amp;vid=01CRU&amp;lang=en_US&amp;offset=0&amp;query=any,contains,991002868749702656","Catalog Record")</f>
        <v/>
      </c>
      <c r="AT1384">
        <f>HYPERLINK("http://www.worldcat.org/oclc/1104920640","WorldCat Record")</f>
        <v/>
      </c>
      <c r="AU1384" t="inlineStr">
        <is>
          <t>1578932:eng</t>
        </is>
      </c>
      <c r="AV1384" t="inlineStr">
        <is>
          <t>1104920640</t>
        </is>
      </c>
      <c r="AW1384" t="inlineStr">
        <is>
          <t>991002868749702656</t>
        </is>
      </c>
      <c r="AX1384" t="inlineStr">
        <is>
          <t>991002868749702656</t>
        </is>
      </c>
      <c r="AY1384" t="inlineStr">
        <is>
          <t>2271975650002656</t>
        </is>
      </c>
      <c r="AZ1384" t="inlineStr">
        <is>
          <t>BOOK</t>
        </is>
      </c>
      <c r="BC1384" t="inlineStr">
        <is>
          <t>32285000333111</t>
        </is>
      </c>
      <c r="BD1384" t="inlineStr">
        <is>
          <t>893685885</t>
        </is>
      </c>
    </row>
    <row r="1385">
      <c r="A1385" t="inlineStr">
        <is>
          <t>No</t>
        </is>
      </c>
      <c r="B1385" t="inlineStr">
        <is>
          <t>E467.1.S55 M4</t>
        </is>
      </c>
      <c r="C1385" t="inlineStr">
        <is>
          <t>0                      E  0467100S  55                 M  4</t>
        </is>
      </c>
      <c r="D1385" t="inlineStr">
        <is>
          <t>William Tecumseh Sherman / by James M. Merrill.</t>
        </is>
      </c>
      <c r="F1385" t="inlineStr">
        <is>
          <t>No</t>
        </is>
      </c>
      <c r="G1385" t="inlineStr">
        <is>
          <t>1</t>
        </is>
      </c>
      <c r="H1385" t="inlineStr">
        <is>
          <t>No</t>
        </is>
      </c>
      <c r="I1385" t="inlineStr">
        <is>
          <t>No</t>
        </is>
      </c>
      <c r="J1385" t="inlineStr">
        <is>
          <t>0</t>
        </is>
      </c>
      <c r="K1385" t="inlineStr">
        <is>
          <t>Merrill, James M.</t>
        </is>
      </c>
      <c r="L1385" t="inlineStr">
        <is>
          <t>Chicago : Rand McNally, [1971]</t>
        </is>
      </c>
      <c r="M1385" t="inlineStr">
        <is>
          <t>1971</t>
        </is>
      </c>
      <c r="O1385" t="inlineStr">
        <is>
          <t>eng</t>
        </is>
      </c>
      <c r="P1385" t="inlineStr">
        <is>
          <t>ilu</t>
        </is>
      </c>
      <c r="R1385" t="inlineStr">
        <is>
          <t xml:space="preserve">E  </t>
        </is>
      </c>
      <c r="S1385" t="n">
        <v>4</v>
      </c>
      <c r="T1385" t="n">
        <v>4</v>
      </c>
      <c r="U1385" t="inlineStr">
        <is>
          <t>1997-02-16</t>
        </is>
      </c>
      <c r="V1385" t="inlineStr">
        <is>
          <t>1997-02-16</t>
        </is>
      </c>
      <c r="W1385" t="inlineStr">
        <is>
          <t>1990-03-28</t>
        </is>
      </c>
      <c r="X1385" t="inlineStr">
        <is>
          <t>1990-03-28</t>
        </is>
      </c>
      <c r="Y1385" t="n">
        <v>1037</v>
      </c>
      <c r="Z1385" t="n">
        <v>997</v>
      </c>
      <c r="AA1385" t="n">
        <v>1006</v>
      </c>
      <c r="AB1385" t="n">
        <v>7</v>
      </c>
      <c r="AC1385" t="n">
        <v>7</v>
      </c>
      <c r="AD1385" t="n">
        <v>25</v>
      </c>
      <c r="AE1385" t="n">
        <v>25</v>
      </c>
      <c r="AF1385" t="n">
        <v>9</v>
      </c>
      <c r="AG1385" t="n">
        <v>9</v>
      </c>
      <c r="AH1385" t="n">
        <v>5</v>
      </c>
      <c r="AI1385" t="n">
        <v>5</v>
      </c>
      <c r="AJ1385" t="n">
        <v>10</v>
      </c>
      <c r="AK1385" t="n">
        <v>10</v>
      </c>
      <c r="AL1385" t="n">
        <v>5</v>
      </c>
      <c r="AM1385" t="n">
        <v>5</v>
      </c>
      <c r="AN1385" t="n">
        <v>0</v>
      </c>
      <c r="AO1385" t="n">
        <v>0</v>
      </c>
      <c r="AP1385" t="inlineStr">
        <is>
          <t>No</t>
        </is>
      </c>
      <c r="AQ1385" t="inlineStr">
        <is>
          <t>Yes</t>
        </is>
      </c>
      <c r="AR1385">
        <f>HYPERLINK("http://catalog.hathitrust.org/Record/000563677","HathiTrust Record")</f>
        <v/>
      </c>
      <c r="AS1385">
        <f>HYPERLINK("https://creighton-primo.hosted.exlibrisgroup.com/primo-explore/search?tab=default_tab&amp;search_scope=EVERYTHING&amp;vid=01CRU&amp;lang=en_US&amp;offset=0&amp;query=any,contains,991000920139702656","Catalog Record")</f>
        <v/>
      </c>
      <c r="AT1385">
        <f>HYPERLINK("http://www.worldcat.org/oclc/161421","WorldCat Record")</f>
        <v/>
      </c>
      <c r="AU1385" t="inlineStr">
        <is>
          <t>1268292:eng</t>
        </is>
      </c>
      <c r="AV1385" t="inlineStr">
        <is>
          <t>161421</t>
        </is>
      </c>
      <c r="AW1385" t="inlineStr">
        <is>
          <t>991000920139702656</t>
        </is>
      </c>
      <c r="AX1385" t="inlineStr">
        <is>
          <t>991000920139702656</t>
        </is>
      </c>
      <c r="AY1385" t="inlineStr">
        <is>
          <t>2269402610002656</t>
        </is>
      </c>
      <c r="AZ1385" t="inlineStr">
        <is>
          <t>BOOK</t>
        </is>
      </c>
      <c r="BC1385" t="inlineStr">
        <is>
          <t>32285000094234</t>
        </is>
      </c>
      <c r="BD1385" t="inlineStr">
        <is>
          <t>893797115</t>
        </is>
      </c>
    </row>
    <row r="1386">
      <c r="A1386" t="inlineStr">
        <is>
          <t>No</t>
        </is>
      </c>
      <c r="B1386" t="inlineStr">
        <is>
          <t>E467.1.S9 T45 1986</t>
        </is>
      </c>
      <c r="C1386" t="inlineStr">
        <is>
          <t>0                      E  0467100S  9                  T  45          1986</t>
        </is>
      </c>
      <c r="D1386" t="inlineStr">
        <is>
          <t>Bold dragoon : the life of J.E.B. Stuart / Emory M. Thomas.</t>
        </is>
      </c>
      <c r="F1386" t="inlineStr">
        <is>
          <t>No</t>
        </is>
      </c>
      <c r="G1386" t="inlineStr">
        <is>
          <t>1</t>
        </is>
      </c>
      <c r="H1386" t="inlineStr">
        <is>
          <t>No</t>
        </is>
      </c>
      <c r="I1386" t="inlineStr">
        <is>
          <t>No</t>
        </is>
      </c>
      <c r="J1386" t="inlineStr">
        <is>
          <t>0</t>
        </is>
      </c>
      <c r="K1386" t="inlineStr">
        <is>
          <t>Thomas, Emory M., 1939-</t>
        </is>
      </c>
      <c r="L1386" t="inlineStr">
        <is>
          <t>New York : Harper &amp; Row, c1986.</t>
        </is>
      </c>
      <c r="M1386" t="inlineStr">
        <is>
          <t>1986</t>
        </is>
      </c>
      <c r="N1386" t="inlineStr">
        <is>
          <t>1st ed.</t>
        </is>
      </c>
      <c r="O1386" t="inlineStr">
        <is>
          <t>eng</t>
        </is>
      </c>
      <c r="P1386" t="inlineStr">
        <is>
          <t>nyu</t>
        </is>
      </c>
      <c r="R1386" t="inlineStr">
        <is>
          <t xml:space="preserve">E  </t>
        </is>
      </c>
      <c r="S1386" t="n">
        <v>3</v>
      </c>
      <c r="T1386" t="n">
        <v>3</v>
      </c>
      <c r="U1386" t="inlineStr">
        <is>
          <t>1993-11-23</t>
        </is>
      </c>
      <c r="V1386" t="inlineStr">
        <is>
          <t>1993-11-23</t>
        </is>
      </c>
      <c r="W1386" t="inlineStr">
        <is>
          <t>1991-05-03</t>
        </is>
      </c>
      <c r="X1386" t="inlineStr">
        <is>
          <t>1991-05-03</t>
        </is>
      </c>
      <c r="Y1386" t="n">
        <v>1244</v>
      </c>
      <c r="Z1386" t="n">
        <v>1209</v>
      </c>
      <c r="AA1386" t="n">
        <v>1936</v>
      </c>
      <c r="AB1386" t="n">
        <v>5</v>
      </c>
      <c r="AC1386" t="n">
        <v>8</v>
      </c>
      <c r="AD1386" t="n">
        <v>33</v>
      </c>
      <c r="AE1386" t="n">
        <v>43</v>
      </c>
      <c r="AF1386" t="n">
        <v>16</v>
      </c>
      <c r="AG1386" t="n">
        <v>19</v>
      </c>
      <c r="AH1386" t="n">
        <v>8</v>
      </c>
      <c r="AI1386" t="n">
        <v>10</v>
      </c>
      <c r="AJ1386" t="n">
        <v>18</v>
      </c>
      <c r="AK1386" t="n">
        <v>20</v>
      </c>
      <c r="AL1386" t="n">
        <v>3</v>
      </c>
      <c r="AM1386" t="n">
        <v>6</v>
      </c>
      <c r="AN1386" t="n">
        <v>0</v>
      </c>
      <c r="AO1386" t="n">
        <v>0</v>
      </c>
      <c r="AP1386" t="inlineStr">
        <is>
          <t>No</t>
        </is>
      </c>
      <c r="AQ1386" t="inlineStr">
        <is>
          <t>Yes</t>
        </is>
      </c>
      <c r="AR1386">
        <f>HYPERLINK("http://catalog.hathitrust.org/Record/000432789","HathiTrust Record")</f>
        <v/>
      </c>
      <c r="AS1386">
        <f>HYPERLINK("https://creighton-primo.hosted.exlibrisgroup.com/primo-explore/search?tab=default_tab&amp;search_scope=EVERYTHING&amp;vid=01CRU&amp;lang=en_US&amp;offset=0&amp;query=any,contains,991000726379702656","Catalog Record")</f>
        <v/>
      </c>
      <c r="AT1386">
        <f>HYPERLINK("http://www.worldcat.org/oclc/12696007","WorldCat Record")</f>
        <v/>
      </c>
      <c r="AU1386" t="inlineStr">
        <is>
          <t>1004380:eng</t>
        </is>
      </c>
      <c r="AV1386" t="inlineStr">
        <is>
          <t>12696007</t>
        </is>
      </c>
      <c r="AW1386" t="inlineStr">
        <is>
          <t>991000726379702656</t>
        </is>
      </c>
      <c r="AX1386" t="inlineStr">
        <is>
          <t>991000726379702656</t>
        </is>
      </c>
      <c r="AY1386" t="inlineStr">
        <is>
          <t>2254731820002656</t>
        </is>
      </c>
      <c r="AZ1386" t="inlineStr">
        <is>
          <t>BOOK</t>
        </is>
      </c>
      <c r="BB1386" t="inlineStr">
        <is>
          <t>9780060155667</t>
        </is>
      </c>
      <c r="BC1386" t="inlineStr">
        <is>
          <t>32285000544956</t>
        </is>
      </c>
      <c r="BD1386" t="inlineStr">
        <is>
          <t>893444443</t>
        </is>
      </c>
    </row>
    <row r="1387">
      <c r="A1387" t="inlineStr">
        <is>
          <t>No</t>
        </is>
      </c>
      <c r="B1387" t="inlineStr">
        <is>
          <t>E468 .B319 2001</t>
        </is>
      </c>
      <c r="C1387" t="inlineStr">
        <is>
          <t>0                      E  0468000B  319         2001</t>
        </is>
      </c>
      <c r="D1387" t="inlineStr">
        <is>
          <t>The Civil War and Reconstruction : a student companion / William L. Barney.</t>
        </is>
      </c>
      <c r="F1387" t="inlineStr">
        <is>
          <t>No</t>
        </is>
      </c>
      <c r="G1387" t="inlineStr">
        <is>
          <t>1</t>
        </is>
      </c>
      <c r="H1387" t="inlineStr">
        <is>
          <t>No</t>
        </is>
      </c>
      <c r="I1387" t="inlineStr">
        <is>
          <t>No</t>
        </is>
      </c>
      <c r="J1387" t="inlineStr">
        <is>
          <t>0</t>
        </is>
      </c>
      <c r="K1387" t="inlineStr">
        <is>
          <t>Barney, William L.</t>
        </is>
      </c>
      <c r="L1387" t="inlineStr">
        <is>
          <t>New York : Oxford University Press, c2001.</t>
        </is>
      </c>
      <c r="M1387" t="inlineStr">
        <is>
          <t>2001</t>
        </is>
      </c>
      <c r="O1387" t="inlineStr">
        <is>
          <t>eng</t>
        </is>
      </c>
      <c r="P1387" t="inlineStr">
        <is>
          <t>nyu</t>
        </is>
      </c>
      <c r="Q1387" t="inlineStr">
        <is>
          <t>Oxford student companions to American history</t>
        </is>
      </c>
      <c r="R1387" t="inlineStr">
        <is>
          <t xml:space="preserve">E  </t>
        </is>
      </c>
      <c r="S1387" t="n">
        <v>2</v>
      </c>
      <c r="T1387" t="n">
        <v>2</v>
      </c>
      <c r="U1387" t="inlineStr">
        <is>
          <t>2002-08-20</t>
        </is>
      </c>
      <c r="V1387" t="inlineStr">
        <is>
          <t>2002-08-20</t>
        </is>
      </c>
      <c r="W1387" t="inlineStr">
        <is>
          <t>2002-08-20</t>
        </is>
      </c>
      <c r="X1387" t="inlineStr">
        <is>
          <t>2002-08-20</t>
        </is>
      </c>
      <c r="Y1387" t="n">
        <v>668</v>
      </c>
      <c r="Z1387" t="n">
        <v>646</v>
      </c>
      <c r="AA1387" t="n">
        <v>826</v>
      </c>
      <c r="AB1387" t="n">
        <v>6</v>
      </c>
      <c r="AC1387" t="n">
        <v>8</v>
      </c>
      <c r="AD1387" t="n">
        <v>18</v>
      </c>
      <c r="AE1387" t="n">
        <v>21</v>
      </c>
      <c r="AF1387" t="n">
        <v>9</v>
      </c>
      <c r="AG1387" t="n">
        <v>10</v>
      </c>
      <c r="AH1387" t="n">
        <v>4</v>
      </c>
      <c r="AI1387" t="n">
        <v>5</v>
      </c>
      <c r="AJ1387" t="n">
        <v>9</v>
      </c>
      <c r="AK1387" t="n">
        <v>9</v>
      </c>
      <c r="AL1387" t="n">
        <v>2</v>
      </c>
      <c r="AM1387" t="n">
        <v>4</v>
      </c>
      <c r="AN1387" t="n">
        <v>0</v>
      </c>
      <c r="AO1387" t="n">
        <v>0</v>
      </c>
      <c r="AP1387" t="inlineStr">
        <is>
          <t>No</t>
        </is>
      </c>
      <c r="AQ1387" t="inlineStr">
        <is>
          <t>Yes</t>
        </is>
      </c>
      <c r="AR1387">
        <f>HYPERLINK("http://catalog.hathitrust.org/Record/004582062","HathiTrust Record")</f>
        <v/>
      </c>
      <c r="AS1387">
        <f>HYPERLINK("https://creighton-primo.hosted.exlibrisgroup.com/primo-explore/search?tab=default_tab&amp;search_scope=EVERYTHING&amp;vid=01CRU&amp;lang=en_US&amp;offset=0&amp;query=any,contains,991003799019702656","Catalog Record")</f>
        <v/>
      </c>
      <c r="AT1387">
        <f>HYPERLINK("http://www.worldcat.org/oclc/44516750","WorldCat Record")</f>
        <v/>
      </c>
      <c r="AU1387" t="inlineStr">
        <is>
          <t>34104044:eng</t>
        </is>
      </c>
      <c r="AV1387" t="inlineStr">
        <is>
          <t>44516750</t>
        </is>
      </c>
      <c r="AW1387" t="inlineStr">
        <is>
          <t>991003799019702656</t>
        </is>
      </c>
      <c r="AX1387" t="inlineStr">
        <is>
          <t>991003799019702656</t>
        </is>
      </c>
      <c r="AY1387" t="inlineStr">
        <is>
          <t>2260608060002656</t>
        </is>
      </c>
      <c r="AZ1387" t="inlineStr">
        <is>
          <t>BOOK</t>
        </is>
      </c>
      <c r="BB1387" t="inlineStr">
        <is>
          <t>9780195115598</t>
        </is>
      </c>
      <c r="BC1387" t="inlineStr">
        <is>
          <t>32285004644174</t>
        </is>
      </c>
      <c r="BD1387" t="inlineStr">
        <is>
          <t>893223415</t>
        </is>
      </c>
    </row>
    <row r="1388">
      <c r="A1388" t="inlineStr">
        <is>
          <t>No</t>
        </is>
      </c>
      <c r="B1388" t="inlineStr">
        <is>
          <t>E468 .C284 1996</t>
        </is>
      </c>
      <c r="C1388" t="inlineStr">
        <is>
          <t>0                      E  0468000C  284         1996</t>
        </is>
      </c>
      <c r="D1388" t="inlineStr">
        <is>
          <t>The American heritage new history of the Civil War / narrated by Bruce Catton ; edited and with a new introduction by James McPherson.</t>
        </is>
      </c>
      <c r="F1388" t="inlineStr">
        <is>
          <t>No</t>
        </is>
      </c>
      <c r="G1388" t="inlineStr">
        <is>
          <t>1</t>
        </is>
      </c>
      <c r="H1388" t="inlineStr">
        <is>
          <t>No</t>
        </is>
      </c>
      <c r="I1388" t="inlineStr">
        <is>
          <t>No</t>
        </is>
      </c>
      <c r="J1388" t="inlineStr">
        <is>
          <t>0</t>
        </is>
      </c>
      <c r="K1388" t="inlineStr">
        <is>
          <t>Catton, Bruce, 1899-1978.</t>
        </is>
      </c>
      <c r="L1388" t="inlineStr">
        <is>
          <t>New York : Viking, 1996.</t>
        </is>
      </c>
      <c r="M1388" t="inlineStr">
        <is>
          <t>1996</t>
        </is>
      </c>
      <c r="O1388" t="inlineStr">
        <is>
          <t>eng</t>
        </is>
      </c>
      <c r="P1388" t="inlineStr">
        <is>
          <t>nyu</t>
        </is>
      </c>
      <c r="R1388" t="inlineStr">
        <is>
          <t xml:space="preserve">E  </t>
        </is>
      </c>
      <c r="S1388" t="n">
        <v>6</v>
      </c>
      <c r="T1388" t="n">
        <v>6</v>
      </c>
      <c r="U1388" t="inlineStr">
        <is>
          <t>2002-04-24</t>
        </is>
      </c>
      <c r="V1388" t="inlineStr">
        <is>
          <t>2002-04-24</t>
        </is>
      </c>
      <c r="W1388" t="inlineStr">
        <is>
          <t>2001-01-19</t>
        </is>
      </c>
      <c r="X1388" t="inlineStr">
        <is>
          <t>2001-01-19</t>
        </is>
      </c>
      <c r="Y1388" t="n">
        <v>1184</v>
      </c>
      <c r="Z1388" t="n">
        <v>1098</v>
      </c>
      <c r="AA1388" t="n">
        <v>1413</v>
      </c>
      <c r="AB1388" t="n">
        <v>9</v>
      </c>
      <c r="AC1388" t="n">
        <v>9</v>
      </c>
      <c r="AD1388" t="n">
        <v>10</v>
      </c>
      <c r="AE1388" t="n">
        <v>13</v>
      </c>
      <c r="AF1388" t="n">
        <v>5</v>
      </c>
      <c r="AG1388" t="n">
        <v>7</v>
      </c>
      <c r="AH1388" t="n">
        <v>0</v>
      </c>
      <c r="AI1388" t="n">
        <v>0</v>
      </c>
      <c r="AJ1388" t="n">
        <v>7</v>
      </c>
      <c r="AK1388" t="n">
        <v>9</v>
      </c>
      <c r="AL1388" t="n">
        <v>2</v>
      </c>
      <c r="AM1388" t="n">
        <v>2</v>
      </c>
      <c r="AN1388" t="n">
        <v>0</v>
      </c>
      <c r="AO1388" t="n">
        <v>0</v>
      </c>
      <c r="AP1388" t="inlineStr">
        <is>
          <t>No</t>
        </is>
      </c>
      <c r="AQ1388" t="inlineStr">
        <is>
          <t>No</t>
        </is>
      </c>
      <c r="AS1388">
        <f>HYPERLINK("https://creighton-primo.hosted.exlibrisgroup.com/primo-explore/search?tab=default_tab&amp;search_scope=EVERYTHING&amp;vid=01CRU&amp;lang=en_US&amp;offset=0&amp;query=any,contains,991003462819702656","Catalog Record")</f>
        <v/>
      </c>
      <c r="AT1388">
        <f>HYPERLINK("http://www.worldcat.org/oclc/34583862","WorldCat Record")</f>
        <v/>
      </c>
      <c r="AU1388" t="inlineStr">
        <is>
          <t>3945655474:eng</t>
        </is>
      </c>
      <c r="AV1388" t="inlineStr">
        <is>
          <t>34583862</t>
        </is>
      </c>
      <c r="AW1388" t="inlineStr">
        <is>
          <t>991003462819702656</t>
        </is>
      </c>
      <c r="AX1388" t="inlineStr">
        <is>
          <t>991003462819702656</t>
        </is>
      </c>
      <c r="AY1388" t="inlineStr">
        <is>
          <t>2265489950002656</t>
        </is>
      </c>
      <c r="AZ1388" t="inlineStr">
        <is>
          <t>BOOK</t>
        </is>
      </c>
      <c r="BB1388" t="inlineStr">
        <is>
          <t>9780670781454</t>
        </is>
      </c>
      <c r="BC1388" t="inlineStr">
        <is>
          <t>32285004273826</t>
        </is>
      </c>
      <c r="BD1388" t="inlineStr">
        <is>
          <t>893445667</t>
        </is>
      </c>
    </row>
    <row r="1389">
      <c r="A1389" t="inlineStr">
        <is>
          <t>No</t>
        </is>
      </c>
      <c r="B1389" t="inlineStr">
        <is>
          <t>E468 .C29</t>
        </is>
      </c>
      <c r="C1389" t="inlineStr">
        <is>
          <t>0                      E  0468000C  29</t>
        </is>
      </c>
      <c r="D1389" t="inlineStr">
        <is>
          <t>The centennial history of the Civil War / E. B. Long, director of research.</t>
        </is>
      </c>
      <c r="E1389" t="inlineStr">
        <is>
          <t>V.3</t>
        </is>
      </c>
      <c r="F1389" t="inlineStr">
        <is>
          <t>Yes</t>
        </is>
      </c>
      <c r="G1389" t="inlineStr">
        <is>
          <t>1</t>
        </is>
      </c>
      <c r="H1389" t="inlineStr">
        <is>
          <t>No</t>
        </is>
      </c>
      <c r="I1389" t="inlineStr">
        <is>
          <t>No</t>
        </is>
      </c>
      <c r="J1389" t="inlineStr">
        <is>
          <t>0</t>
        </is>
      </c>
      <c r="K1389" t="inlineStr">
        <is>
          <t>Catton, Bruce, 1899-1978.</t>
        </is>
      </c>
      <c r="L1389" t="inlineStr">
        <is>
          <t>Garden City, N.Y. : Doubleday, 1961-65.</t>
        </is>
      </c>
      <c r="M1389" t="inlineStr">
        <is>
          <t>1961</t>
        </is>
      </c>
      <c r="N1389" t="inlineStr">
        <is>
          <t>[1st ed.]</t>
        </is>
      </c>
      <c r="O1389" t="inlineStr">
        <is>
          <t>eng</t>
        </is>
      </c>
      <c r="P1389" t="inlineStr">
        <is>
          <t>nyu</t>
        </is>
      </c>
      <c r="R1389" t="inlineStr">
        <is>
          <t xml:space="preserve">E  </t>
        </is>
      </c>
      <c r="S1389" t="n">
        <v>0</v>
      </c>
      <c r="T1389" t="n">
        <v>5</v>
      </c>
      <c r="V1389" t="inlineStr">
        <is>
          <t>1994-05-24</t>
        </is>
      </c>
      <c r="W1389" t="inlineStr">
        <is>
          <t>1990-10-05</t>
        </is>
      </c>
      <c r="X1389" t="inlineStr">
        <is>
          <t>1990-10-05</t>
        </is>
      </c>
      <c r="Y1389" t="n">
        <v>2902</v>
      </c>
      <c r="Z1389" t="n">
        <v>2784</v>
      </c>
      <c r="AA1389" t="n">
        <v>2909</v>
      </c>
      <c r="AB1389" t="n">
        <v>32</v>
      </c>
      <c r="AC1389" t="n">
        <v>32</v>
      </c>
      <c r="AD1389" t="n">
        <v>61</v>
      </c>
      <c r="AE1389" t="n">
        <v>62</v>
      </c>
      <c r="AF1389" t="n">
        <v>25</v>
      </c>
      <c r="AG1389" t="n">
        <v>26</v>
      </c>
      <c r="AH1389" t="n">
        <v>11</v>
      </c>
      <c r="AI1389" t="n">
        <v>11</v>
      </c>
      <c r="AJ1389" t="n">
        <v>25</v>
      </c>
      <c r="AK1389" t="n">
        <v>26</v>
      </c>
      <c r="AL1389" t="n">
        <v>13</v>
      </c>
      <c r="AM1389" t="n">
        <v>13</v>
      </c>
      <c r="AN1389" t="n">
        <v>0</v>
      </c>
      <c r="AO1389" t="n">
        <v>0</v>
      </c>
      <c r="AP1389" t="inlineStr">
        <is>
          <t>No</t>
        </is>
      </c>
      <c r="AQ1389" t="inlineStr">
        <is>
          <t>Yes</t>
        </is>
      </c>
      <c r="AR1389">
        <f>HYPERLINK("http://catalog.hathitrust.org/Record/000275472","HathiTrust Record")</f>
        <v/>
      </c>
      <c r="AS1389">
        <f>HYPERLINK("https://creighton-primo.hosted.exlibrisgroup.com/primo-explore/search?tab=default_tab&amp;search_scope=EVERYTHING&amp;vid=01CRU&amp;lang=en_US&amp;offset=0&amp;query=any,contains,991002795669702656","Catalog Record")</f>
        <v/>
      </c>
      <c r="AT1389">
        <f>HYPERLINK("http://www.worldcat.org/oclc/445159","WorldCat Record")</f>
        <v/>
      </c>
      <c r="AU1389" t="inlineStr">
        <is>
          <t>4575188015:eng</t>
        </is>
      </c>
      <c r="AV1389" t="inlineStr">
        <is>
          <t>445159</t>
        </is>
      </c>
      <c r="AW1389" t="inlineStr">
        <is>
          <t>991002795669702656</t>
        </is>
      </c>
      <c r="AX1389" t="inlineStr">
        <is>
          <t>991002795669702656</t>
        </is>
      </c>
      <c r="AY1389" t="inlineStr">
        <is>
          <t>2265545350002656</t>
        </is>
      </c>
      <c r="AZ1389" t="inlineStr">
        <is>
          <t>BOOK</t>
        </is>
      </c>
      <c r="BC1389" t="inlineStr">
        <is>
          <t>32285000333095</t>
        </is>
      </c>
      <c r="BD1389" t="inlineStr">
        <is>
          <t>893786564</t>
        </is>
      </c>
    </row>
    <row r="1390">
      <c r="A1390" t="inlineStr">
        <is>
          <t>No</t>
        </is>
      </c>
      <c r="B1390" t="inlineStr">
        <is>
          <t>E468 .C29</t>
        </is>
      </c>
      <c r="C1390" t="inlineStr">
        <is>
          <t>0                      E  0468000C  29</t>
        </is>
      </c>
      <c r="D1390" t="inlineStr">
        <is>
          <t>The centennial history of the Civil War / E. B. Long, director of research.</t>
        </is>
      </c>
      <c r="E1390" t="inlineStr">
        <is>
          <t>V.1</t>
        </is>
      </c>
      <c r="F1390" t="inlineStr">
        <is>
          <t>Yes</t>
        </is>
      </c>
      <c r="G1390" t="inlineStr">
        <is>
          <t>1</t>
        </is>
      </c>
      <c r="H1390" t="inlineStr">
        <is>
          <t>No</t>
        </is>
      </c>
      <c r="I1390" t="inlineStr">
        <is>
          <t>No</t>
        </is>
      </c>
      <c r="J1390" t="inlineStr">
        <is>
          <t>0</t>
        </is>
      </c>
      <c r="K1390" t="inlineStr">
        <is>
          <t>Catton, Bruce, 1899-1978.</t>
        </is>
      </c>
      <c r="L1390" t="inlineStr">
        <is>
          <t>Garden City, N.Y. : Doubleday, 1961-65.</t>
        </is>
      </c>
      <c r="M1390" t="inlineStr">
        <is>
          <t>1961</t>
        </is>
      </c>
      <c r="N1390" t="inlineStr">
        <is>
          <t>[1st ed.]</t>
        </is>
      </c>
      <c r="O1390" t="inlineStr">
        <is>
          <t>eng</t>
        </is>
      </c>
      <c r="P1390" t="inlineStr">
        <is>
          <t>nyu</t>
        </is>
      </c>
      <c r="R1390" t="inlineStr">
        <is>
          <t xml:space="preserve">E  </t>
        </is>
      </c>
      <c r="S1390" t="n">
        <v>3</v>
      </c>
      <c r="T1390" t="n">
        <v>5</v>
      </c>
      <c r="U1390" t="inlineStr">
        <is>
          <t>1994-05-24</t>
        </is>
      </c>
      <c r="V1390" t="inlineStr">
        <is>
          <t>1994-05-24</t>
        </is>
      </c>
      <c r="W1390" t="inlineStr">
        <is>
          <t>1990-10-05</t>
        </is>
      </c>
      <c r="X1390" t="inlineStr">
        <is>
          <t>1990-10-05</t>
        </is>
      </c>
      <c r="Y1390" t="n">
        <v>2902</v>
      </c>
      <c r="Z1390" t="n">
        <v>2784</v>
      </c>
      <c r="AA1390" t="n">
        <v>2909</v>
      </c>
      <c r="AB1390" t="n">
        <v>32</v>
      </c>
      <c r="AC1390" t="n">
        <v>32</v>
      </c>
      <c r="AD1390" t="n">
        <v>61</v>
      </c>
      <c r="AE1390" t="n">
        <v>62</v>
      </c>
      <c r="AF1390" t="n">
        <v>25</v>
      </c>
      <c r="AG1390" t="n">
        <v>26</v>
      </c>
      <c r="AH1390" t="n">
        <v>11</v>
      </c>
      <c r="AI1390" t="n">
        <v>11</v>
      </c>
      <c r="AJ1390" t="n">
        <v>25</v>
      </c>
      <c r="AK1390" t="n">
        <v>26</v>
      </c>
      <c r="AL1390" t="n">
        <v>13</v>
      </c>
      <c r="AM1390" t="n">
        <v>13</v>
      </c>
      <c r="AN1390" t="n">
        <v>0</v>
      </c>
      <c r="AO1390" t="n">
        <v>0</v>
      </c>
      <c r="AP1390" t="inlineStr">
        <is>
          <t>No</t>
        </is>
      </c>
      <c r="AQ1390" t="inlineStr">
        <is>
          <t>Yes</t>
        </is>
      </c>
      <c r="AR1390">
        <f>HYPERLINK("http://catalog.hathitrust.org/Record/000275472","HathiTrust Record")</f>
        <v/>
      </c>
      <c r="AS1390">
        <f>HYPERLINK("https://creighton-primo.hosted.exlibrisgroup.com/primo-explore/search?tab=default_tab&amp;search_scope=EVERYTHING&amp;vid=01CRU&amp;lang=en_US&amp;offset=0&amp;query=any,contains,991002795669702656","Catalog Record")</f>
        <v/>
      </c>
      <c r="AT1390">
        <f>HYPERLINK("http://www.worldcat.org/oclc/445159","WorldCat Record")</f>
        <v/>
      </c>
      <c r="AU1390" t="inlineStr">
        <is>
          <t>4575188015:eng</t>
        </is>
      </c>
      <c r="AV1390" t="inlineStr">
        <is>
          <t>445159</t>
        </is>
      </c>
      <c r="AW1390" t="inlineStr">
        <is>
          <t>991002795669702656</t>
        </is>
      </c>
      <c r="AX1390" t="inlineStr">
        <is>
          <t>991002795669702656</t>
        </is>
      </c>
      <c r="AY1390" t="inlineStr">
        <is>
          <t>2265545350002656</t>
        </is>
      </c>
      <c r="AZ1390" t="inlineStr">
        <is>
          <t>BOOK</t>
        </is>
      </c>
      <c r="BC1390" t="inlineStr">
        <is>
          <t>32285000333079</t>
        </is>
      </c>
      <c r="BD1390" t="inlineStr">
        <is>
          <t>893805045</t>
        </is>
      </c>
    </row>
    <row r="1391">
      <c r="A1391" t="inlineStr">
        <is>
          <t>No</t>
        </is>
      </c>
      <c r="B1391" t="inlineStr">
        <is>
          <t>E468 .C29</t>
        </is>
      </c>
      <c r="C1391" t="inlineStr">
        <is>
          <t>0                      E  0468000C  29</t>
        </is>
      </c>
      <c r="D1391" t="inlineStr">
        <is>
          <t>The centennial history of the Civil War / E. B. Long, director of research.</t>
        </is>
      </c>
      <c r="E1391" t="inlineStr">
        <is>
          <t>V.2</t>
        </is>
      </c>
      <c r="F1391" t="inlineStr">
        <is>
          <t>Yes</t>
        </is>
      </c>
      <c r="G1391" t="inlineStr">
        <is>
          <t>1</t>
        </is>
      </c>
      <c r="H1391" t="inlineStr">
        <is>
          <t>No</t>
        </is>
      </c>
      <c r="I1391" t="inlineStr">
        <is>
          <t>No</t>
        </is>
      </c>
      <c r="J1391" t="inlineStr">
        <is>
          <t>0</t>
        </is>
      </c>
      <c r="K1391" t="inlineStr">
        <is>
          <t>Catton, Bruce, 1899-1978.</t>
        </is>
      </c>
      <c r="L1391" t="inlineStr">
        <is>
          <t>Garden City, N.Y. : Doubleday, 1961-65.</t>
        </is>
      </c>
      <c r="M1391" t="inlineStr">
        <is>
          <t>1961</t>
        </is>
      </c>
      <c r="N1391" t="inlineStr">
        <is>
          <t>[1st ed.]</t>
        </is>
      </c>
      <c r="O1391" t="inlineStr">
        <is>
          <t>eng</t>
        </is>
      </c>
      <c r="P1391" t="inlineStr">
        <is>
          <t>nyu</t>
        </is>
      </c>
      <c r="R1391" t="inlineStr">
        <is>
          <t xml:space="preserve">E  </t>
        </is>
      </c>
      <c r="S1391" t="n">
        <v>2</v>
      </c>
      <c r="T1391" t="n">
        <v>5</v>
      </c>
      <c r="U1391" t="inlineStr">
        <is>
          <t>1994-05-24</t>
        </is>
      </c>
      <c r="V1391" t="inlineStr">
        <is>
          <t>1994-05-24</t>
        </is>
      </c>
      <c r="W1391" t="inlineStr">
        <is>
          <t>1990-10-05</t>
        </is>
      </c>
      <c r="X1391" t="inlineStr">
        <is>
          <t>1990-10-05</t>
        </is>
      </c>
      <c r="Y1391" t="n">
        <v>2902</v>
      </c>
      <c r="Z1391" t="n">
        <v>2784</v>
      </c>
      <c r="AA1391" t="n">
        <v>2909</v>
      </c>
      <c r="AB1391" t="n">
        <v>32</v>
      </c>
      <c r="AC1391" t="n">
        <v>32</v>
      </c>
      <c r="AD1391" t="n">
        <v>61</v>
      </c>
      <c r="AE1391" t="n">
        <v>62</v>
      </c>
      <c r="AF1391" t="n">
        <v>25</v>
      </c>
      <c r="AG1391" t="n">
        <v>26</v>
      </c>
      <c r="AH1391" t="n">
        <v>11</v>
      </c>
      <c r="AI1391" t="n">
        <v>11</v>
      </c>
      <c r="AJ1391" t="n">
        <v>25</v>
      </c>
      <c r="AK1391" t="n">
        <v>26</v>
      </c>
      <c r="AL1391" t="n">
        <v>13</v>
      </c>
      <c r="AM1391" t="n">
        <v>13</v>
      </c>
      <c r="AN1391" t="n">
        <v>0</v>
      </c>
      <c r="AO1391" t="n">
        <v>0</v>
      </c>
      <c r="AP1391" t="inlineStr">
        <is>
          <t>No</t>
        </is>
      </c>
      <c r="AQ1391" t="inlineStr">
        <is>
          <t>Yes</t>
        </is>
      </c>
      <c r="AR1391">
        <f>HYPERLINK("http://catalog.hathitrust.org/Record/000275472","HathiTrust Record")</f>
        <v/>
      </c>
      <c r="AS1391">
        <f>HYPERLINK("https://creighton-primo.hosted.exlibrisgroup.com/primo-explore/search?tab=default_tab&amp;search_scope=EVERYTHING&amp;vid=01CRU&amp;lang=en_US&amp;offset=0&amp;query=any,contains,991002795669702656","Catalog Record")</f>
        <v/>
      </c>
      <c r="AT1391">
        <f>HYPERLINK("http://www.worldcat.org/oclc/445159","WorldCat Record")</f>
        <v/>
      </c>
      <c r="AU1391" t="inlineStr">
        <is>
          <t>4575188015:eng</t>
        </is>
      </c>
      <c r="AV1391" t="inlineStr">
        <is>
          <t>445159</t>
        </is>
      </c>
      <c r="AW1391" t="inlineStr">
        <is>
          <t>991002795669702656</t>
        </is>
      </c>
      <c r="AX1391" t="inlineStr">
        <is>
          <t>991002795669702656</t>
        </is>
      </c>
      <c r="AY1391" t="inlineStr">
        <is>
          <t>2265545350002656</t>
        </is>
      </c>
      <c r="AZ1391" t="inlineStr">
        <is>
          <t>BOOK</t>
        </is>
      </c>
      <c r="BC1391" t="inlineStr">
        <is>
          <t>32285000333087</t>
        </is>
      </c>
      <c r="BD1391" t="inlineStr">
        <is>
          <t>893774032</t>
        </is>
      </c>
    </row>
    <row r="1392">
      <c r="A1392" t="inlineStr">
        <is>
          <t>No</t>
        </is>
      </c>
      <c r="B1392" t="inlineStr">
        <is>
          <t>E468 .C3</t>
        </is>
      </c>
      <c r="C1392" t="inlineStr">
        <is>
          <t>0                      E  0468000C  3</t>
        </is>
      </c>
      <c r="D1392" t="inlineStr">
        <is>
          <t>This hallowed ground : the story of the Union side of the Civil War.</t>
        </is>
      </c>
      <c r="F1392" t="inlineStr">
        <is>
          <t>No</t>
        </is>
      </c>
      <c r="G1392" t="inlineStr">
        <is>
          <t>1</t>
        </is>
      </c>
      <c r="H1392" t="inlineStr">
        <is>
          <t>No</t>
        </is>
      </c>
      <c r="I1392" t="inlineStr">
        <is>
          <t>No</t>
        </is>
      </c>
      <c r="J1392" t="inlineStr">
        <is>
          <t>0</t>
        </is>
      </c>
      <c r="K1392" t="inlineStr">
        <is>
          <t>Catton, Bruce, 1899-1978.</t>
        </is>
      </c>
      <c r="L1392" t="inlineStr">
        <is>
          <t>Garden City, N.Y. : Doubleday, 1956.</t>
        </is>
      </c>
      <c r="M1392" t="inlineStr">
        <is>
          <t>1956</t>
        </is>
      </c>
      <c r="N1392" t="inlineStr">
        <is>
          <t>[1st ed.]</t>
        </is>
      </c>
      <c r="O1392" t="inlineStr">
        <is>
          <t>eng</t>
        </is>
      </c>
      <c r="P1392" t="inlineStr">
        <is>
          <t>nyu</t>
        </is>
      </c>
      <c r="Q1392" t="inlineStr">
        <is>
          <t>Mainstream of America series</t>
        </is>
      </c>
      <c r="R1392" t="inlineStr">
        <is>
          <t xml:space="preserve">E  </t>
        </is>
      </c>
      <c r="S1392" t="n">
        <v>3</v>
      </c>
      <c r="T1392" t="n">
        <v>3</v>
      </c>
      <c r="U1392" t="inlineStr">
        <is>
          <t>1994-08-31</t>
        </is>
      </c>
      <c r="V1392" t="inlineStr">
        <is>
          <t>1994-08-31</t>
        </is>
      </c>
      <c r="W1392" t="inlineStr">
        <is>
          <t>1990-10-05</t>
        </is>
      </c>
      <c r="X1392" t="inlineStr">
        <is>
          <t>1990-10-05</t>
        </is>
      </c>
      <c r="Y1392" t="n">
        <v>3101</v>
      </c>
      <c r="Z1392" t="n">
        <v>2975</v>
      </c>
      <c r="AA1392" t="n">
        <v>3285</v>
      </c>
      <c r="AB1392" t="n">
        <v>28</v>
      </c>
      <c r="AC1392" t="n">
        <v>30</v>
      </c>
      <c r="AD1392" t="n">
        <v>60</v>
      </c>
      <c r="AE1392" t="n">
        <v>60</v>
      </c>
      <c r="AF1392" t="n">
        <v>25</v>
      </c>
      <c r="AG1392" t="n">
        <v>25</v>
      </c>
      <c r="AH1392" t="n">
        <v>11</v>
      </c>
      <c r="AI1392" t="n">
        <v>11</v>
      </c>
      <c r="AJ1392" t="n">
        <v>26</v>
      </c>
      <c r="AK1392" t="n">
        <v>26</v>
      </c>
      <c r="AL1392" t="n">
        <v>11</v>
      </c>
      <c r="AM1392" t="n">
        <v>11</v>
      </c>
      <c r="AN1392" t="n">
        <v>1</v>
      </c>
      <c r="AO1392" t="n">
        <v>1</v>
      </c>
      <c r="AP1392" t="inlineStr">
        <is>
          <t>No</t>
        </is>
      </c>
      <c r="AQ1392" t="inlineStr">
        <is>
          <t>Yes</t>
        </is>
      </c>
      <c r="AR1392">
        <f>HYPERLINK("http://catalog.hathitrust.org/Record/000355342","HathiTrust Record")</f>
        <v/>
      </c>
      <c r="AS1392">
        <f>HYPERLINK("https://creighton-primo.hosted.exlibrisgroup.com/primo-explore/search?tab=default_tab&amp;search_scope=EVERYTHING&amp;vid=01CRU&amp;lang=en_US&amp;offset=0&amp;query=any,contains,991003425699702656","Catalog Record")</f>
        <v/>
      </c>
      <c r="AT1392">
        <f>HYPERLINK("http://www.worldcat.org/oclc/964545","WorldCat Record")</f>
        <v/>
      </c>
      <c r="AU1392" t="inlineStr">
        <is>
          <t>49056540:eng</t>
        </is>
      </c>
      <c r="AV1392" t="inlineStr">
        <is>
          <t>964545</t>
        </is>
      </c>
      <c r="AW1392" t="inlineStr">
        <is>
          <t>991003425699702656</t>
        </is>
      </c>
      <c r="AX1392" t="inlineStr">
        <is>
          <t>991003425699702656</t>
        </is>
      </c>
      <c r="AY1392" t="inlineStr">
        <is>
          <t>2261689960002656</t>
        </is>
      </c>
      <c r="AZ1392" t="inlineStr">
        <is>
          <t>BOOK</t>
        </is>
      </c>
      <c r="BC1392" t="inlineStr">
        <is>
          <t>32285000333061</t>
        </is>
      </c>
      <c r="BD1392" t="inlineStr">
        <is>
          <t>893799703</t>
        </is>
      </c>
    </row>
    <row r="1393">
      <c r="A1393" t="inlineStr">
        <is>
          <t>No</t>
        </is>
      </c>
      <c r="B1393" t="inlineStr">
        <is>
          <t>E468 .C58 1994</t>
        </is>
      </c>
      <c r="C1393" t="inlineStr">
        <is>
          <t>0                      E  0468000C  58          1994</t>
        </is>
      </c>
      <c r="D1393" t="inlineStr">
        <is>
          <t>The Civil War era : historical viewpoints / [compiled by] Eugene H. Berwanger.</t>
        </is>
      </c>
      <c r="F1393" t="inlineStr">
        <is>
          <t>No</t>
        </is>
      </c>
      <c r="G1393" t="inlineStr">
        <is>
          <t>1</t>
        </is>
      </c>
      <c r="H1393" t="inlineStr">
        <is>
          <t>No</t>
        </is>
      </c>
      <c r="I1393" t="inlineStr">
        <is>
          <t>No</t>
        </is>
      </c>
      <c r="J1393" t="inlineStr">
        <is>
          <t>0</t>
        </is>
      </c>
      <c r="L1393" t="inlineStr">
        <is>
          <t>Fort Worth : Harcourt Brace College Publishers, c1994.</t>
        </is>
      </c>
      <c r="M1393" t="inlineStr">
        <is>
          <t>1994</t>
        </is>
      </c>
      <c r="O1393" t="inlineStr">
        <is>
          <t>eng</t>
        </is>
      </c>
      <c r="P1393" t="inlineStr">
        <is>
          <t>txu</t>
        </is>
      </c>
      <c r="R1393" t="inlineStr">
        <is>
          <t xml:space="preserve">E  </t>
        </is>
      </c>
      <c r="S1393" t="n">
        <v>17</v>
      </c>
      <c r="T1393" t="n">
        <v>17</v>
      </c>
      <c r="U1393" t="inlineStr">
        <is>
          <t>2004-12-15</t>
        </is>
      </c>
      <c r="V1393" t="inlineStr">
        <is>
          <t>2004-12-15</t>
        </is>
      </c>
      <c r="W1393" t="inlineStr">
        <is>
          <t>1994-06-20</t>
        </is>
      </c>
      <c r="X1393" t="inlineStr">
        <is>
          <t>1994-06-20</t>
        </is>
      </c>
      <c r="Y1393" t="n">
        <v>99</v>
      </c>
      <c r="Z1393" t="n">
        <v>79</v>
      </c>
      <c r="AA1393" t="n">
        <v>80</v>
      </c>
      <c r="AB1393" t="n">
        <v>1</v>
      </c>
      <c r="AC1393" t="n">
        <v>1</v>
      </c>
      <c r="AD1393" t="n">
        <v>3</v>
      </c>
      <c r="AE1393" t="n">
        <v>3</v>
      </c>
      <c r="AF1393" t="n">
        <v>1</v>
      </c>
      <c r="AG1393" t="n">
        <v>1</v>
      </c>
      <c r="AH1393" t="n">
        <v>2</v>
      </c>
      <c r="AI1393" t="n">
        <v>2</v>
      </c>
      <c r="AJ1393" t="n">
        <v>2</v>
      </c>
      <c r="AK1393" t="n">
        <v>2</v>
      </c>
      <c r="AL1393" t="n">
        <v>0</v>
      </c>
      <c r="AM1393" t="n">
        <v>0</v>
      </c>
      <c r="AN1393" t="n">
        <v>0</v>
      </c>
      <c r="AO1393" t="n">
        <v>0</v>
      </c>
      <c r="AP1393" t="inlineStr">
        <is>
          <t>No</t>
        </is>
      </c>
      <c r="AQ1393" t="inlineStr">
        <is>
          <t>No</t>
        </is>
      </c>
      <c r="AS1393">
        <f>HYPERLINK("https://creighton-primo.hosted.exlibrisgroup.com/primo-explore/search?tab=default_tab&amp;search_scope=EVERYTHING&amp;vid=01CRU&amp;lang=en_US&amp;offset=0&amp;query=any,contains,991002294549702656","Catalog Record")</f>
        <v/>
      </c>
      <c r="AT1393">
        <f>HYPERLINK("http://www.worldcat.org/oclc/29763956","WorldCat Record")</f>
        <v/>
      </c>
      <c r="AU1393" t="inlineStr">
        <is>
          <t>796458890:eng</t>
        </is>
      </c>
      <c r="AV1393" t="inlineStr">
        <is>
          <t>29763956</t>
        </is>
      </c>
      <c r="AW1393" t="inlineStr">
        <is>
          <t>991002294549702656</t>
        </is>
      </c>
      <c r="AX1393" t="inlineStr">
        <is>
          <t>991002294549702656</t>
        </is>
      </c>
      <c r="AY1393" t="inlineStr">
        <is>
          <t>2261032780002656</t>
        </is>
      </c>
      <c r="AZ1393" t="inlineStr">
        <is>
          <t>BOOK</t>
        </is>
      </c>
      <c r="BB1393" t="inlineStr">
        <is>
          <t>9780155010390</t>
        </is>
      </c>
      <c r="BC1393" t="inlineStr">
        <is>
          <t>32285001923233</t>
        </is>
      </c>
      <c r="BD1393" t="inlineStr">
        <is>
          <t>893609697</t>
        </is>
      </c>
    </row>
    <row r="1394">
      <c r="A1394" t="inlineStr">
        <is>
          <t>No</t>
        </is>
      </c>
      <c r="B1394" t="inlineStr">
        <is>
          <t>E468 .L45 1990</t>
        </is>
      </c>
      <c r="C1394" t="inlineStr">
        <is>
          <t>0                      E  0468000L  45          1990</t>
        </is>
      </c>
      <c r="D1394" t="inlineStr">
        <is>
          <t>None died in vain : the saga of the American Civil War / Robert Leckie.</t>
        </is>
      </c>
      <c r="F1394" t="inlineStr">
        <is>
          <t>No</t>
        </is>
      </c>
      <c r="G1394" t="inlineStr">
        <is>
          <t>1</t>
        </is>
      </c>
      <c r="H1394" t="inlineStr">
        <is>
          <t>No</t>
        </is>
      </c>
      <c r="I1394" t="inlineStr">
        <is>
          <t>No</t>
        </is>
      </c>
      <c r="J1394" t="inlineStr">
        <is>
          <t>0</t>
        </is>
      </c>
      <c r="K1394" t="inlineStr">
        <is>
          <t>Leckie, Robert, 1920-2001.</t>
        </is>
      </c>
      <c r="L1394" t="inlineStr">
        <is>
          <t>New York : HarperCollins, 1990.</t>
        </is>
      </c>
      <c r="M1394" t="inlineStr">
        <is>
          <t>1990</t>
        </is>
      </c>
      <c r="N1394" t="inlineStr">
        <is>
          <t>1st ed.</t>
        </is>
      </c>
      <c r="O1394" t="inlineStr">
        <is>
          <t>eng</t>
        </is>
      </c>
      <c r="P1394" t="inlineStr">
        <is>
          <t>nyu</t>
        </is>
      </c>
      <c r="R1394" t="inlineStr">
        <is>
          <t xml:space="preserve">E  </t>
        </is>
      </c>
      <c r="S1394" t="n">
        <v>3</v>
      </c>
      <c r="T1394" t="n">
        <v>3</v>
      </c>
      <c r="U1394" t="inlineStr">
        <is>
          <t>2001-10-01</t>
        </is>
      </c>
      <c r="V1394" t="inlineStr">
        <is>
          <t>2001-10-01</t>
        </is>
      </c>
      <c r="W1394" t="inlineStr">
        <is>
          <t>1991-06-18</t>
        </is>
      </c>
      <c r="X1394" t="inlineStr">
        <is>
          <t>1991-06-18</t>
        </is>
      </c>
      <c r="Y1394" t="n">
        <v>809</v>
      </c>
      <c r="Z1394" t="n">
        <v>782</v>
      </c>
      <c r="AA1394" t="n">
        <v>928</v>
      </c>
      <c r="AB1394" t="n">
        <v>4</v>
      </c>
      <c r="AC1394" t="n">
        <v>5</v>
      </c>
      <c r="AD1394" t="n">
        <v>15</v>
      </c>
      <c r="AE1394" t="n">
        <v>19</v>
      </c>
      <c r="AF1394" t="n">
        <v>4</v>
      </c>
      <c r="AG1394" t="n">
        <v>7</v>
      </c>
      <c r="AH1394" t="n">
        <v>4</v>
      </c>
      <c r="AI1394" t="n">
        <v>4</v>
      </c>
      <c r="AJ1394" t="n">
        <v>9</v>
      </c>
      <c r="AK1394" t="n">
        <v>11</v>
      </c>
      <c r="AL1394" t="n">
        <v>1</v>
      </c>
      <c r="AM1394" t="n">
        <v>1</v>
      </c>
      <c r="AN1394" t="n">
        <v>0</v>
      </c>
      <c r="AO1394" t="n">
        <v>0</v>
      </c>
      <c r="AP1394" t="inlineStr">
        <is>
          <t>No</t>
        </is>
      </c>
      <c r="AQ1394" t="inlineStr">
        <is>
          <t>Yes</t>
        </is>
      </c>
      <c r="AR1394">
        <f>HYPERLINK("http://catalog.hathitrust.org/Record/002208420","HathiTrust Record")</f>
        <v/>
      </c>
      <c r="AS1394">
        <f>HYPERLINK("https://creighton-primo.hosted.exlibrisgroup.com/primo-explore/search?tab=default_tab&amp;search_scope=EVERYTHING&amp;vid=01CRU&amp;lang=en_US&amp;offset=0&amp;query=any,contains,991001540869702656","Catalog Record")</f>
        <v/>
      </c>
      <c r="AT1394">
        <f>HYPERLINK("http://www.worldcat.org/oclc/20130270","WorldCat Record")</f>
        <v/>
      </c>
      <c r="AU1394" t="inlineStr">
        <is>
          <t>256725727:eng</t>
        </is>
      </c>
      <c r="AV1394" t="inlineStr">
        <is>
          <t>20130270</t>
        </is>
      </c>
      <c r="AW1394" t="inlineStr">
        <is>
          <t>991001540869702656</t>
        </is>
      </c>
      <c r="AX1394" t="inlineStr">
        <is>
          <t>991001540869702656</t>
        </is>
      </c>
      <c r="AY1394" t="inlineStr">
        <is>
          <t>2263713850002656</t>
        </is>
      </c>
      <c r="AZ1394" t="inlineStr">
        <is>
          <t>BOOK</t>
        </is>
      </c>
      <c r="BB1394" t="inlineStr">
        <is>
          <t>9780060162801</t>
        </is>
      </c>
      <c r="BC1394" t="inlineStr">
        <is>
          <t>32285000656552</t>
        </is>
      </c>
      <c r="BD1394" t="inlineStr">
        <is>
          <t>893885350</t>
        </is>
      </c>
    </row>
    <row r="1395">
      <c r="A1395" t="inlineStr">
        <is>
          <t>No</t>
        </is>
      </c>
      <c r="B1395" t="inlineStr">
        <is>
          <t>E468 .P27</t>
        </is>
      </c>
      <c r="C1395" t="inlineStr">
        <is>
          <t>0                      E  0468000P  27</t>
        </is>
      </c>
      <c r="D1395" t="inlineStr">
        <is>
          <t>The American Civil War / Peter J. Parish.</t>
        </is>
      </c>
      <c r="F1395" t="inlineStr">
        <is>
          <t>No</t>
        </is>
      </c>
      <c r="G1395" t="inlineStr">
        <is>
          <t>1</t>
        </is>
      </c>
      <c r="H1395" t="inlineStr">
        <is>
          <t>No</t>
        </is>
      </c>
      <c r="I1395" t="inlineStr">
        <is>
          <t>No</t>
        </is>
      </c>
      <c r="J1395" t="inlineStr">
        <is>
          <t>0</t>
        </is>
      </c>
      <c r="K1395" t="inlineStr">
        <is>
          <t>Parish, Peter J.</t>
        </is>
      </c>
      <c r="L1395" t="inlineStr">
        <is>
          <t>New York : Holmes &amp; Meier Publishers, 1975.</t>
        </is>
      </c>
      <c r="M1395" t="inlineStr">
        <is>
          <t>1975</t>
        </is>
      </c>
      <c r="O1395" t="inlineStr">
        <is>
          <t>eng</t>
        </is>
      </c>
      <c r="P1395" t="inlineStr">
        <is>
          <t>nyu</t>
        </is>
      </c>
      <c r="R1395" t="inlineStr">
        <is>
          <t xml:space="preserve">E  </t>
        </is>
      </c>
      <c r="S1395" t="n">
        <v>7</v>
      </c>
      <c r="T1395" t="n">
        <v>7</v>
      </c>
      <c r="U1395" t="inlineStr">
        <is>
          <t>2001-04-03</t>
        </is>
      </c>
      <c r="V1395" t="inlineStr">
        <is>
          <t>2001-04-03</t>
        </is>
      </c>
      <c r="W1395" t="inlineStr">
        <is>
          <t>1990-10-08</t>
        </is>
      </c>
      <c r="X1395" t="inlineStr">
        <is>
          <t>1990-10-08</t>
        </is>
      </c>
      <c r="Y1395" t="n">
        <v>1097</v>
      </c>
      <c r="Z1395" t="n">
        <v>991</v>
      </c>
      <c r="AA1395" t="n">
        <v>1030</v>
      </c>
      <c r="AB1395" t="n">
        <v>6</v>
      </c>
      <c r="AC1395" t="n">
        <v>8</v>
      </c>
      <c r="AD1395" t="n">
        <v>35</v>
      </c>
      <c r="AE1395" t="n">
        <v>39</v>
      </c>
      <c r="AF1395" t="n">
        <v>20</v>
      </c>
      <c r="AG1395" t="n">
        <v>20</v>
      </c>
      <c r="AH1395" t="n">
        <v>6</v>
      </c>
      <c r="AI1395" t="n">
        <v>7</v>
      </c>
      <c r="AJ1395" t="n">
        <v>14</v>
      </c>
      <c r="AK1395" t="n">
        <v>16</v>
      </c>
      <c r="AL1395" t="n">
        <v>5</v>
      </c>
      <c r="AM1395" t="n">
        <v>7</v>
      </c>
      <c r="AN1395" t="n">
        <v>0</v>
      </c>
      <c r="AO1395" t="n">
        <v>0</v>
      </c>
      <c r="AP1395" t="inlineStr">
        <is>
          <t>No</t>
        </is>
      </c>
      <c r="AQ1395" t="inlineStr">
        <is>
          <t>Yes</t>
        </is>
      </c>
      <c r="AR1395">
        <f>HYPERLINK("http://catalog.hathitrust.org/Record/000022418","HathiTrust Record")</f>
        <v/>
      </c>
      <c r="AS1395">
        <f>HYPERLINK("https://creighton-primo.hosted.exlibrisgroup.com/primo-explore/search?tab=default_tab&amp;search_scope=EVERYTHING&amp;vid=01CRU&amp;lang=en_US&amp;offset=0&amp;query=any,contains,991003502519702656","Catalog Record")</f>
        <v/>
      </c>
      <c r="AT1395">
        <f>HYPERLINK("http://www.worldcat.org/oclc/1054524","WorldCat Record")</f>
        <v/>
      </c>
      <c r="AU1395" t="inlineStr">
        <is>
          <t>505454:eng</t>
        </is>
      </c>
      <c r="AV1395" t="inlineStr">
        <is>
          <t>1054524</t>
        </is>
      </c>
      <c r="AW1395" t="inlineStr">
        <is>
          <t>991003502519702656</t>
        </is>
      </c>
      <c r="AX1395" t="inlineStr">
        <is>
          <t>991003502519702656</t>
        </is>
      </c>
      <c r="AY1395" t="inlineStr">
        <is>
          <t>2269235140002656</t>
        </is>
      </c>
      <c r="AZ1395" t="inlineStr">
        <is>
          <t>BOOK</t>
        </is>
      </c>
      <c r="BB1395" t="inlineStr">
        <is>
          <t>9780841901766</t>
        </is>
      </c>
      <c r="BC1395" t="inlineStr">
        <is>
          <t>32285000334234</t>
        </is>
      </c>
      <c r="BD1395" t="inlineStr">
        <is>
          <t>893611111</t>
        </is>
      </c>
    </row>
    <row r="1396">
      <c r="A1396" t="inlineStr">
        <is>
          <t>No</t>
        </is>
      </c>
      <c r="B1396" t="inlineStr">
        <is>
          <t>E468 .R47</t>
        </is>
      </c>
      <c r="C1396" t="inlineStr">
        <is>
          <t>0                      E  0468000R  47</t>
        </is>
      </c>
      <c r="D1396" t="inlineStr">
        <is>
          <t>History of the Civil War, 1861-1865 / by James Ford Rhodes.</t>
        </is>
      </c>
      <c r="F1396" t="inlineStr">
        <is>
          <t>No</t>
        </is>
      </c>
      <c r="G1396" t="inlineStr">
        <is>
          <t>1</t>
        </is>
      </c>
      <c r="H1396" t="inlineStr">
        <is>
          <t>No</t>
        </is>
      </c>
      <c r="I1396" t="inlineStr">
        <is>
          <t>No</t>
        </is>
      </c>
      <c r="J1396" t="inlineStr">
        <is>
          <t>0</t>
        </is>
      </c>
      <c r="K1396" t="inlineStr">
        <is>
          <t>Rhodes, James Ford, 1848-1927.</t>
        </is>
      </c>
      <c r="L1396" t="inlineStr">
        <is>
          <t>New York : The Macmillan Company, 1917.</t>
        </is>
      </c>
      <c r="M1396" t="inlineStr">
        <is>
          <t>1917</t>
        </is>
      </c>
      <c r="O1396" t="inlineStr">
        <is>
          <t>eng</t>
        </is>
      </c>
      <c r="P1396" t="inlineStr">
        <is>
          <t>nyu</t>
        </is>
      </c>
      <c r="R1396" t="inlineStr">
        <is>
          <t xml:space="preserve">E  </t>
        </is>
      </c>
      <c r="S1396" t="n">
        <v>6</v>
      </c>
      <c r="T1396" t="n">
        <v>6</v>
      </c>
      <c r="U1396" t="inlineStr">
        <is>
          <t>1995-01-31</t>
        </is>
      </c>
      <c r="V1396" t="inlineStr">
        <is>
          <t>1995-01-31</t>
        </is>
      </c>
      <c r="W1396" t="inlineStr">
        <is>
          <t>1992-11-16</t>
        </is>
      </c>
      <c r="X1396" t="inlineStr">
        <is>
          <t>1992-11-16</t>
        </is>
      </c>
      <c r="Y1396" t="n">
        <v>432</v>
      </c>
      <c r="Z1396" t="n">
        <v>386</v>
      </c>
      <c r="AA1396" t="n">
        <v>1146</v>
      </c>
      <c r="AB1396" t="n">
        <v>4</v>
      </c>
      <c r="AC1396" t="n">
        <v>7</v>
      </c>
      <c r="AD1396" t="n">
        <v>13</v>
      </c>
      <c r="AE1396" t="n">
        <v>45</v>
      </c>
      <c r="AF1396" t="n">
        <v>8</v>
      </c>
      <c r="AG1396" t="n">
        <v>18</v>
      </c>
      <c r="AH1396" t="n">
        <v>1</v>
      </c>
      <c r="AI1396" t="n">
        <v>8</v>
      </c>
      <c r="AJ1396" t="n">
        <v>5</v>
      </c>
      <c r="AK1396" t="n">
        <v>19</v>
      </c>
      <c r="AL1396" t="n">
        <v>3</v>
      </c>
      <c r="AM1396" t="n">
        <v>5</v>
      </c>
      <c r="AN1396" t="n">
        <v>0</v>
      </c>
      <c r="AO1396" t="n">
        <v>5</v>
      </c>
      <c r="AP1396" t="inlineStr">
        <is>
          <t>Yes</t>
        </is>
      </c>
      <c r="AQ1396" t="inlineStr">
        <is>
          <t>No</t>
        </is>
      </c>
      <c r="AR1396">
        <f>HYPERLINK("http://catalog.hathitrust.org/Record/000604098","HathiTrust Record")</f>
        <v/>
      </c>
      <c r="AS1396">
        <f>HYPERLINK("https://creighton-primo.hosted.exlibrisgroup.com/primo-explore/search?tab=default_tab&amp;search_scope=EVERYTHING&amp;vid=01CRU&amp;lang=en_US&amp;offset=0&amp;query=any,contains,991003822399702656","Catalog Record")</f>
        <v/>
      </c>
      <c r="AT1396">
        <f>HYPERLINK("http://www.worldcat.org/oclc/1562261","WorldCat Record")</f>
        <v/>
      </c>
      <c r="AU1396" t="inlineStr">
        <is>
          <t>959374:eng</t>
        </is>
      </c>
      <c r="AV1396" t="inlineStr">
        <is>
          <t>1562261</t>
        </is>
      </c>
      <c r="AW1396" t="inlineStr">
        <is>
          <t>991003822399702656</t>
        </is>
      </c>
      <c r="AX1396" t="inlineStr">
        <is>
          <t>991003822399702656</t>
        </is>
      </c>
      <c r="AY1396" t="inlineStr">
        <is>
          <t>2263825740002656</t>
        </is>
      </c>
      <c r="AZ1396" t="inlineStr">
        <is>
          <t>BOOK</t>
        </is>
      </c>
      <c r="BC1396" t="inlineStr">
        <is>
          <t>32285001364420</t>
        </is>
      </c>
      <c r="BD1396" t="inlineStr">
        <is>
          <t>893868914</t>
        </is>
      </c>
    </row>
    <row r="1397">
      <c r="A1397" t="inlineStr">
        <is>
          <t>No</t>
        </is>
      </c>
      <c r="B1397" t="inlineStr">
        <is>
          <t>E468 .S64 1982</t>
        </is>
      </c>
      <c r="C1397" t="inlineStr">
        <is>
          <t>0                      E  0468000S  64          1982</t>
        </is>
      </c>
      <c r="D1397" t="inlineStr">
        <is>
          <t>Trial by fire : a people's history of the Civil War and Reconstruction / Page Smith.</t>
        </is>
      </c>
      <c r="F1397" t="inlineStr">
        <is>
          <t>No</t>
        </is>
      </c>
      <c r="G1397" t="inlineStr">
        <is>
          <t>1</t>
        </is>
      </c>
      <c r="H1397" t="inlineStr">
        <is>
          <t>No</t>
        </is>
      </c>
      <c r="I1397" t="inlineStr">
        <is>
          <t>No</t>
        </is>
      </c>
      <c r="J1397" t="inlineStr">
        <is>
          <t>0</t>
        </is>
      </c>
      <c r="K1397" t="inlineStr">
        <is>
          <t>Smith, Page.</t>
        </is>
      </c>
      <c r="L1397" t="inlineStr">
        <is>
          <t>New York : McGraw-Hill, c1982.</t>
        </is>
      </c>
      <c r="M1397" t="inlineStr">
        <is>
          <t>1982</t>
        </is>
      </c>
      <c r="O1397" t="inlineStr">
        <is>
          <t>eng</t>
        </is>
      </c>
      <c r="P1397" t="inlineStr">
        <is>
          <t>nyu</t>
        </is>
      </c>
      <c r="R1397" t="inlineStr">
        <is>
          <t xml:space="preserve">E  </t>
        </is>
      </c>
      <c r="S1397" t="n">
        <v>2</v>
      </c>
      <c r="T1397" t="n">
        <v>2</v>
      </c>
      <c r="U1397" t="inlineStr">
        <is>
          <t>1996-12-11</t>
        </is>
      </c>
      <c r="V1397" t="inlineStr">
        <is>
          <t>1996-12-11</t>
        </is>
      </c>
      <c r="W1397" t="inlineStr">
        <is>
          <t>1990-06-06</t>
        </is>
      </c>
      <c r="X1397" t="inlineStr">
        <is>
          <t>1990-06-06</t>
        </is>
      </c>
      <c r="Y1397" t="n">
        <v>1773</v>
      </c>
      <c r="Z1397" t="n">
        <v>1718</v>
      </c>
      <c r="AA1397" t="n">
        <v>1802</v>
      </c>
      <c r="AB1397" t="n">
        <v>13</v>
      </c>
      <c r="AC1397" t="n">
        <v>14</v>
      </c>
      <c r="AD1397" t="n">
        <v>42</v>
      </c>
      <c r="AE1397" t="n">
        <v>43</v>
      </c>
      <c r="AF1397" t="n">
        <v>17</v>
      </c>
      <c r="AG1397" t="n">
        <v>17</v>
      </c>
      <c r="AH1397" t="n">
        <v>8</v>
      </c>
      <c r="AI1397" t="n">
        <v>8</v>
      </c>
      <c r="AJ1397" t="n">
        <v>22</v>
      </c>
      <c r="AK1397" t="n">
        <v>22</v>
      </c>
      <c r="AL1397" t="n">
        <v>5</v>
      </c>
      <c r="AM1397" t="n">
        <v>6</v>
      </c>
      <c r="AN1397" t="n">
        <v>1</v>
      </c>
      <c r="AO1397" t="n">
        <v>1</v>
      </c>
      <c r="AP1397" t="inlineStr">
        <is>
          <t>No</t>
        </is>
      </c>
      <c r="AQ1397" t="inlineStr">
        <is>
          <t>Yes</t>
        </is>
      </c>
      <c r="AR1397">
        <f>HYPERLINK("http://catalog.hathitrust.org/Record/000231759","HathiTrust Record")</f>
        <v/>
      </c>
      <c r="AS1397">
        <f>HYPERLINK("https://creighton-primo.hosted.exlibrisgroup.com/primo-explore/search?tab=default_tab&amp;search_scope=EVERYTHING&amp;vid=01CRU&amp;lang=en_US&amp;offset=0&amp;query=any,contains,991005177139702656","Catalog Record")</f>
        <v/>
      </c>
      <c r="AT1397">
        <f>HYPERLINK("http://www.worldcat.org/oclc/7924524","WorldCat Record")</f>
        <v/>
      </c>
      <c r="AU1397" t="inlineStr">
        <is>
          <t>406475:eng</t>
        </is>
      </c>
      <c r="AV1397" t="inlineStr">
        <is>
          <t>7924524</t>
        </is>
      </c>
      <c r="AW1397" t="inlineStr">
        <is>
          <t>991005177139702656</t>
        </is>
      </c>
      <c r="AX1397" t="inlineStr">
        <is>
          <t>991005177139702656</t>
        </is>
      </c>
      <c r="AY1397" t="inlineStr">
        <is>
          <t>2270867540002656</t>
        </is>
      </c>
      <c r="AZ1397" t="inlineStr">
        <is>
          <t>BOOK</t>
        </is>
      </c>
      <c r="BB1397" t="inlineStr">
        <is>
          <t>9780070585713</t>
        </is>
      </c>
      <c r="BC1397" t="inlineStr">
        <is>
          <t>32285000182377</t>
        </is>
      </c>
      <c r="BD1397" t="inlineStr">
        <is>
          <t>893688720</t>
        </is>
      </c>
    </row>
    <row r="1398">
      <c r="A1398" t="inlineStr">
        <is>
          <t>No</t>
        </is>
      </c>
      <c r="B1398" t="inlineStr">
        <is>
          <t>E468.7 .A58</t>
        </is>
      </c>
      <c r="C1398" t="inlineStr">
        <is>
          <t>0                      E  0468700A  58</t>
        </is>
      </c>
      <c r="D1398" t="inlineStr">
        <is>
          <t>The American heritage century collection of Civil War art. Editor: Stephen W. Sears. Foreword: Bruce Catton.</t>
        </is>
      </c>
      <c r="F1398" t="inlineStr">
        <is>
          <t>No</t>
        </is>
      </c>
      <c r="G1398" t="inlineStr">
        <is>
          <t>1</t>
        </is>
      </c>
      <c r="H1398" t="inlineStr">
        <is>
          <t>No</t>
        </is>
      </c>
      <c r="I1398" t="inlineStr">
        <is>
          <t>No</t>
        </is>
      </c>
      <c r="J1398" t="inlineStr">
        <is>
          <t>0</t>
        </is>
      </c>
      <c r="L1398" t="inlineStr">
        <is>
          <t>New York, American Heritage Pub. Co.; book trade distribution by McGraw-Hill [1974]</t>
        </is>
      </c>
      <c r="M1398" t="inlineStr">
        <is>
          <t>1974</t>
        </is>
      </c>
      <c r="O1398" t="inlineStr">
        <is>
          <t>eng</t>
        </is>
      </c>
      <c r="P1398" t="inlineStr">
        <is>
          <t>nyu</t>
        </is>
      </c>
      <c r="R1398" t="inlineStr">
        <is>
          <t xml:space="preserve">E  </t>
        </is>
      </c>
      <c r="S1398" t="n">
        <v>2</v>
      </c>
      <c r="T1398" t="n">
        <v>2</v>
      </c>
      <c r="U1398" t="inlineStr">
        <is>
          <t>2002-03-14</t>
        </is>
      </c>
      <c r="V1398" t="inlineStr">
        <is>
          <t>2002-03-14</t>
        </is>
      </c>
      <c r="W1398" t="inlineStr">
        <is>
          <t>1997-04-18</t>
        </is>
      </c>
      <c r="X1398" t="inlineStr">
        <is>
          <t>1997-04-18</t>
        </is>
      </c>
      <c r="Y1398" t="n">
        <v>1316</v>
      </c>
      <c r="Z1398" t="n">
        <v>1282</v>
      </c>
      <c r="AA1398" t="n">
        <v>1421</v>
      </c>
      <c r="AB1398" t="n">
        <v>9</v>
      </c>
      <c r="AC1398" t="n">
        <v>10</v>
      </c>
      <c r="AD1398" t="n">
        <v>33</v>
      </c>
      <c r="AE1398" t="n">
        <v>35</v>
      </c>
      <c r="AF1398" t="n">
        <v>14</v>
      </c>
      <c r="AG1398" t="n">
        <v>15</v>
      </c>
      <c r="AH1398" t="n">
        <v>6</v>
      </c>
      <c r="AI1398" t="n">
        <v>6</v>
      </c>
      <c r="AJ1398" t="n">
        <v>12</v>
      </c>
      <c r="AK1398" t="n">
        <v>13</v>
      </c>
      <c r="AL1398" t="n">
        <v>7</v>
      </c>
      <c r="AM1398" t="n">
        <v>7</v>
      </c>
      <c r="AN1398" t="n">
        <v>0</v>
      </c>
      <c r="AO1398" t="n">
        <v>0</v>
      </c>
      <c r="AP1398" t="inlineStr">
        <is>
          <t>No</t>
        </is>
      </c>
      <c r="AQ1398" t="inlineStr">
        <is>
          <t>No</t>
        </is>
      </c>
      <c r="AS1398">
        <f>HYPERLINK("https://creighton-primo.hosted.exlibrisgroup.com/primo-explore/search?tab=default_tab&amp;search_scope=EVERYTHING&amp;vid=01CRU&amp;lang=en_US&amp;offset=0&amp;query=any,contains,991003419099702656","Catalog Record")</f>
        <v/>
      </c>
      <c r="AT1398">
        <f>HYPERLINK("http://www.worldcat.org/oclc/960143","WorldCat Record")</f>
        <v/>
      </c>
      <c r="AU1398" t="inlineStr">
        <is>
          <t>54016371:eng</t>
        </is>
      </c>
      <c r="AV1398" t="inlineStr">
        <is>
          <t>960143</t>
        </is>
      </c>
      <c r="AW1398" t="inlineStr">
        <is>
          <t>991003419099702656</t>
        </is>
      </c>
      <c r="AX1398" t="inlineStr">
        <is>
          <t>991003419099702656</t>
        </is>
      </c>
      <c r="AY1398" t="inlineStr">
        <is>
          <t>2259078480002656</t>
        </is>
      </c>
      <c r="AZ1398" t="inlineStr">
        <is>
          <t>BOOK</t>
        </is>
      </c>
      <c r="BB1398" t="inlineStr">
        <is>
          <t>9780070102675</t>
        </is>
      </c>
      <c r="BC1398" t="inlineStr">
        <is>
          <t>32285002555406</t>
        </is>
      </c>
      <c r="BD1398" t="inlineStr">
        <is>
          <t>893623459</t>
        </is>
      </c>
    </row>
    <row r="1399">
      <c r="A1399" t="inlineStr">
        <is>
          <t>No</t>
        </is>
      </c>
      <c r="B1399" t="inlineStr">
        <is>
          <t>E468.7 .A6</t>
        </is>
      </c>
      <c r="C1399" t="inlineStr">
        <is>
          <t>0                      E  0468700A  6</t>
        </is>
      </c>
      <c r="D1399" t="inlineStr">
        <is>
          <t>The American heritage picture history of the Civil War / by the editors of American heritage, the magazine of history. Editor in charge: Richard M. Ketchum. Narrative by Bruce Catton.</t>
        </is>
      </c>
      <c r="F1399" t="inlineStr">
        <is>
          <t>No</t>
        </is>
      </c>
      <c r="G1399" t="inlineStr">
        <is>
          <t>1</t>
        </is>
      </c>
      <c r="H1399" t="inlineStr">
        <is>
          <t>No</t>
        </is>
      </c>
      <c r="I1399" t="inlineStr">
        <is>
          <t>No</t>
        </is>
      </c>
      <c r="J1399" t="inlineStr">
        <is>
          <t>0</t>
        </is>
      </c>
      <c r="L1399" t="inlineStr">
        <is>
          <t>New York : American Heritage Pub. Co. ; book trade distribution by Doubleday, [1960]</t>
        </is>
      </c>
      <c r="M1399" t="inlineStr">
        <is>
          <t>1960</t>
        </is>
      </c>
      <c r="O1399" t="inlineStr">
        <is>
          <t>eng</t>
        </is>
      </c>
      <c r="P1399" t="inlineStr">
        <is>
          <t>nyu</t>
        </is>
      </c>
      <c r="R1399" t="inlineStr">
        <is>
          <t xml:space="preserve">E  </t>
        </is>
      </c>
      <c r="S1399" t="n">
        <v>8</v>
      </c>
      <c r="T1399" t="n">
        <v>8</v>
      </c>
      <c r="U1399" t="inlineStr">
        <is>
          <t>2005-11-30</t>
        </is>
      </c>
      <c r="V1399" t="inlineStr">
        <is>
          <t>2005-11-30</t>
        </is>
      </c>
      <c r="W1399" t="inlineStr">
        <is>
          <t>1992-12-23</t>
        </is>
      </c>
      <c r="X1399" t="inlineStr">
        <is>
          <t>1992-12-23</t>
        </is>
      </c>
      <c r="Y1399" t="n">
        <v>2146</v>
      </c>
      <c r="Z1399" t="n">
        <v>2051</v>
      </c>
      <c r="AA1399" t="n">
        <v>3287</v>
      </c>
      <c r="AB1399" t="n">
        <v>24</v>
      </c>
      <c r="AC1399" t="n">
        <v>40</v>
      </c>
      <c r="AD1399" t="n">
        <v>45</v>
      </c>
      <c r="AE1399" t="n">
        <v>59</v>
      </c>
      <c r="AF1399" t="n">
        <v>19</v>
      </c>
      <c r="AG1399" t="n">
        <v>25</v>
      </c>
      <c r="AH1399" t="n">
        <v>7</v>
      </c>
      <c r="AI1399" t="n">
        <v>8</v>
      </c>
      <c r="AJ1399" t="n">
        <v>21</v>
      </c>
      <c r="AK1399" t="n">
        <v>24</v>
      </c>
      <c r="AL1399" t="n">
        <v>7</v>
      </c>
      <c r="AM1399" t="n">
        <v>12</v>
      </c>
      <c r="AN1399" t="n">
        <v>1</v>
      </c>
      <c r="AO1399" t="n">
        <v>1</v>
      </c>
      <c r="AP1399" t="inlineStr">
        <is>
          <t>No</t>
        </is>
      </c>
      <c r="AQ1399" t="inlineStr">
        <is>
          <t>Yes</t>
        </is>
      </c>
      <c r="AR1399">
        <f>HYPERLINK("http://catalog.hathitrust.org/Record/000604108","HathiTrust Record")</f>
        <v/>
      </c>
      <c r="AS1399">
        <f>HYPERLINK("https://creighton-primo.hosted.exlibrisgroup.com/primo-explore/search?tab=default_tab&amp;search_scope=EVERYTHING&amp;vid=01CRU&amp;lang=en_US&amp;offset=0&amp;query=any,contains,991004456649702656","Catalog Record")</f>
        <v/>
      </c>
      <c r="AT1399">
        <f>HYPERLINK("http://www.worldcat.org/oclc/3530205","WorldCat Record")</f>
        <v/>
      </c>
      <c r="AU1399" t="inlineStr">
        <is>
          <t>42845840:eng</t>
        </is>
      </c>
      <c r="AV1399" t="inlineStr">
        <is>
          <t>3530205</t>
        </is>
      </c>
      <c r="AW1399" t="inlineStr">
        <is>
          <t>991004456649702656</t>
        </is>
      </c>
      <c r="AX1399" t="inlineStr">
        <is>
          <t>991004456649702656</t>
        </is>
      </c>
      <c r="AY1399" t="inlineStr">
        <is>
          <t>2260422150002656</t>
        </is>
      </c>
      <c r="AZ1399" t="inlineStr">
        <is>
          <t>BOOK</t>
        </is>
      </c>
      <c r="BC1399" t="inlineStr">
        <is>
          <t>32285001470938</t>
        </is>
      </c>
      <c r="BD1399" t="inlineStr">
        <is>
          <t>893423821</t>
        </is>
      </c>
    </row>
    <row r="1400">
      <c r="A1400" t="inlineStr">
        <is>
          <t>No</t>
        </is>
      </c>
      <c r="B1400" t="inlineStr">
        <is>
          <t>E468.9 .F84 1990, v...</t>
        </is>
      </c>
      <c r="C1400" t="inlineStr">
        <is>
          <t>0                      E  0468900F  84          1990                                        v...</t>
        </is>
      </c>
      <c r="D1400" t="inlineStr">
        <is>
          <t>The road to disunion / William W. Freehling.</t>
        </is>
      </c>
      <c r="E1400" t="inlineStr">
        <is>
          <t>V.1</t>
        </is>
      </c>
      <c r="F1400" t="inlineStr">
        <is>
          <t>No</t>
        </is>
      </c>
      <c r="G1400" t="inlineStr">
        <is>
          <t>1</t>
        </is>
      </c>
      <c r="H1400" t="inlineStr">
        <is>
          <t>No</t>
        </is>
      </c>
      <c r="I1400" t="inlineStr">
        <is>
          <t>No</t>
        </is>
      </c>
      <c r="J1400" t="inlineStr">
        <is>
          <t>0</t>
        </is>
      </c>
      <c r="K1400" t="inlineStr">
        <is>
          <t>Freehling, William W., 1935-</t>
        </is>
      </c>
      <c r="L1400" t="inlineStr">
        <is>
          <t>New York : Oxford University Press, 1990-</t>
        </is>
      </c>
      <c r="M1400" t="inlineStr">
        <is>
          <t>1990</t>
        </is>
      </c>
      <c r="O1400" t="inlineStr">
        <is>
          <t>eng</t>
        </is>
      </c>
      <c r="P1400" t="inlineStr">
        <is>
          <t>nyu</t>
        </is>
      </c>
      <c r="R1400" t="inlineStr">
        <is>
          <t xml:space="preserve">E  </t>
        </is>
      </c>
      <c r="S1400" t="n">
        <v>1</v>
      </c>
      <c r="T1400" t="n">
        <v>1</v>
      </c>
      <c r="U1400" t="inlineStr">
        <is>
          <t>1992-03-05</t>
        </is>
      </c>
      <c r="V1400" t="inlineStr">
        <is>
          <t>1992-03-05</t>
        </is>
      </c>
      <c r="W1400" t="inlineStr">
        <is>
          <t>1990-10-13</t>
        </is>
      </c>
      <c r="X1400" t="inlineStr">
        <is>
          <t>1990-10-13</t>
        </is>
      </c>
      <c r="Y1400" t="n">
        <v>1739</v>
      </c>
      <c r="Z1400" t="n">
        <v>1637</v>
      </c>
      <c r="AA1400" t="n">
        <v>1735</v>
      </c>
      <c r="AB1400" t="n">
        <v>10</v>
      </c>
      <c r="AC1400" t="n">
        <v>12</v>
      </c>
      <c r="AD1400" t="n">
        <v>56</v>
      </c>
      <c r="AE1400" t="n">
        <v>58</v>
      </c>
      <c r="AF1400" t="n">
        <v>23</v>
      </c>
      <c r="AG1400" t="n">
        <v>23</v>
      </c>
      <c r="AH1400" t="n">
        <v>10</v>
      </c>
      <c r="AI1400" t="n">
        <v>10</v>
      </c>
      <c r="AJ1400" t="n">
        <v>22</v>
      </c>
      <c r="AK1400" t="n">
        <v>22</v>
      </c>
      <c r="AL1400" t="n">
        <v>7</v>
      </c>
      <c r="AM1400" t="n">
        <v>9</v>
      </c>
      <c r="AN1400" t="n">
        <v>5</v>
      </c>
      <c r="AO1400" t="n">
        <v>5</v>
      </c>
      <c r="AP1400" t="inlineStr">
        <is>
          <t>No</t>
        </is>
      </c>
      <c r="AQ1400" t="inlineStr">
        <is>
          <t>Yes</t>
        </is>
      </c>
      <c r="AR1400">
        <f>HYPERLINK("http://catalog.hathitrust.org/Record/002205072","HathiTrust Record")</f>
        <v/>
      </c>
      <c r="AS1400">
        <f>HYPERLINK("https://creighton-primo.hosted.exlibrisgroup.com/primo-explore/search?tab=default_tab&amp;search_scope=EVERYTHING&amp;vid=01CRU&amp;lang=en_US&amp;offset=0&amp;query=any,contains,991001600619702656","Catalog Record")</f>
        <v/>
      </c>
      <c r="AT1400">
        <f>HYPERLINK("http://www.worldcat.org/oclc/20670363","WorldCat Record")</f>
        <v/>
      </c>
      <c r="AU1400" t="inlineStr">
        <is>
          <t>2564801189:eng</t>
        </is>
      </c>
      <c r="AV1400" t="inlineStr">
        <is>
          <t>20670363</t>
        </is>
      </c>
      <c r="AW1400" t="inlineStr">
        <is>
          <t>991001600619702656</t>
        </is>
      </c>
      <c r="AX1400" t="inlineStr">
        <is>
          <t>991001600619702656</t>
        </is>
      </c>
      <c r="AY1400" t="inlineStr">
        <is>
          <t>2261756670002656</t>
        </is>
      </c>
      <c r="AZ1400" t="inlineStr">
        <is>
          <t>BOOK</t>
        </is>
      </c>
      <c r="BB1400" t="inlineStr">
        <is>
          <t>9780195058147</t>
        </is>
      </c>
      <c r="BC1400" t="inlineStr">
        <is>
          <t>32285000310564</t>
        </is>
      </c>
      <c r="BD1400" t="inlineStr">
        <is>
          <t>893897895</t>
        </is>
      </c>
    </row>
    <row r="1401">
      <c r="A1401" t="inlineStr">
        <is>
          <t>No</t>
        </is>
      </c>
      <c r="B1401" t="inlineStr">
        <is>
          <t>E468.9 .M68 1993</t>
        </is>
      </c>
      <c r="C1401" t="inlineStr">
        <is>
          <t>0                      E  0468900M  68          1993</t>
        </is>
      </c>
      <c r="D1401" t="inlineStr">
        <is>
          <t>The vacant chair : the Northern soldier leaves home / Reid Mitchell.</t>
        </is>
      </c>
      <c r="F1401" t="inlineStr">
        <is>
          <t>No</t>
        </is>
      </c>
      <c r="G1401" t="inlineStr">
        <is>
          <t>1</t>
        </is>
      </c>
      <c r="H1401" t="inlineStr">
        <is>
          <t>No</t>
        </is>
      </c>
      <c r="I1401" t="inlineStr">
        <is>
          <t>No</t>
        </is>
      </c>
      <c r="J1401" t="inlineStr">
        <is>
          <t>0</t>
        </is>
      </c>
      <c r="K1401" t="inlineStr">
        <is>
          <t>Mitchell, Reid.</t>
        </is>
      </c>
      <c r="L1401" t="inlineStr">
        <is>
          <t>New York : Oxford University Press, 1993.</t>
        </is>
      </c>
      <c r="M1401" t="inlineStr">
        <is>
          <t>1993</t>
        </is>
      </c>
      <c r="O1401" t="inlineStr">
        <is>
          <t>eng</t>
        </is>
      </c>
      <c r="P1401" t="inlineStr">
        <is>
          <t>nyu</t>
        </is>
      </c>
      <c r="R1401" t="inlineStr">
        <is>
          <t xml:space="preserve">E  </t>
        </is>
      </c>
      <c r="S1401" t="n">
        <v>4</v>
      </c>
      <c r="T1401" t="n">
        <v>4</v>
      </c>
      <c r="U1401" t="inlineStr">
        <is>
          <t>1999-02-05</t>
        </is>
      </c>
      <c r="V1401" t="inlineStr">
        <is>
          <t>1999-02-05</t>
        </is>
      </c>
      <c r="W1401" t="inlineStr">
        <is>
          <t>1993-10-04</t>
        </is>
      </c>
      <c r="X1401" t="inlineStr">
        <is>
          <t>1993-10-04</t>
        </is>
      </c>
      <c r="Y1401" t="n">
        <v>906</v>
      </c>
      <c r="Z1401" t="n">
        <v>849</v>
      </c>
      <c r="AA1401" t="n">
        <v>1025</v>
      </c>
      <c r="AB1401" t="n">
        <v>8</v>
      </c>
      <c r="AC1401" t="n">
        <v>9</v>
      </c>
      <c r="AD1401" t="n">
        <v>39</v>
      </c>
      <c r="AE1401" t="n">
        <v>44</v>
      </c>
      <c r="AF1401" t="n">
        <v>14</v>
      </c>
      <c r="AG1401" t="n">
        <v>18</v>
      </c>
      <c r="AH1401" t="n">
        <v>8</v>
      </c>
      <c r="AI1401" t="n">
        <v>9</v>
      </c>
      <c r="AJ1401" t="n">
        <v>18</v>
      </c>
      <c r="AK1401" t="n">
        <v>19</v>
      </c>
      <c r="AL1401" t="n">
        <v>7</v>
      </c>
      <c r="AM1401" t="n">
        <v>7</v>
      </c>
      <c r="AN1401" t="n">
        <v>0</v>
      </c>
      <c r="AO1401" t="n">
        <v>0</v>
      </c>
      <c r="AP1401" t="inlineStr">
        <is>
          <t>No</t>
        </is>
      </c>
      <c r="AQ1401" t="inlineStr">
        <is>
          <t>Yes</t>
        </is>
      </c>
      <c r="AR1401">
        <f>HYPERLINK("http://catalog.hathitrust.org/Record/002714346","HathiTrust Record")</f>
        <v/>
      </c>
      <c r="AS1401">
        <f>HYPERLINK("https://creighton-primo.hosted.exlibrisgroup.com/primo-explore/search?tab=default_tab&amp;search_scope=EVERYTHING&amp;vid=01CRU&amp;lang=en_US&amp;offset=0&amp;query=any,contains,991002087979702656","Catalog Record")</f>
        <v/>
      </c>
      <c r="AT1401">
        <f>HYPERLINK("http://www.worldcat.org/oclc/26800194","WorldCat Record")</f>
        <v/>
      </c>
      <c r="AU1401" t="inlineStr">
        <is>
          <t>20865265:eng</t>
        </is>
      </c>
      <c r="AV1401" t="inlineStr">
        <is>
          <t>26800194</t>
        </is>
      </c>
      <c r="AW1401" t="inlineStr">
        <is>
          <t>991002087979702656</t>
        </is>
      </c>
      <c r="AX1401" t="inlineStr">
        <is>
          <t>991002087979702656</t>
        </is>
      </c>
      <c r="AY1401" t="inlineStr">
        <is>
          <t>2259742020002656</t>
        </is>
      </c>
      <c r="AZ1401" t="inlineStr">
        <is>
          <t>BOOK</t>
        </is>
      </c>
      <c r="BB1401" t="inlineStr">
        <is>
          <t>9780195078930</t>
        </is>
      </c>
      <c r="BC1401" t="inlineStr">
        <is>
          <t>32285001769883</t>
        </is>
      </c>
      <c r="BD1401" t="inlineStr">
        <is>
          <t>893773201</t>
        </is>
      </c>
    </row>
    <row r="1402">
      <c r="A1402" t="inlineStr">
        <is>
          <t>No</t>
        </is>
      </c>
      <c r="B1402" t="inlineStr">
        <is>
          <t>E468.9 .N48 1998</t>
        </is>
      </c>
      <c r="C1402" t="inlineStr">
        <is>
          <t>0                      E  0468900N  48          1998</t>
        </is>
      </c>
      <c r="D1402" t="inlineStr">
        <is>
          <t>New perspectives on the Civil War : myths and realities of the national conflict / edited by John Y. Simon &amp; Michael E. Stevens.</t>
        </is>
      </c>
      <c r="F1402" t="inlineStr">
        <is>
          <t>No</t>
        </is>
      </c>
      <c r="G1402" t="inlineStr">
        <is>
          <t>1</t>
        </is>
      </c>
      <c r="H1402" t="inlineStr">
        <is>
          <t>No</t>
        </is>
      </c>
      <c r="I1402" t="inlineStr">
        <is>
          <t>No</t>
        </is>
      </c>
      <c r="J1402" t="inlineStr">
        <is>
          <t>0</t>
        </is>
      </c>
      <c r="L1402" t="inlineStr">
        <is>
          <t>Madison, Wis. : Madison House, 1998.</t>
        </is>
      </c>
      <c r="M1402" t="inlineStr">
        <is>
          <t>1998</t>
        </is>
      </c>
      <c r="N1402" t="inlineStr">
        <is>
          <t>1st ed.</t>
        </is>
      </c>
      <c r="O1402" t="inlineStr">
        <is>
          <t>eng</t>
        </is>
      </c>
      <c r="P1402" t="inlineStr">
        <is>
          <t>wiu</t>
        </is>
      </c>
      <c r="R1402" t="inlineStr">
        <is>
          <t xml:space="preserve">E  </t>
        </is>
      </c>
      <c r="S1402" t="n">
        <v>6</v>
      </c>
      <c r="T1402" t="n">
        <v>6</v>
      </c>
      <c r="U1402" t="inlineStr">
        <is>
          <t>2002-04-24</t>
        </is>
      </c>
      <c r="V1402" t="inlineStr">
        <is>
          <t>2002-04-24</t>
        </is>
      </c>
      <c r="W1402" t="inlineStr">
        <is>
          <t>1999-10-11</t>
        </is>
      </c>
      <c r="X1402" t="inlineStr">
        <is>
          <t>1999-10-11</t>
        </is>
      </c>
      <c r="Y1402" t="n">
        <v>465</v>
      </c>
      <c r="Z1402" t="n">
        <v>439</v>
      </c>
      <c r="AA1402" t="n">
        <v>476</v>
      </c>
      <c r="AB1402" t="n">
        <v>2</v>
      </c>
      <c r="AC1402" t="n">
        <v>2</v>
      </c>
      <c r="AD1402" t="n">
        <v>20</v>
      </c>
      <c r="AE1402" t="n">
        <v>23</v>
      </c>
      <c r="AF1402" t="n">
        <v>6</v>
      </c>
      <c r="AG1402" t="n">
        <v>9</v>
      </c>
      <c r="AH1402" t="n">
        <v>5</v>
      </c>
      <c r="AI1402" t="n">
        <v>6</v>
      </c>
      <c r="AJ1402" t="n">
        <v>11</v>
      </c>
      <c r="AK1402" t="n">
        <v>12</v>
      </c>
      <c r="AL1402" t="n">
        <v>1</v>
      </c>
      <c r="AM1402" t="n">
        <v>1</v>
      </c>
      <c r="AN1402" t="n">
        <v>0</v>
      </c>
      <c r="AO1402" t="n">
        <v>0</v>
      </c>
      <c r="AP1402" t="inlineStr">
        <is>
          <t>No</t>
        </is>
      </c>
      <c r="AQ1402" t="inlineStr">
        <is>
          <t>Yes</t>
        </is>
      </c>
      <c r="AR1402">
        <f>HYPERLINK("http://catalog.hathitrust.org/Record/003344914","HathiTrust Record")</f>
        <v/>
      </c>
      <c r="AS1402">
        <f>HYPERLINK("https://creighton-primo.hosted.exlibrisgroup.com/primo-explore/search?tab=default_tab&amp;search_scope=EVERYTHING&amp;vid=01CRU&amp;lang=en_US&amp;offset=0&amp;query=any,contains,991002938149702656","Catalog Record")</f>
        <v/>
      </c>
      <c r="AT1402">
        <f>HYPERLINK("http://www.worldcat.org/oclc/39085334","WorldCat Record")</f>
        <v/>
      </c>
      <c r="AU1402" t="inlineStr">
        <is>
          <t>367379259:eng</t>
        </is>
      </c>
      <c r="AV1402" t="inlineStr">
        <is>
          <t>39085334</t>
        </is>
      </c>
      <c r="AW1402" t="inlineStr">
        <is>
          <t>991002938149702656</t>
        </is>
      </c>
      <c r="AX1402" t="inlineStr">
        <is>
          <t>991002938149702656</t>
        </is>
      </c>
      <c r="AY1402" t="inlineStr">
        <is>
          <t>2256978480002656</t>
        </is>
      </c>
      <c r="AZ1402" t="inlineStr">
        <is>
          <t>BOOK</t>
        </is>
      </c>
      <c r="BB1402" t="inlineStr">
        <is>
          <t>9780945612629</t>
        </is>
      </c>
      <c r="BC1402" t="inlineStr">
        <is>
          <t>32285003594263</t>
        </is>
      </c>
      <c r="BD1402" t="inlineStr">
        <is>
          <t>893530660</t>
        </is>
      </c>
    </row>
    <row r="1403">
      <c r="A1403" t="inlineStr">
        <is>
          <t>No</t>
        </is>
      </c>
      <c r="B1403" t="inlineStr">
        <is>
          <t>E468.9 .R69 1991</t>
        </is>
      </c>
      <c r="C1403" t="inlineStr">
        <is>
          <t>0                      E  0468900R  69          1991</t>
        </is>
      </c>
      <c r="D1403" t="inlineStr">
        <is>
          <t>The destructive war : William Tecumseh Sherman, Stonewall Jackson, and the Americans / Charles Royster.</t>
        </is>
      </c>
      <c r="F1403" t="inlineStr">
        <is>
          <t>No</t>
        </is>
      </c>
      <c r="G1403" t="inlineStr">
        <is>
          <t>1</t>
        </is>
      </c>
      <c r="H1403" t="inlineStr">
        <is>
          <t>No</t>
        </is>
      </c>
      <c r="I1403" t="inlineStr">
        <is>
          <t>No</t>
        </is>
      </c>
      <c r="J1403" t="inlineStr">
        <is>
          <t>0</t>
        </is>
      </c>
      <c r="K1403" t="inlineStr">
        <is>
          <t>Royster, Charles.</t>
        </is>
      </c>
      <c r="L1403" t="inlineStr">
        <is>
          <t>New York : Knopf : Random House [distributor], 1991.</t>
        </is>
      </c>
      <c r="M1403" t="inlineStr">
        <is>
          <t>1991</t>
        </is>
      </c>
      <c r="N1403" t="inlineStr">
        <is>
          <t>1st ed.</t>
        </is>
      </c>
      <c r="O1403" t="inlineStr">
        <is>
          <t>eng</t>
        </is>
      </c>
      <c r="P1403" t="inlineStr">
        <is>
          <t>nyu</t>
        </is>
      </c>
      <c r="R1403" t="inlineStr">
        <is>
          <t xml:space="preserve">E  </t>
        </is>
      </c>
      <c r="S1403" t="n">
        <v>3</v>
      </c>
      <c r="T1403" t="n">
        <v>3</v>
      </c>
      <c r="U1403" t="inlineStr">
        <is>
          <t>1997-02-16</t>
        </is>
      </c>
      <c r="V1403" t="inlineStr">
        <is>
          <t>1997-02-16</t>
        </is>
      </c>
      <c r="W1403" t="inlineStr">
        <is>
          <t>1991-12-19</t>
        </is>
      </c>
      <c r="X1403" t="inlineStr">
        <is>
          <t>1991-12-19</t>
        </is>
      </c>
      <c r="Y1403" t="n">
        <v>1408</v>
      </c>
      <c r="Z1403" t="n">
        <v>1337</v>
      </c>
      <c r="AA1403" t="n">
        <v>1589</v>
      </c>
      <c r="AB1403" t="n">
        <v>9</v>
      </c>
      <c r="AC1403" t="n">
        <v>11</v>
      </c>
      <c r="AD1403" t="n">
        <v>48</v>
      </c>
      <c r="AE1403" t="n">
        <v>56</v>
      </c>
      <c r="AF1403" t="n">
        <v>23</v>
      </c>
      <c r="AG1403" t="n">
        <v>29</v>
      </c>
      <c r="AH1403" t="n">
        <v>9</v>
      </c>
      <c r="AI1403" t="n">
        <v>10</v>
      </c>
      <c r="AJ1403" t="n">
        <v>19</v>
      </c>
      <c r="AK1403" t="n">
        <v>21</v>
      </c>
      <c r="AL1403" t="n">
        <v>7</v>
      </c>
      <c r="AM1403" t="n">
        <v>9</v>
      </c>
      <c r="AN1403" t="n">
        <v>0</v>
      </c>
      <c r="AO1403" t="n">
        <v>0</v>
      </c>
      <c r="AP1403" t="inlineStr">
        <is>
          <t>No</t>
        </is>
      </c>
      <c r="AQ1403" t="inlineStr">
        <is>
          <t>Yes</t>
        </is>
      </c>
      <c r="AR1403">
        <f>HYPERLINK("http://catalog.hathitrust.org/Record/002487574","HathiTrust Record")</f>
        <v/>
      </c>
      <c r="AS1403">
        <f>HYPERLINK("https://creighton-primo.hosted.exlibrisgroup.com/primo-explore/search?tab=default_tab&amp;search_scope=EVERYTHING&amp;vid=01CRU&amp;lang=en_US&amp;offset=0&amp;query=any,contains,991001823279702656","Catalog Record")</f>
        <v/>
      </c>
      <c r="AT1403">
        <f>HYPERLINK("http://www.worldcat.org/oclc/22907203","WorldCat Record")</f>
        <v/>
      </c>
      <c r="AU1403" t="inlineStr">
        <is>
          <t>20900221:eng</t>
        </is>
      </c>
      <c r="AV1403" t="inlineStr">
        <is>
          <t>22907203</t>
        </is>
      </c>
      <c r="AW1403" t="inlineStr">
        <is>
          <t>991001823279702656</t>
        </is>
      </c>
      <c r="AX1403" t="inlineStr">
        <is>
          <t>991001823279702656</t>
        </is>
      </c>
      <c r="AY1403" t="inlineStr">
        <is>
          <t>2264063210002656</t>
        </is>
      </c>
      <c r="AZ1403" t="inlineStr">
        <is>
          <t>BOOK</t>
        </is>
      </c>
      <c r="BB1403" t="inlineStr">
        <is>
          <t>9780394524856</t>
        </is>
      </c>
      <c r="BC1403" t="inlineStr">
        <is>
          <t>32285000861707</t>
        </is>
      </c>
      <c r="BD1403" t="inlineStr">
        <is>
          <t>893334636</t>
        </is>
      </c>
    </row>
    <row r="1404">
      <c r="A1404" t="inlineStr">
        <is>
          <t>No</t>
        </is>
      </c>
      <c r="B1404" t="inlineStr">
        <is>
          <t>E468.9 .S87 1999</t>
        </is>
      </c>
      <c r="C1404" t="inlineStr">
        <is>
          <t>0                      E  0468900S  87          1999</t>
        </is>
      </c>
      <c r="D1404" t="inlineStr">
        <is>
          <t>1863 : the rebirth of a nation / Joseph E. Stevens.</t>
        </is>
      </c>
      <c r="F1404" t="inlineStr">
        <is>
          <t>No</t>
        </is>
      </c>
      <c r="G1404" t="inlineStr">
        <is>
          <t>1</t>
        </is>
      </c>
      <c r="H1404" t="inlineStr">
        <is>
          <t>No</t>
        </is>
      </c>
      <c r="I1404" t="inlineStr">
        <is>
          <t>No</t>
        </is>
      </c>
      <c r="J1404" t="inlineStr">
        <is>
          <t>0</t>
        </is>
      </c>
      <c r="K1404" t="inlineStr">
        <is>
          <t>Stevens, Joseph E. (Joseph Edward), 1956-</t>
        </is>
      </c>
      <c r="L1404" t="inlineStr">
        <is>
          <t>New York : Bantam Books, 1999.</t>
        </is>
      </c>
      <c r="M1404" t="inlineStr">
        <is>
          <t>1999</t>
        </is>
      </c>
      <c r="O1404" t="inlineStr">
        <is>
          <t>eng</t>
        </is>
      </c>
      <c r="P1404" t="inlineStr">
        <is>
          <t>nyu</t>
        </is>
      </c>
      <c r="R1404" t="inlineStr">
        <is>
          <t xml:space="preserve">E  </t>
        </is>
      </c>
      <c r="S1404" t="n">
        <v>4</v>
      </c>
      <c r="T1404" t="n">
        <v>4</v>
      </c>
      <c r="U1404" t="inlineStr">
        <is>
          <t>2001-04-06</t>
        </is>
      </c>
      <c r="V1404" t="inlineStr">
        <is>
          <t>2001-04-06</t>
        </is>
      </c>
      <c r="W1404" t="inlineStr">
        <is>
          <t>1999-11-23</t>
        </is>
      </c>
      <c r="X1404" t="inlineStr">
        <is>
          <t>1999-11-23</t>
        </is>
      </c>
      <c r="Y1404" t="n">
        <v>869</v>
      </c>
      <c r="Z1404" t="n">
        <v>842</v>
      </c>
      <c r="AA1404" t="n">
        <v>920</v>
      </c>
      <c r="AB1404" t="n">
        <v>7</v>
      </c>
      <c r="AC1404" t="n">
        <v>7</v>
      </c>
      <c r="AD1404" t="n">
        <v>26</v>
      </c>
      <c r="AE1404" t="n">
        <v>28</v>
      </c>
      <c r="AF1404" t="n">
        <v>7</v>
      </c>
      <c r="AG1404" t="n">
        <v>8</v>
      </c>
      <c r="AH1404" t="n">
        <v>8</v>
      </c>
      <c r="AI1404" t="n">
        <v>9</v>
      </c>
      <c r="AJ1404" t="n">
        <v>10</v>
      </c>
      <c r="AK1404" t="n">
        <v>11</v>
      </c>
      <c r="AL1404" t="n">
        <v>5</v>
      </c>
      <c r="AM1404" t="n">
        <v>5</v>
      </c>
      <c r="AN1404" t="n">
        <v>1</v>
      </c>
      <c r="AO1404" t="n">
        <v>1</v>
      </c>
      <c r="AP1404" t="inlineStr">
        <is>
          <t>No</t>
        </is>
      </c>
      <c r="AQ1404" t="inlineStr">
        <is>
          <t>Yes</t>
        </is>
      </c>
      <c r="AR1404">
        <f>HYPERLINK("http://catalog.hathitrust.org/Record/004026787","HathiTrust Record")</f>
        <v/>
      </c>
      <c r="AS1404">
        <f>HYPERLINK("https://creighton-primo.hosted.exlibrisgroup.com/primo-explore/search?tab=default_tab&amp;search_scope=EVERYTHING&amp;vid=01CRU&amp;lang=en_US&amp;offset=0&amp;query=any,contains,991002972479702656","Catalog Record")</f>
        <v/>
      </c>
      <c r="AT1404">
        <f>HYPERLINK("http://www.worldcat.org/oclc/39812101","WorldCat Record")</f>
        <v/>
      </c>
      <c r="AU1404" t="inlineStr">
        <is>
          <t>47632:eng</t>
        </is>
      </c>
      <c r="AV1404" t="inlineStr">
        <is>
          <t>39812101</t>
        </is>
      </c>
      <c r="AW1404" t="inlineStr">
        <is>
          <t>991002972479702656</t>
        </is>
      </c>
      <c r="AX1404" t="inlineStr">
        <is>
          <t>991002972479702656</t>
        </is>
      </c>
      <c r="AY1404" t="inlineStr">
        <is>
          <t>2272265340002656</t>
        </is>
      </c>
      <c r="AZ1404" t="inlineStr">
        <is>
          <t>BOOK</t>
        </is>
      </c>
      <c r="BB1404" t="inlineStr">
        <is>
          <t>9780553103144</t>
        </is>
      </c>
      <c r="BC1404" t="inlineStr">
        <is>
          <t>32285003624243</t>
        </is>
      </c>
      <c r="BD1404" t="inlineStr">
        <is>
          <t>893323590</t>
        </is>
      </c>
    </row>
    <row r="1405">
      <c r="A1405" t="inlineStr">
        <is>
          <t>No</t>
        </is>
      </c>
      <c r="B1405" t="inlineStr">
        <is>
          <t>E469 .A25</t>
        </is>
      </c>
      <c r="C1405" t="inlineStr">
        <is>
          <t>0                      E  0469000A  25</t>
        </is>
      </c>
      <c r="D1405" t="inlineStr">
        <is>
          <t>Great Britain and the American Civil War.</t>
        </is>
      </c>
      <c r="F1405" t="inlineStr">
        <is>
          <t>No</t>
        </is>
      </c>
      <c r="G1405" t="inlineStr">
        <is>
          <t>1</t>
        </is>
      </c>
      <c r="H1405" t="inlineStr">
        <is>
          <t>No</t>
        </is>
      </c>
      <c r="I1405" t="inlineStr">
        <is>
          <t>No</t>
        </is>
      </c>
      <c r="J1405" t="inlineStr">
        <is>
          <t>0</t>
        </is>
      </c>
      <c r="K1405" t="inlineStr">
        <is>
          <t>Adams, Ephraim Douglass, 1865-1930.</t>
        </is>
      </c>
      <c r="L1405" t="inlineStr">
        <is>
          <t>New York : Russell &amp; Russell, [1958?]</t>
        </is>
      </c>
      <c r="M1405" t="inlineStr">
        <is>
          <t>1958</t>
        </is>
      </c>
      <c r="O1405" t="inlineStr">
        <is>
          <t>eng</t>
        </is>
      </c>
      <c r="P1405" t="inlineStr">
        <is>
          <t>nyu</t>
        </is>
      </c>
      <c r="R1405" t="inlineStr">
        <is>
          <t xml:space="preserve">E  </t>
        </is>
      </c>
      <c r="S1405" t="n">
        <v>4</v>
      </c>
      <c r="T1405" t="n">
        <v>4</v>
      </c>
      <c r="U1405" t="inlineStr">
        <is>
          <t>2001-04-06</t>
        </is>
      </c>
      <c r="V1405" t="inlineStr">
        <is>
          <t>2001-04-06</t>
        </is>
      </c>
      <c r="W1405" t="inlineStr">
        <is>
          <t>1995-02-24</t>
        </is>
      </c>
      <c r="X1405" t="inlineStr">
        <is>
          <t>1995-02-24</t>
        </is>
      </c>
      <c r="Y1405" t="n">
        <v>941</v>
      </c>
      <c r="Z1405" t="n">
        <v>883</v>
      </c>
      <c r="AA1405" t="n">
        <v>1196</v>
      </c>
      <c r="AB1405" t="n">
        <v>7</v>
      </c>
      <c r="AC1405" t="n">
        <v>10</v>
      </c>
      <c r="AD1405" t="n">
        <v>32</v>
      </c>
      <c r="AE1405" t="n">
        <v>47</v>
      </c>
      <c r="AF1405" t="n">
        <v>11</v>
      </c>
      <c r="AG1405" t="n">
        <v>18</v>
      </c>
      <c r="AH1405" t="n">
        <v>4</v>
      </c>
      <c r="AI1405" t="n">
        <v>8</v>
      </c>
      <c r="AJ1405" t="n">
        <v>13</v>
      </c>
      <c r="AK1405" t="n">
        <v>17</v>
      </c>
      <c r="AL1405" t="n">
        <v>6</v>
      </c>
      <c r="AM1405" t="n">
        <v>9</v>
      </c>
      <c r="AN1405" t="n">
        <v>1</v>
      </c>
      <c r="AO1405" t="n">
        <v>1</v>
      </c>
      <c r="AP1405" t="inlineStr">
        <is>
          <t>Yes</t>
        </is>
      </c>
      <c r="AQ1405" t="inlineStr">
        <is>
          <t>No</t>
        </is>
      </c>
      <c r="AR1405">
        <f>HYPERLINK("http://catalog.hathitrust.org/Record/000563715","HathiTrust Record")</f>
        <v/>
      </c>
      <c r="AS1405">
        <f>HYPERLINK("https://creighton-primo.hosted.exlibrisgroup.com/primo-explore/search?tab=default_tab&amp;search_scope=EVERYTHING&amp;vid=01CRU&amp;lang=en_US&amp;offset=0&amp;query=any,contains,991002812049702656","Catalog Record")</f>
        <v/>
      </c>
      <c r="AT1405">
        <f>HYPERLINK("http://www.worldcat.org/oclc/456535","WorldCat Record")</f>
        <v/>
      </c>
      <c r="AU1405" t="inlineStr">
        <is>
          <t>1468117:eng</t>
        </is>
      </c>
      <c r="AV1405" t="inlineStr">
        <is>
          <t>456535</t>
        </is>
      </c>
      <c r="AW1405" t="inlineStr">
        <is>
          <t>991002812049702656</t>
        </is>
      </c>
      <c r="AX1405" t="inlineStr">
        <is>
          <t>991002812049702656</t>
        </is>
      </c>
      <c r="AY1405" t="inlineStr">
        <is>
          <t>2260869530002656</t>
        </is>
      </c>
      <c r="AZ1405" t="inlineStr">
        <is>
          <t>BOOK</t>
        </is>
      </c>
      <c r="BC1405" t="inlineStr">
        <is>
          <t>32285001989952</t>
        </is>
      </c>
      <c r="BD1405" t="inlineStr">
        <is>
          <t>893604070</t>
        </is>
      </c>
    </row>
    <row r="1406">
      <c r="A1406" t="inlineStr">
        <is>
          <t>No</t>
        </is>
      </c>
      <c r="B1406" t="inlineStr">
        <is>
          <t>E469 .F38</t>
        </is>
      </c>
      <c r="C1406" t="inlineStr">
        <is>
          <t>0                      E  0469000F  38</t>
        </is>
      </c>
      <c r="D1406" t="inlineStr">
        <is>
          <t>Desperate diplomacy : William H. Seward's foreign policy, 1861 / by Norman B. Ferris.</t>
        </is>
      </c>
      <c r="F1406" t="inlineStr">
        <is>
          <t>No</t>
        </is>
      </c>
      <c r="G1406" t="inlineStr">
        <is>
          <t>1</t>
        </is>
      </c>
      <c r="H1406" t="inlineStr">
        <is>
          <t>No</t>
        </is>
      </c>
      <c r="I1406" t="inlineStr">
        <is>
          <t>No</t>
        </is>
      </c>
      <c r="J1406" t="inlineStr">
        <is>
          <t>0</t>
        </is>
      </c>
      <c r="K1406" t="inlineStr">
        <is>
          <t>Ferris, Norman B., 1931-</t>
        </is>
      </c>
      <c r="L1406" t="inlineStr">
        <is>
          <t>Knoxville : University of Tennessee Press, c1976.</t>
        </is>
      </c>
      <c r="M1406" t="inlineStr">
        <is>
          <t>1976</t>
        </is>
      </c>
      <c r="N1406" t="inlineStr">
        <is>
          <t>1st ed.</t>
        </is>
      </c>
      <c r="O1406" t="inlineStr">
        <is>
          <t>eng</t>
        </is>
      </c>
      <c r="P1406" t="inlineStr">
        <is>
          <t>tnu</t>
        </is>
      </c>
      <c r="R1406" t="inlineStr">
        <is>
          <t xml:space="preserve">E  </t>
        </is>
      </c>
      <c r="S1406" t="n">
        <v>5</v>
      </c>
      <c r="T1406" t="n">
        <v>5</v>
      </c>
      <c r="U1406" t="inlineStr">
        <is>
          <t>2001-04-06</t>
        </is>
      </c>
      <c r="V1406" t="inlineStr">
        <is>
          <t>2001-04-06</t>
        </is>
      </c>
      <c r="W1406" t="inlineStr">
        <is>
          <t>1997-04-18</t>
        </is>
      </c>
      <c r="X1406" t="inlineStr">
        <is>
          <t>1997-04-18</t>
        </is>
      </c>
      <c r="Y1406" t="n">
        <v>524</v>
      </c>
      <c r="Z1406" t="n">
        <v>462</v>
      </c>
      <c r="AA1406" t="n">
        <v>465</v>
      </c>
      <c r="AB1406" t="n">
        <v>4</v>
      </c>
      <c r="AC1406" t="n">
        <v>4</v>
      </c>
      <c r="AD1406" t="n">
        <v>20</v>
      </c>
      <c r="AE1406" t="n">
        <v>20</v>
      </c>
      <c r="AF1406" t="n">
        <v>8</v>
      </c>
      <c r="AG1406" t="n">
        <v>8</v>
      </c>
      <c r="AH1406" t="n">
        <v>4</v>
      </c>
      <c r="AI1406" t="n">
        <v>4</v>
      </c>
      <c r="AJ1406" t="n">
        <v>12</v>
      </c>
      <c r="AK1406" t="n">
        <v>12</v>
      </c>
      <c r="AL1406" t="n">
        <v>3</v>
      </c>
      <c r="AM1406" t="n">
        <v>3</v>
      </c>
      <c r="AN1406" t="n">
        <v>0</v>
      </c>
      <c r="AO1406" t="n">
        <v>0</v>
      </c>
      <c r="AP1406" t="inlineStr">
        <is>
          <t>No</t>
        </is>
      </c>
      <c r="AQ1406" t="inlineStr">
        <is>
          <t>No</t>
        </is>
      </c>
      <c r="AS1406">
        <f>HYPERLINK("https://creighton-primo.hosted.exlibrisgroup.com/primo-explore/search?tab=default_tab&amp;search_scope=EVERYTHING&amp;vid=01CRU&amp;lang=en_US&amp;offset=0&amp;query=any,contains,991003628439702656","Catalog Record")</f>
        <v/>
      </c>
      <c r="AT1406">
        <f>HYPERLINK("http://www.worldcat.org/oclc/1218572","WorldCat Record")</f>
        <v/>
      </c>
      <c r="AU1406" t="inlineStr">
        <is>
          <t>118044521:eng</t>
        </is>
      </c>
      <c r="AV1406" t="inlineStr">
        <is>
          <t>1218572</t>
        </is>
      </c>
      <c r="AW1406" t="inlineStr">
        <is>
          <t>991003628439702656</t>
        </is>
      </c>
      <c r="AX1406" t="inlineStr">
        <is>
          <t>991003628439702656</t>
        </is>
      </c>
      <c r="AY1406" t="inlineStr">
        <is>
          <t>2271747820002656</t>
        </is>
      </c>
      <c r="AZ1406" t="inlineStr">
        <is>
          <t>BOOK</t>
        </is>
      </c>
      <c r="BB1406" t="inlineStr">
        <is>
          <t>9780870491702</t>
        </is>
      </c>
      <c r="BC1406" t="inlineStr">
        <is>
          <t>32285002555463</t>
        </is>
      </c>
      <c r="BD1406" t="inlineStr">
        <is>
          <t>893605013</t>
        </is>
      </c>
    </row>
    <row r="1407">
      <c r="A1407" t="inlineStr">
        <is>
          <t>No</t>
        </is>
      </c>
      <c r="B1407" t="inlineStr">
        <is>
          <t>E469 .F387</t>
        </is>
      </c>
      <c r="C1407" t="inlineStr">
        <is>
          <t>0                      E  0469000F  387</t>
        </is>
      </c>
      <c r="D1407" t="inlineStr">
        <is>
          <t>The Trent affair : a diplomatic crisis / by Norman B. Ferris.</t>
        </is>
      </c>
      <c r="F1407" t="inlineStr">
        <is>
          <t>No</t>
        </is>
      </c>
      <c r="G1407" t="inlineStr">
        <is>
          <t>1</t>
        </is>
      </c>
      <c r="H1407" t="inlineStr">
        <is>
          <t>No</t>
        </is>
      </c>
      <c r="I1407" t="inlineStr">
        <is>
          <t>No</t>
        </is>
      </c>
      <c r="J1407" t="inlineStr">
        <is>
          <t>0</t>
        </is>
      </c>
      <c r="K1407" t="inlineStr">
        <is>
          <t>Ferris, Norman B., 1931-</t>
        </is>
      </c>
      <c r="L1407" t="inlineStr">
        <is>
          <t>Knoxville : University of Tennessee Press, c1977.</t>
        </is>
      </c>
      <c r="M1407" t="inlineStr">
        <is>
          <t>1977</t>
        </is>
      </c>
      <c r="N1407" t="inlineStr">
        <is>
          <t>1st ed.</t>
        </is>
      </c>
      <c r="O1407" t="inlineStr">
        <is>
          <t>eng</t>
        </is>
      </c>
      <c r="P1407" t="inlineStr">
        <is>
          <t>tnu</t>
        </is>
      </c>
      <c r="R1407" t="inlineStr">
        <is>
          <t xml:space="preserve">E  </t>
        </is>
      </c>
      <c r="S1407" t="n">
        <v>4</v>
      </c>
      <c r="T1407" t="n">
        <v>4</v>
      </c>
      <c r="U1407" t="inlineStr">
        <is>
          <t>2001-04-06</t>
        </is>
      </c>
      <c r="V1407" t="inlineStr">
        <is>
          <t>2001-04-06</t>
        </is>
      </c>
      <c r="W1407" t="inlineStr">
        <is>
          <t>1997-04-18</t>
        </is>
      </c>
      <c r="X1407" t="inlineStr">
        <is>
          <t>1997-04-18</t>
        </is>
      </c>
      <c r="Y1407" t="n">
        <v>586</v>
      </c>
      <c r="Z1407" t="n">
        <v>530</v>
      </c>
      <c r="AA1407" t="n">
        <v>531</v>
      </c>
      <c r="AB1407" t="n">
        <v>7</v>
      </c>
      <c r="AC1407" t="n">
        <v>7</v>
      </c>
      <c r="AD1407" t="n">
        <v>28</v>
      </c>
      <c r="AE1407" t="n">
        <v>28</v>
      </c>
      <c r="AF1407" t="n">
        <v>13</v>
      </c>
      <c r="AG1407" t="n">
        <v>13</v>
      </c>
      <c r="AH1407" t="n">
        <v>6</v>
      </c>
      <c r="AI1407" t="n">
        <v>6</v>
      </c>
      <c r="AJ1407" t="n">
        <v>11</v>
      </c>
      <c r="AK1407" t="n">
        <v>11</v>
      </c>
      <c r="AL1407" t="n">
        <v>6</v>
      </c>
      <c r="AM1407" t="n">
        <v>6</v>
      </c>
      <c r="AN1407" t="n">
        <v>0</v>
      </c>
      <c r="AO1407" t="n">
        <v>0</v>
      </c>
      <c r="AP1407" t="inlineStr">
        <is>
          <t>No</t>
        </is>
      </c>
      <c r="AQ1407" t="inlineStr">
        <is>
          <t>No</t>
        </is>
      </c>
      <c r="AS1407">
        <f>HYPERLINK("https://creighton-primo.hosted.exlibrisgroup.com/primo-explore/search?tab=default_tab&amp;search_scope=EVERYTHING&amp;vid=01CRU&amp;lang=en_US&amp;offset=0&amp;query=any,contains,991004107979702656","Catalog Record")</f>
        <v/>
      </c>
      <c r="AT1407">
        <f>HYPERLINK("http://www.worldcat.org/oclc/2388243","WorldCat Record")</f>
        <v/>
      </c>
      <c r="AU1407" t="inlineStr">
        <is>
          <t>423887976:eng</t>
        </is>
      </c>
      <c r="AV1407" t="inlineStr">
        <is>
          <t>2388243</t>
        </is>
      </c>
      <c r="AW1407" t="inlineStr">
        <is>
          <t>991004107979702656</t>
        </is>
      </c>
      <c r="AX1407" t="inlineStr">
        <is>
          <t>991004107979702656</t>
        </is>
      </c>
      <c r="AY1407" t="inlineStr">
        <is>
          <t>2259317050002656</t>
        </is>
      </c>
      <c r="AZ1407" t="inlineStr">
        <is>
          <t>BOOK</t>
        </is>
      </c>
      <c r="BB1407" t="inlineStr">
        <is>
          <t>9780870491696</t>
        </is>
      </c>
      <c r="BC1407" t="inlineStr">
        <is>
          <t>32285002555471</t>
        </is>
      </c>
      <c r="BD1407" t="inlineStr">
        <is>
          <t>893525665</t>
        </is>
      </c>
    </row>
    <row r="1408">
      <c r="A1408" t="inlineStr">
        <is>
          <t>No</t>
        </is>
      </c>
      <c r="B1408" t="inlineStr">
        <is>
          <t>E469 .M28 1999</t>
        </is>
      </c>
      <c r="C1408" t="inlineStr">
        <is>
          <t>0                      E  0469000M  28          1999</t>
        </is>
      </c>
      <c r="D1408" t="inlineStr">
        <is>
          <t>One war at a time : the international dimensions of the American Civil War / Dean B. Mahin.</t>
        </is>
      </c>
      <c r="F1408" t="inlineStr">
        <is>
          <t>No</t>
        </is>
      </c>
      <c r="G1408" t="inlineStr">
        <is>
          <t>1</t>
        </is>
      </c>
      <c r="H1408" t="inlineStr">
        <is>
          <t>No</t>
        </is>
      </c>
      <c r="I1408" t="inlineStr">
        <is>
          <t>No</t>
        </is>
      </c>
      <c r="J1408" t="inlineStr">
        <is>
          <t>0</t>
        </is>
      </c>
      <c r="K1408" t="inlineStr">
        <is>
          <t>Mahin, Dean B., 1925-</t>
        </is>
      </c>
      <c r="L1408" t="inlineStr">
        <is>
          <t>Washington, D.C. : Brassey's, c1999.</t>
        </is>
      </c>
      <c r="M1408" t="inlineStr">
        <is>
          <t>1999</t>
        </is>
      </c>
      <c r="N1408" t="inlineStr">
        <is>
          <t>1st ed.</t>
        </is>
      </c>
      <c r="O1408" t="inlineStr">
        <is>
          <t>eng</t>
        </is>
      </c>
      <c r="P1408" t="inlineStr">
        <is>
          <t>dcu</t>
        </is>
      </c>
      <c r="R1408" t="inlineStr">
        <is>
          <t xml:space="preserve">E  </t>
        </is>
      </c>
      <c r="S1408" t="n">
        <v>5</v>
      </c>
      <c r="T1408" t="n">
        <v>5</v>
      </c>
      <c r="U1408" t="inlineStr">
        <is>
          <t>2001-04-06</t>
        </is>
      </c>
      <c r="V1408" t="inlineStr">
        <is>
          <t>2001-04-06</t>
        </is>
      </c>
      <c r="W1408" t="inlineStr">
        <is>
          <t>2000-10-17</t>
        </is>
      </c>
      <c r="X1408" t="inlineStr">
        <is>
          <t>2000-10-17</t>
        </is>
      </c>
      <c r="Y1408" t="n">
        <v>625</v>
      </c>
      <c r="Z1408" t="n">
        <v>569</v>
      </c>
      <c r="AA1408" t="n">
        <v>590</v>
      </c>
      <c r="AB1408" t="n">
        <v>3</v>
      </c>
      <c r="AC1408" t="n">
        <v>3</v>
      </c>
      <c r="AD1408" t="n">
        <v>31</v>
      </c>
      <c r="AE1408" t="n">
        <v>33</v>
      </c>
      <c r="AF1408" t="n">
        <v>15</v>
      </c>
      <c r="AG1408" t="n">
        <v>16</v>
      </c>
      <c r="AH1408" t="n">
        <v>7</v>
      </c>
      <c r="AI1408" t="n">
        <v>7</v>
      </c>
      <c r="AJ1408" t="n">
        <v>14</v>
      </c>
      <c r="AK1408" t="n">
        <v>15</v>
      </c>
      <c r="AL1408" t="n">
        <v>2</v>
      </c>
      <c r="AM1408" t="n">
        <v>2</v>
      </c>
      <c r="AN1408" t="n">
        <v>0</v>
      </c>
      <c r="AO1408" t="n">
        <v>0</v>
      </c>
      <c r="AP1408" t="inlineStr">
        <is>
          <t>No</t>
        </is>
      </c>
      <c r="AQ1408" t="inlineStr">
        <is>
          <t>Yes</t>
        </is>
      </c>
      <c r="AR1408">
        <f>HYPERLINK("http://catalog.hathitrust.org/Record/004063034","HathiTrust Record")</f>
        <v/>
      </c>
      <c r="AS1408">
        <f>HYPERLINK("https://creighton-primo.hosted.exlibrisgroup.com/primo-explore/search?tab=default_tab&amp;search_scope=EVERYTHING&amp;vid=01CRU&amp;lang=en_US&amp;offset=0&amp;query=any,contains,991003297909702656","Catalog Record")</f>
        <v/>
      </c>
      <c r="AT1408">
        <f>HYPERLINK("http://www.worldcat.org/oclc/41315486","WorldCat Record")</f>
        <v/>
      </c>
      <c r="AU1408" t="inlineStr">
        <is>
          <t>56119:eng</t>
        </is>
      </c>
      <c r="AV1408" t="inlineStr">
        <is>
          <t>41315486</t>
        </is>
      </c>
      <c r="AW1408" t="inlineStr">
        <is>
          <t>991003297909702656</t>
        </is>
      </c>
      <c r="AX1408" t="inlineStr">
        <is>
          <t>991003297909702656</t>
        </is>
      </c>
      <c r="AY1408" t="inlineStr">
        <is>
          <t>2269944230002656</t>
        </is>
      </c>
      <c r="AZ1408" t="inlineStr">
        <is>
          <t>BOOK</t>
        </is>
      </c>
      <c r="BB1408" t="inlineStr">
        <is>
          <t>9781574882094</t>
        </is>
      </c>
      <c r="BC1408" t="inlineStr">
        <is>
          <t>32285003768206</t>
        </is>
      </c>
      <c r="BD1408" t="inlineStr">
        <is>
          <t>893524651</t>
        </is>
      </c>
    </row>
    <row r="1409">
      <c r="A1409" t="inlineStr">
        <is>
          <t>No</t>
        </is>
      </c>
      <c r="B1409" t="inlineStr">
        <is>
          <t>E469 .M75 1972</t>
        </is>
      </c>
      <c r="C1409" t="inlineStr">
        <is>
          <t>0                      E  0469000M  75          1972</t>
        </is>
      </c>
      <c r="D1409" t="inlineStr">
        <is>
          <t>Diplomat in carpet slippers; Abraham Lincoln deals with foreign affairs, by Jay Monaghan.</t>
        </is>
      </c>
      <c r="F1409" t="inlineStr">
        <is>
          <t>No</t>
        </is>
      </c>
      <c r="G1409" t="inlineStr">
        <is>
          <t>1</t>
        </is>
      </c>
      <c r="H1409" t="inlineStr">
        <is>
          <t>No</t>
        </is>
      </c>
      <c r="I1409" t="inlineStr">
        <is>
          <t>No</t>
        </is>
      </c>
      <c r="J1409" t="inlineStr">
        <is>
          <t>0</t>
        </is>
      </c>
      <c r="K1409" t="inlineStr">
        <is>
          <t>Monaghan, Jay, 1891-1980.</t>
        </is>
      </c>
      <c r="L1409" t="inlineStr">
        <is>
          <t>Freeport, N.Y., Books for Libraries Press [1972, c1945]</t>
        </is>
      </c>
      <c r="M1409" t="inlineStr">
        <is>
          <t>1972</t>
        </is>
      </c>
      <c r="O1409" t="inlineStr">
        <is>
          <t>eng</t>
        </is>
      </c>
      <c r="P1409" t="inlineStr">
        <is>
          <t>nyu</t>
        </is>
      </c>
      <c r="R1409" t="inlineStr">
        <is>
          <t xml:space="preserve">E  </t>
        </is>
      </c>
      <c r="S1409" t="n">
        <v>3</v>
      </c>
      <c r="T1409" t="n">
        <v>3</v>
      </c>
      <c r="U1409" t="inlineStr">
        <is>
          <t>2001-04-06</t>
        </is>
      </c>
      <c r="V1409" t="inlineStr">
        <is>
          <t>2001-04-06</t>
        </is>
      </c>
      <c r="W1409" t="inlineStr">
        <is>
          <t>1997-04-18</t>
        </is>
      </c>
      <c r="X1409" t="inlineStr">
        <is>
          <t>1997-04-18</t>
        </is>
      </c>
      <c r="Y1409" t="n">
        <v>105</v>
      </c>
      <c r="Z1409" t="n">
        <v>100</v>
      </c>
      <c r="AA1409" t="n">
        <v>913</v>
      </c>
      <c r="AB1409" t="n">
        <v>1</v>
      </c>
      <c r="AC1409" t="n">
        <v>7</v>
      </c>
      <c r="AD1409" t="n">
        <v>2</v>
      </c>
      <c r="AE1409" t="n">
        <v>40</v>
      </c>
      <c r="AF1409" t="n">
        <v>2</v>
      </c>
      <c r="AG1409" t="n">
        <v>16</v>
      </c>
      <c r="AH1409" t="n">
        <v>0</v>
      </c>
      <c r="AI1409" t="n">
        <v>7</v>
      </c>
      <c r="AJ1409" t="n">
        <v>0</v>
      </c>
      <c r="AK1409" t="n">
        <v>18</v>
      </c>
      <c r="AL1409" t="n">
        <v>0</v>
      </c>
      <c r="AM1409" t="n">
        <v>4</v>
      </c>
      <c r="AN1409" t="n">
        <v>0</v>
      </c>
      <c r="AO1409" t="n">
        <v>3</v>
      </c>
      <c r="AP1409" t="inlineStr">
        <is>
          <t>No</t>
        </is>
      </c>
      <c r="AQ1409" t="inlineStr">
        <is>
          <t>No</t>
        </is>
      </c>
      <c r="AS1409">
        <f>HYPERLINK("https://creighton-primo.hosted.exlibrisgroup.com/primo-explore/search?tab=default_tab&amp;search_scope=EVERYTHING&amp;vid=01CRU&amp;lang=en_US&amp;offset=0&amp;query=any,contains,991002622779702656","Catalog Record")</f>
        <v/>
      </c>
      <c r="AT1409">
        <f>HYPERLINK("http://www.worldcat.org/oclc/380999","WorldCat Record")</f>
        <v/>
      </c>
      <c r="AU1409" t="inlineStr">
        <is>
          <t>52424128:eng</t>
        </is>
      </c>
      <c r="AV1409" t="inlineStr">
        <is>
          <t>380999</t>
        </is>
      </c>
      <c r="AW1409" t="inlineStr">
        <is>
          <t>991002622779702656</t>
        </is>
      </c>
      <c r="AX1409" t="inlineStr">
        <is>
          <t>991002622779702656</t>
        </is>
      </c>
      <c r="AY1409" t="inlineStr">
        <is>
          <t>2261302860002656</t>
        </is>
      </c>
      <c r="AZ1409" t="inlineStr">
        <is>
          <t>BOOK</t>
        </is>
      </c>
      <c r="BB1409" t="inlineStr">
        <is>
          <t>9780836968026</t>
        </is>
      </c>
      <c r="BC1409" t="inlineStr">
        <is>
          <t>32285002555489</t>
        </is>
      </c>
      <c r="BD1409" t="inlineStr">
        <is>
          <t>893622501</t>
        </is>
      </c>
    </row>
    <row r="1410">
      <c r="A1410" t="inlineStr">
        <is>
          <t>No</t>
        </is>
      </c>
      <c r="B1410" t="inlineStr">
        <is>
          <t>E469 .W3</t>
        </is>
      </c>
      <c r="C1410" t="inlineStr">
        <is>
          <t>0                      E  0469000W  3</t>
        </is>
      </c>
      <c r="D1410" t="inlineStr">
        <is>
          <t>Fountain of discontent : the Trent Affair and freedom of the seas / Gordon H. Warren.</t>
        </is>
      </c>
      <c r="F1410" t="inlineStr">
        <is>
          <t>No</t>
        </is>
      </c>
      <c r="G1410" t="inlineStr">
        <is>
          <t>1</t>
        </is>
      </c>
      <c r="H1410" t="inlineStr">
        <is>
          <t>No</t>
        </is>
      </c>
      <c r="I1410" t="inlineStr">
        <is>
          <t>No</t>
        </is>
      </c>
      <c r="J1410" t="inlineStr">
        <is>
          <t>0</t>
        </is>
      </c>
      <c r="K1410" t="inlineStr">
        <is>
          <t>Warren, Gordon H., 1944-</t>
        </is>
      </c>
      <c r="L1410" t="inlineStr">
        <is>
          <t>Boston : Northeastern University Press, 1981.</t>
        </is>
      </c>
      <c r="M1410" t="inlineStr">
        <is>
          <t>1981</t>
        </is>
      </c>
      <c r="O1410" t="inlineStr">
        <is>
          <t>eng</t>
        </is>
      </c>
      <c r="P1410" t="inlineStr">
        <is>
          <t>mau</t>
        </is>
      </c>
      <c r="R1410" t="inlineStr">
        <is>
          <t xml:space="preserve">E  </t>
        </is>
      </c>
      <c r="S1410" t="n">
        <v>4</v>
      </c>
      <c r="T1410" t="n">
        <v>4</v>
      </c>
      <c r="U1410" t="inlineStr">
        <is>
          <t>2001-04-06</t>
        </is>
      </c>
      <c r="V1410" t="inlineStr">
        <is>
          <t>2001-04-06</t>
        </is>
      </c>
      <c r="W1410" t="inlineStr">
        <is>
          <t>1991-05-03</t>
        </is>
      </c>
      <c r="X1410" t="inlineStr">
        <is>
          <t>1991-05-03</t>
        </is>
      </c>
      <c r="Y1410" t="n">
        <v>540</v>
      </c>
      <c r="Z1410" t="n">
        <v>493</v>
      </c>
      <c r="AA1410" t="n">
        <v>495</v>
      </c>
      <c r="AB1410" t="n">
        <v>4</v>
      </c>
      <c r="AC1410" t="n">
        <v>4</v>
      </c>
      <c r="AD1410" t="n">
        <v>20</v>
      </c>
      <c r="AE1410" t="n">
        <v>20</v>
      </c>
      <c r="AF1410" t="n">
        <v>10</v>
      </c>
      <c r="AG1410" t="n">
        <v>10</v>
      </c>
      <c r="AH1410" t="n">
        <v>3</v>
      </c>
      <c r="AI1410" t="n">
        <v>3</v>
      </c>
      <c r="AJ1410" t="n">
        <v>10</v>
      </c>
      <c r="AK1410" t="n">
        <v>10</v>
      </c>
      <c r="AL1410" t="n">
        <v>3</v>
      </c>
      <c r="AM1410" t="n">
        <v>3</v>
      </c>
      <c r="AN1410" t="n">
        <v>0</v>
      </c>
      <c r="AO1410" t="n">
        <v>0</v>
      </c>
      <c r="AP1410" t="inlineStr">
        <is>
          <t>No</t>
        </is>
      </c>
      <c r="AQ1410" t="inlineStr">
        <is>
          <t>Yes</t>
        </is>
      </c>
      <c r="AR1410">
        <f>HYPERLINK("http://catalog.hathitrust.org/Record/000138717","HathiTrust Record")</f>
        <v/>
      </c>
      <c r="AS1410">
        <f>HYPERLINK("https://creighton-primo.hosted.exlibrisgroup.com/primo-explore/search?tab=default_tab&amp;search_scope=EVERYTHING&amp;vid=01CRU&amp;lang=en_US&amp;offset=0&amp;query=any,contains,991005048279702656","Catalog Record")</f>
        <v/>
      </c>
      <c r="AT1410">
        <f>HYPERLINK("http://www.worldcat.org/oclc/6861991","WorldCat Record")</f>
        <v/>
      </c>
      <c r="AU1410" t="inlineStr">
        <is>
          <t>562771:eng</t>
        </is>
      </c>
      <c r="AV1410" t="inlineStr">
        <is>
          <t>6861991</t>
        </is>
      </c>
      <c r="AW1410" t="inlineStr">
        <is>
          <t>991005048279702656</t>
        </is>
      </c>
      <c r="AX1410" t="inlineStr">
        <is>
          <t>991005048279702656</t>
        </is>
      </c>
      <c r="AY1410" t="inlineStr">
        <is>
          <t>2272817530002656</t>
        </is>
      </c>
      <c r="AZ1410" t="inlineStr">
        <is>
          <t>BOOK</t>
        </is>
      </c>
      <c r="BB1410" t="inlineStr">
        <is>
          <t>9780930350123</t>
        </is>
      </c>
      <c r="BC1410" t="inlineStr">
        <is>
          <t>32285000610054</t>
        </is>
      </c>
      <c r="BD1410" t="inlineStr">
        <is>
          <t>893619361</t>
        </is>
      </c>
    </row>
    <row r="1411">
      <c r="A1411" t="inlineStr">
        <is>
          <t>No</t>
        </is>
      </c>
      <c r="B1411" t="inlineStr">
        <is>
          <t>E469 .W6</t>
        </is>
      </c>
      <c r="C1411" t="inlineStr">
        <is>
          <t>0                      E  0469000W  6</t>
        </is>
      </c>
      <c r="D1411" t="inlineStr">
        <is>
          <t>Lincoln and the Russians.</t>
        </is>
      </c>
      <c r="F1411" t="inlineStr">
        <is>
          <t>No</t>
        </is>
      </c>
      <c r="G1411" t="inlineStr">
        <is>
          <t>1</t>
        </is>
      </c>
      <c r="H1411" t="inlineStr">
        <is>
          <t>No</t>
        </is>
      </c>
      <c r="I1411" t="inlineStr">
        <is>
          <t>No</t>
        </is>
      </c>
      <c r="J1411" t="inlineStr">
        <is>
          <t>0</t>
        </is>
      </c>
      <c r="K1411" t="inlineStr">
        <is>
          <t>Woldman, Albert A. (Albert Alexander), 1897-1971.</t>
        </is>
      </c>
      <c r="L1411" t="inlineStr">
        <is>
          <t>Cleveland, World Pub. Co. [1952]</t>
        </is>
      </c>
      <c r="M1411" t="inlineStr">
        <is>
          <t>1952</t>
        </is>
      </c>
      <c r="N1411" t="inlineStr">
        <is>
          <t>[1st ed.]</t>
        </is>
      </c>
      <c r="O1411" t="inlineStr">
        <is>
          <t>eng</t>
        </is>
      </c>
      <c r="P1411" t="inlineStr">
        <is>
          <t>ohu</t>
        </is>
      </c>
      <c r="R1411" t="inlineStr">
        <is>
          <t xml:space="preserve">E  </t>
        </is>
      </c>
      <c r="S1411" t="n">
        <v>5</v>
      </c>
      <c r="T1411" t="n">
        <v>5</v>
      </c>
      <c r="U1411" t="inlineStr">
        <is>
          <t>2001-04-06</t>
        </is>
      </c>
      <c r="V1411" t="inlineStr">
        <is>
          <t>2001-04-06</t>
        </is>
      </c>
      <c r="W1411" t="inlineStr">
        <is>
          <t>1997-04-18</t>
        </is>
      </c>
      <c r="X1411" t="inlineStr">
        <is>
          <t>1997-04-18</t>
        </is>
      </c>
      <c r="Y1411" t="n">
        <v>718</v>
      </c>
      <c r="Z1411" t="n">
        <v>677</v>
      </c>
      <c r="AA1411" t="n">
        <v>863</v>
      </c>
      <c r="AB1411" t="n">
        <v>5</v>
      </c>
      <c r="AC1411" t="n">
        <v>6</v>
      </c>
      <c r="AD1411" t="n">
        <v>38</v>
      </c>
      <c r="AE1411" t="n">
        <v>44</v>
      </c>
      <c r="AF1411" t="n">
        <v>16</v>
      </c>
      <c r="AG1411" t="n">
        <v>18</v>
      </c>
      <c r="AH1411" t="n">
        <v>8</v>
      </c>
      <c r="AI1411" t="n">
        <v>9</v>
      </c>
      <c r="AJ1411" t="n">
        <v>21</v>
      </c>
      <c r="AK1411" t="n">
        <v>23</v>
      </c>
      <c r="AL1411" t="n">
        <v>4</v>
      </c>
      <c r="AM1411" t="n">
        <v>5</v>
      </c>
      <c r="AN1411" t="n">
        <v>1</v>
      </c>
      <c r="AO1411" t="n">
        <v>2</v>
      </c>
      <c r="AP1411" t="inlineStr">
        <is>
          <t>Yes</t>
        </is>
      </c>
      <c r="AQ1411" t="inlineStr">
        <is>
          <t>No</t>
        </is>
      </c>
      <c r="AR1411">
        <f>HYPERLINK("http://catalog.hathitrust.org/Record/000563686","HathiTrust Record")</f>
        <v/>
      </c>
      <c r="AS1411">
        <f>HYPERLINK("https://creighton-primo.hosted.exlibrisgroup.com/primo-explore/search?tab=default_tab&amp;search_scope=EVERYTHING&amp;vid=01CRU&amp;lang=en_US&amp;offset=0&amp;query=any,contains,991002793429702656","Catalog Record")</f>
        <v/>
      </c>
      <c r="AT1411">
        <f>HYPERLINK("http://www.worldcat.org/oclc/444380","WorldCat Record")</f>
        <v/>
      </c>
      <c r="AU1411" t="inlineStr">
        <is>
          <t>1290494:eng</t>
        </is>
      </c>
      <c r="AV1411" t="inlineStr">
        <is>
          <t>444380</t>
        </is>
      </c>
      <c r="AW1411" t="inlineStr">
        <is>
          <t>991002793429702656</t>
        </is>
      </c>
      <c r="AX1411" t="inlineStr">
        <is>
          <t>991002793429702656</t>
        </is>
      </c>
      <c r="AY1411" t="inlineStr">
        <is>
          <t>2265151570002656</t>
        </is>
      </c>
      <c r="AZ1411" t="inlineStr">
        <is>
          <t>BOOK</t>
        </is>
      </c>
      <c r="BC1411" t="inlineStr">
        <is>
          <t>32285002555505</t>
        </is>
      </c>
      <c r="BD1411" t="inlineStr">
        <is>
          <t>893604039</t>
        </is>
      </c>
    </row>
    <row r="1412">
      <c r="A1412" t="inlineStr">
        <is>
          <t>No</t>
        </is>
      </c>
      <c r="B1412" t="inlineStr">
        <is>
          <t>E469.8 .B6 1997</t>
        </is>
      </c>
      <c r="C1412" t="inlineStr">
        <is>
          <t>0                      E  0469800B  6           1997</t>
        </is>
      </c>
      <c r="D1412" t="inlineStr">
        <is>
          <t>French newspaper opinion on the American Civil War / George M. Blackburn.</t>
        </is>
      </c>
      <c r="F1412" t="inlineStr">
        <is>
          <t>No</t>
        </is>
      </c>
      <c r="G1412" t="inlineStr">
        <is>
          <t>1</t>
        </is>
      </c>
      <c r="H1412" t="inlineStr">
        <is>
          <t>No</t>
        </is>
      </c>
      <c r="I1412" t="inlineStr">
        <is>
          <t>No</t>
        </is>
      </c>
      <c r="J1412" t="inlineStr">
        <is>
          <t>0</t>
        </is>
      </c>
      <c r="K1412" t="inlineStr">
        <is>
          <t>Blackburn, George M. (George McCoy), 1926-</t>
        </is>
      </c>
      <c r="L1412" t="inlineStr">
        <is>
          <t>Westport, Conn. : Greenwood Press, 1997.</t>
        </is>
      </c>
      <c r="M1412" t="inlineStr">
        <is>
          <t>1997</t>
        </is>
      </c>
      <c r="O1412" t="inlineStr">
        <is>
          <t>eng</t>
        </is>
      </c>
      <c r="P1412" t="inlineStr">
        <is>
          <t>ctu</t>
        </is>
      </c>
      <c r="Q1412" t="inlineStr">
        <is>
          <t>Contributions in American history, 0084-9219 ; no. 171</t>
        </is>
      </c>
      <c r="R1412" t="inlineStr">
        <is>
          <t xml:space="preserve">E  </t>
        </is>
      </c>
      <c r="S1412" t="n">
        <v>7</v>
      </c>
      <c r="T1412" t="n">
        <v>7</v>
      </c>
      <c r="U1412" t="inlineStr">
        <is>
          <t>2001-04-06</t>
        </is>
      </c>
      <c r="V1412" t="inlineStr">
        <is>
          <t>2001-04-06</t>
        </is>
      </c>
      <c r="W1412" t="inlineStr">
        <is>
          <t>1997-11-06</t>
        </is>
      </c>
      <c r="X1412" t="inlineStr">
        <is>
          <t>1997-11-06</t>
        </is>
      </c>
      <c r="Y1412" t="n">
        <v>222</v>
      </c>
      <c r="Z1412" t="n">
        <v>193</v>
      </c>
      <c r="AA1412" t="n">
        <v>205</v>
      </c>
      <c r="AB1412" t="n">
        <v>2</v>
      </c>
      <c r="AC1412" t="n">
        <v>2</v>
      </c>
      <c r="AD1412" t="n">
        <v>10</v>
      </c>
      <c r="AE1412" t="n">
        <v>10</v>
      </c>
      <c r="AF1412" t="n">
        <v>3</v>
      </c>
      <c r="AG1412" t="n">
        <v>3</v>
      </c>
      <c r="AH1412" t="n">
        <v>4</v>
      </c>
      <c r="AI1412" t="n">
        <v>4</v>
      </c>
      <c r="AJ1412" t="n">
        <v>6</v>
      </c>
      <c r="AK1412" t="n">
        <v>6</v>
      </c>
      <c r="AL1412" t="n">
        <v>1</v>
      </c>
      <c r="AM1412" t="n">
        <v>1</v>
      </c>
      <c r="AN1412" t="n">
        <v>0</v>
      </c>
      <c r="AO1412" t="n">
        <v>0</v>
      </c>
      <c r="AP1412" t="inlineStr">
        <is>
          <t>No</t>
        </is>
      </c>
      <c r="AQ1412" t="inlineStr">
        <is>
          <t>Yes</t>
        </is>
      </c>
      <c r="AR1412">
        <f>HYPERLINK("http://catalog.hathitrust.org/Record/003176008","HathiTrust Record")</f>
        <v/>
      </c>
      <c r="AS1412">
        <f>HYPERLINK("https://creighton-primo.hosted.exlibrisgroup.com/primo-explore/search?tab=default_tab&amp;search_scope=EVERYTHING&amp;vid=01CRU&amp;lang=en_US&amp;offset=0&amp;query=any,contains,991002689269702656","Catalog Record")</f>
        <v/>
      </c>
      <c r="AT1412">
        <f>HYPERLINK("http://www.worldcat.org/oclc/35128112","WorldCat Record")</f>
        <v/>
      </c>
      <c r="AU1412" t="inlineStr">
        <is>
          <t>2629887:eng</t>
        </is>
      </c>
      <c r="AV1412" t="inlineStr">
        <is>
          <t>35128112</t>
        </is>
      </c>
      <c r="AW1412" t="inlineStr">
        <is>
          <t>991002689269702656</t>
        </is>
      </c>
      <c r="AX1412" t="inlineStr">
        <is>
          <t>991002689269702656</t>
        </is>
      </c>
      <c r="AY1412" t="inlineStr">
        <is>
          <t>2271038890002656</t>
        </is>
      </c>
      <c r="AZ1412" t="inlineStr">
        <is>
          <t>BOOK</t>
        </is>
      </c>
      <c r="BB1412" t="inlineStr">
        <is>
          <t>9780313302619</t>
        </is>
      </c>
      <c r="BC1412" t="inlineStr">
        <is>
          <t>32285003277406</t>
        </is>
      </c>
      <c r="BD1412" t="inlineStr">
        <is>
          <t>893704382</t>
        </is>
      </c>
    </row>
    <row r="1413">
      <c r="A1413" t="inlineStr">
        <is>
          <t>No</t>
        </is>
      </c>
      <c r="B1413" t="inlineStr">
        <is>
          <t>E469.8 .B86 1970</t>
        </is>
      </c>
      <c r="C1413" t="inlineStr">
        <is>
          <t>0                      E  0469800B  86          1970</t>
        </is>
      </c>
      <c r="D1413" t="inlineStr">
        <is>
          <t>Speeches of John Bright, M.P., on the American question / with an introduction by Frank Moore.</t>
        </is>
      </c>
      <c r="F1413" t="inlineStr">
        <is>
          <t>No</t>
        </is>
      </c>
      <c r="G1413" t="inlineStr">
        <is>
          <t>1</t>
        </is>
      </c>
      <c r="H1413" t="inlineStr">
        <is>
          <t>No</t>
        </is>
      </c>
      <c r="I1413" t="inlineStr">
        <is>
          <t>No</t>
        </is>
      </c>
      <c r="J1413" t="inlineStr">
        <is>
          <t>0</t>
        </is>
      </c>
      <c r="K1413" t="inlineStr">
        <is>
          <t>Bright, John, 1811-1889.</t>
        </is>
      </c>
      <c r="L1413" t="inlineStr">
        <is>
          <t>Boston, Little, Brown, 1865; New York, Kraus Reprint Co., 1970.</t>
        </is>
      </c>
      <c r="M1413" t="inlineStr">
        <is>
          <t>1970</t>
        </is>
      </c>
      <c r="O1413" t="inlineStr">
        <is>
          <t>eng</t>
        </is>
      </c>
      <c r="P1413" t="inlineStr">
        <is>
          <t>mau</t>
        </is>
      </c>
      <c r="R1413" t="inlineStr">
        <is>
          <t xml:space="preserve">E  </t>
        </is>
      </c>
      <c r="S1413" t="n">
        <v>5</v>
      </c>
      <c r="T1413" t="n">
        <v>5</v>
      </c>
      <c r="U1413" t="inlineStr">
        <is>
          <t>2001-04-06</t>
        </is>
      </c>
      <c r="V1413" t="inlineStr">
        <is>
          <t>2001-04-06</t>
        </is>
      </c>
      <c r="W1413" t="inlineStr">
        <is>
          <t>1997-04-21</t>
        </is>
      </c>
      <c r="X1413" t="inlineStr">
        <is>
          <t>1997-04-21</t>
        </is>
      </c>
      <c r="Y1413" t="n">
        <v>119</v>
      </c>
      <c r="Z1413" t="n">
        <v>114</v>
      </c>
      <c r="AA1413" t="n">
        <v>361</v>
      </c>
      <c r="AB1413" t="n">
        <v>4</v>
      </c>
      <c r="AC1413" t="n">
        <v>5</v>
      </c>
      <c r="AD1413" t="n">
        <v>8</v>
      </c>
      <c r="AE1413" t="n">
        <v>17</v>
      </c>
      <c r="AF1413" t="n">
        <v>2</v>
      </c>
      <c r="AG1413" t="n">
        <v>4</v>
      </c>
      <c r="AH1413" t="n">
        <v>2</v>
      </c>
      <c r="AI1413" t="n">
        <v>4</v>
      </c>
      <c r="AJ1413" t="n">
        <v>3</v>
      </c>
      <c r="AK1413" t="n">
        <v>9</v>
      </c>
      <c r="AL1413" t="n">
        <v>3</v>
      </c>
      <c r="AM1413" t="n">
        <v>3</v>
      </c>
      <c r="AN1413" t="n">
        <v>0</v>
      </c>
      <c r="AO1413" t="n">
        <v>0</v>
      </c>
      <c r="AP1413" t="inlineStr">
        <is>
          <t>No</t>
        </is>
      </c>
      <c r="AQ1413" t="inlineStr">
        <is>
          <t>Yes</t>
        </is>
      </c>
      <c r="AR1413">
        <f>HYPERLINK("http://catalog.hathitrust.org/Record/000005065","HathiTrust Record")</f>
        <v/>
      </c>
      <c r="AS1413">
        <f>HYPERLINK("https://creighton-primo.hosted.exlibrisgroup.com/primo-explore/search?tab=default_tab&amp;search_scope=EVERYTHING&amp;vid=01CRU&amp;lang=en_US&amp;offset=0&amp;query=any,contains,991002454509702656","Catalog Record")</f>
        <v/>
      </c>
      <c r="AT1413">
        <f>HYPERLINK("http://www.worldcat.org/oclc/353847","WorldCat Record")</f>
        <v/>
      </c>
      <c r="AU1413" t="inlineStr">
        <is>
          <t>1392486:eng</t>
        </is>
      </c>
      <c r="AV1413" t="inlineStr">
        <is>
          <t>353847</t>
        </is>
      </c>
      <c r="AW1413" t="inlineStr">
        <is>
          <t>991002454509702656</t>
        </is>
      </c>
      <c r="AX1413" t="inlineStr">
        <is>
          <t>991002454509702656</t>
        </is>
      </c>
      <c r="AY1413" t="inlineStr">
        <is>
          <t>2267830390002656</t>
        </is>
      </c>
      <c r="AZ1413" t="inlineStr">
        <is>
          <t>BOOK</t>
        </is>
      </c>
      <c r="BC1413" t="inlineStr">
        <is>
          <t>32285002555513</t>
        </is>
      </c>
      <c r="BD1413" t="inlineStr">
        <is>
          <t>893609879</t>
        </is>
      </c>
    </row>
    <row r="1414">
      <c r="A1414" t="inlineStr">
        <is>
          <t>No</t>
        </is>
      </c>
      <c r="B1414" t="inlineStr">
        <is>
          <t>E469.8 .E44</t>
        </is>
      </c>
      <c r="C1414" t="inlineStr">
        <is>
          <t>0                      E  0469800E  44</t>
        </is>
      </c>
      <c r="D1414" t="inlineStr">
        <is>
          <t>Support for secession: Lancashire and the American Civil War. Epilogue by Peter d'A. Jones.</t>
        </is>
      </c>
      <c r="F1414" t="inlineStr">
        <is>
          <t>No</t>
        </is>
      </c>
      <c r="G1414" t="inlineStr">
        <is>
          <t>1</t>
        </is>
      </c>
      <c r="H1414" t="inlineStr">
        <is>
          <t>No</t>
        </is>
      </c>
      <c r="I1414" t="inlineStr">
        <is>
          <t>No</t>
        </is>
      </c>
      <c r="J1414" t="inlineStr">
        <is>
          <t>0</t>
        </is>
      </c>
      <c r="K1414" t="inlineStr">
        <is>
          <t>Ellison, Mary.</t>
        </is>
      </c>
      <c r="L1414" t="inlineStr">
        <is>
          <t>Chicago, University of Chicago Press [1972]</t>
        </is>
      </c>
      <c r="M1414" t="inlineStr">
        <is>
          <t>1972</t>
        </is>
      </c>
      <c r="O1414" t="inlineStr">
        <is>
          <t>eng</t>
        </is>
      </c>
      <c r="P1414" t="inlineStr">
        <is>
          <t>ilu</t>
        </is>
      </c>
      <c r="R1414" t="inlineStr">
        <is>
          <t xml:space="preserve">E  </t>
        </is>
      </c>
      <c r="S1414" t="n">
        <v>3</v>
      </c>
      <c r="T1414" t="n">
        <v>3</v>
      </c>
      <c r="U1414" t="inlineStr">
        <is>
          <t>2001-04-06</t>
        </is>
      </c>
      <c r="V1414" t="inlineStr">
        <is>
          <t>2001-04-06</t>
        </is>
      </c>
      <c r="W1414" t="inlineStr">
        <is>
          <t>1997-04-18</t>
        </is>
      </c>
      <c r="X1414" t="inlineStr">
        <is>
          <t>1997-04-18</t>
        </is>
      </c>
      <c r="Y1414" t="n">
        <v>635</v>
      </c>
      <c r="Z1414" t="n">
        <v>530</v>
      </c>
      <c r="AA1414" t="n">
        <v>537</v>
      </c>
      <c r="AB1414" t="n">
        <v>4</v>
      </c>
      <c r="AC1414" t="n">
        <v>4</v>
      </c>
      <c r="AD1414" t="n">
        <v>21</v>
      </c>
      <c r="AE1414" t="n">
        <v>21</v>
      </c>
      <c r="AF1414" t="n">
        <v>6</v>
      </c>
      <c r="AG1414" t="n">
        <v>6</v>
      </c>
      <c r="AH1414" t="n">
        <v>4</v>
      </c>
      <c r="AI1414" t="n">
        <v>4</v>
      </c>
      <c r="AJ1414" t="n">
        <v>14</v>
      </c>
      <c r="AK1414" t="n">
        <v>14</v>
      </c>
      <c r="AL1414" t="n">
        <v>3</v>
      </c>
      <c r="AM1414" t="n">
        <v>3</v>
      </c>
      <c r="AN1414" t="n">
        <v>0</v>
      </c>
      <c r="AO1414" t="n">
        <v>0</v>
      </c>
      <c r="AP1414" t="inlineStr">
        <is>
          <t>No</t>
        </is>
      </c>
      <c r="AQ1414" t="inlineStr">
        <is>
          <t>No</t>
        </is>
      </c>
      <c r="AS1414">
        <f>HYPERLINK("https://creighton-primo.hosted.exlibrisgroup.com/primo-explore/search?tab=default_tab&amp;search_scope=EVERYTHING&amp;vid=01CRU&amp;lang=en_US&amp;offset=0&amp;query=any,contains,991003671649702656","Catalog Record")</f>
        <v/>
      </c>
      <c r="AT1414">
        <f>HYPERLINK("http://www.worldcat.org/oclc/1289003","WorldCat Record")</f>
        <v/>
      </c>
      <c r="AU1414" t="inlineStr">
        <is>
          <t>287531863:eng</t>
        </is>
      </c>
      <c r="AV1414" t="inlineStr">
        <is>
          <t>1289003</t>
        </is>
      </c>
      <c r="AW1414" t="inlineStr">
        <is>
          <t>991003671649702656</t>
        </is>
      </c>
      <c r="AX1414" t="inlineStr">
        <is>
          <t>991003671649702656</t>
        </is>
      </c>
      <c r="AY1414" t="inlineStr">
        <is>
          <t>2266486770002656</t>
        </is>
      </c>
      <c r="AZ1414" t="inlineStr">
        <is>
          <t>BOOK</t>
        </is>
      </c>
      <c r="BB1414" t="inlineStr">
        <is>
          <t>9780226205939</t>
        </is>
      </c>
      <c r="BC1414" t="inlineStr">
        <is>
          <t>32285002555521</t>
        </is>
      </c>
      <c r="BD1414" t="inlineStr">
        <is>
          <t>893875022</t>
        </is>
      </c>
    </row>
    <row r="1415">
      <c r="A1415" t="inlineStr">
        <is>
          <t>No</t>
        </is>
      </c>
      <c r="B1415" t="inlineStr">
        <is>
          <t>E469.8 .J75</t>
        </is>
      </c>
      <c r="C1415" t="inlineStr">
        <is>
          <t>0                      E  0469800J  75</t>
        </is>
      </c>
      <c r="D1415" t="inlineStr">
        <is>
          <t>Europe and the American Civil War / by Donaldson Jordan [and] Edwin J. Pratt ; with an introduction by Samuel Eliot Morison.</t>
        </is>
      </c>
      <c r="F1415" t="inlineStr">
        <is>
          <t>No</t>
        </is>
      </c>
      <c r="G1415" t="inlineStr">
        <is>
          <t>1</t>
        </is>
      </c>
      <c r="H1415" t="inlineStr">
        <is>
          <t>No</t>
        </is>
      </c>
      <c r="I1415" t="inlineStr">
        <is>
          <t>No</t>
        </is>
      </c>
      <c r="J1415" t="inlineStr">
        <is>
          <t>0</t>
        </is>
      </c>
      <c r="K1415" t="inlineStr">
        <is>
          <t>Jordan, Donaldson.</t>
        </is>
      </c>
      <c r="L1415" t="inlineStr">
        <is>
          <t>Boston ; New York : Houghton Mifflin Company, 1931.</t>
        </is>
      </c>
      <c r="M1415" t="inlineStr">
        <is>
          <t>1931</t>
        </is>
      </c>
      <c r="O1415" t="inlineStr">
        <is>
          <t>eng</t>
        </is>
      </c>
      <c r="P1415" t="inlineStr">
        <is>
          <t>mau</t>
        </is>
      </c>
      <c r="R1415" t="inlineStr">
        <is>
          <t xml:space="preserve">E  </t>
        </is>
      </c>
      <c r="S1415" t="n">
        <v>5</v>
      </c>
      <c r="T1415" t="n">
        <v>5</v>
      </c>
      <c r="U1415" t="inlineStr">
        <is>
          <t>2005-11-28</t>
        </is>
      </c>
      <c r="V1415" t="inlineStr">
        <is>
          <t>2005-11-28</t>
        </is>
      </c>
      <c r="W1415" t="inlineStr">
        <is>
          <t>1995-02-24</t>
        </is>
      </c>
      <c r="X1415" t="inlineStr">
        <is>
          <t>1995-02-24</t>
        </is>
      </c>
      <c r="Y1415" t="n">
        <v>456</v>
      </c>
      <c r="Z1415" t="n">
        <v>427</v>
      </c>
      <c r="AA1415" t="n">
        <v>764</v>
      </c>
      <c r="AB1415" t="n">
        <v>7</v>
      </c>
      <c r="AC1415" t="n">
        <v>9</v>
      </c>
      <c r="AD1415" t="n">
        <v>24</v>
      </c>
      <c r="AE1415" t="n">
        <v>42</v>
      </c>
      <c r="AF1415" t="n">
        <v>10</v>
      </c>
      <c r="AG1415" t="n">
        <v>20</v>
      </c>
      <c r="AH1415" t="n">
        <v>7</v>
      </c>
      <c r="AI1415" t="n">
        <v>9</v>
      </c>
      <c r="AJ1415" t="n">
        <v>8</v>
      </c>
      <c r="AK1415" t="n">
        <v>14</v>
      </c>
      <c r="AL1415" t="n">
        <v>6</v>
      </c>
      <c r="AM1415" t="n">
        <v>8</v>
      </c>
      <c r="AN1415" t="n">
        <v>0</v>
      </c>
      <c r="AO1415" t="n">
        <v>0</v>
      </c>
      <c r="AP1415" t="inlineStr">
        <is>
          <t>No</t>
        </is>
      </c>
      <c r="AQ1415" t="inlineStr">
        <is>
          <t>Yes</t>
        </is>
      </c>
      <c r="AR1415">
        <f>HYPERLINK("http://catalog.hathitrust.org/Record/000485064","HathiTrust Record")</f>
        <v/>
      </c>
      <c r="AS1415">
        <f>HYPERLINK("https://creighton-primo.hosted.exlibrisgroup.com/primo-explore/search?tab=default_tab&amp;search_scope=EVERYTHING&amp;vid=01CRU&amp;lang=en_US&amp;offset=0&amp;query=any,contains,991003186609702656","Catalog Record")</f>
        <v/>
      </c>
      <c r="AT1415">
        <f>HYPERLINK("http://www.worldcat.org/oclc/713058","WorldCat Record")</f>
        <v/>
      </c>
      <c r="AU1415" t="inlineStr">
        <is>
          <t>1131152:eng</t>
        </is>
      </c>
      <c r="AV1415" t="inlineStr">
        <is>
          <t>713058</t>
        </is>
      </c>
      <c r="AW1415" t="inlineStr">
        <is>
          <t>991003186609702656</t>
        </is>
      </c>
      <c r="AX1415" t="inlineStr">
        <is>
          <t>991003186609702656</t>
        </is>
      </c>
      <c r="AY1415" t="inlineStr">
        <is>
          <t>2254825620002656</t>
        </is>
      </c>
      <c r="AZ1415" t="inlineStr">
        <is>
          <t>BOOK</t>
        </is>
      </c>
      <c r="BC1415" t="inlineStr">
        <is>
          <t>32285001989978</t>
        </is>
      </c>
      <c r="BD1415" t="inlineStr">
        <is>
          <t>893793393</t>
        </is>
      </c>
    </row>
    <row r="1416">
      <c r="A1416" t="inlineStr">
        <is>
          <t>No</t>
        </is>
      </c>
      <c r="B1416" t="inlineStr">
        <is>
          <t>E470 .B69 1986</t>
        </is>
      </c>
      <c r="C1416" t="inlineStr">
        <is>
          <t>0                      E  0470000B  69          1986</t>
        </is>
      </c>
      <c r="D1416" t="inlineStr">
        <is>
          <t>Battlefields of the Civil War : a state-by-state guide / John Bowen.</t>
        </is>
      </c>
      <c r="F1416" t="inlineStr">
        <is>
          <t>No</t>
        </is>
      </c>
      <c r="G1416" t="inlineStr">
        <is>
          <t>1</t>
        </is>
      </c>
      <c r="H1416" t="inlineStr">
        <is>
          <t>No</t>
        </is>
      </c>
      <c r="I1416" t="inlineStr">
        <is>
          <t>No</t>
        </is>
      </c>
      <c r="J1416" t="inlineStr">
        <is>
          <t>0</t>
        </is>
      </c>
      <c r="K1416" t="inlineStr">
        <is>
          <t>Bowen, John.</t>
        </is>
      </c>
      <c r="L1416" t="inlineStr">
        <is>
          <t>[Secaucus, N.J.] : Chartwell Books, c1986.</t>
        </is>
      </c>
      <c r="M1416" t="inlineStr">
        <is>
          <t>1986</t>
        </is>
      </c>
      <c r="O1416" t="inlineStr">
        <is>
          <t>eng</t>
        </is>
      </c>
      <c r="P1416" t="inlineStr">
        <is>
          <t>nju</t>
        </is>
      </c>
      <c r="R1416" t="inlineStr">
        <is>
          <t xml:space="preserve">E  </t>
        </is>
      </c>
      <c r="S1416" t="n">
        <v>5</v>
      </c>
      <c r="T1416" t="n">
        <v>5</v>
      </c>
      <c r="U1416" t="inlineStr">
        <is>
          <t>1997-03-08</t>
        </is>
      </c>
      <c r="V1416" t="inlineStr">
        <is>
          <t>1997-03-08</t>
        </is>
      </c>
      <c r="W1416" t="inlineStr">
        <is>
          <t>1993-04-13</t>
        </is>
      </c>
      <c r="X1416" t="inlineStr">
        <is>
          <t>1993-04-13</t>
        </is>
      </c>
      <c r="Y1416" t="n">
        <v>232</v>
      </c>
      <c r="Z1416" t="n">
        <v>228</v>
      </c>
      <c r="AA1416" t="n">
        <v>230</v>
      </c>
      <c r="AB1416" t="n">
        <v>4</v>
      </c>
      <c r="AC1416" t="n">
        <v>4</v>
      </c>
      <c r="AD1416" t="n">
        <v>0</v>
      </c>
      <c r="AE1416" t="n">
        <v>0</v>
      </c>
      <c r="AF1416" t="n">
        <v>0</v>
      </c>
      <c r="AG1416" t="n">
        <v>0</v>
      </c>
      <c r="AH1416" t="n">
        <v>0</v>
      </c>
      <c r="AI1416" t="n">
        <v>0</v>
      </c>
      <c r="AJ1416" t="n">
        <v>0</v>
      </c>
      <c r="AK1416" t="n">
        <v>0</v>
      </c>
      <c r="AL1416" t="n">
        <v>0</v>
      </c>
      <c r="AM1416" t="n">
        <v>0</v>
      </c>
      <c r="AN1416" t="n">
        <v>0</v>
      </c>
      <c r="AO1416" t="n">
        <v>0</v>
      </c>
      <c r="AP1416" t="inlineStr">
        <is>
          <t>No</t>
        </is>
      </c>
      <c r="AQ1416" t="inlineStr">
        <is>
          <t>No</t>
        </is>
      </c>
      <c r="AS1416">
        <f>HYPERLINK("https://creighton-primo.hosted.exlibrisgroup.com/primo-explore/search?tab=default_tab&amp;search_scope=EVERYTHING&amp;vid=01CRU&amp;lang=en_US&amp;offset=0&amp;query=any,contains,991000985099702656","Catalog Record")</f>
        <v/>
      </c>
      <c r="AT1416">
        <f>HYPERLINK("http://www.worldcat.org/oclc/15071428","WorldCat Record")</f>
        <v/>
      </c>
      <c r="AU1416" t="inlineStr">
        <is>
          <t>8698234:eng</t>
        </is>
      </c>
      <c r="AV1416" t="inlineStr">
        <is>
          <t>15071428</t>
        </is>
      </c>
      <c r="AW1416" t="inlineStr">
        <is>
          <t>991000985099702656</t>
        </is>
      </c>
      <c r="AX1416" t="inlineStr">
        <is>
          <t>991000985099702656</t>
        </is>
      </c>
      <c r="AY1416" t="inlineStr">
        <is>
          <t>2269580890002656</t>
        </is>
      </c>
      <c r="AZ1416" t="inlineStr">
        <is>
          <t>BOOK</t>
        </is>
      </c>
      <c r="BB1416" t="inlineStr">
        <is>
          <t>9780890099551</t>
        </is>
      </c>
      <c r="BC1416" t="inlineStr">
        <is>
          <t>32285001614865</t>
        </is>
      </c>
      <c r="BD1416" t="inlineStr">
        <is>
          <t>893522186</t>
        </is>
      </c>
    </row>
    <row r="1417">
      <c r="A1417" t="inlineStr">
        <is>
          <t>No</t>
        </is>
      </c>
      <c r="B1417" t="inlineStr">
        <is>
          <t>E470 .B78</t>
        </is>
      </c>
      <c r="C1417" t="inlineStr">
        <is>
          <t>0                      E  0470000B  78</t>
        </is>
      </c>
      <c r="D1417" t="inlineStr">
        <is>
          <t>The strategy of Robert E. Lee, by J. J. Bowen ...</t>
        </is>
      </c>
      <c r="F1417" t="inlineStr">
        <is>
          <t>No</t>
        </is>
      </c>
      <c r="G1417" t="inlineStr">
        <is>
          <t>1</t>
        </is>
      </c>
      <c r="H1417" t="inlineStr">
        <is>
          <t>No</t>
        </is>
      </c>
      <c r="I1417" t="inlineStr">
        <is>
          <t>No</t>
        </is>
      </c>
      <c r="J1417" t="inlineStr">
        <is>
          <t>0</t>
        </is>
      </c>
      <c r="K1417" t="inlineStr">
        <is>
          <t>Bowen, J. J. (John Joseph), 1839-</t>
        </is>
      </c>
      <c r="L1417" t="inlineStr">
        <is>
          <t>New York, The Neale Publishing Company, 1914.</t>
        </is>
      </c>
      <c r="M1417" t="inlineStr">
        <is>
          <t>1914</t>
        </is>
      </c>
      <c r="O1417" t="inlineStr">
        <is>
          <t>eng</t>
        </is>
      </c>
      <c r="P1417" t="inlineStr">
        <is>
          <t>nyu</t>
        </is>
      </c>
      <c r="R1417" t="inlineStr">
        <is>
          <t xml:space="preserve">E  </t>
        </is>
      </c>
      <c r="S1417" t="n">
        <v>1</v>
      </c>
      <c r="T1417" t="n">
        <v>1</v>
      </c>
      <c r="U1417" t="inlineStr">
        <is>
          <t>2004-11-19</t>
        </is>
      </c>
      <c r="V1417" t="inlineStr">
        <is>
          <t>2004-11-19</t>
        </is>
      </c>
      <c r="W1417" t="inlineStr">
        <is>
          <t>1997-04-18</t>
        </is>
      </c>
      <c r="X1417" t="inlineStr">
        <is>
          <t>1997-04-18</t>
        </is>
      </c>
      <c r="Y1417" t="n">
        <v>97</v>
      </c>
      <c r="Z1417" t="n">
        <v>95</v>
      </c>
      <c r="AA1417" t="n">
        <v>157</v>
      </c>
      <c r="AB1417" t="n">
        <v>1</v>
      </c>
      <c r="AC1417" t="n">
        <v>2</v>
      </c>
      <c r="AD1417" t="n">
        <v>4</v>
      </c>
      <c r="AE1417" t="n">
        <v>7</v>
      </c>
      <c r="AF1417" t="n">
        <v>2</v>
      </c>
      <c r="AG1417" t="n">
        <v>3</v>
      </c>
      <c r="AH1417" t="n">
        <v>0</v>
      </c>
      <c r="AI1417" t="n">
        <v>1</v>
      </c>
      <c r="AJ1417" t="n">
        <v>2</v>
      </c>
      <c r="AK1417" t="n">
        <v>2</v>
      </c>
      <c r="AL1417" t="n">
        <v>0</v>
      </c>
      <c r="AM1417" t="n">
        <v>1</v>
      </c>
      <c r="AN1417" t="n">
        <v>0</v>
      </c>
      <c r="AO1417" t="n">
        <v>0</v>
      </c>
      <c r="AP1417" t="inlineStr">
        <is>
          <t>Yes</t>
        </is>
      </c>
      <c r="AQ1417" t="inlineStr">
        <is>
          <t>No</t>
        </is>
      </c>
      <c r="AR1417">
        <f>HYPERLINK("http://catalog.hathitrust.org/Record/000605465","HathiTrust Record")</f>
        <v/>
      </c>
      <c r="AS1417">
        <f>HYPERLINK("https://creighton-primo.hosted.exlibrisgroup.com/primo-explore/search?tab=default_tab&amp;search_scope=EVERYTHING&amp;vid=01CRU&amp;lang=en_US&amp;offset=0&amp;query=any,contains,991003816749702656","Catalog Record")</f>
        <v/>
      </c>
      <c r="AT1417">
        <f>HYPERLINK("http://www.worldcat.org/oclc/1550293","WorldCat Record")</f>
        <v/>
      </c>
      <c r="AU1417" t="inlineStr">
        <is>
          <t>1969747:eng</t>
        </is>
      </c>
      <c r="AV1417" t="inlineStr">
        <is>
          <t>1550293</t>
        </is>
      </c>
      <c r="AW1417" t="inlineStr">
        <is>
          <t>991003816749702656</t>
        </is>
      </c>
      <c r="AX1417" t="inlineStr">
        <is>
          <t>991003816749702656</t>
        </is>
      </c>
      <c r="AY1417" t="inlineStr">
        <is>
          <t>2262796490002656</t>
        </is>
      </c>
      <c r="AZ1417" t="inlineStr">
        <is>
          <t>BOOK</t>
        </is>
      </c>
      <c r="BC1417" t="inlineStr">
        <is>
          <t>32285002555588</t>
        </is>
      </c>
      <c r="BD1417" t="inlineStr">
        <is>
          <t>893599005</t>
        </is>
      </c>
    </row>
    <row r="1418">
      <c r="A1418" t="inlineStr">
        <is>
          <t>No</t>
        </is>
      </c>
      <c r="B1418" t="inlineStr">
        <is>
          <t>E470 .D38 1999</t>
        </is>
      </c>
      <c r="C1418" t="inlineStr">
        <is>
          <t>0                      E  0470000D  38          1999</t>
        </is>
      </c>
      <c r="D1418" t="inlineStr">
        <is>
          <t>Jefferson Davis's generals / edited by Gabor S. Boritt.</t>
        </is>
      </c>
      <c r="F1418" t="inlineStr">
        <is>
          <t>No</t>
        </is>
      </c>
      <c r="G1418" t="inlineStr">
        <is>
          <t>1</t>
        </is>
      </c>
      <c r="H1418" t="inlineStr">
        <is>
          <t>No</t>
        </is>
      </c>
      <c r="I1418" t="inlineStr">
        <is>
          <t>No</t>
        </is>
      </c>
      <c r="J1418" t="inlineStr">
        <is>
          <t>0</t>
        </is>
      </c>
      <c r="L1418" t="inlineStr">
        <is>
          <t>New York : Oxford University Press, 1999.</t>
        </is>
      </c>
      <c r="M1418" t="inlineStr">
        <is>
          <t>1999</t>
        </is>
      </c>
      <c r="O1418" t="inlineStr">
        <is>
          <t>eng</t>
        </is>
      </c>
      <c r="P1418" t="inlineStr">
        <is>
          <t>nyu</t>
        </is>
      </c>
      <c r="R1418" t="inlineStr">
        <is>
          <t xml:space="preserve">E  </t>
        </is>
      </c>
      <c r="S1418" t="n">
        <v>4</v>
      </c>
      <c r="T1418" t="n">
        <v>4</v>
      </c>
      <c r="U1418" t="inlineStr">
        <is>
          <t>1999-07-20</t>
        </is>
      </c>
      <c r="V1418" t="inlineStr">
        <is>
          <t>1999-07-20</t>
        </is>
      </c>
      <c r="W1418" t="inlineStr">
        <is>
          <t>1999-07-12</t>
        </is>
      </c>
      <c r="X1418" t="inlineStr">
        <is>
          <t>1999-07-12</t>
        </is>
      </c>
      <c r="Y1418" t="n">
        <v>643</v>
      </c>
      <c r="Z1418" t="n">
        <v>605</v>
      </c>
      <c r="AA1418" t="n">
        <v>956</v>
      </c>
      <c r="AB1418" t="n">
        <v>6</v>
      </c>
      <c r="AC1418" t="n">
        <v>10</v>
      </c>
      <c r="AD1418" t="n">
        <v>22</v>
      </c>
      <c r="AE1418" t="n">
        <v>35</v>
      </c>
      <c r="AF1418" t="n">
        <v>5</v>
      </c>
      <c r="AG1418" t="n">
        <v>10</v>
      </c>
      <c r="AH1418" t="n">
        <v>6</v>
      </c>
      <c r="AI1418" t="n">
        <v>9</v>
      </c>
      <c r="AJ1418" t="n">
        <v>12</v>
      </c>
      <c r="AK1418" t="n">
        <v>14</v>
      </c>
      <c r="AL1418" t="n">
        <v>4</v>
      </c>
      <c r="AM1418" t="n">
        <v>7</v>
      </c>
      <c r="AN1418" t="n">
        <v>0</v>
      </c>
      <c r="AO1418" t="n">
        <v>1</v>
      </c>
      <c r="AP1418" t="inlineStr">
        <is>
          <t>No</t>
        </is>
      </c>
      <c r="AQ1418" t="inlineStr">
        <is>
          <t>No</t>
        </is>
      </c>
      <c r="AS1418">
        <f>HYPERLINK("https://creighton-primo.hosted.exlibrisgroup.com/primo-explore/search?tab=default_tab&amp;search_scope=EVERYTHING&amp;vid=01CRU&amp;lang=en_US&amp;offset=0&amp;query=any,contains,991002984819702656","Catalog Record")</f>
        <v/>
      </c>
      <c r="AT1418">
        <f>HYPERLINK("http://www.worldcat.org/oclc/40199910","WorldCat Record")</f>
        <v/>
      </c>
      <c r="AU1418" t="inlineStr">
        <is>
          <t>1076175864:eng</t>
        </is>
      </c>
      <c r="AV1418" t="inlineStr">
        <is>
          <t>40199910</t>
        </is>
      </c>
      <c r="AW1418" t="inlineStr">
        <is>
          <t>991002984819702656</t>
        </is>
      </c>
      <c r="AX1418" t="inlineStr">
        <is>
          <t>991002984819702656</t>
        </is>
      </c>
      <c r="AY1418" t="inlineStr">
        <is>
          <t>2266286920002656</t>
        </is>
      </c>
      <c r="AZ1418" t="inlineStr">
        <is>
          <t>BOOK</t>
        </is>
      </c>
      <c r="BB1418" t="inlineStr">
        <is>
          <t>9780195120622</t>
        </is>
      </c>
      <c r="BC1418" t="inlineStr">
        <is>
          <t>32285003577243</t>
        </is>
      </c>
      <c r="BD1418" t="inlineStr">
        <is>
          <t>893893246</t>
        </is>
      </c>
    </row>
    <row r="1419">
      <c r="A1419" t="inlineStr">
        <is>
          <t>No</t>
        </is>
      </c>
      <c r="B1419" t="inlineStr">
        <is>
          <t>E470 .T78</t>
        </is>
      </c>
      <c r="C1419" t="inlineStr">
        <is>
          <t>0                      E  0470000T  78</t>
        </is>
      </c>
      <c r="D1419" t="inlineStr">
        <is>
          <t>Two days of war, a Gettysburg narrative, and other excursions, by Henry Edwin Tremain...</t>
        </is>
      </c>
      <c r="F1419" t="inlineStr">
        <is>
          <t>No</t>
        </is>
      </c>
      <c r="G1419" t="inlineStr">
        <is>
          <t>1</t>
        </is>
      </c>
      <c r="H1419" t="inlineStr">
        <is>
          <t>No</t>
        </is>
      </c>
      <c r="I1419" t="inlineStr">
        <is>
          <t>No</t>
        </is>
      </c>
      <c r="J1419" t="inlineStr">
        <is>
          <t>0</t>
        </is>
      </c>
      <c r="K1419" t="inlineStr">
        <is>
          <t>Tremain, Henry Edwin, 1841-1910.</t>
        </is>
      </c>
      <c r="L1419" t="inlineStr">
        <is>
          <t>New York, Bonnell, Silver and Bowers, 1905.</t>
        </is>
      </c>
      <c r="M1419" t="inlineStr">
        <is>
          <t>1905</t>
        </is>
      </c>
      <c r="O1419" t="inlineStr">
        <is>
          <t>eng</t>
        </is>
      </c>
      <c r="P1419" t="inlineStr">
        <is>
          <t>nyu</t>
        </is>
      </c>
      <c r="R1419" t="inlineStr">
        <is>
          <t xml:space="preserve">E  </t>
        </is>
      </c>
      <c r="S1419" t="n">
        <v>2</v>
      </c>
      <c r="T1419" t="n">
        <v>2</v>
      </c>
      <c r="U1419" t="inlineStr">
        <is>
          <t>2005-12-02</t>
        </is>
      </c>
      <c r="V1419" t="inlineStr">
        <is>
          <t>2005-12-02</t>
        </is>
      </c>
      <c r="W1419" t="inlineStr">
        <is>
          <t>1997-04-18</t>
        </is>
      </c>
      <c r="X1419" t="inlineStr">
        <is>
          <t>1997-04-18</t>
        </is>
      </c>
      <c r="Y1419" t="n">
        <v>91</v>
      </c>
      <c r="Z1419" t="n">
        <v>90</v>
      </c>
      <c r="AA1419" t="n">
        <v>115</v>
      </c>
      <c r="AB1419" t="n">
        <v>1</v>
      </c>
      <c r="AC1419" t="n">
        <v>1</v>
      </c>
      <c r="AD1419" t="n">
        <v>0</v>
      </c>
      <c r="AE1419" t="n">
        <v>0</v>
      </c>
      <c r="AF1419" t="n">
        <v>0</v>
      </c>
      <c r="AG1419" t="n">
        <v>0</v>
      </c>
      <c r="AH1419" t="n">
        <v>0</v>
      </c>
      <c r="AI1419" t="n">
        <v>0</v>
      </c>
      <c r="AJ1419" t="n">
        <v>0</v>
      </c>
      <c r="AK1419" t="n">
        <v>0</v>
      </c>
      <c r="AL1419" t="n">
        <v>0</v>
      </c>
      <c r="AM1419" t="n">
        <v>0</v>
      </c>
      <c r="AN1419" t="n">
        <v>0</v>
      </c>
      <c r="AO1419" t="n">
        <v>0</v>
      </c>
      <c r="AP1419" t="inlineStr">
        <is>
          <t>Yes</t>
        </is>
      </c>
      <c r="AQ1419" t="inlineStr">
        <is>
          <t>No</t>
        </is>
      </c>
      <c r="AR1419">
        <f>HYPERLINK("http://catalog.hathitrust.org/Record/000772985","HathiTrust Record")</f>
        <v/>
      </c>
      <c r="AS1419">
        <f>HYPERLINK("https://creighton-primo.hosted.exlibrisgroup.com/primo-explore/search?tab=default_tab&amp;search_scope=EVERYTHING&amp;vid=01CRU&amp;lang=en_US&amp;offset=0&amp;query=any,contains,991003854779702656","Catalog Record")</f>
        <v/>
      </c>
      <c r="AT1419">
        <f>HYPERLINK("http://www.worldcat.org/oclc/1651933","WorldCat Record")</f>
        <v/>
      </c>
      <c r="AU1419" t="inlineStr">
        <is>
          <t>2442930:eng</t>
        </is>
      </c>
      <c r="AV1419" t="inlineStr">
        <is>
          <t>1651933</t>
        </is>
      </c>
      <c r="AW1419" t="inlineStr">
        <is>
          <t>991003854779702656</t>
        </is>
      </c>
      <c r="AX1419" t="inlineStr">
        <is>
          <t>991003854779702656</t>
        </is>
      </c>
      <c r="AY1419" t="inlineStr">
        <is>
          <t>2269561140002656</t>
        </is>
      </c>
      <c r="AZ1419" t="inlineStr">
        <is>
          <t>BOOK</t>
        </is>
      </c>
      <c r="BC1419" t="inlineStr">
        <is>
          <t>32285002555703</t>
        </is>
      </c>
      <c r="BD1419" t="inlineStr">
        <is>
          <t>893806312</t>
        </is>
      </c>
    </row>
    <row r="1420">
      <c r="A1420" t="inlineStr">
        <is>
          <t>No</t>
        </is>
      </c>
      <c r="B1420" t="inlineStr">
        <is>
          <t>E470 .W78 1952</t>
        </is>
      </c>
      <c r="C1420" t="inlineStr">
        <is>
          <t>0                      E  0470000W  78          1952</t>
        </is>
      </c>
      <c r="D1420" t="inlineStr">
        <is>
          <t>Lincoln and his generals, [by] T. Harry Williams.</t>
        </is>
      </c>
      <c r="F1420" t="inlineStr">
        <is>
          <t>No</t>
        </is>
      </c>
      <c r="G1420" t="inlineStr">
        <is>
          <t>1</t>
        </is>
      </c>
      <c r="H1420" t="inlineStr">
        <is>
          <t>No</t>
        </is>
      </c>
      <c r="I1420" t="inlineStr">
        <is>
          <t>No</t>
        </is>
      </c>
      <c r="J1420" t="inlineStr">
        <is>
          <t>0</t>
        </is>
      </c>
      <c r="K1420" t="inlineStr">
        <is>
          <t>Williams, T. Harry (Thomas Harry), 1909-1979.</t>
        </is>
      </c>
      <c r="L1420" t="inlineStr">
        <is>
          <t>New York : Vintage Books, [1952]</t>
        </is>
      </c>
      <c r="M1420" t="inlineStr">
        <is>
          <t>1952</t>
        </is>
      </c>
      <c r="O1420" t="inlineStr">
        <is>
          <t>eng</t>
        </is>
      </c>
      <c r="P1420" t="inlineStr">
        <is>
          <t>___</t>
        </is>
      </c>
      <c r="Q1420" t="inlineStr">
        <is>
          <t>A Vintage Book, V-362</t>
        </is>
      </c>
      <c r="R1420" t="inlineStr">
        <is>
          <t xml:space="preserve">E  </t>
        </is>
      </c>
      <c r="S1420" t="n">
        <v>4</v>
      </c>
      <c r="T1420" t="n">
        <v>4</v>
      </c>
      <c r="U1420" t="inlineStr">
        <is>
          <t>2009-07-21</t>
        </is>
      </c>
      <c r="V1420" t="inlineStr">
        <is>
          <t>2009-07-21</t>
        </is>
      </c>
      <c r="W1420" t="inlineStr">
        <is>
          <t>1991-05-06</t>
        </is>
      </c>
      <c r="X1420" t="inlineStr">
        <is>
          <t>1991-05-06</t>
        </is>
      </c>
      <c r="Y1420" t="n">
        <v>162</v>
      </c>
      <c r="Z1420" t="n">
        <v>150</v>
      </c>
      <c r="AA1420" t="n">
        <v>2416</v>
      </c>
      <c r="AB1420" t="n">
        <v>4</v>
      </c>
      <c r="AC1420" t="n">
        <v>28</v>
      </c>
      <c r="AD1420" t="n">
        <v>2</v>
      </c>
      <c r="AE1420" t="n">
        <v>64</v>
      </c>
      <c r="AF1420" t="n">
        <v>0</v>
      </c>
      <c r="AG1420" t="n">
        <v>27</v>
      </c>
      <c r="AH1420" t="n">
        <v>0</v>
      </c>
      <c r="AI1420" t="n">
        <v>8</v>
      </c>
      <c r="AJ1420" t="n">
        <v>0</v>
      </c>
      <c r="AK1420" t="n">
        <v>22</v>
      </c>
      <c r="AL1420" t="n">
        <v>2</v>
      </c>
      <c r="AM1420" t="n">
        <v>17</v>
      </c>
      <c r="AN1420" t="n">
        <v>0</v>
      </c>
      <c r="AO1420" t="n">
        <v>3</v>
      </c>
      <c r="AP1420" t="inlineStr">
        <is>
          <t>No</t>
        </is>
      </c>
      <c r="AQ1420" t="inlineStr">
        <is>
          <t>No</t>
        </is>
      </c>
      <c r="AS1420">
        <f>HYPERLINK("https://creighton-primo.hosted.exlibrisgroup.com/primo-explore/search?tab=default_tab&amp;search_scope=EVERYTHING&amp;vid=01CRU&amp;lang=en_US&amp;offset=0&amp;query=any,contains,991002710559702656","Catalog Record")</f>
        <v/>
      </c>
      <c r="AT1420">
        <f>HYPERLINK("http://www.worldcat.org/oclc/409085","WorldCat Record")</f>
        <v/>
      </c>
      <c r="AU1420" t="inlineStr">
        <is>
          <t>52588223:eng</t>
        </is>
      </c>
      <c r="AV1420" t="inlineStr">
        <is>
          <t>409085</t>
        </is>
      </c>
      <c r="AW1420" t="inlineStr">
        <is>
          <t>991002710559702656</t>
        </is>
      </c>
      <c r="AX1420" t="inlineStr">
        <is>
          <t>991002710559702656</t>
        </is>
      </c>
      <c r="AY1420" t="inlineStr">
        <is>
          <t>2262136660002656</t>
        </is>
      </c>
      <c r="AZ1420" t="inlineStr">
        <is>
          <t>BOOK</t>
        </is>
      </c>
      <c r="BC1420" t="inlineStr">
        <is>
          <t>32285000610096</t>
        </is>
      </c>
      <c r="BD1420" t="inlineStr">
        <is>
          <t>893798913</t>
        </is>
      </c>
    </row>
    <row r="1421">
      <c r="A1421" t="inlineStr">
        <is>
          <t>No</t>
        </is>
      </c>
      <c r="B1421" t="inlineStr">
        <is>
          <t>E470 .W877 1997</t>
        </is>
      </c>
      <c r="C1421" t="inlineStr">
        <is>
          <t>0                      E  0470000W  877         1997</t>
        </is>
      </c>
      <c r="D1421" t="inlineStr">
        <is>
          <t>Civil War generalship : the art of command / W.J. Wood.</t>
        </is>
      </c>
      <c r="F1421" t="inlineStr">
        <is>
          <t>No</t>
        </is>
      </c>
      <c r="G1421" t="inlineStr">
        <is>
          <t>1</t>
        </is>
      </c>
      <c r="H1421" t="inlineStr">
        <is>
          <t>No</t>
        </is>
      </c>
      <c r="I1421" t="inlineStr">
        <is>
          <t>No</t>
        </is>
      </c>
      <c r="J1421" t="inlineStr">
        <is>
          <t>0</t>
        </is>
      </c>
      <c r="K1421" t="inlineStr">
        <is>
          <t>Wood, W. J. (William J.), 1917-</t>
        </is>
      </c>
      <c r="L1421" t="inlineStr">
        <is>
          <t>Westport, Conn. : Praeger, 1997.</t>
        </is>
      </c>
      <c r="M1421" t="inlineStr">
        <is>
          <t>1997</t>
        </is>
      </c>
      <c r="O1421" t="inlineStr">
        <is>
          <t>eng</t>
        </is>
      </c>
      <c r="P1421" t="inlineStr">
        <is>
          <t>ctu</t>
        </is>
      </c>
      <c r="R1421" t="inlineStr">
        <is>
          <t xml:space="preserve">E  </t>
        </is>
      </c>
      <c r="S1421" t="n">
        <v>5</v>
      </c>
      <c r="T1421" t="n">
        <v>5</v>
      </c>
      <c r="U1421" t="inlineStr">
        <is>
          <t>1997-12-05</t>
        </is>
      </c>
      <c r="V1421" t="inlineStr">
        <is>
          <t>1997-12-05</t>
        </is>
      </c>
      <c r="W1421" t="inlineStr">
        <is>
          <t>1997-11-14</t>
        </is>
      </c>
      <c r="X1421" t="inlineStr">
        <is>
          <t>1997-11-14</t>
        </is>
      </c>
      <c r="Y1421" t="n">
        <v>376</v>
      </c>
      <c r="Z1421" t="n">
        <v>344</v>
      </c>
      <c r="AA1421" t="n">
        <v>460</v>
      </c>
      <c r="AB1421" t="n">
        <v>3</v>
      </c>
      <c r="AC1421" t="n">
        <v>3</v>
      </c>
      <c r="AD1421" t="n">
        <v>17</v>
      </c>
      <c r="AE1421" t="n">
        <v>19</v>
      </c>
      <c r="AF1421" t="n">
        <v>6</v>
      </c>
      <c r="AG1421" t="n">
        <v>8</v>
      </c>
      <c r="AH1421" t="n">
        <v>4</v>
      </c>
      <c r="AI1421" t="n">
        <v>5</v>
      </c>
      <c r="AJ1421" t="n">
        <v>11</v>
      </c>
      <c r="AK1421" t="n">
        <v>11</v>
      </c>
      <c r="AL1421" t="n">
        <v>2</v>
      </c>
      <c r="AM1421" t="n">
        <v>2</v>
      </c>
      <c r="AN1421" t="n">
        <v>0</v>
      </c>
      <c r="AO1421" t="n">
        <v>0</v>
      </c>
      <c r="AP1421" t="inlineStr">
        <is>
          <t>No</t>
        </is>
      </c>
      <c r="AQ1421" t="inlineStr">
        <is>
          <t>Yes</t>
        </is>
      </c>
      <c r="AR1421">
        <f>HYPERLINK("http://catalog.hathitrust.org/Record/003153940","HathiTrust Record")</f>
        <v/>
      </c>
      <c r="AS1421">
        <f>HYPERLINK("https://creighton-primo.hosted.exlibrisgroup.com/primo-explore/search?tab=default_tab&amp;search_scope=EVERYTHING&amp;vid=01CRU&amp;lang=en_US&amp;offset=0&amp;query=any,contains,991002673589702656","Catalog Record")</f>
        <v/>
      </c>
      <c r="AT1421">
        <f>HYPERLINK("http://www.worldcat.org/oclc/34958876","WorldCat Record")</f>
        <v/>
      </c>
      <c r="AU1421" t="inlineStr">
        <is>
          <t>801168031:eng</t>
        </is>
      </c>
      <c r="AV1421" t="inlineStr">
        <is>
          <t>34958876</t>
        </is>
      </c>
      <c r="AW1421" t="inlineStr">
        <is>
          <t>991002673589702656</t>
        </is>
      </c>
      <c r="AX1421" t="inlineStr">
        <is>
          <t>991002673589702656</t>
        </is>
      </c>
      <c r="AY1421" t="inlineStr">
        <is>
          <t>2254942390002656</t>
        </is>
      </c>
      <c r="AZ1421" t="inlineStr">
        <is>
          <t>BOOK</t>
        </is>
      </c>
      <c r="BB1421" t="inlineStr">
        <is>
          <t>9780275950545</t>
        </is>
      </c>
      <c r="BC1421" t="inlineStr">
        <is>
          <t>32285003279626</t>
        </is>
      </c>
      <c r="BD1421" t="inlineStr">
        <is>
          <t>893597734</t>
        </is>
      </c>
    </row>
    <row r="1422">
      <c r="A1422" t="inlineStr">
        <is>
          <t>No</t>
        </is>
      </c>
      <c r="B1422" t="inlineStr">
        <is>
          <t>E470.2 .F7</t>
        </is>
      </c>
      <c r="C1422" t="inlineStr">
        <is>
          <t>0                      E  0470200F  7</t>
        </is>
      </c>
      <c r="D1422" t="inlineStr">
        <is>
          <t>Lee's lieutenants, a study in command / by Douglas Southall Freeman.</t>
        </is>
      </c>
      <c r="E1422" t="inlineStr">
        <is>
          <t>V.3</t>
        </is>
      </c>
      <c r="F1422" t="inlineStr">
        <is>
          <t>Yes</t>
        </is>
      </c>
      <c r="G1422" t="inlineStr">
        <is>
          <t>1</t>
        </is>
      </c>
      <c r="H1422" t="inlineStr">
        <is>
          <t>No</t>
        </is>
      </c>
      <c r="I1422" t="inlineStr">
        <is>
          <t>No</t>
        </is>
      </c>
      <c r="J1422" t="inlineStr">
        <is>
          <t>0</t>
        </is>
      </c>
      <c r="K1422" t="inlineStr">
        <is>
          <t>Freeman, Douglas Southall, 1886-1953.</t>
        </is>
      </c>
      <c r="L1422" t="inlineStr">
        <is>
          <t>New York : C. Scribner's sons, 1942-44.</t>
        </is>
      </c>
      <c r="M1422" t="inlineStr">
        <is>
          <t>1942</t>
        </is>
      </c>
      <c r="O1422" t="inlineStr">
        <is>
          <t>eng</t>
        </is>
      </c>
      <c r="P1422" t="inlineStr">
        <is>
          <t>nyu</t>
        </is>
      </c>
      <c r="R1422" t="inlineStr">
        <is>
          <t xml:space="preserve">E  </t>
        </is>
      </c>
      <c r="S1422" t="n">
        <v>0</v>
      </c>
      <c r="T1422" t="n">
        <v>1</v>
      </c>
      <c r="V1422" t="inlineStr">
        <is>
          <t>2005-07-14</t>
        </is>
      </c>
      <c r="W1422" t="inlineStr">
        <is>
          <t>1991-05-06</t>
        </is>
      </c>
      <c r="X1422" t="inlineStr">
        <is>
          <t>1991-05-06</t>
        </is>
      </c>
      <c r="Y1422" t="n">
        <v>2063</v>
      </c>
      <c r="Z1422" t="n">
        <v>1976</v>
      </c>
      <c r="AA1422" t="n">
        <v>2518</v>
      </c>
      <c r="AB1422" t="n">
        <v>13</v>
      </c>
      <c r="AC1422" t="n">
        <v>22</v>
      </c>
      <c r="AD1422" t="n">
        <v>54</v>
      </c>
      <c r="AE1422" t="n">
        <v>65</v>
      </c>
      <c r="AF1422" t="n">
        <v>24</v>
      </c>
      <c r="AG1422" t="n">
        <v>27</v>
      </c>
      <c r="AH1422" t="n">
        <v>9</v>
      </c>
      <c r="AI1422" t="n">
        <v>10</v>
      </c>
      <c r="AJ1422" t="n">
        <v>23</v>
      </c>
      <c r="AK1422" t="n">
        <v>25</v>
      </c>
      <c r="AL1422" t="n">
        <v>9</v>
      </c>
      <c r="AM1422" t="n">
        <v>15</v>
      </c>
      <c r="AN1422" t="n">
        <v>1</v>
      </c>
      <c r="AO1422" t="n">
        <v>1</v>
      </c>
      <c r="AP1422" t="inlineStr">
        <is>
          <t>No</t>
        </is>
      </c>
      <c r="AQ1422" t="inlineStr">
        <is>
          <t>Yes</t>
        </is>
      </c>
      <c r="AR1422">
        <f>HYPERLINK("http://catalog.hathitrust.org/Record/004388672","HathiTrust Record")</f>
        <v/>
      </c>
      <c r="AS1422">
        <f>HYPERLINK("https://creighton-primo.hosted.exlibrisgroup.com/primo-explore/search?tab=default_tab&amp;search_scope=EVERYTHING&amp;vid=01CRU&amp;lang=en_US&amp;offset=0&amp;query=any,contains,991002814389702656","Catalog Record")</f>
        <v/>
      </c>
      <c r="AT1422">
        <f>HYPERLINK("http://www.worldcat.org/oclc/457156","WorldCat Record")</f>
        <v/>
      </c>
      <c r="AU1422" t="inlineStr">
        <is>
          <t>2863885437:eng</t>
        </is>
      </c>
      <c r="AV1422" t="inlineStr">
        <is>
          <t>457156</t>
        </is>
      </c>
      <c r="AW1422" t="inlineStr">
        <is>
          <t>991002814389702656</t>
        </is>
      </c>
      <c r="AX1422" t="inlineStr">
        <is>
          <t>991002814389702656</t>
        </is>
      </c>
      <c r="AY1422" t="inlineStr">
        <is>
          <t>2262871270002656</t>
        </is>
      </c>
      <c r="AZ1422" t="inlineStr">
        <is>
          <t>BOOK</t>
        </is>
      </c>
      <c r="BC1422" t="inlineStr">
        <is>
          <t>32285000610120</t>
        </is>
      </c>
      <c r="BD1422" t="inlineStr">
        <is>
          <t>893799052</t>
        </is>
      </c>
    </row>
    <row r="1423">
      <c r="A1423" t="inlineStr">
        <is>
          <t>No</t>
        </is>
      </c>
      <c r="B1423" t="inlineStr">
        <is>
          <t>E470.2 .F7</t>
        </is>
      </c>
      <c r="C1423" t="inlineStr">
        <is>
          <t>0                      E  0470200F  7</t>
        </is>
      </c>
      <c r="D1423" t="inlineStr">
        <is>
          <t>Lee's lieutenants, a study in command / by Douglas Southall Freeman.</t>
        </is>
      </c>
      <c r="E1423" t="inlineStr">
        <is>
          <t>V.2</t>
        </is>
      </c>
      <c r="F1423" t="inlineStr">
        <is>
          <t>Yes</t>
        </is>
      </c>
      <c r="G1423" t="inlineStr">
        <is>
          <t>1</t>
        </is>
      </c>
      <c r="H1423" t="inlineStr">
        <is>
          <t>No</t>
        </is>
      </c>
      <c r="I1423" t="inlineStr">
        <is>
          <t>No</t>
        </is>
      </c>
      <c r="J1423" t="inlineStr">
        <is>
          <t>0</t>
        </is>
      </c>
      <c r="K1423" t="inlineStr">
        <is>
          <t>Freeman, Douglas Southall, 1886-1953.</t>
        </is>
      </c>
      <c r="L1423" t="inlineStr">
        <is>
          <t>New York : C. Scribner's sons, 1942-44.</t>
        </is>
      </c>
      <c r="M1423" t="inlineStr">
        <is>
          <t>1942</t>
        </is>
      </c>
      <c r="O1423" t="inlineStr">
        <is>
          <t>eng</t>
        </is>
      </c>
      <c r="P1423" t="inlineStr">
        <is>
          <t>nyu</t>
        </is>
      </c>
      <c r="R1423" t="inlineStr">
        <is>
          <t xml:space="preserve">E  </t>
        </is>
      </c>
      <c r="S1423" t="n">
        <v>0</v>
      </c>
      <c r="T1423" t="n">
        <v>1</v>
      </c>
      <c r="V1423" t="inlineStr">
        <is>
          <t>2005-07-14</t>
        </is>
      </c>
      <c r="W1423" t="inlineStr">
        <is>
          <t>1991-05-06</t>
        </is>
      </c>
      <c r="X1423" t="inlineStr">
        <is>
          <t>1991-05-06</t>
        </is>
      </c>
      <c r="Y1423" t="n">
        <v>2063</v>
      </c>
      <c r="Z1423" t="n">
        <v>1976</v>
      </c>
      <c r="AA1423" t="n">
        <v>2518</v>
      </c>
      <c r="AB1423" t="n">
        <v>13</v>
      </c>
      <c r="AC1423" t="n">
        <v>22</v>
      </c>
      <c r="AD1423" t="n">
        <v>54</v>
      </c>
      <c r="AE1423" t="n">
        <v>65</v>
      </c>
      <c r="AF1423" t="n">
        <v>24</v>
      </c>
      <c r="AG1423" t="n">
        <v>27</v>
      </c>
      <c r="AH1423" t="n">
        <v>9</v>
      </c>
      <c r="AI1423" t="n">
        <v>10</v>
      </c>
      <c r="AJ1423" t="n">
        <v>23</v>
      </c>
      <c r="AK1423" t="n">
        <v>25</v>
      </c>
      <c r="AL1423" t="n">
        <v>9</v>
      </c>
      <c r="AM1423" t="n">
        <v>15</v>
      </c>
      <c r="AN1423" t="n">
        <v>1</v>
      </c>
      <c r="AO1423" t="n">
        <v>1</v>
      </c>
      <c r="AP1423" t="inlineStr">
        <is>
          <t>No</t>
        </is>
      </c>
      <c r="AQ1423" t="inlineStr">
        <is>
          <t>Yes</t>
        </is>
      </c>
      <c r="AR1423">
        <f>HYPERLINK("http://catalog.hathitrust.org/Record/004388672","HathiTrust Record")</f>
        <v/>
      </c>
      <c r="AS1423">
        <f>HYPERLINK("https://creighton-primo.hosted.exlibrisgroup.com/primo-explore/search?tab=default_tab&amp;search_scope=EVERYTHING&amp;vid=01CRU&amp;lang=en_US&amp;offset=0&amp;query=any,contains,991002814389702656","Catalog Record")</f>
        <v/>
      </c>
      <c r="AT1423">
        <f>HYPERLINK("http://www.worldcat.org/oclc/457156","WorldCat Record")</f>
        <v/>
      </c>
      <c r="AU1423" t="inlineStr">
        <is>
          <t>2863885437:eng</t>
        </is>
      </c>
      <c r="AV1423" t="inlineStr">
        <is>
          <t>457156</t>
        </is>
      </c>
      <c r="AW1423" t="inlineStr">
        <is>
          <t>991002814389702656</t>
        </is>
      </c>
      <c r="AX1423" t="inlineStr">
        <is>
          <t>991002814389702656</t>
        </is>
      </c>
      <c r="AY1423" t="inlineStr">
        <is>
          <t>2262871270002656</t>
        </is>
      </c>
      <c r="AZ1423" t="inlineStr">
        <is>
          <t>BOOK</t>
        </is>
      </c>
      <c r="BC1423" t="inlineStr">
        <is>
          <t>32285000610112</t>
        </is>
      </c>
      <c r="BD1423" t="inlineStr">
        <is>
          <t>893786587</t>
        </is>
      </c>
    </row>
    <row r="1424">
      <c r="A1424" t="inlineStr">
        <is>
          <t>No</t>
        </is>
      </c>
      <c r="B1424" t="inlineStr">
        <is>
          <t>E470.2 .F7</t>
        </is>
      </c>
      <c r="C1424" t="inlineStr">
        <is>
          <t>0                      E  0470200F  7</t>
        </is>
      </c>
      <c r="D1424" t="inlineStr">
        <is>
          <t>Lee's lieutenants, a study in command / by Douglas Southall Freeman.</t>
        </is>
      </c>
      <c r="E1424" t="inlineStr">
        <is>
          <t>V.1</t>
        </is>
      </c>
      <c r="F1424" t="inlineStr">
        <is>
          <t>Yes</t>
        </is>
      </c>
      <c r="G1424" t="inlineStr">
        <is>
          <t>1</t>
        </is>
      </c>
      <c r="H1424" t="inlineStr">
        <is>
          <t>No</t>
        </is>
      </c>
      <c r="I1424" t="inlineStr">
        <is>
          <t>No</t>
        </is>
      </c>
      <c r="J1424" t="inlineStr">
        <is>
          <t>0</t>
        </is>
      </c>
      <c r="K1424" t="inlineStr">
        <is>
          <t>Freeman, Douglas Southall, 1886-1953.</t>
        </is>
      </c>
      <c r="L1424" t="inlineStr">
        <is>
          <t>New York : C. Scribner's sons, 1942-44.</t>
        </is>
      </c>
      <c r="M1424" t="inlineStr">
        <is>
          <t>1942</t>
        </is>
      </c>
      <c r="O1424" t="inlineStr">
        <is>
          <t>eng</t>
        </is>
      </c>
      <c r="P1424" t="inlineStr">
        <is>
          <t>nyu</t>
        </is>
      </c>
      <c r="R1424" t="inlineStr">
        <is>
          <t xml:space="preserve">E  </t>
        </is>
      </c>
      <c r="S1424" t="n">
        <v>1</v>
      </c>
      <c r="T1424" t="n">
        <v>1</v>
      </c>
      <c r="U1424" t="inlineStr">
        <is>
          <t>2005-07-14</t>
        </is>
      </c>
      <c r="V1424" t="inlineStr">
        <is>
          <t>2005-07-14</t>
        </is>
      </c>
      <c r="W1424" t="inlineStr">
        <is>
          <t>1991-05-06</t>
        </is>
      </c>
      <c r="X1424" t="inlineStr">
        <is>
          <t>1991-05-06</t>
        </is>
      </c>
      <c r="Y1424" t="n">
        <v>2063</v>
      </c>
      <c r="Z1424" t="n">
        <v>1976</v>
      </c>
      <c r="AA1424" t="n">
        <v>2518</v>
      </c>
      <c r="AB1424" t="n">
        <v>13</v>
      </c>
      <c r="AC1424" t="n">
        <v>22</v>
      </c>
      <c r="AD1424" t="n">
        <v>54</v>
      </c>
      <c r="AE1424" t="n">
        <v>65</v>
      </c>
      <c r="AF1424" t="n">
        <v>24</v>
      </c>
      <c r="AG1424" t="n">
        <v>27</v>
      </c>
      <c r="AH1424" t="n">
        <v>9</v>
      </c>
      <c r="AI1424" t="n">
        <v>10</v>
      </c>
      <c r="AJ1424" t="n">
        <v>23</v>
      </c>
      <c r="AK1424" t="n">
        <v>25</v>
      </c>
      <c r="AL1424" t="n">
        <v>9</v>
      </c>
      <c r="AM1424" t="n">
        <v>15</v>
      </c>
      <c r="AN1424" t="n">
        <v>1</v>
      </c>
      <c r="AO1424" t="n">
        <v>1</v>
      </c>
      <c r="AP1424" t="inlineStr">
        <is>
          <t>No</t>
        </is>
      </c>
      <c r="AQ1424" t="inlineStr">
        <is>
          <t>Yes</t>
        </is>
      </c>
      <c r="AR1424">
        <f>HYPERLINK("http://catalog.hathitrust.org/Record/004388672","HathiTrust Record")</f>
        <v/>
      </c>
      <c r="AS1424">
        <f>HYPERLINK("https://creighton-primo.hosted.exlibrisgroup.com/primo-explore/search?tab=default_tab&amp;search_scope=EVERYTHING&amp;vid=01CRU&amp;lang=en_US&amp;offset=0&amp;query=any,contains,991002814389702656","Catalog Record")</f>
        <v/>
      </c>
      <c r="AT1424">
        <f>HYPERLINK("http://www.worldcat.org/oclc/457156","WorldCat Record")</f>
        <v/>
      </c>
      <c r="AU1424" t="inlineStr">
        <is>
          <t>2863885437:eng</t>
        </is>
      </c>
      <c r="AV1424" t="inlineStr">
        <is>
          <t>457156</t>
        </is>
      </c>
      <c r="AW1424" t="inlineStr">
        <is>
          <t>991002814389702656</t>
        </is>
      </c>
      <c r="AX1424" t="inlineStr">
        <is>
          <t>991002814389702656</t>
        </is>
      </c>
      <c r="AY1424" t="inlineStr">
        <is>
          <t>2262871270002656</t>
        </is>
      </c>
      <c r="AZ1424" t="inlineStr">
        <is>
          <t>BOOK</t>
        </is>
      </c>
      <c r="BC1424" t="inlineStr">
        <is>
          <t>32285000610104</t>
        </is>
      </c>
      <c r="BD1424" t="inlineStr">
        <is>
          <t>893805071</t>
        </is>
      </c>
    </row>
    <row r="1425">
      <c r="A1425" t="inlineStr">
        <is>
          <t>No</t>
        </is>
      </c>
      <c r="B1425" t="inlineStr">
        <is>
          <t>E470.2 .L48 2004</t>
        </is>
      </c>
      <c r="C1425" t="inlineStr">
        <is>
          <t>0                      E  0470200L  48          2004</t>
        </is>
      </c>
      <c r="D1425" t="inlineStr">
        <is>
          <t>Rebels at the gate : Lee and McClellan on the front line of a nation divided / W. Hunter Lesser.</t>
        </is>
      </c>
      <c r="F1425" t="inlineStr">
        <is>
          <t>No</t>
        </is>
      </c>
      <c r="G1425" t="inlineStr">
        <is>
          <t>1</t>
        </is>
      </c>
      <c r="H1425" t="inlineStr">
        <is>
          <t>No</t>
        </is>
      </c>
      <c r="I1425" t="inlineStr">
        <is>
          <t>No</t>
        </is>
      </c>
      <c r="J1425" t="inlineStr">
        <is>
          <t>0</t>
        </is>
      </c>
      <c r="K1425" t="inlineStr">
        <is>
          <t>Lesser, Hunter.</t>
        </is>
      </c>
      <c r="L1425" t="inlineStr">
        <is>
          <t>Naperville, Ill. : Sourcebooks, c2004.</t>
        </is>
      </c>
      <c r="M1425" t="inlineStr">
        <is>
          <t>2004</t>
        </is>
      </c>
      <c r="O1425" t="inlineStr">
        <is>
          <t>eng</t>
        </is>
      </c>
      <c r="P1425" t="inlineStr">
        <is>
          <t>ilu</t>
        </is>
      </c>
      <c r="R1425" t="inlineStr">
        <is>
          <t xml:space="preserve">E  </t>
        </is>
      </c>
      <c r="S1425" t="n">
        <v>1</v>
      </c>
      <c r="T1425" t="n">
        <v>1</v>
      </c>
      <c r="U1425" t="inlineStr">
        <is>
          <t>2004-06-29</t>
        </is>
      </c>
      <c r="V1425" t="inlineStr">
        <is>
          <t>2004-06-29</t>
        </is>
      </c>
      <c r="W1425" t="inlineStr">
        <is>
          <t>2004-06-29</t>
        </is>
      </c>
      <c r="X1425" t="inlineStr">
        <is>
          <t>2004-06-29</t>
        </is>
      </c>
      <c r="Y1425" t="n">
        <v>306</v>
      </c>
      <c r="Z1425" t="n">
        <v>301</v>
      </c>
      <c r="AA1425" t="n">
        <v>391</v>
      </c>
      <c r="AB1425" t="n">
        <v>3</v>
      </c>
      <c r="AC1425" t="n">
        <v>3</v>
      </c>
      <c r="AD1425" t="n">
        <v>8</v>
      </c>
      <c r="AE1425" t="n">
        <v>9</v>
      </c>
      <c r="AF1425" t="n">
        <v>3</v>
      </c>
      <c r="AG1425" t="n">
        <v>4</v>
      </c>
      <c r="AH1425" t="n">
        <v>1</v>
      </c>
      <c r="AI1425" t="n">
        <v>2</v>
      </c>
      <c r="AJ1425" t="n">
        <v>2</v>
      </c>
      <c r="AK1425" t="n">
        <v>2</v>
      </c>
      <c r="AL1425" t="n">
        <v>2</v>
      </c>
      <c r="AM1425" t="n">
        <v>2</v>
      </c>
      <c r="AN1425" t="n">
        <v>0</v>
      </c>
      <c r="AO1425" t="n">
        <v>0</v>
      </c>
      <c r="AP1425" t="inlineStr">
        <is>
          <t>No</t>
        </is>
      </c>
      <c r="AQ1425" t="inlineStr">
        <is>
          <t>Yes</t>
        </is>
      </c>
      <c r="AR1425">
        <f>HYPERLINK("http://catalog.hathitrust.org/Record/008996946","HathiTrust Record")</f>
        <v/>
      </c>
      <c r="AS1425">
        <f>HYPERLINK("https://creighton-primo.hosted.exlibrisgroup.com/primo-explore/search?tab=default_tab&amp;search_scope=EVERYTHING&amp;vid=01CRU&amp;lang=en_US&amp;offset=0&amp;query=any,contains,991004303649702656","Catalog Record")</f>
        <v/>
      </c>
      <c r="AT1425">
        <f>HYPERLINK("http://www.worldcat.org/oclc/53972216","WorldCat Record")</f>
        <v/>
      </c>
      <c r="AU1425" t="inlineStr">
        <is>
          <t>1124687376:eng</t>
        </is>
      </c>
      <c r="AV1425" t="inlineStr">
        <is>
          <t>53972216</t>
        </is>
      </c>
      <c r="AW1425" t="inlineStr">
        <is>
          <t>991004303649702656</t>
        </is>
      </c>
      <c r="AX1425" t="inlineStr">
        <is>
          <t>991004303649702656</t>
        </is>
      </c>
      <c r="AY1425" t="inlineStr">
        <is>
          <t>2267791790002656</t>
        </is>
      </c>
      <c r="AZ1425" t="inlineStr">
        <is>
          <t>BOOK</t>
        </is>
      </c>
      <c r="BB1425" t="inlineStr">
        <is>
          <t>9781570717475</t>
        </is>
      </c>
      <c r="BC1425" t="inlineStr">
        <is>
          <t>32285004921689</t>
        </is>
      </c>
      <c r="BD1425" t="inlineStr">
        <is>
          <t>893693774</t>
        </is>
      </c>
    </row>
    <row r="1426">
      <c r="A1426" t="inlineStr">
        <is>
          <t>No</t>
        </is>
      </c>
      <c r="B1426" t="inlineStr">
        <is>
          <t>E470.9 .J66 1991</t>
        </is>
      </c>
      <c r="C1426" t="inlineStr">
        <is>
          <t>0                      E  0470900J  66          1991</t>
        </is>
      </c>
      <c r="D1426" t="inlineStr">
        <is>
          <t>The Civil War in the American West / by Alvin M. Josephy, Jr.</t>
        </is>
      </c>
      <c r="F1426" t="inlineStr">
        <is>
          <t>No</t>
        </is>
      </c>
      <c r="G1426" t="inlineStr">
        <is>
          <t>1</t>
        </is>
      </c>
      <c r="H1426" t="inlineStr">
        <is>
          <t>No</t>
        </is>
      </c>
      <c r="I1426" t="inlineStr">
        <is>
          <t>No</t>
        </is>
      </c>
      <c r="J1426" t="inlineStr">
        <is>
          <t>0</t>
        </is>
      </c>
      <c r="K1426" t="inlineStr">
        <is>
          <t>Josephy, Alvin M., 1915-2005.</t>
        </is>
      </c>
      <c r="L1426" t="inlineStr">
        <is>
          <t>New York : A.A. Knopf : Distributed by Random House, 1991.</t>
        </is>
      </c>
      <c r="M1426" t="inlineStr">
        <is>
          <t>1991</t>
        </is>
      </c>
      <c r="N1426" t="inlineStr">
        <is>
          <t>1st ed.</t>
        </is>
      </c>
      <c r="O1426" t="inlineStr">
        <is>
          <t>eng</t>
        </is>
      </c>
      <c r="P1426" t="inlineStr">
        <is>
          <t>nyu</t>
        </is>
      </c>
      <c r="R1426" t="inlineStr">
        <is>
          <t xml:space="preserve">E  </t>
        </is>
      </c>
      <c r="S1426" t="n">
        <v>3</v>
      </c>
      <c r="T1426" t="n">
        <v>3</v>
      </c>
      <c r="U1426" t="inlineStr">
        <is>
          <t>1993-02-10</t>
        </is>
      </c>
      <c r="V1426" t="inlineStr">
        <is>
          <t>1993-02-10</t>
        </is>
      </c>
      <c r="W1426" t="inlineStr">
        <is>
          <t>1992-05-08</t>
        </is>
      </c>
      <c r="X1426" t="inlineStr">
        <is>
          <t>1992-05-08</t>
        </is>
      </c>
      <c r="Y1426" t="n">
        <v>1601</v>
      </c>
      <c r="Z1426" t="n">
        <v>1543</v>
      </c>
      <c r="AA1426" t="n">
        <v>1735</v>
      </c>
      <c r="AB1426" t="n">
        <v>13</v>
      </c>
      <c r="AC1426" t="n">
        <v>16</v>
      </c>
      <c r="AD1426" t="n">
        <v>42</v>
      </c>
      <c r="AE1426" t="n">
        <v>49</v>
      </c>
      <c r="AF1426" t="n">
        <v>16</v>
      </c>
      <c r="AG1426" t="n">
        <v>20</v>
      </c>
      <c r="AH1426" t="n">
        <v>8</v>
      </c>
      <c r="AI1426" t="n">
        <v>8</v>
      </c>
      <c r="AJ1426" t="n">
        <v>19</v>
      </c>
      <c r="AK1426" t="n">
        <v>19</v>
      </c>
      <c r="AL1426" t="n">
        <v>9</v>
      </c>
      <c r="AM1426" t="n">
        <v>12</v>
      </c>
      <c r="AN1426" t="n">
        <v>0</v>
      </c>
      <c r="AO1426" t="n">
        <v>0</v>
      </c>
      <c r="AP1426" t="inlineStr">
        <is>
          <t>No</t>
        </is>
      </c>
      <c r="AQ1426" t="inlineStr">
        <is>
          <t>Yes</t>
        </is>
      </c>
      <c r="AR1426">
        <f>HYPERLINK("http://catalog.hathitrust.org/Record/002490723","HathiTrust Record")</f>
        <v/>
      </c>
      <c r="AS1426">
        <f>HYPERLINK("https://creighton-primo.hosted.exlibrisgroup.com/primo-explore/search?tab=default_tab&amp;search_scope=EVERYTHING&amp;vid=01CRU&amp;lang=en_US&amp;offset=0&amp;query=any,contains,991001831489702656","Catalog Record")</f>
        <v/>
      </c>
      <c r="AT1426">
        <f>HYPERLINK("http://www.worldcat.org/oclc/23015238","WorldCat Record")</f>
        <v/>
      </c>
      <c r="AU1426" t="inlineStr">
        <is>
          <t>60657189:eng</t>
        </is>
      </c>
      <c r="AV1426" t="inlineStr">
        <is>
          <t>23015238</t>
        </is>
      </c>
      <c r="AW1426" t="inlineStr">
        <is>
          <t>991001831489702656</t>
        </is>
      </c>
      <c r="AX1426" t="inlineStr">
        <is>
          <t>991001831489702656</t>
        </is>
      </c>
      <c r="AY1426" t="inlineStr">
        <is>
          <t>2262577370002656</t>
        </is>
      </c>
      <c r="AZ1426" t="inlineStr">
        <is>
          <t>BOOK</t>
        </is>
      </c>
      <c r="BB1426" t="inlineStr">
        <is>
          <t>9780394564821</t>
        </is>
      </c>
      <c r="BC1426" t="inlineStr">
        <is>
          <t>32285001039956</t>
        </is>
      </c>
      <c r="BD1426" t="inlineStr">
        <is>
          <t>893785427</t>
        </is>
      </c>
    </row>
    <row r="1427">
      <c r="A1427" t="inlineStr">
        <is>
          <t>No</t>
        </is>
      </c>
      <c r="B1427" t="inlineStr">
        <is>
          <t>E473.6 .S43 1992</t>
        </is>
      </c>
      <c r="C1427" t="inlineStr">
        <is>
          <t>0                      E  0473600S  43          1992</t>
        </is>
      </c>
      <c r="D1427" t="inlineStr">
        <is>
          <t>To the gates of Richmond : the peninsula campaign / Stephen W. Sears.</t>
        </is>
      </c>
      <c r="F1427" t="inlineStr">
        <is>
          <t>No</t>
        </is>
      </c>
      <c r="G1427" t="inlineStr">
        <is>
          <t>1</t>
        </is>
      </c>
      <c r="H1427" t="inlineStr">
        <is>
          <t>No</t>
        </is>
      </c>
      <c r="I1427" t="inlineStr">
        <is>
          <t>No</t>
        </is>
      </c>
      <c r="J1427" t="inlineStr">
        <is>
          <t>0</t>
        </is>
      </c>
      <c r="K1427" t="inlineStr">
        <is>
          <t>Sears, Stephen W.</t>
        </is>
      </c>
      <c r="L1427" t="inlineStr">
        <is>
          <t>New York : Ticknor &amp; Fields, 1992.</t>
        </is>
      </c>
      <c r="M1427" t="inlineStr">
        <is>
          <t>1992</t>
        </is>
      </c>
      <c r="O1427" t="inlineStr">
        <is>
          <t>eng</t>
        </is>
      </c>
      <c r="P1427" t="inlineStr">
        <is>
          <t>nyu</t>
        </is>
      </c>
      <c r="R1427" t="inlineStr">
        <is>
          <t xml:space="preserve">E  </t>
        </is>
      </c>
      <c r="S1427" t="n">
        <v>3</v>
      </c>
      <c r="T1427" t="n">
        <v>3</v>
      </c>
      <c r="U1427" t="inlineStr">
        <is>
          <t>1993-08-20</t>
        </is>
      </c>
      <c r="V1427" t="inlineStr">
        <is>
          <t>1993-08-20</t>
        </is>
      </c>
      <c r="W1427" t="inlineStr">
        <is>
          <t>1993-07-30</t>
        </is>
      </c>
      <c r="X1427" t="inlineStr">
        <is>
          <t>1993-07-30</t>
        </is>
      </c>
      <c r="Y1427" t="n">
        <v>1241</v>
      </c>
      <c r="Z1427" t="n">
        <v>1185</v>
      </c>
      <c r="AA1427" t="n">
        <v>1292</v>
      </c>
      <c r="AB1427" t="n">
        <v>9</v>
      </c>
      <c r="AC1427" t="n">
        <v>9</v>
      </c>
      <c r="AD1427" t="n">
        <v>34</v>
      </c>
      <c r="AE1427" t="n">
        <v>36</v>
      </c>
      <c r="AF1427" t="n">
        <v>13</v>
      </c>
      <c r="AG1427" t="n">
        <v>13</v>
      </c>
      <c r="AH1427" t="n">
        <v>6</v>
      </c>
      <c r="AI1427" t="n">
        <v>7</v>
      </c>
      <c r="AJ1427" t="n">
        <v>16</v>
      </c>
      <c r="AK1427" t="n">
        <v>17</v>
      </c>
      <c r="AL1427" t="n">
        <v>6</v>
      </c>
      <c r="AM1427" t="n">
        <v>6</v>
      </c>
      <c r="AN1427" t="n">
        <v>0</v>
      </c>
      <c r="AO1427" t="n">
        <v>0</v>
      </c>
      <c r="AP1427" t="inlineStr">
        <is>
          <t>No</t>
        </is>
      </c>
      <c r="AQ1427" t="inlineStr">
        <is>
          <t>Yes</t>
        </is>
      </c>
      <c r="AR1427">
        <f>HYPERLINK("http://catalog.hathitrust.org/Record/004529877","HathiTrust Record")</f>
        <v/>
      </c>
      <c r="AS1427">
        <f>HYPERLINK("https://creighton-primo.hosted.exlibrisgroup.com/primo-explore/search?tab=default_tab&amp;search_scope=EVERYTHING&amp;vid=01CRU&amp;lang=en_US&amp;offset=0&amp;query=any,contains,991001992929702656","Catalog Record")</f>
        <v/>
      </c>
      <c r="AT1427">
        <f>HYPERLINK("http://www.worldcat.org/oclc/25316567","WorldCat Record")</f>
        <v/>
      </c>
      <c r="AU1427" t="inlineStr">
        <is>
          <t>12509088:eng</t>
        </is>
      </c>
      <c r="AV1427" t="inlineStr">
        <is>
          <t>25316567</t>
        </is>
      </c>
      <c r="AW1427" t="inlineStr">
        <is>
          <t>991001992929702656</t>
        </is>
      </c>
      <c r="AX1427" t="inlineStr">
        <is>
          <t>991001992929702656</t>
        </is>
      </c>
      <c r="AY1427" t="inlineStr">
        <is>
          <t>2267998660002656</t>
        </is>
      </c>
      <c r="AZ1427" t="inlineStr">
        <is>
          <t>BOOK</t>
        </is>
      </c>
      <c r="BB1427" t="inlineStr">
        <is>
          <t>9780899197906</t>
        </is>
      </c>
      <c r="BC1427" t="inlineStr">
        <is>
          <t>32285001703791</t>
        </is>
      </c>
      <c r="BD1427" t="inlineStr">
        <is>
          <t>893420835</t>
        </is>
      </c>
    </row>
    <row r="1428">
      <c r="A1428" t="inlineStr">
        <is>
          <t>No</t>
        </is>
      </c>
      <c r="B1428" t="inlineStr">
        <is>
          <t>E473.68 .K66 2004</t>
        </is>
      </c>
      <c r="C1428" t="inlineStr">
        <is>
          <t>0                      E  0473680K  66          2004</t>
        </is>
      </c>
      <c r="D1428" t="inlineStr">
        <is>
          <t>Seven Days Battles 1862 : Lee's defense of Richmond / Angus Konstam.</t>
        </is>
      </c>
      <c r="F1428" t="inlineStr">
        <is>
          <t>No</t>
        </is>
      </c>
      <c r="G1428" t="inlineStr">
        <is>
          <t>1</t>
        </is>
      </c>
      <c r="H1428" t="inlineStr">
        <is>
          <t>No</t>
        </is>
      </c>
      <c r="I1428" t="inlineStr">
        <is>
          <t>No</t>
        </is>
      </c>
      <c r="J1428" t="inlineStr">
        <is>
          <t>0</t>
        </is>
      </c>
      <c r="K1428" t="inlineStr">
        <is>
          <t>Konstam, Angus.</t>
        </is>
      </c>
      <c r="L1428" t="inlineStr">
        <is>
          <t>Westport, Conn. : Praeger, c2004.</t>
        </is>
      </c>
      <c r="M1428" t="inlineStr">
        <is>
          <t>2004</t>
        </is>
      </c>
      <c r="O1428" t="inlineStr">
        <is>
          <t>eng</t>
        </is>
      </c>
      <c r="P1428" t="inlineStr">
        <is>
          <t>ctu</t>
        </is>
      </c>
      <c r="Q1428" t="inlineStr">
        <is>
          <t>Praeger illustrated military history series</t>
        </is>
      </c>
      <c r="R1428" t="inlineStr">
        <is>
          <t xml:space="preserve">E  </t>
        </is>
      </c>
      <c r="S1428" t="n">
        <v>1</v>
      </c>
      <c r="T1428" t="n">
        <v>1</v>
      </c>
      <c r="U1428" t="inlineStr">
        <is>
          <t>2004-11-29</t>
        </is>
      </c>
      <c r="V1428" t="inlineStr">
        <is>
          <t>2004-11-29</t>
        </is>
      </c>
      <c r="W1428" t="inlineStr">
        <is>
          <t>2004-11-29</t>
        </is>
      </c>
      <c r="X1428" t="inlineStr">
        <is>
          <t>2004-11-29</t>
        </is>
      </c>
      <c r="Y1428" t="n">
        <v>129</v>
      </c>
      <c r="Z1428" t="n">
        <v>127</v>
      </c>
      <c r="AA1428" t="n">
        <v>164</v>
      </c>
      <c r="AB1428" t="n">
        <v>1</v>
      </c>
      <c r="AC1428" t="n">
        <v>1</v>
      </c>
      <c r="AD1428" t="n">
        <v>5</v>
      </c>
      <c r="AE1428" t="n">
        <v>5</v>
      </c>
      <c r="AF1428" t="n">
        <v>3</v>
      </c>
      <c r="AG1428" t="n">
        <v>3</v>
      </c>
      <c r="AH1428" t="n">
        <v>1</v>
      </c>
      <c r="AI1428" t="n">
        <v>1</v>
      </c>
      <c r="AJ1428" t="n">
        <v>3</v>
      </c>
      <c r="AK1428" t="n">
        <v>3</v>
      </c>
      <c r="AL1428" t="n">
        <v>0</v>
      </c>
      <c r="AM1428" t="n">
        <v>0</v>
      </c>
      <c r="AN1428" t="n">
        <v>0</v>
      </c>
      <c r="AO1428" t="n">
        <v>0</v>
      </c>
      <c r="AP1428" t="inlineStr">
        <is>
          <t>No</t>
        </is>
      </c>
      <c r="AQ1428" t="inlineStr">
        <is>
          <t>Yes</t>
        </is>
      </c>
      <c r="AR1428">
        <f>HYPERLINK("http://catalog.hathitrust.org/Record/102034373","HathiTrust Record")</f>
        <v/>
      </c>
      <c r="AS1428">
        <f>HYPERLINK("https://creighton-primo.hosted.exlibrisgroup.com/primo-explore/search?tab=default_tab&amp;search_scope=EVERYTHING&amp;vid=01CRU&amp;lang=en_US&amp;offset=0&amp;query=any,contains,991004406879702656","Catalog Record")</f>
        <v/>
      </c>
      <c r="AT1428">
        <f>HYPERLINK("http://www.worldcat.org/oclc/55228944","WorldCat Record")</f>
        <v/>
      </c>
      <c r="AU1428" t="inlineStr">
        <is>
          <t>813186:eng</t>
        </is>
      </c>
      <c r="AV1428" t="inlineStr">
        <is>
          <t>55228944</t>
        </is>
      </c>
      <c r="AW1428" t="inlineStr">
        <is>
          <t>991004406879702656</t>
        </is>
      </c>
      <c r="AX1428" t="inlineStr">
        <is>
          <t>991004406879702656</t>
        </is>
      </c>
      <c r="AY1428" t="inlineStr">
        <is>
          <t>2270412050002656</t>
        </is>
      </c>
      <c r="AZ1428" t="inlineStr">
        <is>
          <t>BOOK</t>
        </is>
      </c>
      <c r="BB1428" t="inlineStr">
        <is>
          <t>9780275984380</t>
        </is>
      </c>
      <c r="BC1428" t="inlineStr">
        <is>
          <t>32285005013510</t>
        </is>
      </c>
      <c r="BD1428" t="inlineStr">
        <is>
          <t>893706372</t>
        </is>
      </c>
    </row>
    <row r="1429">
      <c r="A1429" t="inlineStr">
        <is>
          <t>No</t>
        </is>
      </c>
      <c r="B1429" t="inlineStr">
        <is>
          <t>E473.7 .K74 1996</t>
        </is>
      </c>
      <c r="C1429" t="inlineStr">
        <is>
          <t>0                      E  0473700K  74          1996</t>
        </is>
      </c>
      <c r="D1429" t="inlineStr">
        <is>
          <t>Conquering the valley : Stonewall Jackson at Port Republic / Robert K. Krick.</t>
        </is>
      </c>
      <c r="F1429" t="inlineStr">
        <is>
          <t>No</t>
        </is>
      </c>
      <c r="G1429" t="inlineStr">
        <is>
          <t>1</t>
        </is>
      </c>
      <c r="H1429" t="inlineStr">
        <is>
          <t>No</t>
        </is>
      </c>
      <c r="I1429" t="inlineStr">
        <is>
          <t>No</t>
        </is>
      </c>
      <c r="J1429" t="inlineStr">
        <is>
          <t>0</t>
        </is>
      </c>
      <c r="K1429" t="inlineStr">
        <is>
          <t>Krick, Robert K.</t>
        </is>
      </c>
      <c r="L1429" t="inlineStr">
        <is>
          <t>New York : Morrow, 1996.</t>
        </is>
      </c>
      <c r="M1429" t="inlineStr">
        <is>
          <t>1996</t>
        </is>
      </c>
      <c r="N1429" t="inlineStr">
        <is>
          <t>1st ed.</t>
        </is>
      </c>
      <c r="O1429" t="inlineStr">
        <is>
          <t>eng</t>
        </is>
      </c>
      <c r="P1429" t="inlineStr">
        <is>
          <t>nyu</t>
        </is>
      </c>
      <c r="R1429" t="inlineStr">
        <is>
          <t xml:space="preserve">E  </t>
        </is>
      </c>
      <c r="S1429" t="n">
        <v>1</v>
      </c>
      <c r="T1429" t="n">
        <v>1</v>
      </c>
      <c r="U1429" t="inlineStr">
        <is>
          <t>2001-03-29</t>
        </is>
      </c>
      <c r="V1429" t="inlineStr">
        <is>
          <t>2001-03-29</t>
        </is>
      </c>
      <c r="W1429" t="inlineStr">
        <is>
          <t>2001-03-29</t>
        </is>
      </c>
      <c r="X1429" t="inlineStr">
        <is>
          <t>2001-03-29</t>
        </is>
      </c>
      <c r="Y1429" t="n">
        <v>649</v>
      </c>
      <c r="Z1429" t="n">
        <v>631</v>
      </c>
      <c r="AA1429" t="n">
        <v>665</v>
      </c>
      <c r="AB1429" t="n">
        <v>6</v>
      </c>
      <c r="AC1429" t="n">
        <v>6</v>
      </c>
      <c r="AD1429" t="n">
        <v>19</v>
      </c>
      <c r="AE1429" t="n">
        <v>19</v>
      </c>
      <c r="AF1429" t="n">
        <v>7</v>
      </c>
      <c r="AG1429" t="n">
        <v>7</v>
      </c>
      <c r="AH1429" t="n">
        <v>4</v>
      </c>
      <c r="AI1429" t="n">
        <v>4</v>
      </c>
      <c r="AJ1429" t="n">
        <v>9</v>
      </c>
      <c r="AK1429" t="n">
        <v>9</v>
      </c>
      <c r="AL1429" t="n">
        <v>4</v>
      </c>
      <c r="AM1429" t="n">
        <v>4</v>
      </c>
      <c r="AN1429" t="n">
        <v>0</v>
      </c>
      <c r="AO1429" t="n">
        <v>0</v>
      </c>
      <c r="AP1429" t="inlineStr">
        <is>
          <t>No</t>
        </is>
      </c>
      <c r="AQ1429" t="inlineStr">
        <is>
          <t>Yes</t>
        </is>
      </c>
      <c r="AR1429">
        <f>HYPERLINK("http://catalog.hathitrust.org/Record/003043388","HathiTrust Record")</f>
        <v/>
      </c>
      <c r="AS1429">
        <f>HYPERLINK("https://creighton-primo.hosted.exlibrisgroup.com/primo-explore/search?tab=default_tab&amp;search_scope=EVERYTHING&amp;vid=01CRU&amp;lang=en_US&amp;offset=0&amp;query=any,contains,991003522349702656","Catalog Record")</f>
        <v/>
      </c>
      <c r="AT1429">
        <f>HYPERLINK("http://www.worldcat.org/oclc/32922884","WorldCat Record")</f>
        <v/>
      </c>
      <c r="AU1429" t="inlineStr">
        <is>
          <t>837085278:eng</t>
        </is>
      </c>
      <c r="AV1429" t="inlineStr">
        <is>
          <t>32922884</t>
        </is>
      </c>
      <c r="AW1429" t="inlineStr">
        <is>
          <t>991003522349702656</t>
        </is>
      </c>
      <c r="AX1429" t="inlineStr">
        <is>
          <t>991003522349702656</t>
        </is>
      </c>
      <c r="AY1429" t="inlineStr">
        <is>
          <t>2263993560002656</t>
        </is>
      </c>
      <c r="AZ1429" t="inlineStr">
        <is>
          <t>BOOK</t>
        </is>
      </c>
      <c r="BB1429" t="inlineStr">
        <is>
          <t>9780688112820</t>
        </is>
      </c>
      <c r="BC1429" t="inlineStr">
        <is>
          <t>32285004308622</t>
        </is>
      </c>
      <c r="BD1429" t="inlineStr">
        <is>
          <t>893717755</t>
        </is>
      </c>
    </row>
    <row r="1430">
      <c r="A1430" t="inlineStr">
        <is>
          <t>No</t>
        </is>
      </c>
      <c r="B1430" t="inlineStr">
        <is>
          <t>E473.7 .S78</t>
        </is>
      </c>
      <c r="C1430" t="inlineStr">
        <is>
          <t>0                      E  0473700S  78</t>
        </is>
      </c>
      <c r="D1430" t="inlineStr">
        <is>
          <t>From Cedar Mountain to Antietam, August-September, 1862 : Cedar Mountain, Second Manassas, Chantilly, Harpers Ferry, South Mountain, Antietam / maps by Wilbur S. Nye.</t>
        </is>
      </c>
      <c r="F1430" t="inlineStr">
        <is>
          <t>No</t>
        </is>
      </c>
      <c r="G1430" t="inlineStr">
        <is>
          <t>1</t>
        </is>
      </c>
      <c r="H1430" t="inlineStr">
        <is>
          <t>No</t>
        </is>
      </c>
      <c r="I1430" t="inlineStr">
        <is>
          <t>No</t>
        </is>
      </c>
      <c r="J1430" t="inlineStr">
        <is>
          <t>0</t>
        </is>
      </c>
      <c r="K1430" t="inlineStr">
        <is>
          <t>Stackpole, Edward J. (Edward James), 1894-1967.</t>
        </is>
      </c>
      <c r="L1430" t="inlineStr">
        <is>
          <t>Harrisburg, Pa. : Stackpole Co., [1959]</t>
        </is>
      </c>
      <c r="M1430" t="inlineStr">
        <is>
          <t>1959</t>
        </is>
      </c>
      <c r="N1430" t="inlineStr">
        <is>
          <t>[1st ed.]</t>
        </is>
      </c>
      <c r="O1430" t="inlineStr">
        <is>
          <t>eng</t>
        </is>
      </c>
      <c r="P1430" t="inlineStr">
        <is>
          <t>pau</t>
        </is>
      </c>
      <c r="Q1430" t="inlineStr">
        <is>
          <t>Civil War campaigns</t>
        </is>
      </c>
      <c r="R1430" t="inlineStr">
        <is>
          <t xml:space="preserve">E  </t>
        </is>
      </c>
      <c r="S1430" t="n">
        <v>3</v>
      </c>
      <c r="T1430" t="n">
        <v>3</v>
      </c>
      <c r="U1430" t="inlineStr">
        <is>
          <t>1999-03-15</t>
        </is>
      </c>
      <c r="V1430" t="inlineStr">
        <is>
          <t>1999-03-15</t>
        </is>
      </c>
      <c r="W1430" t="inlineStr">
        <is>
          <t>1993-03-04</t>
        </is>
      </c>
      <c r="X1430" t="inlineStr">
        <is>
          <t>1993-03-04</t>
        </is>
      </c>
      <c r="Y1430" t="n">
        <v>493</v>
      </c>
      <c r="Z1430" t="n">
        <v>480</v>
      </c>
      <c r="AA1430" t="n">
        <v>484</v>
      </c>
      <c r="AB1430" t="n">
        <v>5</v>
      </c>
      <c r="AC1430" t="n">
        <v>5</v>
      </c>
      <c r="AD1430" t="n">
        <v>23</v>
      </c>
      <c r="AE1430" t="n">
        <v>23</v>
      </c>
      <c r="AF1430" t="n">
        <v>6</v>
      </c>
      <c r="AG1430" t="n">
        <v>6</v>
      </c>
      <c r="AH1430" t="n">
        <v>7</v>
      </c>
      <c r="AI1430" t="n">
        <v>7</v>
      </c>
      <c r="AJ1430" t="n">
        <v>9</v>
      </c>
      <c r="AK1430" t="n">
        <v>9</v>
      </c>
      <c r="AL1430" t="n">
        <v>4</v>
      </c>
      <c r="AM1430" t="n">
        <v>4</v>
      </c>
      <c r="AN1430" t="n">
        <v>0</v>
      </c>
      <c r="AO1430" t="n">
        <v>0</v>
      </c>
      <c r="AP1430" t="inlineStr">
        <is>
          <t>No</t>
        </is>
      </c>
      <c r="AQ1430" t="inlineStr">
        <is>
          <t>Yes</t>
        </is>
      </c>
      <c r="AR1430">
        <f>HYPERLINK("http://catalog.hathitrust.org/Record/000564630","HathiTrust Record")</f>
        <v/>
      </c>
      <c r="AS1430">
        <f>HYPERLINK("https://creighton-primo.hosted.exlibrisgroup.com/primo-explore/search?tab=default_tab&amp;search_scope=EVERYTHING&amp;vid=01CRU&amp;lang=en_US&amp;offset=0&amp;query=any,contains,991003348649702656","Catalog Record")</f>
        <v/>
      </c>
      <c r="AT1430">
        <f>HYPERLINK("http://www.worldcat.org/oclc/880678","WorldCat Record")</f>
        <v/>
      </c>
      <c r="AU1430" t="inlineStr">
        <is>
          <t>1857008:eng</t>
        </is>
      </c>
      <c r="AV1430" t="inlineStr">
        <is>
          <t>880678</t>
        </is>
      </c>
      <c r="AW1430" t="inlineStr">
        <is>
          <t>991003348649702656</t>
        </is>
      </c>
      <c r="AX1430" t="inlineStr">
        <is>
          <t>991003348649702656</t>
        </is>
      </c>
      <c r="AY1430" t="inlineStr">
        <is>
          <t>2261695440002656</t>
        </is>
      </c>
      <c r="AZ1430" t="inlineStr">
        <is>
          <t>BOOK</t>
        </is>
      </c>
      <c r="BC1430" t="inlineStr">
        <is>
          <t>32285001542389</t>
        </is>
      </c>
      <c r="BD1430" t="inlineStr">
        <is>
          <t>893441204</t>
        </is>
      </c>
    </row>
    <row r="1431">
      <c r="A1431" t="inlineStr">
        <is>
          <t>No</t>
        </is>
      </c>
      <c r="B1431" t="inlineStr">
        <is>
          <t>E473.77 .H46 1994</t>
        </is>
      </c>
      <c r="C1431" t="inlineStr">
        <is>
          <t>0                      E  0473770H  46          1994</t>
        </is>
      </c>
      <c r="D1431" t="inlineStr">
        <is>
          <t>Return to Bull Run : the campaign and battle of Second Manassas / John J. Hennessy.</t>
        </is>
      </c>
      <c r="F1431" t="inlineStr">
        <is>
          <t>No</t>
        </is>
      </c>
      <c r="G1431" t="inlineStr">
        <is>
          <t>1</t>
        </is>
      </c>
      <c r="H1431" t="inlineStr">
        <is>
          <t>No</t>
        </is>
      </c>
      <c r="I1431" t="inlineStr">
        <is>
          <t>No</t>
        </is>
      </c>
      <c r="J1431" t="inlineStr">
        <is>
          <t>0</t>
        </is>
      </c>
      <c r="K1431" t="inlineStr">
        <is>
          <t>Hennessy, John.</t>
        </is>
      </c>
      <c r="L1431" t="inlineStr">
        <is>
          <t>New York : Simon &amp; Schuster, 1994, c1993.</t>
        </is>
      </c>
      <c r="M1431" t="inlineStr">
        <is>
          <t>1994</t>
        </is>
      </c>
      <c r="N1431" t="inlineStr">
        <is>
          <t>1st Touchstone ed.</t>
        </is>
      </c>
      <c r="O1431" t="inlineStr">
        <is>
          <t>eng</t>
        </is>
      </c>
      <c r="P1431" t="inlineStr">
        <is>
          <t>nyu</t>
        </is>
      </c>
      <c r="R1431" t="inlineStr">
        <is>
          <t xml:space="preserve">E  </t>
        </is>
      </c>
      <c r="S1431" t="n">
        <v>1</v>
      </c>
      <c r="T1431" t="n">
        <v>1</v>
      </c>
      <c r="U1431" t="inlineStr">
        <is>
          <t>2001-11-13</t>
        </is>
      </c>
      <c r="V1431" t="inlineStr">
        <is>
          <t>2001-11-13</t>
        </is>
      </c>
      <c r="W1431" t="inlineStr">
        <is>
          <t>1997-01-27</t>
        </is>
      </c>
      <c r="X1431" t="inlineStr">
        <is>
          <t>1997-01-27</t>
        </is>
      </c>
      <c r="Y1431" t="n">
        <v>80</v>
      </c>
      <c r="Z1431" t="n">
        <v>75</v>
      </c>
      <c r="AA1431" t="n">
        <v>1237</v>
      </c>
      <c r="AB1431" t="n">
        <v>3</v>
      </c>
      <c r="AC1431" t="n">
        <v>14</v>
      </c>
      <c r="AD1431" t="n">
        <v>2</v>
      </c>
      <c r="AE1431" t="n">
        <v>30</v>
      </c>
      <c r="AF1431" t="n">
        <v>0</v>
      </c>
      <c r="AG1431" t="n">
        <v>11</v>
      </c>
      <c r="AH1431" t="n">
        <v>0</v>
      </c>
      <c r="AI1431" t="n">
        <v>6</v>
      </c>
      <c r="AJ1431" t="n">
        <v>1</v>
      </c>
      <c r="AK1431" t="n">
        <v>14</v>
      </c>
      <c r="AL1431" t="n">
        <v>1</v>
      </c>
      <c r="AM1431" t="n">
        <v>6</v>
      </c>
      <c r="AN1431" t="n">
        <v>0</v>
      </c>
      <c r="AO1431" t="n">
        <v>0</v>
      </c>
      <c r="AP1431" t="inlineStr">
        <is>
          <t>No</t>
        </is>
      </c>
      <c r="AQ1431" t="inlineStr">
        <is>
          <t>No</t>
        </is>
      </c>
      <c r="AS1431">
        <f>HYPERLINK("https://creighton-primo.hosted.exlibrisgroup.com/primo-explore/search?tab=default_tab&amp;search_scope=EVERYTHING&amp;vid=01CRU&amp;lang=en_US&amp;offset=0&amp;query=any,contains,991002385169702656","Catalog Record")</f>
        <v/>
      </c>
      <c r="AT1431">
        <f>HYPERLINK("http://www.worldcat.org/oclc/30996076","WorldCat Record")</f>
        <v/>
      </c>
      <c r="AU1431" t="inlineStr">
        <is>
          <t>316088992:eng</t>
        </is>
      </c>
      <c r="AV1431" t="inlineStr">
        <is>
          <t>30996076</t>
        </is>
      </c>
      <c r="AW1431" t="inlineStr">
        <is>
          <t>991002385169702656</t>
        </is>
      </c>
      <c r="AX1431" t="inlineStr">
        <is>
          <t>991002385169702656</t>
        </is>
      </c>
      <c r="AY1431" t="inlineStr">
        <is>
          <t>2258520650002656</t>
        </is>
      </c>
      <c r="AZ1431" t="inlineStr">
        <is>
          <t>BOOK</t>
        </is>
      </c>
      <c r="BB1431" t="inlineStr">
        <is>
          <t>9780671889890</t>
        </is>
      </c>
      <c r="BC1431" t="inlineStr">
        <is>
          <t>32285002411824</t>
        </is>
      </c>
      <c r="BD1431" t="inlineStr">
        <is>
          <t>893445130</t>
        </is>
      </c>
    </row>
    <row r="1432">
      <c r="A1432" t="inlineStr">
        <is>
          <t>No</t>
        </is>
      </c>
      <c r="B1432" t="inlineStr">
        <is>
          <t>E474.65 .S43 1983</t>
        </is>
      </c>
      <c r="C1432" t="inlineStr">
        <is>
          <t>0                      E  0474650S  43          1983</t>
        </is>
      </c>
      <c r="D1432" t="inlineStr">
        <is>
          <t>Landscape turned red : the battle of Antietam / Stephen W. Sears.</t>
        </is>
      </c>
      <c r="F1432" t="inlineStr">
        <is>
          <t>No</t>
        </is>
      </c>
      <c r="G1432" t="inlineStr">
        <is>
          <t>1</t>
        </is>
      </c>
      <c r="H1432" t="inlineStr">
        <is>
          <t>No</t>
        </is>
      </c>
      <c r="I1432" t="inlineStr">
        <is>
          <t>No</t>
        </is>
      </c>
      <c r="J1432" t="inlineStr">
        <is>
          <t>0</t>
        </is>
      </c>
      <c r="K1432" t="inlineStr">
        <is>
          <t>Sears, Stephen W.</t>
        </is>
      </c>
      <c r="L1432" t="inlineStr">
        <is>
          <t>New Haven : Ticknor &amp; Fields, 1983.</t>
        </is>
      </c>
      <c r="M1432" t="inlineStr">
        <is>
          <t>1983</t>
        </is>
      </c>
      <c r="O1432" t="inlineStr">
        <is>
          <t>eng</t>
        </is>
      </c>
      <c r="P1432" t="inlineStr">
        <is>
          <t>ctu</t>
        </is>
      </c>
      <c r="R1432" t="inlineStr">
        <is>
          <t xml:space="preserve">E  </t>
        </is>
      </c>
      <c r="S1432" t="n">
        <v>6</v>
      </c>
      <c r="T1432" t="n">
        <v>6</v>
      </c>
      <c r="U1432" t="inlineStr">
        <is>
          <t>2002-04-23</t>
        </is>
      </c>
      <c r="V1432" t="inlineStr">
        <is>
          <t>2002-04-23</t>
        </is>
      </c>
      <c r="W1432" t="inlineStr">
        <is>
          <t>1990-06-06</t>
        </is>
      </c>
      <c r="X1432" t="inlineStr">
        <is>
          <t>1990-06-06</t>
        </is>
      </c>
      <c r="Y1432" t="n">
        <v>1933</v>
      </c>
      <c r="Z1432" t="n">
        <v>1869</v>
      </c>
      <c r="AA1432" t="n">
        <v>2330</v>
      </c>
      <c r="AB1432" t="n">
        <v>15</v>
      </c>
      <c r="AC1432" t="n">
        <v>20</v>
      </c>
      <c r="AD1432" t="n">
        <v>41</v>
      </c>
      <c r="AE1432" t="n">
        <v>50</v>
      </c>
      <c r="AF1432" t="n">
        <v>20</v>
      </c>
      <c r="AG1432" t="n">
        <v>23</v>
      </c>
      <c r="AH1432" t="n">
        <v>5</v>
      </c>
      <c r="AI1432" t="n">
        <v>8</v>
      </c>
      <c r="AJ1432" t="n">
        <v>16</v>
      </c>
      <c r="AK1432" t="n">
        <v>18</v>
      </c>
      <c r="AL1432" t="n">
        <v>7</v>
      </c>
      <c r="AM1432" t="n">
        <v>10</v>
      </c>
      <c r="AN1432" t="n">
        <v>0</v>
      </c>
      <c r="AO1432" t="n">
        <v>0</v>
      </c>
      <c r="AP1432" t="inlineStr">
        <is>
          <t>No</t>
        </is>
      </c>
      <c r="AQ1432" t="inlineStr">
        <is>
          <t>Yes</t>
        </is>
      </c>
      <c r="AR1432">
        <f>HYPERLINK("http://catalog.hathitrust.org/Record/000158246","HathiTrust Record")</f>
        <v/>
      </c>
      <c r="AS1432">
        <f>HYPERLINK("https://creighton-primo.hosted.exlibrisgroup.com/primo-explore/search?tab=default_tab&amp;search_scope=EVERYTHING&amp;vid=01CRU&amp;lang=en_US&amp;offset=0&amp;query=any,contains,991000120019702656","Catalog Record")</f>
        <v/>
      </c>
      <c r="AT1432">
        <f>HYPERLINK("http://www.worldcat.org/oclc/9066216","WorldCat Record")</f>
        <v/>
      </c>
      <c r="AU1432" t="inlineStr">
        <is>
          <t>720512:eng</t>
        </is>
      </c>
      <c r="AV1432" t="inlineStr">
        <is>
          <t>9066216</t>
        </is>
      </c>
      <c r="AW1432" t="inlineStr">
        <is>
          <t>991000120019702656</t>
        </is>
      </c>
      <c r="AX1432" t="inlineStr">
        <is>
          <t>991000120019702656</t>
        </is>
      </c>
      <c r="AY1432" t="inlineStr">
        <is>
          <t>2269619360002656</t>
        </is>
      </c>
      <c r="AZ1432" t="inlineStr">
        <is>
          <t>BOOK</t>
        </is>
      </c>
      <c r="BB1432" t="inlineStr">
        <is>
          <t>9780899191720</t>
        </is>
      </c>
      <c r="BC1432" t="inlineStr">
        <is>
          <t>32285000182419</t>
        </is>
      </c>
      <c r="BD1432" t="inlineStr">
        <is>
          <t>893444211</t>
        </is>
      </c>
    </row>
    <row r="1433">
      <c r="A1433" t="inlineStr">
        <is>
          <t>No</t>
        </is>
      </c>
      <c r="B1433" t="inlineStr">
        <is>
          <t>E474.85 .B85 2001</t>
        </is>
      </c>
      <c r="C1433" t="inlineStr">
        <is>
          <t>0                      E  0474850B  85          2001</t>
        </is>
      </c>
      <c r="D1433" t="inlineStr">
        <is>
          <t>Marye's Heights, Fredericksburg / Victor D. Brooks.</t>
        </is>
      </c>
      <c r="F1433" t="inlineStr">
        <is>
          <t>No</t>
        </is>
      </c>
      <c r="G1433" t="inlineStr">
        <is>
          <t>1</t>
        </is>
      </c>
      <c r="H1433" t="inlineStr">
        <is>
          <t>No</t>
        </is>
      </c>
      <c r="I1433" t="inlineStr">
        <is>
          <t>No</t>
        </is>
      </c>
      <c r="J1433" t="inlineStr">
        <is>
          <t>0</t>
        </is>
      </c>
      <c r="K1433" t="inlineStr">
        <is>
          <t>Brooks, Victor.</t>
        </is>
      </c>
      <c r="L1433" t="inlineStr">
        <is>
          <t>Conshohocken, PA : Combined Publishing, c2001.</t>
        </is>
      </c>
      <c r="M1433" t="inlineStr">
        <is>
          <t>2001</t>
        </is>
      </c>
      <c r="O1433" t="inlineStr">
        <is>
          <t>eng</t>
        </is>
      </c>
      <c r="P1433" t="inlineStr">
        <is>
          <t>pau</t>
        </is>
      </c>
      <c r="Q1433" t="inlineStr">
        <is>
          <t>Battleground America</t>
        </is>
      </c>
      <c r="R1433" t="inlineStr">
        <is>
          <t xml:space="preserve">E  </t>
        </is>
      </c>
      <c r="S1433" t="n">
        <v>1</v>
      </c>
      <c r="T1433" t="n">
        <v>1</v>
      </c>
      <c r="U1433" t="inlineStr">
        <is>
          <t>2002-09-18</t>
        </is>
      </c>
      <c r="V1433" t="inlineStr">
        <is>
          <t>2002-09-18</t>
        </is>
      </c>
      <c r="W1433" t="inlineStr">
        <is>
          <t>2002-09-18</t>
        </is>
      </c>
      <c r="X1433" t="inlineStr">
        <is>
          <t>2002-09-18</t>
        </is>
      </c>
      <c r="Y1433" t="n">
        <v>63</v>
      </c>
      <c r="Z1433" t="n">
        <v>60</v>
      </c>
      <c r="AA1433" t="n">
        <v>341</v>
      </c>
      <c r="AB1433" t="n">
        <v>1</v>
      </c>
      <c r="AC1433" t="n">
        <v>2</v>
      </c>
      <c r="AD1433" t="n">
        <v>3</v>
      </c>
      <c r="AE1433" t="n">
        <v>5</v>
      </c>
      <c r="AF1433" t="n">
        <v>1</v>
      </c>
      <c r="AG1433" t="n">
        <v>2</v>
      </c>
      <c r="AH1433" t="n">
        <v>1</v>
      </c>
      <c r="AI1433" t="n">
        <v>1</v>
      </c>
      <c r="AJ1433" t="n">
        <v>1</v>
      </c>
      <c r="AK1433" t="n">
        <v>2</v>
      </c>
      <c r="AL1433" t="n">
        <v>0</v>
      </c>
      <c r="AM1433" t="n">
        <v>1</v>
      </c>
      <c r="AN1433" t="n">
        <v>0</v>
      </c>
      <c r="AO1433" t="n">
        <v>0</v>
      </c>
      <c r="AP1433" t="inlineStr">
        <is>
          <t>No</t>
        </is>
      </c>
      <c r="AQ1433" t="inlineStr">
        <is>
          <t>No</t>
        </is>
      </c>
      <c r="AS1433">
        <f>HYPERLINK("https://creighton-primo.hosted.exlibrisgroup.com/primo-explore/search?tab=default_tab&amp;search_scope=EVERYTHING&amp;vid=01CRU&amp;lang=en_US&amp;offset=0&amp;query=any,contains,991003872639702656","Catalog Record")</f>
        <v/>
      </c>
      <c r="AT1433">
        <f>HYPERLINK("http://www.worldcat.org/oclc/45800955","WorldCat Record")</f>
        <v/>
      </c>
      <c r="AU1433" t="inlineStr">
        <is>
          <t>35024440:eng</t>
        </is>
      </c>
      <c r="AV1433" t="inlineStr">
        <is>
          <t>45800955</t>
        </is>
      </c>
      <c r="AW1433" t="inlineStr">
        <is>
          <t>991003872639702656</t>
        </is>
      </c>
      <c r="AX1433" t="inlineStr">
        <is>
          <t>991003872639702656</t>
        </is>
      </c>
      <c r="AY1433" t="inlineStr">
        <is>
          <t>2255828820002656</t>
        </is>
      </c>
      <c r="AZ1433" t="inlineStr">
        <is>
          <t>BOOK</t>
        </is>
      </c>
      <c r="BB1433" t="inlineStr">
        <is>
          <t>9781580970365</t>
        </is>
      </c>
      <c r="BC1433" t="inlineStr">
        <is>
          <t>32285004647771</t>
        </is>
      </c>
      <c r="BD1433" t="inlineStr">
        <is>
          <t>893499818</t>
        </is>
      </c>
    </row>
    <row r="1434">
      <c r="A1434" t="inlineStr">
        <is>
          <t>No</t>
        </is>
      </c>
      <c r="B1434" t="inlineStr">
        <is>
          <t>E474.85 .S8</t>
        </is>
      </c>
      <c r="C1434" t="inlineStr">
        <is>
          <t>0                      E  0474850S  8</t>
        </is>
      </c>
      <c r="D1434" t="inlineStr">
        <is>
          <t>Drama on the Rappahannock: the Fredericksburg campaign.</t>
        </is>
      </c>
      <c r="F1434" t="inlineStr">
        <is>
          <t>No</t>
        </is>
      </c>
      <c r="G1434" t="inlineStr">
        <is>
          <t>1</t>
        </is>
      </c>
      <c r="H1434" t="inlineStr">
        <is>
          <t>No</t>
        </is>
      </c>
      <c r="I1434" t="inlineStr">
        <is>
          <t>No</t>
        </is>
      </c>
      <c r="J1434" t="inlineStr">
        <is>
          <t>0</t>
        </is>
      </c>
      <c r="K1434" t="inlineStr">
        <is>
          <t>Stackpole, Edward J. (Edward James), 1894-1967.</t>
        </is>
      </c>
      <c r="L1434" t="inlineStr">
        <is>
          <t>Harrisburg, Pa., Military Service Pub. Co. [1957]</t>
        </is>
      </c>
      <c r="M1434" t="inlineStr">
        <is>
          <t>1957</t>
        </is>
      </c>
      <c r="N1434" t="inlineStr">
        <is>
          <t>[1st ed.]</t>
        </is>
      </c>
      <c r="O1434" t="inlineStr">
        <is>
          <t>eng</t>
        </is>
      </c>
      <c r="P1434" t="inlineStr">
        <is>
          <t>pau</t>
        </is>
      </c>
      <c r="R1434" t="inlineStr">
        <is>
          <t xml:space="preserve">E  </t>
        </is>
      </c>
      <c r="S1434" t="n">
        <v>2</v>
      </c>
      <c r="T1434" t="n">
        <v>2</v>
      </c>
      <c r="U1434" t="inlineStr">
        <is>
          <t>2002-01-02</t>
        </is>
      </c>
      <c r="V1434" t="inlineStr">
        <is>
          <t>2002-01-02</t>
        </is>
      </c>
      <c r="W1434" t="inlineStr">
        <is>
          <t>1997-04-18</t>
        </is>
      </c>
      <c r="X1434" t="inlineStr">
        <is>
          <t>1997-04-18</t>
        </is>
      </c>
      <c r="Y1434" t="n">
        <v>407</v>
      </c>
      <c r="Z1434" t="n">
        <v>399</v>
      </c>
      <c r="AA1434" t="n">
        <v>662</v>
      </c>
      <c r="AB1434" t="n">
        <v>3</v>
      </c>
      <c r="AC1434" t="n">
        <v>6</v>
      </c>
      <c r="AD1434" t="n">
        <v>14</v>
      </c>
      <c r="AE1434" t="n">
        <v>23</v>
      </c>
      <c r="AF1434" t="n">
        <v>5</v>
      </c>
      <c r="AG1434" t="n">
        <v>7</v>
      </c>
      <c r="AH1434" t="n">
        <v>3</v>
      </c>
      <c r="AI1434" t="n">
        <v>5</v>
      </c>
      <c r="AJ1434" t="n">
        <v>6</v>
      </c>
      <c r="AK1434" t="n">
        <v>10</v>
      </c>
      <c r="AL1434" t="n">
        <v>1</v>
      </c>
      <c r="AM1434" t="n">
        <v>4</v>
      </c>
      <c r="AN1434" t="n">
        <v>0</v>
      </c>
      <c r="AO1434" t="n">
        <v>0</v>
      </c>
      <c r="AP1434" t="inlineStr">
        <is>
          <t>Yes</t>
        </is>
      </c>
      <c r="AQ1434" t="inlineStr">
        <is>
          <t>No</t>
        </is>
      </c>
      <c r="AR1434">
        <f>HYPERLINK("http://catalog.hathitrust.org/Record/000407586","HathiTrust Record")</f>
        <v/>
      </c>
      <c r="AS1434">
        <f>HYPERLINK("https://creighton-primo.hosted.exlibrisgroup.com/primo-explore/search?tab=default_tab&amp;search_scope=EVERYTHING&amp;vid=01CRU&amp;lang=en_US&amp;offset=0&amp;query=any,contains,991003667369702656","Catalog Record")</f>
        <v/>
      </c>
      <c r="AT1434">
        <f>HYPERLINK("http://www.worldcat.org/oclc/1282314","WorldCat Record")</f>
        <v/>
      </c>
      <c r="AU1434" t="inlineStr">
        <is>
          <t>4720719:eng</t>
        </is>
      </c>
      <c r="AV1434" t="inlineStr">
        <is>
          <t>1282314</t>
        </is>
      </c>
      <c r="AW1434" t="inlineStr">
        <is>
          <t>991003667369702656</t>
        </is>
      </c>
      <c r="AX1434" t="inlineStr">
        <is>
          <t>991003667369702656</t>
        </is>
      </c>
      <c r="AY1434" t="inlineStr">
        <is>
          <t>2265572760002656</t>
        </is>
      </c>
      <c r="AZ1434" t="inlineStr">
        <is>
          <t>BOOK</t>
        </is>
      </c>
      <c r="BC1434" t="inlineStr">
        <is>
          <t>32285002555992</t>
        </is>
      </c>
      <c r="BD1434" t="inlineStr">
        <is>
          <t>893512227</t>
        </is>
      </c>
    </row>
    <row r="1435">
      <c r="A1435" t="inlineStr">
        <is>
          <t>No</t>
        </is>
      </c>
      <c r="B1435" t="inlineStr">
        <is>
          <t>E475.35 .S43 1996</t>
        </is>
      </c>
      <c r="C1435" t="inlineStr">
        <is>
          <t>0                      E  0475350S  43          1996</t>
        </is>
      </c>
      <c r="D1435" t="inlineStr">
        <is>
          <t>Chancellorsville / Stephen W. Sears.</t>
        </is>
      </c>
      <c r="F1435" t="inlineStr">
        <is>
          <t>No</t>
        </is>
      </c>
      <c r="G1435" t="inlineStr">
        <is>
          <t>1</t>
        </is>
      </c>
      <c r="H1435" t="inlineStr">
        <is>
          <t>No</t>
        </is>
      </c>
      <c r="I1435" t="inlineStr">
        <is>
          <t>No</t>
        </is>
      </c>
      <c r="J1435" t="inlineStr">
        <is>
          <t>0</t>
        </is>
      </c>
      <c r="K1435" t="inlineStr">
        <is>
          <t>Sears, Stephen W.</t>
        </is>
      </c>
      <c r="L1435" t="inlineStr">
        <is>
          <t>Boston : Houghton Mifflin Co., 1996.</t>
        </is>
      </c>
      <c r="M1435" t="inlineStr">
        <is>
          <t>1996</t>
        </is>
      </c>
      <c r="O1435" t="inlineStr">
        <is>
          <t>eng</t>
        </is>
      </c>
      <c r="P1435" t="inlineStr">
        <is>
          <t>mau</t>
        </is>
      </c>
      <c r="R1435" t="inlineStr">
        <is>
          <t xml:space="preserve">E  </t>
        </is>
      </c>
      <c r="S1435" t="n">
        <v>3</v>
      </c>
      <c r="T1435" t="n">
        <v>3</v>
      </c>
      <c r="U1435" t="inlineStr">
        <is>
          <t>2002-01-02</t>
        </is>
      </c>
      <c r="V1435" t="inlineStr">
        <is>
          <t>2002-01-02</t>
        </is>
      </c>
      <c r="W1435" t="inlineStr">
        <is>
          <t>1996-10-21</t>
        </is>
      </c>
      <c r="X1435" t="inlineStr">
        <is>
          <t>1996-10-21</t>
        </is>
      </c>
      <c r="Y1435" t="n">
        <v>1570</v>
      </c>
      <c r="Z1435" t="n">
        <v>1529</v>
      </c>
      <c r="AA1435" t="n">
        <v>2190</v>
      </c>
      <c r="AB1435" t="n">
        <v>14</v>
      </c>
      <c r="AC1435" t="n">
        <v>16</v>
      </c>
      <c r="AD1435" t="n">
        <v>48</v>
      </c>
      <c r="AE1435" t="n">
        <v>49</v>
      </c>
      <c r="AF1435" t="n">
        <v>23</v>
      </c>
      <c r="AG1435" t="n">
        <v>23</v>
      </c>
      <c r="AH1435" t="n">
        <v>10</v>
      </c>
      <c r="AI1435" t="n">
        <v>10</v>
      </c>
      <c r="AJ1435" t="n">
        <v>19</v>
      </c>
      <c r="AK1435" t="n">
        <v>19</v>
      </c>
      <c r="AL1435" t="n">
        <v>9</v>
      </c>
      <c r="AM1435" t="n">
        <v>10</v>
      </c>
      <c r="AN1435" t="n">
        <v>0</v>
      </c>
      <c r="AO1435" t="n">
        <v>0</v>
      </c>
      <c r="AP1435" t="inlineStr">
        <is>
          <t>No</t>
        </is>
      </c>
      <c r="AQ1435" t="inlineStr">
        <is>
          <t>Yes</t>
        </is>
      </c>
      <c r="AR1435">
        <f>HYPERLINK("http://catalog.hathitrust.org/Record/003137673","HathiTrust Record")</f>
        <v/>
      </c>
      <c r="AS1435">
        <f>HYPERLINK("https://creighton-primo.hosted.exlibrisgroup.com/primo-explore/search?tab=default_tab&amp;search_scope=EVERYTHING&amp;vid=01CRU&amp;lang=en_US&amp;offset=0&amp;query=any,contains,991002678279702656","Catalog Record")</f>
        <v/>
      </c>
      <c r="AT1435">
        <f>HYPERLINK("http://www.worldcat.org/oclc/35008268","WorldCat Record")</f>
        <v/>
      </c>
      <c r="AU1435" t="inlineStr">
        <is>
          <t>3372832299:eng</t>
        </is>
      </c>
      <c r="AV1435" t="inlineStr">
        <is>
          <t>35008268</t>
        </is>
      </c>
      <c r="AW1435" t="inlineStr">
        <is>
          <t>991002678279702656</t>
        </is>
      </c>
      <c r="AX1435" t="inlineStr">
        <is>
          <t>991002678279702656</t>
        </is>
      </c>
      <c r="AY1435" t="inlineStr">
        <is>
          <t>2262277450002656</t>
        </is>
      </c>
      <c r="AZ1435" t="inlineStr">
        <is>
          <t>BOOK</t>
        </is>
      </c>
      <c r="BB1435" t="inlineStr">
        <is>
          <t>9780395634172</t>
        </is>
      </c>
      <c r="BC1435" t="inlineStr">
        <is>
          <t>32285002366846</t>
        </is>
      </c>
      <c r="BD1435" t="inlineStr">
        <is>
          <t>893257568</t>
        </is>
      </c>
    </row>
    <row r="1436">
      <c r="A1436" t="inlineStr">
        <is>
          <t>No</t>
        </is>
      </c>
      <c r="B1436" t="inlineStr">
        <is>
          <t>E475.35 .S8</t>
        </is>
      </c>
      <c r="C1436" t="inlineStr">
        <is>
          <t>0                      E  0475350S  8</t>
        </is>
      </c>
      <c r="D1436" t="inlineStr">
        <is>
          <t>Chancellorsville : Lee's greatest battle / by Edward J. Stackpole.</t>
        </is>
      </c>
      <c r="F1436" t="inlineStr">
        <is>
          <t>No</t>
        </is>
      </c>
      <c r="G1436" t="inlineStr">
        <is>
          <t>1</t>
        </is>
      </c>
      <c r="H1436" t="inlineStr">
        <is>
          <t>No</t>
        </is>
      </c>
      <c r="I1436" t="inlineStr">
        <is>
          <t>No</t>
        </is>
      </c>
      <c r="J1436" t="inlineStr">
        <is>
          <t>0</t>
        </is>
      </c>
      <c r="K1436" t="inlineStr">
        <is>
          <t>Stackpole, Edward J. (Edward James), 1894-1967.</t>
        </is>
      </c>
      <c r="L1436" t="inlineStr">
        <is>
          <t>Harrisburg, Pa. : Stackpole Co., c1958.</t>
        </is>
      </c>
      <c r="M1436" t="inlineStr">
        <is>
          <t>1958</t>
        </is>
      </c>
      <c r="O1436" t="inlineStr">
        <is>
          <t>eng</t>
        </is>
      </c>
      <c r="P1436" t="inlineStr">
        <is>
          <t>pau</t>
        </is>
      </c>
      <c r="R1436" t="inlineStr">
        <is>
          <t xml:space="preserve">E  </t>
        </is>
      </c>
      <c r="S1436" t="n">
        <v>3</v>
      </c>
      <c r="T1436" t="n">
        <v>3</v>
      </c>
      <c r="U1436" t="inlineStr">
        <is>
          <t>2002-01-02</t>
        </is>
      </c>
      <c r="V1436" t="inlineStr">
        <is>
          <t>2002-01-02</t>
        </is>
      </c>
      <c r="W1436" t="inlineStr">
        <is>
          <t>1996-08-21</t>
        </is>
      </c>
      <c r="X1436" t="inlineStr">
        <is>
          <t>1996-08-21</t>
        </is>
      </c>
      <c r="Y1436" t="n">
        <v>897</v>
      </c>
      <c r="Z1436" t="n">
        <v>872</v>
      </c>
      <c r="AA1436" t="n">
        <v>1508</v>
      </c>
      <c r="AB1436" t="n">
        <v>6</v>
      </c>
      <c r="AC1436" t="n">
        <v>27</v>
      </c>
      <c r="AD1436" t="n">
        <v>33</v>
      </c>
      <c r="AE1436" t="n">
        <v>42</v>
      </c>
      <c r="AF1436" t="n">
        <v>13</v>
      </c>
      <c r="AG1436" t="n">
        <v>15</v>
      </c>
      <c r="AH1436" t="n">
        <v>8</v>
      </c>
      <c r="AI1436" t="n">
        <v>8</v>
      </c>
      <c r="AJ1436" t="n">
        <v>15</v>
      </c>
      <c r="AK1436" t="n">
        <v>15</v>
      </c>
      <c r="AL1436" t="n">
        <v>5</v>
      </c>
      <c r="AM1436" t="n">
        <v>12</v>
      </c>
      <c r="AN1436" t="n">
        <v>0</v>
      </c>
      <c r="AO1436" t="n">
        <v>0</v>
      </c>
      <c r="AP1436" t="inlineStr">
        <is>
          <t>No</t>
        </is>
      </c>
      <c r="AQ1436" t="inlineStr">
        <is>
          <t>No</t>
        </is>
      </c>
      <c r="AS1436">
        <f>HYPERLINK("https://creighton-primo.hosted.exlibrisgroup.com/primo-explore/search?tab=default_tab&amp;search_scope=EVERYTHING&amp;vid=01CRU&amp;lang=en_US&amp;offset=0&amp;query=any,contains,991002513509702656","Catalog Record")</f>
        <v/>
      </c>
      <c r="AT1436">
        <f>HYPERLINK("http://www.worldcat.org/oclc/32327739","WorldCat Record")</f>
        <v/>
      </c>
      <c r="AU1436" t="inlineStr">
        <is>
          <t>1009610:eng</t>
        </is>
      </c>
      <c r="AV1436" t="inlineStr">
        <is>
          <t>32327739</t>
        </is>
      </c>
      <c r="AW1436" t="inlineStr">
        <is>
          <t>991002513509702656</t>
        </is>
      </c>
      <c r="AX1436" t="inlineStr">
        <is>
          <t>991002513509702656</t>
        </is>
      </c>
      <c r="AY1436" t="inlineStr">
        <is>
          <t>2264961310002656</t>
        </is>
      </c>
      <c r="AZ1436" t="inlineStr">
        <is>
          <t>BOOK</t>
        </is>
      </c>
      <c r="BC1436" t="inlineStr">
        <is>
          <t>32285002282696</t>
        </is>
      </c>
      <c r="BD1436" t="inlineStr">
        <is>
          <t>893329187</t>
        </is>
      </c>
    </row>
    <row r="1437">
      <c r="A1437" t="inlineStr">
        <is>
          <t>No</t>
        </is>
      </c>
      <c r="B1437" t="inlineStr">
        <is>
          <t>E475.51 .D74 1958</t>
        </is>
      </c>
      <c r="C1437" t="inlineStr">
        <is>
          <t>0                      E  0475510D  74          1958</t>
        </is>
      </c>
      <c r="D1437" t="inlineStr">
        <is>
          <t>Death of a nation : the story of Lee and his men at Gettysburg / by Clifford Dowdey.</t>
        </is>
      </c>
      <c r="F1437" t="inlineStr">
        <is>
          <t>No</t>
        </is>
      </c>
      <c r="G1437" t="inlineStr">
        <is>
          <t>1</t>
        </is>
      </c>
      <c r="H1437" t="inlineStr">
        <is>
          <t>No</t>
        </is>
      </c>
      <c r="I1437" t="inlineStr">
        <is>
          <t>No</t>
        </is>
      </c>
      <c r="J1437" t="inlineStr">
        <is>
          <t>0</t>
        </is>
      </c>
      <c r="K1437" t="inlineStr">
        <is>
          <t>Dowdey, Clifford, 1904-1979.</t>
        </is>
      </c>
      <c r="L1437" t="inlineStr">
        <is>
          <t>New York : Knopf, 1958.</t>
        </is>
      </c>
      <c r="M1437" t="inlineStr">
        <is>
          <t>1958</t>
        </is>
      </c>
      <c r="N1437" t="inlineStr">
        <is>
          <t>[1st ed.]</t>
        </is>
      </c>
      <c r="O1437" t="inlineStr">
        <is>
          <t>eng</t>
        </is>
      </c>
      <c r="P1437" t="inlineStr">
        <is>
          <t>nyu</t>
        </is>
      </c>
      <c r="R1437" t="inlineStr">
        <is>
          <t xml:space="preserve">E  </t>
        </is>
      </c>
      <c r="S1437" t="n">
        <v>3</v>
      </c>
      <c r="T1437" t="n">
        <v>3</v>
      </c>
      <c r="U1437" t="inlineStr">
        <is>
          <t>1997-02-16</t>
        </is>
      </c>
      <c r="V1437" t="inlineStr">
        <is>
          <t>1997-02-16</t>
        </is>
      </c>
      <c r="W1437" t="inlineStr">
        <is>
          <t>1991-03-06</t>
        </is>
      </c>
      <c r="X1437" t="inlineStr">
        <is>
          <t>1991-03-06</t>
        </is>
      </c>
      <c r="Y1437" t="n">
        <v>1079</v>
      </c>
      <c r="Z1437" t="n">
        <v>1049</v>
      </c>
      <c r="AA1437" t="n">
        <v>1112</v>
      </c>
      <c r="AB1437" t="n">
        <v>7</v>
      </c>
      <c r="AC1437" t="n">
        <v>7</v>
      </c>
      <c r="AD1437" t="n">
        <v>28</v>
      </c>
      <c r="AE1437" t="n">
        <v>30</v>
      </c>
      <c r="AF1437" t="n">
        <v>11</v>
      </c>
      <c r="AG1437" t="n">
        <v>13</v>
      </c>
      <c r="AH1437" t="n">
        <v>5</v>
      </c>
      <c r="AI1437" t="n">
        <v>5</v>
      </c>
      <c r="AJ1437" t="n">
        <v>10</v>
      </c>
      <c r="AK1437" t="n">
        <v>10</v>
      </c>
      <c r="AL1437" t="n">
        <v>5</v>
      </c>
      <c r="AM1437" t="n">
        <v>5</v>
      </c>
      <c r="AN1437" t="n">
        <v>1</v>
      </c>
      <c r="AO1437" t="n">
        <v>1</v>
      </c>
      <c r="AP1437" t="inlineStr">
        <is>
          <t>No</t>
        </is>
      </c>
      <c r="AQ1437" t="inlineStr">
        <is>
          <t>Yes</t>
        </is>
      </c>
      <c r="AR1437">
        <f>HYPERLINK("http://catalog.hathitrust.org/Record/000407605","HathiTrust Record")</f>
        <v/>
      </c>
      <c r="AS1437">
        <f>HYPERLINK("https://creighton-primo.hosted.exlibrisgroup.com/primo-explore/search?tab=default_tab&amp;search_scope=EVERYTHING&amp;vid=01CRU&amp;lang=en_US&amp;offset=0&amp;query=any,contains,991001088149702656","Catalog Record")</f>
        <v/>
      </c>
      <c r="AT1437">
        <f>HYPERLINK("http://www.worldcat.org/oclc/180958","WorldCat Record")</f>
        <v/>
      </c>
      <c r="AU1437" t="inlineStr">
        <is>
          <t>132016977:eng</t>
        </is>
      </c>
      <c r="AV1437" t="inlineStr">
        <is>
          <t>180958</t>
        </is>
      </c>
      <c r="AW1437" t="inlineStr">
        <is>
          <t>991001088149702656</t>
        </is>
      </c>
      <c r="AX1437" t="inlineStr">
        <is>
          <t>991001088149702656</t>
        </is>
      </c>
      <c r="AY1437" t="inlineStr">
        <is>
          <t>2271954860002656</t>
        </is>
      </c>
      <c r="AZ1437" t="inlineStr">
        <is>
          <t>BOOK</t>
        </is>
      </c>
      <c r="BC1437" t="inlineStr">
        <is>
          <t>32285000509983</t>
        </is>
      </c>
      <c r="BD1437" t="inlineStr">
        <is>
          <t>893407839</t>
        </is>
      </c>
    </row>
    <row r="1438">
      <c r="A1438" t="inlineStr">
        <is>
          <t>No</t>
        </is>
      </c>
      <c r="B1438" t="inlineStr">
        <is>
          <t>E475.51 .P18 2005</t>
        </is>
      </c>
      <c r="C1438" t="inlineStr">
        <is>
          <t>0                      E  0475510P  18          2005</t>
        </is>
      </c>
      <c r="D1438" t="inlineStr">
        <is>
          <t>African Americans and the Gettysburg campaign / James M. Paradis.</t>
        </is>
      </c>
      <c r="F1438" t="inlineStr">
        <is>
          <t>No</t>
        </is>
      </c>
      <c r="G1438" t="inlineStr">
        <is>
          <t>1</t>
        </is>
      </c>
      <c r="H1438" t="inlineStr">
        <is>
          <t>No</t>
        </is>
      </c>
      <c r="I1438" t="inlineStr">
        <is>
          <t>No</t>
        </is>
      </c>
      <c r="J1438" t="inlineStr">
        <is>
          <t>0</t>
        </is>
      </c>
      <c r="K1438" t="inlineStr">
        <is>
          <t>Paradis, James M., 1949-</t>
        </is>
      </c>
      <c r="L1438" t="inlineStr">
        <is>
          <t>Lanham, Md. : Scarecrow Press, 2005.</t>
        </is>
      </c>
      <c r="M1438" t="inlineStr">
        <is>
          <t>2005</t>
        </is>
      </c>
      <c r="O1438" t="inlineStr">
        <is>
          <t>eng</t>
        </is>
      </c>
      <c r="P1438" t="inlineStr">
        <is>
          <t>mdu</t>
        </is>
      </c>
      <c r="R1438" t="inlineStr">
        <is>
          <t xml:space="preserve">E  </t>
        </is>
      </c>
      <c r="S1438" t="n">
        <v>3</v>
      </c>
      <c r="T1438" t="n">
        <v>3</v>
      </c>
      <c r="U1438" t="inlineStr">
        <is>
          <t>2005-11-28</t>
        </is>
      </c>
      <c r="V1438" t="inlineStr">
        <is>
          <t>2005-11-28</t>
        </is>
      </c>
      <c r="W1438" t="inlineStr">
        <is>
          <t>2005-03-30</t>
        </is>
      </c>
      <c r="X1438" t="inlineStr">
        <is>
          <t>2005-03-30</t>
        </is>
      </c>
      <c r="Y1438" t="n">
        <v>360</v>
      </c>
      <c r="Z1438" t="n">
        <v>346</v>
      </c>
      <c r="AA1438" t="n">
        <v>671</v>
      </c>
      <c r="AB1438" t="n">
        <v>3</v>
      </c>
      <c r="AC1438" t="n">
        <v>3</v>
      </c>
      <c r="AD1438" t="n">
        <v>12</v>
      </c>
      <c r="AE1438" t="n">
        <v>20</v>
      </c>
      <c r="AF1438" t="n">
        <v>3</v>
      </c>
      <c r="AG1438" t="n">
        <v>8</v>
      </c>
      <c r="AH1438" t="n">
        <v>4</v>
      </c>
      <c r="AI1438" t="n">
        <v>6</v>
      </c>
      <c r="AJ1438" t="n">
        <v>6</v>
      </c>
      <c r="AK1438" t="n">
        <v>8</v>
      </c>
      <c r="AL1438" t="n">
        <v>2</v>
      </c>
      <c r="AM1438" t="n">
        <v>2</v>
      </c>
      <c r="AN1438" t="n">
        <v>0</v>
      </c>
      <c r="AO1438" t="n">
        <v>1</v>
      </c>
      <c r="AP1438" t="inlineStr">
        <is>
          <t>No</t>
        </is>
      </c>
      <c r="AQ1438" t="inlineStr">
        <is>
          <t>No</t>
        </is>
      </c>
      <c r="AS1438">
        <f>HYPERLINK("https://creighton-primo.hosted.exlibrisgroup.com/primo-explore/search?tab=default_tab&amp;search_scope=EVERYTHING&amp;vid=01CRU&amp;lang=en_US&amp;offset=0&amp;query=any,contains,991004496529702656","Catalog Record")</f>
        <v/>
      </c>
      <c r="AT1438">
        <f>HYPERLINK("http://www.worldcat.org/oclc/56214106","WorldCat Record")</f>
        <v/>
      </c>
      <c r="AU1438" t="inlineStr">
        <is>
          <t>1107208:eng</t>
        </is>
      </c>
      <c r="AV1438" t="inlineStr">
        <is>
          <t>56214106</t>
        </is>
      </c>
      <c r="AW1438" t="inlineStr">
        <is>
          <t>991004496529702656</t>
        </is>
      </c>
      <c r="AX1438" t="inlineStr">
        <is>
          <t>991004496529702656</t>
        </is>
      </c>
      <c r="AY1438" t="inlineStr">
        <is>
          <t>2261311080002656</t>
        </is>
      </c>
      <c r="AZ1438" t="inlineStr">
        <is>
          <t>BOOK</t>
        </is>
      </c>
      <c r="BB1438" t="inlineStr">
        <is>
          <t>9780810850309</t>
        </is>
      </c>
      <c r="BC1438" t="inlineStr">
        <is>
          <t>32285005045520</t>
        </is>
      </c>
      <c r="BD1438" t="inlineStr">
        <is>
          <t>893718982</t>
        </is>
      </c>
    </row>
    <row r="1439">
      <c r="A1439" t="inlineStr">
        <is>
          <t>No</t>
        </is>
      </c>
      <c r="B1439" t="inlineStr">
        <is>
          <t>E475.51 .S8</t>
        </is>
      </c>
      <c r="C1439" t="inlineStr">
        <is>
          <t>0                      E  0475510S  8</t>
        </is>
      </c>
      <c r="D1439" t="inlineStr">
        <is>
          <t>They met at Gettysburg.</t>
        </is>
      </c>
      <c r="F1439" t="inlineStr">
        <is>
          <t>No</t>
        </is>
      </c>
      <c r="G1439" t="inlineStr">
        <is>
          <t>1</t>
        </is>
      </c>
      <c r="H1439" t="inlineStr">
        <is>
          <t>No</t>
        </is>
      </c>
      <c r="I1439" t="inlineStr">
        <is>
          <t>No</t>
        </is>
      </c>
      <c r="J1439" t="inlineStr">
        <is>
          <t>0</t>
        </is>
      </c>
      <c r="K1439" t="inlineStr">
        <is>
          <t>Stackpole, Edward J. (Edward James), 1894-1967.</t>
        </is>
      </c>
      <c r="L1439" t="inlineStr">
        <is>
          <t>Harrisburg, Pa. : Stackpole Co., Eagle Books, [1956]</t>
        </is>
      </c>
      <c r="M1439" t="inlineStr">
        <is>
          <t>1956</t>
        </is>
      </c>
      <c r="N1439" t="inlineStr">
        <is>
          <t>[1st ed.]</t>
        </is>
      </c>
      <c r="O1439" t="inlineStr">
        <is>
          <t>eng</t>
        </is>
      </c>
      <c r="P1439" t="inlineStr">
        <is>
          <t>pau</t>
        </is>
      </c>
      <c r="R1439" t="inlineStr">
        <is>
          <t xml:space="preserve">E  </t>
        </is>
      </c>
      <c r="S1439" t="n">
        <v>16</v>
      </c>
      <c r="T1439" t="n">
        <v>16</v>
      </c>
      <c r="U1439" t="inlineStr">
        <is>
          <t>2005-11-28</t>
        </is>
      </c>
      <c r="V1439" t="inlineStr">
        <is>
          <t>2005-11-28</t>
        </is>
      </c>
      <c r="W1439" t="inlineStr">
        <is>
          <t>1992-12-23</t>
        </is>
      </c>
      <c r="X1439" t="inlineStr">
        <is>
          <t>1992-12-23</t>
        </is>
      </c>
      <c r="Y1439" t="n">
        <v>541</v>
      </c>
      <c r="Z1439" t="n">
        <v>522</v>
      </c>
      <c r="AA1439" t="n">
        <v>1785</v>
      </c>
      <c r="AB1439" t="n">
        <v>3</v>
      </c>
      <c r="AC1439" t="n">
        <v>33</v>
      </c>
      <c r="AD1439" t="n">
        <v>22</v>
      </c>
      <c r="AE1439" t="n">
        <v>53</v>
      </c>
      <c r="AF1439" t="n">
        <v>7</v>
      </c>
      <c r="AG1439" t="n">
        <v>19</v>
      </c>
      <c r="AH1439" t="n">
        <v>7</v>
      </c>
      <c r="AI1439" t="n">
        <v>9</v>
      </c>
      <c r="AJ1439" t="n">
        <v>12</v>
      </c>
      <c r="AK1439" t="n">
        <v>19</v>
      </c>
      <c r="AL1439" t="n">
        <v>2</v>
      </c>
      <c r="AM1439" t="n">
        <v>15</v>
      </c>
      <c r="AN1439" t="n">
        <v>0</v>
      </c>
      <c r="AO1439" t="n">
        <v>0</v>
      </c>
      <c r="AP1439" t="inlineStr">
        <is>
          <t>No</t>
        </is>
      </c>
      <c r="AQ1439" t="inlineStr">
        <is>
          <t>No</t>
        </is>
      </c>
      <c r="AR1439">
        <f>HYPERLINK("http://catalog.hathitrust.org/Record/007121089","HathiTrust Record")</f>
        <v/>
      </c>
      <c r="AS1439">
        <f>HYPERLINK("https://creighton-primo.hosted.exlibrisgroup.com/primo-explore/search?tab=default_tab&amp;search_scope=EVERYTHING&amp;vid=01CRU&amp;lang=en_US&amp;offset=0&amp;query=any,contains,991003927689702656","Catalog Record")</f>
        <v/>
      </c>
      <c r="AT1439">
        <f>HYPERLINK("http://www.worldcat.org/oclc/32327889","WorldCat Record")</f>
        <v/>
      </c>
      <c r="AU1439" t="inlineStr">
        <is>
          <t>471553:eng</t>
        </is>
      </c>
      <c r="AV1439" t="inlineStr">
        <is>
          <t>32327889</t>
        </is>
      </c>
      <c r="AW1439" t="inlineStr">
        <is>
          <t>991003927689702656</t>
        </is>
      </c>
      <c r="AX1439" t="inlineStr">
        <is>
          <t>991003927689702656</t>
        </is>
      </c>
      <c r="AY1439" t="inlineStr">
        <is>
          <t>2263086250002656</t>
        </is>
      </c>
      <c r="AZ1439" t="inlineStr">
        <is>
          <t>BOOK</t>
        </is>
      </c>
      <c r="BC1439" t="inlineStr">
        <is>
          <t>32285001470912</t>
        </is>
      </c>
      <c r="BD1439" t="inlineStr">
        <is>
          <t>893687141</t>
        </is>
      </c>
    </row>
    <row r="1440">
      <c r="A1440" t="inlineStr">
        <is>
          <t>No</t>
        </is>
      </c>
      <c r="B1440" t="inlineStr">
        <is>
          <t>E475.51 .W66 2003</t>
        </is>
      </c>
      <c r="C1440" t="inlineStr">
        <is>
          <t>0                      E  0475510W  66          2003</t>
        </is>
      </c>
      <c r="D1440" t="inlineStr">
        <is>
          <t>Beneath a northern sky : a short history of the Gettysburg Campaign / Steven E. Woodworth.</t>
        </is>
      </c>
      <c r="F1440" t="inlineStr">
        <is>
          <t>No</t>
        </is>
      </c>
      <c r="G1440" t="inlineStr">
        <is>
          <t>1</t>
        </is>
      </c>
      <c r="H1440" t="inlineStr">
        <is>
          <t>No</t>
        </is>
      </c>
      <c r="I1440" t="inlineStr">
        <is>
          <t>No</t>
        </is>
      </c>
      <c r="J1440" t="inlineStr">
        <is>
          <t>0</t>
        </is>
      </c>
      <c r="K1440" t="inlineStr">
        <is>
          <t>Woodworth, Steven E.</t>
        </is>
      </c>
      <c r="L1440" t="inlineStr">
        <is>
          <t>Wilmington, Del. : SR Books, 2003.</t>
        </is>
      </c>
      <c r="M1440" t="inlineStr">
        <is>
          <t>2003</t>
        </is>
      </c>
      <c r="O1440" t="inlineStr">
        <is>
          <t>eng</t>
        </is>
      </c>
      <c r="P1440" t="inlineStr">
        <is>
          <t>deu</t>
        </is>
      </c>
      <c r="Q1440" t="inlineStr">
        <is>
          <t>The American crisis series ; no. 12</t>
        </is>
      </c>
      <c r="R1440" t="inlineStr">
        <is>
          <t xml:space="preserve">E  </t>
        </is>
      </c>
      <c r="S1440" t="n">
        <v>1</v>
      </c>
      <c r="T1440" t="n">
        <v>1</v>
      </c>
      <c r="U1440" t="inlineStr">
        <is>
          <t>2004-01-14</t>
        </is>
      </c>
      <c r="V1440" t="inlineStr">
        <is>
          <t>2004-01-14</t>
        </is>
      </c>
      <c r="W1440" t="inlineStr">
        <is>
          <t>2004-01-14</t>
        </is>
      </c>
      <c r="X1440" t="inlineStr">
        <is>
          <t>2004-01-14</t>
        </is>
      </c>
      <c r="Y1440" t="n">
        <v>528</v>
      </c>
      <c r="Z1440" t="n">
        <v>507</v>
      </c>
      <c r="AA1440" t="n">
        <v>658</v>
      </c>
      <c r="AB1440" t="n">
        <v>5</v>
      </c>
      <c r="AC1440" t="n">
        <v>7</v>
      </c>
      <c r="AD1440" t="n">
        <v>30</v>
      </c>
      <c r="AE1440" t="n">
        <v>33</v>
      </c>
      <c r="AF1440" t="n">
        <v>14</v>
      </c>
      <c r="AG1440" t="n">
        <v>15</v>
      </c>
      <c r="AH1440" t="n">
        <v>8</v>
      </c>
      <c r="AI1440" t="n">
        <v>8</v>
      </c>
      <c r="AJ1440" t="n">
        <v>13</v>
      </c>
      <c r="AK1440" t="n">
        <v>13</v>
      </c>
      <c r="AL1440" t="n">
        <v>4</v>
      </c>
      <c r="AM1440" t="n">
        <v>6</v>
      </c>
      <c r="AN1440" t="n">
        <v>0</v>
      </c>
      <c r="AO1440" t="n">
        <v>0</v>
      </c>
      <c r="AP1440" t="inlineStr">
        <is>
          <t>No</t>
        </is>
      </c>
      <c r="AQ1440" t="inlineStr">
        <is>
          <t>Yes</t>
        </is>
      </c>
      <c r="AR1440">
        <f>HYPERLINK("http://catalog.hathitrust.org/Record/004314669","HathiTrust Record")</f>
        <v/>
      </c>
      <c r="AS1440">
        <f>HYPERLINK("https://creighton-primo.hosted.exlibrisgroup.com/primo-explore/search?tab=default_tab&amp;search_scope=EVERYTHING&amp;vid=01CRU&amp;lang=en_US&amp;offset=0&amp;query=any,contains,991004206039702656","Catalog Record")</f>
        <v/>
      </c>
      <c r="AT1440">
        <f>HYPERLINK("http://www.worldcat.org/oclc/50693089","WorldCat Record")</f>
        <v/>
      </c>
      <c r="AU1440" t="inlineStr">
        <is>
          <t>796417107:eng</t>
        </is>
      </c>
      <c r="AV1440" t="inlineStr">
        <is>
          <t>50693089</t>
        </is>
      </c>
      <c r="AW1440" t="inlineStr">
        <is>
          <t>991004206039702656</t>
        </is>
      </c>
      <c r="AX1440" t="inlineStr">
        <is>
          <t>991004206039702656</t>
        </is>
      </c>
      <c r="AY1440" t="inlineStr">
        <is>
          <t>2255964080002656</t>
        </is>
      </c>
      <c r="AZ1440" t="inlineStr">
        <is>
          <t>BOOK</t>
        </is>
      </c>
      <c r="BB1440" t="inlineStr">
        <is>
          <t>9780842029322</t>
        </is>
      </c>
      <c r="BC1440" t="inlineStr">
        <is>
          <t>32285004634381</t>
        </is>
      </c>
      <c r="BD1440" t="inlineStr">
        <is>
          <t>893525786</t>
        </is>
      </c>
    </row>
    <row r="1441">
      <c r="A1441" t="inlineStr">
        <is>
          <t>No</t>
        </is>
      </c>
      <c r="B1441" t="inlineStr">
        <is>
          <t>E475.53 .C72</t>
        </is>
      </c>
      <c r="C1441" t="inlineStr">
        <is>
          <t>0                      E  0475530C  72</t>
        </is>
      </c>
      <c r="D1441" t="inlineStr">
        <is>
          <t>The Gettysburg campaign : a study in command / [by] Edwin B. Coddington.</t>
        </is>
      </c>
      <c r="F1441" t="inlineStr">
        <is>
          <t>No</t>
        </is>
      </c>
      <c r="G1441" t="inlineStr">
        <is>
          <t>1</t>
        </is>
      </c>
      <c r="H1441" t="inlineStr">
        <is>
          <t>No</t>
        </is>
      </c>
      <c r="I1441" t="inlineStr">
        <is>
          <t>No</t>
        </is>
      </c>
      <c r="J1441" t="inlineStr">
        <is>
          <t>0</t>
        </is>
      </c>
      <c r="K1441" t="inlineStr">
        <is>
          <t>Coddington, Edwin B., 1905-1967.</t>
        </is>
      </c>
      <c r="L1441" t="inlineStr">
        <is>
          <t>New York : Scribner's, [1968]</t>
        </is>
      </c>
      <c r="M1441" t="inlineStr">
        <is>
          <t>1968</t>
        </is>
      </c>
      <c r="O1441" t="inlineStr">
        <is>
          <t>eng</t>
        </is>
      </c>
      <c r="P1441" t="inlineStr">
        <is>
          <t>nyu</t>
        </is>
      </c>
      <c r="R1441" t="inlineStr">
        <is>
          <t xml:space="preserve">E  </t>
        </is>
      </c>
      <c r="S1441" t="n">
        <v>9</v>
      </c>
      <c r="T1441" t="n">
        <v>9</v>
      </c>
      <c r="U1441" t="inlineStr">
        <is>
          <t>2005-11-28</t>
        </is>
      </c>
      <c r="V1441" t="inlineStr">
        <is>
          <t>2005-11-28</t>
        </is>
      </c>
      <c r="W1441" t="inlineStr">
        <is>
          <t>1992-12-23</t>
        </is>
      </c>
      <c r="X1441" t="inlineStr">
        <is>
          <t>1992-12-23</t>
        </is>
      </c>
      <c r="Y1441" t="n">
        <v>895</v>
      </c>
      <c r="Z1441" t="n">
        <v>852</v>
      </c>
      <c r="AA1441" t="n">
        <v>1263</v>
      </c>
      <c r="AB1441" t="n">
        <v>8</v>
      </c>
      <c r="AC1441" t="n">
        <v>10</v>
      </c>
      <c r="AD1441" t="n">
        <v>36</v>
      </c>
      <c r="AE1441" t="n">
        <v>42</v>
      </c>
      <c r="AF1441" t="n">
        <v>19</v>
      </c>
      <c r="AG1441" t="n">
        <v>21</v>
      </c>
      <c r="AH1441" t="n">
        <v>5</v>
      </c>
      <c r="AI1441" t="n">
        <v>6</v>
      </c>
      <c r="AJ1441" t="n">
        <v>14</v>
      </c>
      <c r="AK1441" t="n">
        <v>18</v>
      </c>
      <c r="AL1441" t="n">
        <v>6</v>
      </c>
      <c r="AM1441" t="n">
        <v>8</v>
      </c>
      <c r="AN1441" t="n">
        <v>0</v>
      </c>
      <c r="AO1441" t="n">
        <v>0</v>
      </c>
      <c r="AP1441" t="inlineStr">
        <is>
          <t>No</t>
        </is>
      </c>
      <c r="AQ1441" t="inlineStr">
        <is>
          <t>Yes</t>
        </is>
      </c>
      <c r="AR1441">
        <f>HYPERLINK("http://catalog.hathitrust.org/Record/000407753","HathiTrust Record")</f>
        <v/>
      </c>
      <c r="AS1441">
        <f>HYPERLINK("https://creighton-primo.hosted.exlibrisgroup.com/primo-explore/search?tab=default_tab&amp;search_scope=EVERYTHING&amp;vid=01CRU&amp;lang=en_US&amp;offset=0&amp;query=any,contains,991002770329702656","Catalog Record")</f>
        <v/>
      </c>
      <c r="AT1441">
        <f>HYPERLINK("http://www.worldcat.org/oclc/436704","WorldCat Record")</f>
        <v/>
      </c>
      <c r="AU1441" t="inlineStr">
        <is>
          <t>476705096:eng</t>
        </is>
      </c>
      <c r="AV1441" t="inlineStr">
        <is>
          <t>436704</t>
        </is>
      </c>
      <c r="AW1441" t="inlineStr">
        <is>
          <t>991002770329702656</t>
        </is>
      </c>
      <c r="AX1441" t="inlineStr">
        <is>
          <t>991002770329702656</t>
        </is>
      </c>
      <c r="AY1441" t="inlineStr">
        <is>
          <t>2270909160002656</t>
        </is>
      </c>
      <c r="AZ1441" t="inlineStr">
        <is>
          <t>BOOK</t>
        </is>
      </c>
      <c r="BC1441" t="inlineStr">
        <is>
          <t>32285001470904</t>
        </is>
      </c>
      <c r="BD1441" t="inlineStr">
        <is>
          <t>893867685</t>
        </is>
      </c>
    </row>
    <row r="1442">
      <c r="A1442" t="inlineStr">
        <is>
          <t>No</t>
        </is>
      </c>
      <c r="B1442" t="inlineStr">
        <is>
          <t>E475.53 .H37</t>
        </is>
      </c>
      <c r="C1442" t="inlineStr">
        <is>
          <t>0                      E  0475530H  37</t>
        </is>
      </c>
      <c r="D1442" t="inlineStr">
        <is>
          <t>Crisis at the crossroads : the first day at Gettysburg / [by] Warren W. Hassler, Jr.</t>
        </is>
      </c>
      <c r="F1442" t="inlineStr">
        <is>
          <t>No</t>
        </is>
      </c>
      <c r="G1442" t="inlineStr">
        <is>
          <t>1</t>
        </is>
      </c>
      <c r="H1442" t="inlineStr">
        <is>
          <t>No</t>
        </is>
      </c>
      <c r="I1442" t="inlineStr">
        <is>
          <t>No</t>
        </is>
      </c>
      <c r="J1442" t="inlineStr">
        <is>
          <t>0</t>
        </is>
      </c>
      <c r="K1442" t="inlineStr">
        <is>
          <t>Hassler, Warren W.</t>
        </is>
      </c>
      <c r="L1442" t="inlineStr">
        <is>
          <t>University : University of Alabama Press, [1970]</t>
        </is>
      </c>
      <c r="M1442" t="inlineStr">
        <is>
          <t>1970</t>
        </is>
      </c>
      <c r="O1442" t="inlineStr">
        <is>
          <t>eng</t>
        </is>
      </c>
      <c r="P1442" t="inlineStr">
        <is>
          <t>alu</t>
        </is>
      </c>
      <c r="R1442" t="inlineStr">
        <is>
          <t xml:space="preserve">E  </t>
        </is>
      </c>
      <c r="S1442" t="n">
        <v>11</v>
      </c>
      <c r="T1442" t="n">
        <v>11</v>
      </c>
      <c r="U1442" t="inlineStr">
        <is>
          <t>2005-11-30</t>
        </is>
      </c>
      <c r="V1442" t="inlineStr">
        <is>
          <t>2005-11-30</t>
        </is>
      </c>
      <c r="W1442" t="inlineStr">
        <is>
          <t>1990-09-21</t>
        </is>
      </c>
      <c r="X1442" t="inlineStr">
        <is>
          <t>1990-09-21</t>
        </is>
      </c>
      <c r="Y1442" t="n">
        <v>491</v>
      </c>
      <c r="Z1442" t="n">
        <v>471</v>
      </c>
      <c r="AA1442" t="n">
        <v>529</v>
      </c>
      <c r="AB1442" t="n">
        <v>4</v>
      </c>
      <c r="AC1442" t="n">
        <v>4</v>
      </c>
      <c r="AD1442" t="n">
        <v>18</v>
      </c>
      <c r="AE1442" t="n">
        <v>21</v>
      </c>
      <c r="AF1442" t="n">
        <v>6</v>
      </c>
      <c r="AG1442" t="n">
        <v>8</v>
      </c>
      <c r="AH1442" t="n">
        <v>6</v>
      </c>
      <c r="AI1442" t="n">
        <v>7</v>
      </c>
      <c r="AJ1442" t="n">
        <v>5</v>
      </c>
      <c r="AK1442" t="n">
        <v>7</v>
      </c>
      <c r="AL1442" t="n">
        <v>3</v>
      </c>
      <c r="AM1442" t="n">
        <v>3</v>
      </c>
      <c r="AN1442" t="n">
        <v>0</v>
      </c>
      <c r="AO1442" t="n">
        <v>0</v>
      </c>
      <c r="AP1442" t="inlineStr">
        <is>
          <t>No</t>
        </is>
      </c>
      <c r="AQ1442" t="inlineStr">
        <is>
          <t>Yes</t>
        </is>
      </c>
      <c r="AR1442">
        <f>HYPERLINK("http://catalog.hathitrust.org/Record/000407755","HathiTrust Record")</f>
        <v/>
      </c>
      <c r="AS1442">
        <f>HYPERLINK("https://creighton-primo.hosted.exlibrisgroup.com/primo-explore/search?tab=default_tab&amp;search_scope=EVERYTHING&amp;vid=01CRU&amp;lang=en_US&amp;offset=0&amp;query=any,contains,991000436479702656","Catalog Record")</f>
        <v/>
      </c>
      <c r="AT1442">
        <f>HYPERLINK("http://www.worldcat.org/oclc/76120","WorldCat Record")</f>
        <v/>
      </c>
      <c r="AU1442" t="inlineStr">
        <is>
          <t>8911755803:eng</t>
        </is>
      </c>
      <c r="AV1442" t="inlineStr">
        <is>
          <t>76120</t>
        </is>
      </c>
      <c r="AW1442" t="inlineStr">
        <is>
          <t>991000436479702656</t>
        </is>
      </c>
      <c r="AX1442" t="inlineStr">
        <is>
          <t>991000436479702656</t>
        </is>
      </c>
      <c r="AY1442" t="inlineStr">
        <is>
          <t>2255486430002656</t>
        </is>
      </c>
      <c r="AZ1442" t="inlineStr">
        <is>
          <t>BOOK</t>
        </is>
      </c>
      <c r="BB1442" t="inlineStr">
        <is>
          <t>9780817351038</t>
        </is>
      </c>
      <c r="BC1442" t="inlineStr">
        <is>
          <t>32285000308212</t>
        </is>
      </c>
      <c r="BD1442" t="inlineStr">
        <is>
          <t>893589439</t>
        </is>
      </c>
    </row>
    <row r="1443">
      <c r="A1443" t="inlineStr">
        <is>
          <t>No</t>
        </is>
      </c>
      <c r="B1443" t="inlineStr">
        <is>
          <t>E475.53 .L85 1969</t>
        </is>
      </c>
      <c r="C1443" t="inlineStr">
        <is>
          <t>0                      E  0475530L  85          1969</t>
        </is>
      </c>
      <c r="D1443" t="inlineStr">
        <is>
          <t>Lee and Longstreet at high tide : Gettysburg in the light of the official records / by Helen D. Longstreet.</t>
        </is>
      </c>
      <c r="F1443" t="inlineStr">
        <is>
          <t>No</t>
        </is>
      </c>
      <c r="G1443" t="inlineStr">
        <is>
          <t>1</t>
        </is>
      </c>
      <c r="H1443" t="inlineStr">
        <is>
          <t>No</t>
        </is>
      </c>
      <c r="I1443" t="inlineStr">
        <is>
          <t>No</t>
        </is>
      </c>
      <c r="J1443" t="inlineStr">
        <is>
          <t>0</t>
        </is>
      </c>
      <c r="K1443" t="inlineStr">
        <is>
          <t>Longstreet, Helen Dortch, -1962.</t>
        </is>
      </c>
      <c r="L1443" t="inlineStr">
        <is>
          <t>New York : Kraus Reprint, 1969, 1904.</t>
        </is>
      </c>
      <c r="M1443" t="inlineStr">
        <is>
          <t>1969</t>
        </is>
      </c>
      <c r="O1443" t="inlineStr">
        <is>
          <t>eng</t>
        </is>
      </c>
      <c r="P1443" t="inlineStr">
        <is>
          <t>nyu</t>
        </is>
      </c>
      <c r="R1443" t="inlineStr">
        <is>
          <t xml:space="preserve">E  </t>
        </is>
      </c>
      <c r="S1443" t="n">
        <v>15</v>
      </c>
      <c r="T1443" t="n">
        <v>15</v>
      </c>
      <c r="U1443" t="inlineStr">
        <is>
          <t>2005-12-01</t>
        </is>
      </c>
      <c r="V1443" t="inlineStr">
        <is>
          <t>2005-12-01</t>
        </is>
      </c>
      <c r="W1443" t="inlineStr">
        <is>
          <t>1990-09-21</t>
        </is>
      </c>
      <c r="X1443" t="inlineStr">
        <is>
          <t>1990-09-21</t>
        </is>
      </c>
      <c r="Y1443" t="n">
        <v>113</v>
      </c>
      <c r="Z1443" t="n">
        <v>112</v>
      </c>
      <c r="AA1443" t="n">
        <v>132</v>
      </c>
      <c r="AB1443" t="n">
        <v>3</v>
      </c>
      <c r="AC1443" t="n">
        <v>3</v>
      </c>
      <c r="AD1443" t="n">
        <v>6</v>
      </c>
      <c r="AE1443" t="n">
        <v>6</v>
      </c>
      <c r="AF1443" t="n">
        <v>1</v>
      </c>
      <c r="AG1443" t="n">
        <v>1</v>
      </c>
      <c r="AH1443" t="n">
        <v>2</v>
      </c>
      <c r="AI1443" t="n">
        <v>2</v>
      </c>
      <c r="AJ1443" t="n">
        <v>4</v>
      </c>
      <c r="AK1443" t="n">
        <v>4</v>
      </c>
      <c r="AL1443" t="n">
        <v>2</v>
      </c>
      <c r="AM1443" t="n">
        <v>2</v>
      </c>
      <c r="AN1443" t="n">
        <v>0</v>
      </c>
      <c r="AO1443" t="n">
        <v>0</v>
      </c>
      <c r="AP1443" t="inlineStr">
        <is>
          <t>No</t>
        </is>
      </c>
      <c r="AQ1443" t="inlineStr">
        <is>
          <t>Yes</t>
        </is>
      </c>
      <c r="AR1443">
        <f>HYPERLINK("http://catalog.hathitrust.org/Record/000407759","HathiTrust Record")</f>
        <v/>
      </c>
      <c r="AS1443">
        <f>HYPERLINK("https://creighton-primo.hosted.exlibrisgroup.com/primo-explore/search?tab=default_tab&amp;search_scope=EVERYTHING&amp;vid=01CRU&amp;lang=en_US&amp;offset=0&amp;query=any,contains,991002388109702656","Catalog Record")</f>
        <v/>
      </c>
      <c r="AT1443">
        <f>HYPERLINK("http://www.worldcat.org/oclc/331051","WorldCat Record")</f>
        <v/>
      </c>
      <c r="AU1443" t="inlineStr">
        <is>
          <t>3943644717:eng</t>
        </is>
      </c>
      <c r="AV1443" t="inlineStr">
        <is>
          <t>331051</t>
        </is>
      </c>
      <c r="AW1443" t="inlineStr">
        <is>
          <t>991002388109702656</t>
        </is>
      </c>
      <c r="AX1443" t="inlineStr">
        <is>
          <t>991002388109702656</t>
        </is>
      </c>
      <c r="AY1443" t="inlineStr">
        <is>
          <t>2259177410002656</t>
        </is>
      </c>
      <c r="AZ1443" t="inlineStr">
        <is>
          <t>BOOK</t>
        </is>
      </c>
      <c r="BC1443" t="inlineStr">
        <is>
          <t>32285000308238</t>
        </is>
      </c>
      <c r="BD1443" t="inlineStr">
        <is>
          <t>893498063</t>
        </is>
      </c>
    </row>
    <row r="1444">
      <c r="A1444" t="inlineStr">
        <is>
          <t>No</t>
        </is>
      </c>
      <c r="B1444" t="inlineStr">
        <is>
          <t>E475.53 .P475 1993</t>
        </is>
      </c>
      <c r="C1444" t="inlineStr">
        <is>
          <t>0                      E  0475530P  475         1993</t>
        </is>
      </c>
      <c r="D1444" t="inlineStr">
        <is>
          <t>Gettysburg--Culp's Hill and Cemetery Hill / Harry W. Pfanz.</t>
        </is>
      </c>
      <c r="F1444" t="inlineStr">
        <is>
          <t>No</t>
        </is>
      </c>
      <c r="G1444" t="inlineStr">
        <is>
          <t>1</t>
        </is>
      </c>
      <c r="H1444" t="inlineStr">
        <is>
          <t>No</t>
        </is>
      </c>
      <c r="I1444" t="inlineStr">
        <is>
          <t>No</t>
        </is>
      </c>
      <c r="J1444" t="inlineStr">
        <is>
          <t>0</t>
        </is>
      </c>
      <c r="K1444" t="inlineStr">
        <is>
          <t>Pfanz, Harry W. (Harry Willcox), 1921-2015.</t>
        </is>
      </c>
      <c r="L1444" t="inlineStr">
        <is>
          <t>Chapel Hill : University of North Carolina Press, c1993.</t>
        </is>
      </c>
      <c r="M1444" t="inlineStr">
        <is>
          <t>1993</t>
        </is>
      </c>
      <c r="O1444" t="inlineStr">
        <is>
          <t>eng</t>
        </is>
      </c>
      <c r="P1444" t="inlineStr">
        <is>
          <t>ncu</t>
        </is>
      </c>
      <c r="Q1444" t="inlineStr">
        <is>
          <t>Civil War America</t>
        </is>
      </c>
      <c r="R1444" t="inlineStr">
        <is>
          <t xml:space="preserve">E  </t>
        </is>
      </c>
      <c r="S1444" t="n">
        <v>8</v>
      </c>
      <c r="T1444" t="n">
        <v>8</v>
      </c>
      <c r="U1444" t="inlineStr">
        <is>
          <t>2002-03-24</t>
        </is>
      </c>
      <c r="V1444" t="inlineStr">
        <is>
          <t>2002-03-24</t>
        </is>
      </c>
      <c r="W1444" t="inlineStr">
        <is>
          <t>1994-08-11</t>
        </is>
      </c>
      <c r="X1444" t="inlineStr">
        <is>
          <t>1994-08-11</t>
        </is>
      </c>
      <c r="Y1444" t="n">
        <v>966</v>
      </c>
      <c r="Z1444" t="n">
        <v>930</v>
      </c>
      <c r="AA1444" t="n">
        <v>1383</v>
      </c>
      <c r="AB1444" t="n">
        <v>5</v>
      </c>
      <c r="AC1444" t="n">
        <v>10</v>
      </c>
      <c r="AD1444" t="n">
        <v>24</v>
      </c>
      <c r="AE1444" t="n">
        <v>42</v>
      </c>
      <c r="AF1444" t="n">
        <v>11</v>
      </c>
      <c r="AG1444" t="n">
        <v>17</v>
      </c>
      <c r="AH1444" t="n">
        <v>7</v>
      </c>
      <c r="AI1444" t="n">
        <v>9</v>
      </c>
      <c r="AJ1444" t="n">
        <v>11</v>
      </c>
      <c r="AK1444" t="n">
        <v>17</v>
      </c>
      <c r="AL1444" t="n">
        <v>3</v>
      </c>
      <c r="AM1444" t="n">
        <v>7</v>
      </c>
      <c r="AN1444" t="n">
        <v>0</v>
      </c>
      <c r="AO1444" t="n">
        <v>1</v>
      </c>
      <c r="AP1444" t="inlineStr">
        <is>
          <t>No</t>
        </is>
      </c>
      <c r="AQ1444" t="inlineStr">
        <is>
          <t>No</t>
        </is>
      </c>
      <c r="AS1444">
        <f>HYPERLINK("https://creighton-primo.hosted.exlibrisgroup.com/primo-explore/search?tab=default_tab&amp;search_scope=EVERYTHING&amp;vid=01CRU&amp;lang=en_US&amp;offset=0&amp;query=any,contains,991002160929702656","Catalog Record")</f>
        <v/>
      </c>
      <c r="AT1444">
        <f>HYPERLINK("http://www.worldcat.org/oclc/27813968","WorldCat Record")</f>
        <v/>
      </c>
      <c r="AU1444" t="inlineStr">
        <is>
          <t>353026:eng</t>
        </is>
      </c>
      <c r="AV1444" t="inlineStr">
        <is>
          <t>27813968</t>
        </is>
      </c>
      <c r="AW1444" t="inlineStr">
        <is>
          <t>991002160929702656</t>
        </is>
      </c>
      <c r="AX1444" t="inlineStr">
        <is>
          <t>991002160929702656</t>
        </is>
      </c>
      <c r="AY1444" t="inlineStr">
        <is>
          <t>2257514800002656</t>
        </is>
      </c>
      <c r="AZ1444" t="inlineStr">
        <is>
          <t>BOOK</t>
        </is>
      </c>
      <c r="BB1444" t="inlineStr">
        <is>
          <t>9780807821183</t>
        </is>
      </c>
      <c r="BC1444" t="inlineStr">
        <is>
          <t>32285001942142</t>
        </is>
      </c>
      <c r="BD1444" t="inlineStr">
        <is>
          <t>893866874</t>
        </is>
      </c>
    </row>
    <row r="1445">
      <c r="A1445" t="inlineStr">
        <is>
          <t>No</t>
        </is>
      </c>
      <c r="B1445" t="inlineStr">
        <is>
          <t>E475.53 .S43 2003</t>
        </is>
      </c>
      <c r="C1445" t="inlineStr">
        <is>
          <t>0                      E  0475530S  43          2003</t>
        </is>
      </c>
      <c r="D1445" t="inlineStr">
        <is>
          <t>Gettysburg / Stephen W. Sears.</t>
        </is>
      </c>
      <c r="F1445" t="inlineStr">
        <is>
          <t>No</t>
        </is>
      </c>
      <c r="G1445" t="inlineStr">
        <is>
          <t>1</t>
        </is>
      </c>
      <c r="H1445" t="inlineStr">
        <is>
          <t>No</t>
        </is>
      </c>
      <c r="I1445" t="inlineStr">
        <is>
          <t>No</t>
        </is>
      </c>
      <c r="J1445" t="inlineStr">
        <is>
          <t>0</t>
        </is>
      </c>
      <c r="K1445" t="inlineStr">
        <is>
          <t>Sears, Stephen W.</t>
        </is>
      </c>
      <c r="L1445" t="inlineStr">
        <is>
          <t>Boston : Houghton Mifflin, 2003.</t>
        </is>
      </c>
      <c r="M1445" t="inlineStr">
        <is>
          <t>2003</t>
        </is>
      </c>
      <c r="O1445" t="inlineStr">
        <is>
          <t>eng</t>
        </is>
      </c>
      <c r="P1445" t="inlineStr">
        <is>
          <t>mau</t>
        </is>
      </c>
      <c r="R1445" t="inlineStr">
        <is>
          <t xml:space="preserve">E  </t>
        </is>
      </c>
      <c r="S1445" t="n">
        <v>4</v>
      </c>
      <c r="T1445" t="n">
        <v>4</v>
      </c>
      <c r="U1445" t="inlineStr">
        <is>
          <t>2005-11-30</t>
        </is>
      </c>
      <c r="V1445" t="inlineStr">
        <is>
          <t>2005-11-30</t>
        </is>
      </c>
      <c r="W1445" t="inlineStr">
        <is>
          <t>2003-09-30</t>
        </is>
      </c>
      <c r="X1445" t="inlineStr">
        <is>
          <t>2003-09-30</t>
        </is>
      </c>
      <c r="Y1445" t="n">
        <v>1732</v>
      </c>
      <c r="Z1445" t="n">
        <v>1680</v>
      </c>
      <c r="AA1445" t="n">
        <v>1680</v>
      </c>
      <c r="AB1445" t="n">
        <v>16</v>
      </c>
      <c r="AC1445" t="n">
        <v>16</v>
      </c>
      <c r="AD1445" t="n">
        <v>44</v>
      </c>
      <c r="AE1445" t="n">
        <v>44</v>
      </c>
      <c r="AF1445" t="n">
        <v>21</v>
      </c>
      <c r="AG1445" t="n">
        <v>21</v>
      </c>
      <c r="AH1445" t="n">
        <v>10</v>
      </c>
      <c r="AI1445" t="n">
        <v>10</v>
      </c>
      <c r="AJ1445" t="n">
        <v>18</v>
      </c>
      <c r="AK1445" t="n">
        <v>18</v>
      </c>
      <c r="AL1445" t="n">
        <v>7</v>
      </c>
      <c r="AM1445" t="n">
        <v>7</v>
      </c>
      <c r="AN1445" t="n">
        <v>1</v>
      </c>
      <c r="AO1445" t="n">
        <v>1</v>
      </c>
      <c r="AP1445" t="inlineStr">
        <is>
          <t>No</t>
        </is>
      </c>
      <c r="AQ1445" t="inlineStr">
        <is>
          <t>Yes</t>
        </is>
      </c>
      <c r="AR1445">
        <f>HYPERLINK("http://catalog.hathitrust.org/Record/004326832","HathiTrust Record")</f>
        <v/>
      </c>
      <c r="AS1445">
        <f>HYPERLINK("https://creighton-primo.hosted.exlibrisgroup.com/primo-explore/search?tab=default_tab&amp;search_scope=EVERYTHING&amp;vid=01CRU&amp;lang=en_US&amp;offset=0&amp;query=any,contains,991004143279702656","Catalog Record")</f>
        <v/>
      </c>
      <c r="AT1445">
        <f>HYPERLINK("http://www.worldcat.org/oclc/51171659","WorldCat Record")</f>
        <v/>
      </c>
      <c r="AU1445" t="inlineStr">
        <is>
          <t>8910121958:eng</t>
        </is>
      </c>
      <c r="AV1445" t="inlineStr">
        <is>
          <t>51171659</t>
        </is>
      </c>
      <c r="AW1445" t="inlineStr">
        <is>
          <t>991004143279702656</t>
        </is>
      </c>
      <c r="AX1445" t="inlineStr">
        <is>
          <t>991004143279702656</t>
        </is>
      </c>
      <c r="AY1445" t="inlineStr">
        <is>
          <t>2263145250002656</t>
        </is>
      </c>
      <c r="AZ1445" t="inlineStr">
        <is>
          <t>BOOK</t>
        </is>
      </c>
      <c r="BB1445" t="inlineStr">
        <is>
          <t>9780395867617</t>
        </is>
      </c>
      <c r="BC1445" t="inlineStr">
        <is>
          <t>32285004792122</t>
        </is>
      </c>
      <c r="BD1445" t="inlineStr">
        <is>
          <t>893900864</t>
        </is>
      </c>
    </row>
    <row r="1446">
      <c r="A1446" t="inlineStr">
        <is>
          <t>No</t>
        </is>
      </c>
      <c r="B1446" t="inlineStr">
        <is>
          <t>E475.53 .S63 2004</t>
        </is>
      </c>
      <c r="C1446" t="inlineStr">
        <is>
          <t>0                      E  0475530S  63          2004</t>
        </is>
      </c>
      <c r="D1446" t="inlineStr">
        <is>
          <t>Gettysburg 1863 : high tide of the Confederacy / Carl Smith.</t>
        </is>
      </c>
      <c r="F1446" t="inlineStr">
        <is>
          <t>No</t>
        </is>
      </c>
      <c r="G1446" t="inlineStr">
        <is>
          <t>1</t>
        </is>
      </c>
      <c r="H1446" t="inlineStr">
        <is>
          <t>No</t>
        </is>
      </c>
      <c r="I1446" t="inlineStr">
        <is>
          <t>No</t>
        </is>
      </c>
      <c r="J1446" t="inlineStr">
        <is>
          <t>0</t>
        </is>
      </c>
      <c r="K1446" t="inlineStr">
        <is>
          <t>Smith, Carl, 1946-</t>
        </is>
      </c>
      <c r="L1446" t="inlineStr">
        <is>
          <t>Westport, Conn. : Praeger, c2004.</t>
        </is>
      </c>
      <c r="M1446" t="inlineStr">
        <is>
          <t>2004</t>
        </is>
      </c>
      <c r="O1446" t="inlineStr">
        <is>
          <t>eng</t>
        </is>
      </c>
      <c r="P1446" t="inlineStr">
        <is>
          <t>ctu</t>
        </is>
      </c>
      <c r="Q1446" t="inlineStr">
        <is>
          <t>Praeger illustrated military history series, 1547-206X</t>
        </is>
      </c>
      <c r="R1446" t="inlineStr">
        <is>
          <t xml:space="preserve">E  </t>
        </is>
      </c>
      <c r="S1446" t="n">
        <v>3</v>
      </c>
      <c r="T1446" t="n">
        <v>3</v>
      </c>
      <c r="U1446" t="inlineStr">
        <is>
          <t>2005-12-14</t>
        </is>
      </c>
      <c r="V1446" t="inlineStr">
        <is>
          <t>2005-12-14</t>
        </is>
      </c>
      <c r="W1446" t="inlineStr">
        <is>
          <t>2004-11-16</t>
        </is>
      </c>
      <c r="X1446" t="inlineStr">
        <is>
          <t>2004-11-16</t>
        </is>
      </c>
      <c r="Y1446" t="n">
        <v>117</v>
      </c>
      <c r="Z1446" t="n">
        <v>114</v>
      </c>
      <c r="AA1446" t="n">
        <v>349</v>
      </c>
      <c r="AB1446" t="n">
        <v>2</v>
      </c>
      <c r="AC1446" t="n">
        <v>3</v>
      </c>
      <c r="AD1446" t="n">
        <v>5</v>
      </c>
      <c r="AE1446" t="n">
        <v>9</v>
      </c>
      <c r="AF1446" t="n">
        <v>3</v>
      </c>
      <c r="AG1446" t="n">
        <v>6</v>
      </c>
      <c r="AH1446" t="n">
        <v>1</v>
      </c>
      <c r="AI1446" t="n">
        <v>3</v>
      </c>
      <c r="AJ1446" t="n">
        <v>3</v>
      </c>
      <c r="AK1446" t="n">
        <v>4</v>
      </c>
      <c r="AL1446" t="n">
        <v>1</v>
      </c>
      <c r="AM1446" t="n">
        <v>1</v>
      </c>
      <c r="AN1446" t="n">
        <v>0</v>
      </c>
      <c r="AO1446" t="n">
        <v>0</v>
      </c>
      <c r="AP1446" t="inlineStr">
        <is>
          <t>No</t>
        </is>
      </c>
      <c r="AQ1446" t="inlineStr">
        <is>
          <t>Yes</t>
        </is>
      </c>
      <c r="AR1446">
        <f>HYPERLINK("http://catalog.hathitrust.org/Record/102035049","HathiTrust Record")</f>
        <v/>
      </c>
      <c r="AS1446">
        <f>HYPERLINK("https://creighton-primo.hosted.exlibrisgroup.com/primo-explore/search?tab=default_tab&amp;search_scope=EVERYTHING&amp;vid=01CRU&amp;lang=en_US&amp;offset=0&amp;query=any,contains,991004406909702656","Catalog Record")</f>
        <v/>
      </c>
      <c r="AT1446">
        <f>HYPERLINK("http://www.worldcat.org/oclc/55228941","WorldCat Record")</f>
        <v/>
      </c>
      <c r="AU1446" t="inlineStr">
        <is>
          <t>287510836:eng</t>
        </is>
      </c>
      <c r="AV1446" t="inlineStr">
        <is>
          <t>55228941</t>
        </is>
      </c>
      <c r="AW1446" t="inlineStr">
        <is>
          <t>991004406909702656</t>
        </is>
      </c>
      <c r="AX1446" t="inlineStr">
        <is>
          <t>991004406909702656</t>
        </is>
      </c>
      <c r="AY1446" t="inlineStr">
        <is>
          <t>2270415240002656</t>
        </is>
      </c>
      <c r="AZ1446" t="inlineStr">
        <is>
          <t>BOOK</t>
        </is>
      </c>
      <c r="BB1446" t="inlineStr">
        <is>
          <t>9780275984434</t>
        </is>
      </c>
      <c r="BC1446" t="inlineStr">
        <is>
          <t>32285005011076</t>
        </is>
      </c>
      <c r="BD1446" t="inlineStr">
        <is>
          <t>893259687</t>
        </is>
      </c>
    </row>
    <row r="1447">
      <c r="A1447" t="inlineStr">
        <is>
          <t>No</t>
        </is>
      </c>
      <c r="B1447" t="inlineStr">
        <is>
          <t>E475.55 .L7 1995</t>
        </is>
      </c>
      <c r="C1447" t="inlineStr">
        <is>
          <t>0                      E  0475550L  7           1995</t>
        </is>
      </c>
      <c r="D1447" t="inlineStr">
        <is>
          <t>The Gettysburg address / by Abraham Lincoln ; illustrated by Michael McCurdy ; foreword by Garry Wills.</t>
        </is>
      </c>
      <c r="F1447" t="inlineStr">
        <is>
          <t>No</t>
        </is>
      </c>
      <c r="G1447" t="inlineStr">
        <is>
          <t>1</t>
        </is>
      </c>
      <c r="H1447" t="inlineStr">
        <is>
          <t>No</t>
        </is>
      </c>
      <c r="I1447" t="inlineStr">
        <is>
          <t>No</t>
        </is>
      </c>
      <c r="J1447" t="inlineStr">
        <is>
          <t>0</t>
        </is>
      </c>
      <c r="K1447" t="inlineStr">
        <is>
          <t>Lincoln, Abraham, 1809-1865.</t>
        </is>
      </c>
      <c r="L1447" t="inlineStr">
        <is>
          <t>Boston : Houghton Mifflin, 1995.</t>
        </is>
      </c>
      <c r="M1447" t="inlineStr">
        <is>
          <t>1995</t>
        </is>
      </c>
      <c r="O1447" t="inlineStr">
        <is>
          <t>eng</t>
        </is>
      </c>
      <c r="P1447" t="inlineStr">
        <is>
          <t>mau</t>
        </is>
      </c>
      <c r="R1447" t="inlineStr">
        <is>
          <t xml:space="preserve">E  </t>
        </is>
      </c>
      <c r="S1447" t="n">
        <v>1</v>
      </c>
      <c r="T1447" t="n">
        <v>1</v>
      </c>
      <c r="U1447" t="inlineStr">
        <is>
          <t>2001-09-26</t>
        </is>
      </c>
      <c r="V1447" t="inlineStr">
        <is>
          <t>2001-09-26</t>
        </is>
      </c>
      <c r="W1447" t="inlineStr">
        <is>
          <t>1998-08-19</t>
        </is>
      </c>
      <c r="X1447" t="inlineStr">
        <is>
          <t>1998-08-19</t>
        </is>
      </c>
      <c r="Y1447" t="n">
        <v>1399</v>
      </c>
      <c r="Z1447" t="n">
        <v>1387</v>
      </c>
      <c r="AA1447" t="n">
        <v>3318</v>
      </c>
      <c r="AB1447" t="n">
        <v>16</v>
      </c>
      <c r="AC1447" t="n">
        <v>42</v>
      </c>
      <c r="AD1447" t="n">
        <v>15</v>
      </c>
      <c r="AE1447" t="n">
        <v>62</v>
      </c>
      <c r="AF1447" t="n">
        <v>4</v>
      </c>
      <c r="AG1447" t="n">
        <v>22</v>
      </c>
      <c r="AH1447" t="n">
        <v>4</v>
      </c>
      <c r="AI1447" t="n">
        <v>10</v>
      </c>
      <c r="AJ1447" t="n">
        <v>8</v>
      </c>
      <c r="AK1447" t="n">
        <v>21</v>
      </c>
      <c r="AL1447" t="n">
        <v>4</v>
      </c>
      <c r="AM1447" t="n">
        <v>18</v>
      </c>
      <c r="AN1447" t="n">
        <v>0</v>
      </c>
      <c r="AO1447" t="n">
        <v>2</v>
      </c>
      <c r="AP1447" t="inlineStr">
        <is>
          <t>No</t>
        </is>
      </c>
      <c r="AQ1447" t="inlineStr">
        <is>
          <t>No</t>
        </is>
      </c>
      <c r="AS1447">
        <f>HYPERLINK("https://creighton-primo.hosted.exlibrisgroup.com/primo-explore/search?tab=default_tab&amp;search_scope=EVERYTHING&amp;vid=01CRU&amp;lang=en_US&amp;offset=0&amp;query=any,contains,991004578639702656","Catalog Record")</f>
        <v/>
      </c>
      <c r="AT1447">
        <f>HYPERLINK("http://www.worldcat.org/oclc/31330058","WorldCat Record")</f>
        <v/>
      </c>
      <c r="AU1447" t="inlineStr">
        <is>
          <t>198072:eng</t>
        </is>
      </c>
      <c r="AV1447" t="inlineStr">
        <is>
          <t>31330058</t>
        </is>
      </c>
      <c r="AW1447" t="inlineStr">
        <is>
          <t>991004578639702656</t>
        </is>
      </c>
      <c r="AX1447" t="inlineStr">
        <is>
          <t>991004578639702656</t>
        </is>
      </c>
      <c r="AY1447" t="inlineStr">
        <is>
          <t>2255916760002656</t>
        </is>
      </c>
      <c r="AZ1447" t="inlineStr">
        <is>
          <t>BOOK</t>
        </is>
      </c>
      <c r="BB1447" t="inlineStr">
        <is>
          <t>9780395698242</t>
        </is>
      </c>
      <c r="BC1447" t="inlineStr">
        <is>
          <t>32285003454781</t>
        </is>
      </c>
      <c r="BD1447" t="inlineStr">
        <is>
          <t>893403345</t>
        </is>
      </c>
    </row>
    <row r="1448">
      <c r="A1448" t="inlineStr">
        <is>
          <t>No</t>
        </is>
      </c>
      <c r="B1448" t="inlineStr">
        <is>
          <t>E475.55 .W39</t>
        </is>
      </c>
      <c r="C1448" t="inlineStr">
        <is>
          <t>0                      E  0475550W  39</t>
        </is>
      </c>
      <c r="D1448" t="inlineStr">
        <is>
          <t>Lincoln's Gettysburg declaration : "A new birth of freedom" / by Louis A. Warren.</t>
        </is>
      </c>
      <c r="F1448" t="inlineStr">
        <is>
          <t>No</t>
        </is>
      </c>
      <c r="G1448" t="inlineStr">
        <is>
          <t>1</t>
        </is>
      </c>
      <c r="H1448" t="inlineStr">
        <is>
          <t>No</t>
        </is>
      </c>
      <c r="I1448" t="inlineStr">
        <is>
          <t>No</t>
        </is>
      </c>
      <c r="J1448" t="inlineStr">
        <is>
          <t>0</t>
        </is>
      </c>
      <c r="K1448" t="inlineStr">
        <is>
          <t>Warren, Louis Austin, 1885-1983.</t>
        </is>
      </c>
      <c r="L1448" t="inlineStr">
        <is>
          <t>Fort Wayne : Lincoln National Life Foundation, 1964.</t>
        </is>
      </c>
      <c r="M1448" t="inlineStr">
        <is>
          <t>1964</t>
        </is>
      </c>
      <c r="O1448" t="inlineStr">
        <is>
          <t>eng</t>
        </is>
      </c>
      <c r="P1448" t="inlineStr">
        <is>
          <t>inu</t>
        </is>
      </c>
      <c r="R1448" t="inlineStr">
        <is>
          <t xml:space="preserve">E  </t>
        </is>
      </c>
      <c r="S1448" t="n">
        <v>9</v>
      </c>
      <c r="T1448" t="n">
        <v>9</v>
      </c>
      <c r="U1448" t="inlineStr">
        <is>
          <t>2001-02-01</t>
        </is>
      </c>
      <c r="V1448" t="inlineStr">
        <is>
          <t>2001-02-01</t>
        </is>
      </c>
      <c r="W1448" t="inlineStr">
        <is>
          <t>1990-10-05</t>
        </is>
      </c>
      <c r="X1448" t="inlineStr">
        <is>
          <t>1990-10-05</t>
        </is>
      </c>
      <c r="Y1448" t="n">
        <v>274</v>
      </c>
      <c r="Z1448" t="n">
        <v>268</v>
      </c>
      <c r="AA1448" t="n">
        <v>277</v>
      </c>
      <c r="AB1448" t="n">
        <v>5</v>
      </c>
      <c r="AC1448" t="n">
        <v>5</v>
      </c>
      <c r="AD1448" t="n">
        <v>12</v>
      </c>
      <c r="AE1448" t="n">
        <v>12</v>
      </c>
      <c r="AF1448" t="n">
        <v>5</v>
      </c>
      <c r="AG1448" t="n">
        <v>5</v>
      </c>
      <c r="AH1448" t="n">
        <v>2</v>
      </c>
      <c r="AI1448" t="n">
        <v>2</v>
      </c>
      <c r="AJ1448" t="n">
        <v>2</v>
      </c>
      <c r="AK1448" t="n">
        <v>2</v>
      </c>
      <c r="AL1448" t="n">
        <v>4</v>
      </c>
      <c r="AM1448" t="n">
        <v>4</v>
      </c>
      <c r="AN1448" t="n">
        <v>0</v>
      </c>
      <c r="AO1448" t="n">
        <v>0</v>
      </c>
      <c r="AP1448" t="inlineStr">
        <is>
          <t>No</t>
        </is>
      </c>
      <c r="AQ1448" t="inlineStr">
        <is>
          <t>Yes</t>
        </is>
      </c>
      <c r="AR1448">
        <f>HYPERLINK("http://catalog.hathitrust.org/Record/000407863","HathiTrust Record")</f>
        <v/>
      </c>
      <c r="AS1448">
        <f>HYPERLINK("https://creighton-primo.hosted.exlibrisgroup.com/primo-explore/search?tab=default_tab&amp;search_scope=EVERYTHING&amp;vid=01CRU&amp;lang=en_US&amp;offset=0&amp;query=any,contains,991002796279702656","Catalog Record")</f>
        <v/>
      </c>
      <c r="AT1448">
        <f>HYPERLINK("http://www.worldcat.org/oclc/445375","WorldCat Record")</f>
        <v/>
      </c>
      <c r="AU1448" t="inlineStr">
        <is>
          <t>1579469:eng</t>
        </is>
      </c>
      <c r="AV1448" t="inlineStr">
        <is>
          <t>445375</t>
        </is>
      </c>
      <c r="AW1448" t="inlineStr">
        <is>
          <t>991002796279702656</t>
        </is>
      </c>
      <c r="AX1448" t="inlineStr">
        <is>
          <t>991002796279702656</t>
        </is>
      </c>
      <c r="AY1448" t="inlineStr">
        <is>
          <t>2265609590002656</t>
        </is>
      </c>
      <c r="AZ1448" t="inlineStr">
        <is>
          <t>BOOK</t>
        </is>
      </c>
      <c r="BC1448" t="inlineStr">
        <is>
          <t>32285000333020</t>
        </is>
      </c>
      <c r="BD1448" t="inlineStr">
        <is>
          <t>893329553</t>
        </is>
      </c>
    </row>
    <row r="1449">
      <c r="A1449" t="inlineStr">
        <is>
          <t>No</t>
        </is>
      </c>
      <c r="B1449" t="inlineStr">
        <is>
          <t>E475.56 .M43 2003</t>
        </is>
      </c>
      <c r="C1449" t="inlineStr">
        <is>
          <t>0                      E  0475560M  43          2003</t>
        </is>
      </c>
      <c r="D1449" t="inlineStr">
        <is>
          <t>Hallowed ground : a walk at Gettysburg / James M. McPherson.</t>
        </is>
      </c>
      <c r="F1449" t="inlineStr">
        <is>
          <t>No</t>
        </is>
      </c>
      <c r="G1449" t="inlineStr">
        <is>
          <t>1</t>
        </is>
      </c>
      <c r="H1449" t="inlineStr">
        <is>
          <t>No</t>
        </is>
      </c>
      <c r="I1449" t="inlineStr">
        <is>
          <t>No</t>
        </is>
      </c>
      <c r="J1449" t="inlineStr">
        <is>
          <t>0</t>
        </is>
      </c>
      <c r="K1449" t="inlineStr">
        <is>
          <t>McPherson, James M.</t>
        </is>
      </c>
      <c r="L1449" t="inlineStr">
        <is>
          <t>New York : Crown Publishers, c2003.</t>
        </is>
      </c>
      <c r="M1449" t="inlineStr">
        <is>
          <t>2003</t>
        </is>
      </c>
      <c r="N1449" t="inlineStr">
        <is>
          <t>1st ed.</t>
        </is>
      </c>
      <c r="O1449" t="inlineStr">
        <is>
          <t>eng</t>
        </is>
      </c>
      <c r="P1449" t="inlineStr">
        <is>
          <t>nyu</t>
        </is>
      </c>
      <c r="Q1449" t="inlineStr">
        <is>
          <t>Crown journeys</t>
        </is>
      </c>
      <c r="R1449" t="inlineStr">
        <is>
          <t xml:space="preserve">E  </t>
        </is>
      </c>
      <c r="S1449" t="n">
        <v>4</v>
      </c>
      <c r="T1449" t="n">
        <v>4</v>
      </c>
      <c r="U1449" t="inlineStr">
        <is>
          <t>2005-11-13</t>
        </is>
      </c>
      <c r="V1449" t="inlineStr">
        <is>
          <t>2005-11-13</t>
        </is>
      </c>
      <c r="W1449" t="inlineStr">
        <is>
          <t>2003-06-19</t>
        </is>
      </c>
      <c r="X1449" t="inlineStr">
        <is>
          <t>2003-06-19</t>
        </is>
      </c>
      <c r="Y1449" t="n">
        <v>1415</v>
      </c>
      <c r="Z1449" t="n">
        <v>1398</v>
      </c>
      <c r="AA1449" t="n">
        <v>1799</v>
      </c>
      <c r="AB1449" t="n">
        <v>12</v>
      </c>
      <c r="AC1449" t="n">
        <v>16</v>
      </c>
      <c r="AD1449" t="n">
        <v>18</v>
      </c>
      <c r="AE1449" t="n">
        <v>34</v>
      </c>
      <c r="AF1449" t="n">
        <v>7</v>
      </c>
      <c r="AG1449" t="n">
        <v>13</v>
      </c>
      <c r="AH1449" t="n">
        <v>7</v>
      </c>
      <c r="AI1449" t="n">
        <v>9</v>
      </c>
      <c r="AJ1449" t="n">
        <v>6</v>
      </c>
      <c r="AK1449" t="n">
        <v>11</v>
      </c>
      <c r="AL1449" t="n">
        <v>4</v>
      </c>
      <c r="AM1449" t="n">
        <v>7</v>
      </c>
      <c r="AN1449" t="n">
        <v>0</v>
      </c>
      <c r="AO1449" t="n">
        <v>1</v>
      </c>
      <c r="AP1449" t="inlineStr">
        <is>
          <t>No</t>
        </is>
      </c>
      <c r="AQ1449" t="inlineStr">
        <is>
          <t>No</t>
        </is>
      </c>
      <c r="AS1449">
        <f>HYPERLINK("https://creighton-primo.hosted.exlibrisgroup.com/primo-explore/search?tab=default_tab&amp;search_scope=EVERYTHING&amp;vid=01CRU&amp;lang=en_US&amp;offset=0&amp;query=any,contains,991004074269702656","Catalog Record")</f>
        <v/>
      </c>
      <c r="AT1449">
        <f>HYPERLINK("http://www.worldcat.org/oclc/50859405","WorldCat Record")</f>
        <v/>
      </c>
      <c r="AU1449" t="inlineStr">
        <is>
          <t>738579:eng</t>
        </is>
      </c>
      <c r="AV1449" t="inlineStr">
        <is>
          <t>50859405</t>
        </is>
      </c>
      <c r="AW1449" t="inlineStr">
        <is>
          <t>991004074269702656</t>
        </is>
      </c>
      <c r="AX1449" t="inlineStr">
        <is>
          <t>991004074269702656</t>
        </is>
      </c>
      <c r="AY1449" t="inlineStr">
        <is>
          <t>2264345220002656</t>
        </is>
      </c>
      <c r="AZ1449" t="inlineStr">
        <is>
          <t>BOOK</t>
        </is>
      </c>
      <c r="BB1449" t="inlineStr">
        <is>
          <t>9780609610237</t>
        </is>
      </c>
      <c r="BC1449" t="inlineStr">
        <is>
          <t>32285004754080</t>
        </is>
      </c>
      <c r="BD1449" t="inlineStr">
        <is>
          <t>893442161</t>
        </is>
      </c>
    </row>
    <row r="1450">
      <c r="A1450" t="inlineStr">
        <is>
          <t>No</t>
        </is>
      </c>
      <c r="B1450" t="inlineStr">
        <is>
          <t>E475.56 .W44 2003</t>
        </is>
      </c>
      <c r="C1450" t="inlineStr">
        <is>
          <t>0                      E  0475560W  44          2003</t>
        </is>
      </c>
      <c r="D1450" t="inlineStr">
        <is>
          <t>Gettysburg : memory, market, and an American shrine / Jim Weeks.</t>
        </is>
      </c>
      <c r="F1450" t="inlineStr">
        <is>
          <t>No</t>
        </is>
      </c>
      <c r="G1450" t="inlineStr">
        <is>
          <t>1</t>
        </is>
      </c>
      <c r="H1450" t="inlineStr">
        <is>
          <t>No</t>
        </is>
      </c>
      <c r="I1450" t="inlineStr">
        <is>
          <t>No</t>
        </is>
      </c>
      <c r="J1450" t="inlineStr">
        <is>
          <t>0</t>
        </is>
      </c>
      <c r="K1450" t="inlineStr">
        <is>
          <t>Weeks, Jim, 1950-2005.</t>
        </is>
      </c>
      <c r="L1450" t="inlineStr">
        <is>
          <t>Princeton, N.J. : Princeton University Press, c2003.</t>
        </is>
      </c>
      <c r="M1450" t="inlineStr">
        <is>
          <t>2003</t>
        </is>
      </c>
      <c r="O1450" t="inlineStr">
        <is>
          <t>eng</t>
        </is>
      </c>
      <c r="P1450" t="inlineStr">
        <is>
          <t>nju</t>
        </is>
      </c>
      <c r="R1450" t="inlineStr">
        <is>
          <t xml:space="preserve">E  </t>
        </is>
      </c>
      <c r="S1450" t="n">
        <v>6</v>
      </c>
      <c r="T1450" t="n">
        <v>6</v>
      </c>
      <c r="U1450" t="inlineStr">
        <is>
          <t>2004-03-24</t>
        </is>
      </c>
      <c r="V1450" t="inlineStr">
        <is>
          <t>2004-03-24</t>
        </is>
      </c>
      <c r="W1450" t="inlineStr">
        <is>
          <t>2004-03-24</t>
        </is>
      </c>
      <c r="X1450" t="inlineStr">
        <is>
          <t>2004-03-24</t>
        </is>
      </c>
      <c r="Y1450" t="n">
        <v>570</v>
      </c>
      <c r="Z1450" t="n">
        <v>529</v>
      </c>
      <c r="AA1450" t="n">
        <v>533</v>
      </c>
      <c r="AB1450" t="n">
        <v>5</v>
      </c>
      <c r="AC1450" t="n">
        <v>5</v>
      </c>
      <c r="AD1450" t="n">
        <v>25</v>
      </c>
      <c r="AE1450" t="n">
        <v>25</v>
      </c>
      <c r="AF1450" t="n">
        <v>11</v>
      </c>
      <c r="AG1450" t="n">
        <v>11</v>
      </c>
      <c r="AH1450" t="n">
        <v>6</v>
      </c>
      <c r="AI1450" t="n">
        <v>6</v>
      </c>
      <c r="AJ1450" t="n">
        <v>11</v>
      </c>
      <c r="AK1450" t="n">
        <v>11</v>
      </c>
      <c r="AL1450" t="n">
        <v>4</v>
      </c>
      <c r="AM1450" t="n">
        <v>4</v>
      </c>
      <c r="AN1450" t="n">
        <v>0</v>
      </c>
      <c r="AO1450" t="n">
        <v>0</v>
      </c>
      <c r="AP1450" t="inlineStr">
        <is>
          <t>No</t>
        </is>
      </c>
      <c r="AQ1450" t="inlineStr">
        <is>
          <t>No</t>
        </is>
      </c>
      <c r="AS1450">
        <f>HYPERLINK("https://creighton-primo.hosted.exlibrisgroup.com/primo-explore/search?tab=default_tab&amp;search_scope=EVERYTHING&amp;vid=01CRU&amp;lang=en_US&amp;offset=0&amp;query=any,contains,991004248399702656","Catalog Record")</f>
        <v/>
      </c>
      <c r="AT1450">
        <f>HYPERLINK("http://www.worldcat.org/oclc/50079931","WorldCat Record")</f>
        <v/>
      </c>
      <c r="AU1450" t="inlineStr">
        <is>
          <t>292638735:eng</t>
        </is>
      </c>
      <c r="AV1450" t="inlineStr">
        <is>
          <t>50079931</t>
        </is>
      </c>
      <c r="AW1450" t="inlineStr">
        <is>
          <t>991004248399702656</t>
        </is>
      </c>
      <c r="AX1450" t="inlineStr">
        <is>
          <t>991004248399702656</t>
        </is>
      </c>
      <c r="AY1450" t="inlineStr">
        <is>
          <t>2269904580002656</t>
        </is>
      </c>
      <c r="AZ1450" t="inlineStr">
        <is>
          <t>BOOK</t>
        </is>
      </c>
      <c r="BB1450" t="inlineStr">
        <is>
          <t>9780691102719</t>
        </is>
      </c>
      <c r="BC1450" t="inlineStr">
        <is>
          <t>32285004896600</t>
        </is>
      </c>
      <c r="BD1450" t="inlineStr">
        <is>
          <t>893229111</t>
        </is>
      </c>
    </row>
    <row r="1451">
      <c r="A1451" t="inlineStr">
        <is>
          <t>No</t>
        </is>
      </c>
      <c r="B1451" t="inlineStr">
        <is>
          <t>E476.52 .P77 1996</t>
        </is>
      </c>
      <c r="C1451" t="inlineStr">
        <is>
          <t>0                      E  0476520P  77          1996</t>
        </is>
      </c>
      <c r="D1451" t="inlineStr">
        <is>
          <t>Victory without triumph : the Wilderness, May 6th &amp; 7th, 1864 / John Michael Priest.</t>
        </is>
      </c>
      <c r="F1451" t="inlineStr">
        <is>
          <t>No</t>
        </is>
      </c>
      <c r="G1451" t="inlineStr">
        <is>
          <t>1</t>
        </is>
      </c>
      <c r="H1451" t="inlineStr">
        <is>
          <t>No</t>
        </is>
      </c>
      <c r="I1451" t="inlineStr">
        <is>
          <t>No</t>
        </is>
      </c>
      <c r="J1451" t="inlineStr">
        <is>
          <t>0</t>
        </is>
      </c>
      <c r="K1451" t="inlineStr">
        <is>
          <t>Priest, John M., 1949-</t>
        </is>
      </c>
      <c r="L1451" t="inlineStr">
        <is>
          <t>Shippensburg, PA, USA : White Mane Pub. Co., c1996.</t>
        </is>
      </c>
      <c r="M1451" t="inlineStr">
        <is>
          <t>1996</t>
        </is>
      </c>
      <c r="O1451" t="inlineStr">
        <is>
          <t>eng</t>
        </is>
      </c>
      <c r="P1451" t="inlineStr">
        <is>
          <t>pau</t>
        </is>
      </c>
      <c r="R1451" t="inlineStr">
        <is>
          <t xml:space="preserve">E  </t>
        </is>
      </c>
      <c r="S1451" t="n">
        <v>3</v>
      </c>
      <c r="T1451" t="n">
        <v>3</v>
      </c>
      <c r="U1451" t="inlineStr">
        <is>
          <t>1998-02-23</t>
        </is>
      </c>
      <c r="V1451" t="inlineStr">
        <is>
          <t>1998-02-23</t>
        </is>
      </c>
      <c r="W1451" t="inlineStr">
        <is>
          <t>1998-01-22</t>
        </is>
      </c>
      <c r="X1451" t="inlineStr">
        <is>
          <t>1998-01-22</t>
        </is>
      </c>
      <c r="Y1451" t="n">
        <v>237</v>
      </c>
      <c r="Z1451" t="n">
        <v>232</v>
      </c>
      <c r="AA1451" t="n">
        <v>358</v>
      </c>
      <c r="AB1451" t="n">
        <v>2</v>
      </c>
      <c r="AC1451" t="n">
        <v>3</v>
      </c>
      <c r="AD1451" t="n">
        <v>11</v>
      </c>
      <c r="AE1451" t="n">
        <v>18</v>
      </c>
      <c r="AF1451" t="n">
        <v>4</v>
      </c>
      <c r="AG1451" t="n">
        <v>6</v>
      </c>
      <c r="AH1451" t="n">
        <v>2</v>
      </c>
      <c r="AI1451" t="n">
        <v>6</v>
      </c>
      <c r="AJ1451" t="n">
        <v>9</v>
      </c>
      <c r="AK1451" t="n">
        <v>11</v>
      </c>
      <c r="AL1451" t="n">
        <v>1</v>
      </c>
      <c r="AM1451" t="n">
        <v>2</v>
      </c>
      <c r="AN1451" t="n">
        <v>0</v>
      </c>
      <c r="AO1451" t="n">
        <v>0</v>
      </c>
      <c r="AP1451" t="inlineStr">
        <is>
          <t>No</t>
        </is>
      </c>
      <c r="AQ1451" t="inlineStr">
        <is>
          <t>Yes</t>
        </is>
      </c>
      <c r="AR1451">
        <f>HYPERLINK("http://catalog.hathitrust.org/Record/003122738","HathiTrust Record")</f>
        <v/>
      </c>
      <c r="AS1451">
        <f>HYPERLINK("https://creighton-primo.hosted.exlibrisgroup.com/primo-explore/search?tab=default_tab&amp;search_scope=EVERYTHING&amp;vid=01CRU&amp;lang=en_US&amp;offset=0&amp;query=any,contains,991002678189702656","Catalog Record")</f>
        <v/>
      </c>
      <c r="AT1451">
        <f>HYPERLINK("http://www.worldcat.org/oclc/35008235","WorldCat Record")</f>
        <v/>
      </c>
      <c r="AU1451" t="inlineStr">
        <is>
          <t>475243826:eng</t>
        </is>
      </c>
      <c r="AV1451" t="inlineStr">
        <is>
          <t>35008235</t>
        </is>
      </c>
      <c r="AW1451" t="inlineStr">
        <is>
          <t>991002678189702656</t>
        </is>
      </c>
      <c r="AX1451" t="inlineStr">
        <is>
          <t>991002678189702656</t>
        </is>
      </c>
      <c r="AY1451" t="inlineStr">
        <is>
          <t>2262261750002656</t>
        </is>
      </c>
      <c r="AZ1451" t="inlineStr">
        <is>
          <t>BOOK</t>
        </is>
      </c>
      <c r="BB1451" t="inlineStr">
        <is>
          <t>9781572490093</t>
        </is>
      </c>
      <c r="BC1451" t="inlineStr">
        <is>
          <t>32285003310116</t>
        </is>
      </c>
      <c r="BD1451" t="inlineStr">
        <is>
          <t>893698103</t>
        </is>
      </c>
    </row>
    <row r="1452">
      <c r="A1452" t="inlineStr">
        <is>
          <t>No</t>
        </is>
      </c>
      <c r="B1452" t="inlineStr">
        <is>
          <t>E477.16 .B87</t>
        </is>
      </c>
      <c r="C1452" t="inlineStr">
        <is>
          <t>0                      E  0477160B  87</t>
        </is>
      </c>
      <c r="D1452" t="inlineStr">
        <is>
          <t>October 25th and the Battle of Mine Creek / Lumir F. Buresh ; edited by Dan L. Smith.</t>
        </is>
      </c>
      <c r="F1452" t="inlineStr">
        <is>
          <t>No</t>
        </is>
      </c>
      <c r="G1452" t="inlineStr">
        <is>
          <t>1</t>
        </is>
      </c>
      <c r="H1452" t="inlineStr">
        <is>
          <t>No</t>
        </is>
      </c>
      <c r="I1452" t="inlineStr">
        <is>
          <t>No</t>
        </is>
      </c>
      <c r="J1452" t="inlineStr">
        <is>
          <t>0</t>
        </is>
      </c>
      <c r="K1452" t="inlineStr">
        <is>
          <t>Buresh, Lumir F.</t>
        </is>
      </c>
      <c r="L1452" t="inlineStr">
        <is>
          <t>Kansas City, Mo. : Lowell Press, c1977.</t>
        </is>
      </c>
      <c r="M1452" t="inlineStr">
        <is>
          <t>1977</t>
        </is>
      </c>
      <c r="O1452" t="inlineStr">
        <is>
          <t>eng</t>
        </is>
      </c>
      <c r="P1452" t="inlineStr">
        <is>
          <t>mou</t>
        </is>
      </c>
      <c r="R1452" t="inlineStr">
        <is>
          <t xml:space="preserve">E  </t>
        </is>
      </c>
      <c r="S1452" t="n">
        <v>0</v>
      </c>
      <c r="T1452" t="n">
        <v>0</v>
      </c>
      <c r="U1452" t="inlineStr">
        <is>
          <t>2005-09-07</t>
        </is>
      </c>
      <c r="V1452" t="inlineStr">
        <is>
          <t>2005-09-07</t>
        </is>
      </c>
      <c r="W1452" t="inlineStr">
        <is>
          <t>1997-04-18</t>
        </is>
      </c>
      <c r="X1452" t="inlineStr">
        <is>
          <t>1997-04-18</t>
        </is>
      </c>
      <c r="Y1452" t="n">
        <v>175</v>
      </c>
      <c r="Z1452" t="n">
        <v>170</v>
      </c>
      <c r="AA1452" t="n">
        <v>172</v>
      </c>
      <c r="AB1452" t="n">
        <v>2</v>
      </c>
      <c r="AC1452" t="n">
        <v>2</v>
      </c>
      <c r="AD1452" t="n">
        <v>5</v>
      </c>
      <c r="AE1452" t="n">
        <v>5</v>
      </c>
      <c r="AF1452" t="n">
        <v>3</v>
      </c>
      <c r="AG1452" t="n">
        <v>3</v>
      </c>
      <c r="AH1452" t="n">
        <v>0</v>
      </c>
      <c r="AI1452" t="n">
        <v>0</v>
      </c>
      <c r="AJ1452" t="n">
        <v>2</v>
      </c>
      <c r="AK1452" t="n">
        <v>2</v>
      </c>
      <c r="AL1452" t="n">
        <v>0</v>
      </c>
      <c r="AM1452" t="n">
        <v>0</v>
      </c>
      <c r="AN1452" t="n">
        <v>0</v>
      </c>
      <c r="AO1452" t="n">
        <v>0</v>
      </c>
      <c r="AP1452" t="inlineStr">
        <is>
          <t>No</t>
        </is>
      </c>
      <c r="AQ1452" t="inlineStr">
        <is>
          <t>Yes</t>
        </is>
      </c>
      <c r="AR1452">
        <f>HYPERLINK("http://catalog.hathitrust.org/Record/008997284","HathiTrust Record")</f>
        <v/>
      </c>
      <c r="AS1452">
        <f>HYPERLINK("https://creighton-primo.hosted.exlibrisgroup.com/primo-explore/search?tab=default_tab&amp;search_scope=EVERYTHING&amp;vid=01CRU&amp;lang=en_US&amp;offset=0&amp;query=any,contains,991004403819702656","Catalog Record")</f>
        <v/>
      </c>
      <c r="AT1452">
        <f>HYPERLINK("http://www.worldcat.org/oclc/3311943","WorldCat Record")</f>
        <v/>
      </c>
      <c r="AU1452" t="inlineStr">
        <is>
          <t>9457919:eng</t>
        </is>
      </c>
      <c r="AV1452" t="inlineStr">
        <is>
          <t>3311943</t>
        </is>
      </c>
      <c r="AW1452" t="inlineStr">
        <is>
          <t>991004403819702656</t>
        </is>
      </c>
      <c r="AX1452" t="inlineStr">
        <is>
          <t>991004403819702656</t>
        </is>
      </c>
      <c r="AY1452" t="inlineStr">
        <is>
          <t>2271579350002656</t>
        </is>
      </c>
      <c r="AZ1452" t="inlineStr">
        <is>
          <t>BOOK</t>
        </is>
      </c>
      <c r="BB1452" t="inlineStr">
        <is>
          <t>9780913504406</t>
        </is>
      </c>
      <c r="BC1452" t="inlineStr">
        <is>
          <t>32285002556073</t>
        </is>
      </c>
      <c r="BD1452" t="inlineStr">
        <is>
          <t>893718862</t>
        </is>
      </c>
    </row>
    <row r="1453">
      <c r="A1453" t="inlineStr">
        <is>
          <t>No</t>
        </is>
      </c>
      <c r="B1453" t="inlineStr">
        <is>
          <t>E477.67 .D33 1959</t>
        </is>
      </c>
      <c r="C1453" t="inlineStr">
        <is>
          <t>0                      E  0477670D  33          1959</t>
        </is>
      </c>
      <c r="D1453" t="inlineStr">
        <is>
          <t>To Appomattox; nine April days, 1865 / Burke Davis.</t>
        </is>
      </c>
      <c r="F1453" t="inlineStr">
        <is>
          <t>No</t>
        </is>
      </c>
      <c r="G1453" t="inlineStr">
        <is>
          <t>1</t>
        </is>
      </c>
      <c r="H1453" t="inlineStr">
        <is>
          <t>No</t>
        </is>
      </c>
      <c r="I1453" t="inlineStr">
        <is>
          <t>No</t>
        </is>
      </c>
      <c r="J1453" t="inlineStr">
        <is>
          <t>0</t>
        </is>
      </c>
      <c r="K1453" t="inlineStr">
        <is>
          <t>Davis, Burke, 1913-2006.</t>
        </is>
      </c>
      <c r="L1453" t="inlineStr">
        <is>
          <t>New York : Popular Library, [1959]</t>
        </is>
      </c>
      <c r="M1453" t="inlineStr">
        <is>
          <t>1959</t>
        </is>
      </c>
      <c r="O1453" t="inlineStr">
        <is>
          <t>eng</t>
        </is>
      </c>
      <c r="P1453" t="inlineStr">
        <is>
          <t>nyu</t>
        </is>
      </c>
      <c r="R1453" t="inlineStr">
        <is>
          <t xml:space="preserve">E  </t>
        </is>
      </c>
      <c r="S1453" t="n">
        <v>2</v>
      </c>
      <c r="T1453" t="n">
        <v>2</v>
      </c>
      <c r="U1453" t="inlineStr">
        <is>
          <t>1996-11-19</t>
        </is>
      </c>
      <c r="V1453" t="inlineStr">
        <is>
          <t>1996-11-19</t>
        </is>
      </c>
      <c r="W1453" t="inlineStr">
        <is>
          <t>1991-05-06</t>
        </is>
      </c>
      <c r="X1453" t="inlineStr">
        <is>
          <t>1991-05-06</t>
        </is>
      </c>
      <c r="Y1453" t="n">
        <v>62</v>
      </c>
      <c r="Z1453" t="n">
        <v>61</v>
      </c>
      <c r="AA1453" t="n">
        <v>2062</v>
      </c>
      <c r="AB1453" t="n">
        <v>1</v>
      </c>
      <c r="AC1453" t="n">
        <v>16</v>
      </c>
      <c r="AD1453" t="n">
        <v>3</v>
      </c>
      <c r="AE1453" t="n">
        <v>46</v>
      </c>
      <c r="AF1453" t="n">
        <v>1</v>
      </c>
      <c r="AG1453" t="n">
        <v>21</v>
      </c>
      <c r="AH1453" t="n">
        <v>2</v>
      </c>
      <c r="AI1453" t="n">
        <v>7</v>
      </c>
      <c r="AJ1453" t="n">
        <v>1</v>
      </c>
      <c r="AK1453" t="n">
        <v>18</v>
      </c>
      <c r="AL1453" t="n">
        <v>0</v>
      </c>
      <c r="AM1453" t="n">
        <v>9</v>
      </c>
      <c r="AN1453" t="n">
        <v>0</v>
      </c>
      <c r="AO1453" t="n">
        <v>0</v>
      </c>
      <c r="AP1453" t="inlineStr">
        <is>
          <t>No</t>
        </is>
      </c>
      <c r="AQ1453" t="inlineStr">
        <is>
          <t>No</t>
        </is>
      </c>
      <c r="AS1453">
        <f>HYPERLINK("https://creighton-primo.hosted.exlibrisgroup.com/primo-explore/search?tab=default_tab&amp;search_scope=EVERYTHING&amp;vid=01CRU&amp;lang=en_US&amp;offset=0&amp;query=any,contains,991003740049702656","Catalog Record")</f>
        <v/>
      </c>
      <c r="AT1453">
        <f>HYPERLINK("http://www.worldcat.org/oclc/1402783","WorldCat Record")</f>
        <v/>
      </c>
      <c r="AU1453" t="inlineStr">
        <is>
          <t>308600088:eng</t>
        </is>
      </c>
      <c r="AV1453" t="inlineStr">
        <is>
          <t>1402783</t>
        </is>
      </c>
      <c r="AW1453" t="inlineStr">
        <is>
          <t>991003740049702656</t>
        </is>
      </c>
      <c r="AX1453" t="inlineStr">
        <is>
          <t>991003740049702656</t>
        </is>
      </c>
      <c r="AY1453" t="inlineStr">
        <is>
          <t>2260750820002656</t>
        </is>
      </c>
      <c r="AZ1453" t="inlineStr">
        <is>
          <t>BOOK</t>
        </is>
      </c>
      <c r="BC1453" t="inlineStr">
        <is>
          <t>32285000610179</t>
        </is>
      </c>
      <c r="BD1453" t="inlineStr">
        <is>
          <t>893512302</t>
        </is>
      </c>
    </row>
    <row r="1454">
      <c r="A1454" t="inlineStr">
        <is>
          <t>No</t>
        </is>
      </c>
      <c r="B1454" t="inlineStr">
        <is>
          <t>E477.7 .B3</t>
        </is>
      </c>
      <c r="C1454" t="inlineStr">
        <is>
          <t>0                      E  0477700B  3</t>
        </is>
      </c>
      <c r="D1454" t="inlineStr">
        <is>
          <t>Sherman's march through the Carolinas.</t>
        </is>
      </c>
      <c r="F1454" t="inlineStr">
        <is>
          <t>No</t>
        </is>
      </c>
      <c r="G1454" t="inlineStr">
        <is>
          <t>1</t>
        </is>
      </c>
      <c r="H1454" t="inlineStr">
        <is>
          <t>No</t>
        </is>
      </c>
      <c r="I1454" t="inlineStr">
        <is>
          <t>No</t>
        </is>
      </c>
      <c r="J1454" t="inlineStr">
        <is>
          <t>0</t>
        </is>
      </c>
      <c r="K1454" t="inlineStr">
        <is>
          <t>Barrett, John Gilchrist.</t>
        </is>
      </c>
      <c r="L1454" t="inlineStr">
        <is>
          <t>Chapel Hill : University of North Carolina Press, 1956.</t>
        </is>
      </c>
      <c r="M1454" t="inlineStr">
        <is>
          <t>1956</t>
        </is>
      </c>
      <c r="O1454" t="inlineStr">
        <is>
          <t>eng</t>
        </is>
      </c>
      <c r="P1454" t="inlineStr">
        <is>
          <t>ncu</t>
        </is>
      </c>
      <c r="R1454" t="inlineStr">
        <is>
          <t xml:space="preserve">E  </t>
        </is>
      </c>
      <c r="S1454" t="n">
        <v>1</v>
      </c>
      <c r="T1454" t="n">
        <v>1</v>
      </c>
      <c r="U1454" t="inlineStr">
        <is>
          <t>1993-12-30</t>
        </is>
      </c>
      <c r="V1454" t="inlineStr">
        <is>
          <t>1993-12-30</t>
        </is>
      </c>
      <c r="W1454" t="inlineStr">
        <is>
          <t>1992-02-11</t>
        </is>
      </c>
      <c r="X1454" t="inlineStr">
        <is>
          <t>1992-02-11</t>
        </is>
      </c>
      <c r="Y1454" t="n">
        <v>836</v>
      </c>
      <c r="Z1454" t="n">
        <v>812</v>
      </c>
      <c r="AA1454" t="n">
        <v>1155</v>
      </c>
      <c r="AB1454" t="n">
        <v>4</v>
      </c>
      <c r="AC1454" t="n">
        <v>6</v>
      </c>
      <c r="AD1454" t="n">
        <v>33</v>
      </c>
      <c r="AE1454" t="n">
        <v>43</v>
      </c>
      <c r="AF1454" t="n">
        <v>13</v>
      </c>
      <c r="AG1454" t="n">
        <v>20</v>
      </c>
      <c r="AH1454" t="n">
        <v>10</v>
      </c>
      <c r="AI1454" t="n">
        <v>10</v>
      </c>
      <c r="AJ1454" t="n">
        <v>19</v>
      </c>
      <c r="AK1454" t="n">
        <v>20</v>
      </c>
      <c r="AL1454" t="n">
        <v>3</v>
      </c>
      <c r="AM1454" t="n">
        <v>4</v>
      </c>
      <c r="AN1454" t="n">
        <v>1</v>
      </c>
      <c r="AO1454" t="n">
        <v>2</v>
      </c>
      <c r="AP1454" t="inlineStr">
        <is>
          <t>No</t>
        </is>
      </c>
      <c r="AQ1454" t="inlineStr">
        <is>
          <t>Yes</t>
        </is>
      </c>
      <c r="AR1454">
        <f>HYPERLINK("http://catalog.hathitrust.org/Record/000409688","HathiTrust Record")</f>
        <v/>
      </c>
      <c r="AS1454">
        <f>HYPERLINK("https://creighton-primo.hosted.exlibrisgroup.com/primo-explore/search?tab=default_tab&amp;search_scope=EVERYTHING&amp;vid=01CRU&amp;lang=en_US&amp;offset=0&amp;query=any,contains,991003346259702656","Catalog Record")</f>
        <v/>
      </c>
      <c r="AT1454">
        <f>HYPERLINK("http://www.worldcat.org/oclc/878117","WorldCat Record")</f>
        <v/>
      </c>
      <c r="AU1454" t="inlineStr">
        <is>
          <t>465121:eng</t>
        </is>
      </c>
      <c r="AV1454" t="inlineStr">
        <is>
          <t>878117</t>
        </is>
      </c>
      <c r="AW1454" t="inlineStr">
        <is>
          <t>991003346259702656</t>
        </is>
      </c>
      <c r="AX1454" t="inlineStr">
        <is>
          <t>991003346259702656</t>
        </is>
      </c>
      <c r="AY1454" t="inlineStr">
        <is>
          <t>2272099150002656</t>
        </is>
      </c>
      <c r="AZ1454" t="inlineStr">
        <is>
          <t>BOOK</t>
        </is>
      </c>
      <c r="BB1454" t="inlineStr">
        <is>
          <t>9780807807019</t>
        </is>
      </c>
      <c r="BC1454" t="inlineStr">
        <is>
          <t>32285000955426</t>
        </is>
      </c>
      <c r="BD1454" t="inlineStr">
        <is>
          <t>893258339</t>
        </is>
      </c>
    </row>
    <row r="1455">
      <c r="A1455" t="inlineStr">
        <is>
          <t>No</t>
        </is>
      </c>
      <c r="B1455" t="inlineStr">
        <is>
          <t>E487 .D25 1989</t>
        </is>
      </c>
      <c r="C1455" t="inlineStr">
        <is>
          <t>0                      E  0487000D  25          1989</t>
        </is>
      </c>
      <c r="D1455" t="inlineStr">
        <is>
          <t>The long surrender / Burke Davis.</t>
        </is>
      </c>
      <c r="F1455" t="inlineStr">
        <is>
          <t>No</t>
        </is>
      </c>
      <c r="G1455" t="inlineStr">
        <is>
          <t>1</t>
        </is>
      </c>
      <c r="H1455" t="inlineStr">
        <is>
          <t>No</t>
        </is>
      </c>
      <c r="I1455" t="inlineStr">
        <is>
          <t>No</t>
        </is>
      </c>
      <c r="J1455" t="inlineStr">
        <is>
          <t>0</t>
        </is>
      </c>
      <c r="K1455" t="inlineStr">
        <is>
          <t>Davis, Burke, 1913-2006.</t>
        </is>
      </c>
      <c r="L1455" t="inlineStr">
        <is>
          <t>New York : Vintage Books, 1989, c1985.</t>
        </is>
      </c>
      <c r="M1455" t="inlineStr">
        <is>
          <t>1989</t>
        </is>
      </c>
      <c r="N1455" t="inlineStr">
        <is>
          <t>1st Vintage Books ed.</t>
        </is>
      </c>
      <c r="O1455" t="inlineStr">
        <is>
          <t>eng</t>
        </is>
      </c>
      <c r="P1455" t="inlineStr">
        <is>
          <t>nyu</t>
        </is>
      </c>
      <c r="Q1455" t="inlineStr">
        <is>
          <t>Vintage Civil War library</t>
        </is>
      </c>
      <c r="R1455" t="inlineStr">
        <is>
          <t xml:space="preserve">E  </t>
        </is>
      </c>
      <c r="S1455" t="n">
        <v>2</v>
      </c>
      <c r="T1455" t="n">
        <v>2</v>
      </c>
      <c r="U1455" t="inlineStr">
        <is>
          <t>1994-05-11</t>
        </is>
      </c>
      <c r="V1455" t="inlineStr">
        <is>
          <t>1994-05-11</t>
        </is>
      </c>
      <c r="W1455" t="inlineStr">
        <is>
          <t>1993-04-13</t>
        </is>
      </c>
      <c r="X1455" t="inlineStr">
        <is>
          <t>1993-04-13</t>
        </is>
      </c>
      <c r="Y1455" t="n">
        <v>126</v>
      </c>
      <c r="Z1455" t="n">
        <v>122</v>
      </c>
      <c r="AA1455" t="n">
        <v>1580</v>
      </c>
      <c r="AB1455" t="n">
        <v>2</v>
      </c>
      <c r="AC1455" t="n">
        <v>11</v>
      </c>
      <c r="AD1455" t="n">
        <v>3</v>
      </c>
      <c r="AE1455" t="n">
        <v>32</v>
      </c>
      <c r="AF1455" t="n">
        <v>2</v>
      </c>
      <c r="AG1455" t="n">
        <v>15</v>
      </c>
      <c r="AH1455" t="n">
        <v>0</v>
      </c>
      <c r="AI1455" t="n">
        <v>7</v>
      </c>
      <c r="AJ1455" t="n">
        <v>0</v>
      </c>
      <c r="AK1455" t="n">
        <v>13</v>
      </c>
      <c r="AL1455" t="n">
        <v>1</v>
      </c>
      <c r="AM1455" t="n">
        <v>5</v>
      </c>
      <c r="AN1455" t="n">
        <v>0</v>
      </c>
      <c r="AO1455" t="n">
        <v>0</v>
      </c>
      <c r="AP1455" t="inlineStr">
        <is>
          <t>No</t>
        </is>
      </c>
      <c r="AQ1455" t="inlineStr">
        <is>
          <t>No</t>
        </is>
      </c>
      <c r="AS1455">
        <f>HYPERLINK("https://creighton-primo.hosted.exlibrisgroup.com/primo-explore/search?tab=default_tab&amp;search_scope=EVERYTHING&amp;vid=01CRU&amp;lang=en_US&amp;offset=0&amp;query=any,contains,991001519539702656","Catalog Record")</f>
        <v/>
      </c>
      <c r="AT1455">
        <f>HYPERLINK("http://www.worldcat.org/oclc/19971250","WorldCat Record")</f>
        <v/>
      </c>
      <c r="AU1455" t="inlineStr">
        <is>
          <t>333093:eng</t>
        </is>
      </c>
      <c r="AV1455" t="inlineStr">
        <is>
          <t>19971250</t>
        </is>
      </c>
      <c r="AW1455" t="inlineStr">
        <is>
          <t>991001519539702656</t>
        </is>
      </c>
      <c r="AX1455" t="inlineStr">
        <is>
          <t>991001519539702656</t>
        </is>
      </c>
      <c r="AY1455" t="inlineStr">
        <is>
          <t>2263255410002656</t>
        </is>
      </c>
      <c r="AZ1455" t="inlineStr">
        <is>
          <t>BOOK</t>
        </is>
      </c>
      <c r="BB1455" t="inlineStr">
        <is>
          <t>9780679724094</t>
        </is>
      </c>
      <c r="BC1455" t="inlineStr">
        <is>
          <t>32285001614840</t>
        </is>
      </c>
      <c r="BD1455" t="inlineStr">
        <is>
          <t>893503465</t>
        </is>
      </c>
    </row>
    <row r="1456">
      <c r="A1456" t="inlineStr">
        <is>
          <t>No</t>
        </is>
      </c>
      <c r="B1456" t="inlineStr">
        <is>
          <t>E487 .D26</t>
        </is>
      </c>
      <c r="C1456" t="inlineStr">
        <is>
          <t>0                      E  0487000D  26</t>
        </is>
      </c>
      <c r="D1456" t="inlineStr">
        <is>
          <t>The rise and fall of the Confederate government / by Jefferson Davis.</t>
        </is>
      </c>
      <c r="E1456" t="inlineStr">
        <is>
          <t>V.2</t>
        </is>
      </c>
      <c r="F1456" t="inlineStr">
        <is>
          <t>Yes</t>
        </is>
      </c>
      <c r="G1456" t="inlineStr">
        <is>
          <t>1</t>
        </is>
      </c>
      <c r="H1456" t="inlineStr">
        <is>
          <t>No</t>
        </is>
      </c>
      <c r="I1456" t="inlineStr">
        <is>
          <t>No</t>
        </is>
      </c>
      <c r="J1456" t="inlineStr">
        <is>
          <t>0</t>
        </is>
      </c>
      <c r="K1456" t="inlineStr">
        <is>
          <t>Davis, Jefferson, 1808-1889.</t>
        </is>
      </c>
      <c r="L1456" t="inlineStr">
        <is>
          <t>New York : D. Appleton and Co., 1881.</t>
        </is>
      </c>
      <c r="M1456" t="inlineStr">
        <is>
          <t>1881</t>
        </is>
      </c>
      <c r="O1456" t="inlineStr">
        <is>
          <t>eng</t>
        </is>
      </c>
      <c r="P1456" t="inlineStr">
        <is>
          <t>nyu</t>
        </is>
      </c>
      <c r="R1456" t="inlineStr">
        <is>
          <t xml:space="preserve">E  </t>
        </is>
      </c>
      <c r="S1456" t="n">
        <v>2</v>
      </c>
      <c r="T1456" t="n">
        <v>4</v>
      </c>
      <c r="U1456" t="inlineStr">
        <is>
          <t>1994-04-07</t>
        </is>
      </c>
      <c r="V1456" t="inlineStr">
        <is>
          <t>1994-04-07</t>
        </is>
      </c>
      <c r="W1456" t="inlineStr">
        <is>
          <t>1991-02-14</t>
        </is>
      </c>
      <c r="X1456" t="inlineStr">
        <is>
          <t>1991-02-14</t>
        </is>
      </c>
      <c r="Y1456" t="n">
        <v>788</v>
      </c>
      <c r="Z1456" t="n">
        <v>754</v>
      </c>
      <c r="AA1456" t="n">
        <v>915</v>
      </c>
      <c r="AB1456" t="n">
        <v>4</v>
      </c>
      <c r="AC1456" t="n">
        <v>6</v>
      </c>
      <c r="AD1456" t="n">
        <v>34</v>
      </c>
      <c r="AE1456" t="n">
        <v>43</v>
      </c>
      <c r="AF1456" t="n">
        <v>17</v>
      </c>
      <c r="AG1456" t="n">
        <v>19</v>
      </c>
      <c r="AH1456" t="n">
        <v>4</v>
      </c>
      <c r="AI1456" t="n">
        <v>5</v>
      </c>
      <c r="AJ1456" t="n">
        <v>16</v>
      </c>
      <c r="AK1456" t="n">
        <v>16</v>
      </c>
      <c r="AL1456" t="n">
        <v>3</v>
      </c>
      <c r="AM1456" t="n">
        <v>4</v>
      </c>
      <c r="AN1456" t="n">
        <v>2</v>
      </c>
      <c r="AO1456" t="n">
        <v>7</v>
      </c>
      <c r="AP1456" t="inlineStr">
        <is>
          <t>Yes</t>
        </is>
      </c>
      <c r="AQ1456" t="inlineStr">
        <is>
          <t>No</t>
        </is>
      </c>
      <c r="AR1456">
        <f>HYPERLINK("http://catalog.hathitrust.org/Record/000409571","HathiTrust Record")</f>
        <v/>
      </c>
      <c r="AS1456">
        <f>HYPERLINK("https://creighton-primo.hosted.exlibrisgroup.com/primo-explore/search?tab=default_tab&amp;search_scope=EVERYTHING&amp;vid=01CRU&amp;lang=en_US&amp;offset=0&amp;query=any,contains,991002969499702656","Catalog Record")</f>
        <v/>
      </c>
      <c r="AT1456">
        <f>HYPERLINK("http://www.worldcat.org/oclc/547724","WorldCat Record")</f>
        <v/>
      </c>
      <c r="AU1456" t="inlineStr">
        <is>
          <t>9144829806:eng</t>
        </is>
      </c>
      <c r="AV1456" t="inlineStr">
        <is>
          <t>547724</t>
        </is>
      </c>
      <c r="AW1456" t="inlineStr">
        <is>
          <t>991002969499702656</t>
        </is>
      </c>
      <c r="AX1456" t="inlineStr">
        <is>
          <t>991002969499702656</t>
        </is>
      </c>
      <c r="AY1456" t="inlineStr">
        <is>
          <t>2262907440002656</t>
        </is>
      </c>
      <c r="AZ1456" t="inlineStr">
        <is>
          <t>BOOK</t>
        </is>
      </c>
      <c r="BC1456" t="inlineStr">
        <is>
          <t>32285000510270</t>
        </is>
      </c>
      <c r="BD1456" t="inlineStr">
        <is>
          <t>893335971</t>
        </is>
      </c>
    </row>
    <row r="1457">
      <c r="A1457" t="inlineStr">
        <is>
          <t>No</t>
        </is>
      </c>
      <c r="B1457" t="inlineStr">
        <is>
          <t>E487 .D26</t>
        </is>
      </c>
      <c r="C1457" t="inlineStr">
        <is>
          <t>0                      E  0487000D  26</t>
        </is>
      </c>
      <c r="D1457" t="inlineStr">
        <is>
          <t>The rise and fall of the Confederate government / by Jefferson Davis.</t>
        </is>
      </c>
      <c r="E1457" t="inlineStr">
        <is>
          <t>V.1</t>
        </is>
      </c>
      <c r="F1457" t="inlineStr">
        <is>
          <t>Yes</t>
        </is>
      </c>
      <c r="G1457" t="inlineStr">
        <is>
          <t>1</t>
        </is>
      </c>
      <c r="H1457" t="inlineStr">
        <is>
          <t>No</t>
        </is>
      </c>
      <c r="I1457" t="inlineStr">
        <is>
          <t>No</t>
        </is>
      </c>
      <c r="J1457" t="inlineStr">
        <is>
          <t>0</t>
        </is>
      </c>
      <c r="K1457" t="inlineStr">
        <is>
          <t>Davis, Jefferson, 1808-1889.</t>
        </is>
      </c>
      <c r="L1457" t="inlineStr">
        <is>
          <t>New York : D. Appleton and Co., 1881.</t>
        </is>
      </c>
      <c r="M1457" t="inlineStr">
        <is>
          <t>1881</t>
        </is>
      </c>
      <c r="O1457" t="inlineStr">
        <is>
          <t>eng</t>
        </is>
      </c>
      <c r="P1457" t="inlineStr">
        <is>
          <t>nyu</t>
        </is>
      </c>
      <c r="R1457" t="inlineStr">
        <is>
          <t xml:space="preserve">E  </t>
        </is>
      </c>
      <c r="S1457" t="n">
        <v>2</v>
      </c>
      <c r="T1457" t="n">
        <v>4</v>
      </c>
      <c r="U1457" t="inlineStr">
        <is>
          <t>1994-04-07</t>
        </is>
      </c>
      <c r="V1457" t="inlineStr">
        <is>
          <t>1994-04-07</t>
        </is>
      </c>
      <c r="W1457" t="inlineStr">
        <is>
          <t>1991-02-14</t>
        </is>
      </c>
      <c r="X1457" t="inlineStr">
        <is>
          <t>1991-02-14</t>
        </is>
      </c>
      <c r="Y1457" t="n">
        <v>788</v>
      </c>
      <c r="Z1457" t="n">
        <v>754</v>
      </c>
      <c r="AA1457" t="n">
        <v>915</v>
      </c>
      <c r="AB1457" t="n">
        <v>4</v>
      </c>
      <c r="AC1457" t="n">
        <v>6</v>
      </c>
      <c r="AD1457" t="n">
        <v>34</v>
      </c>
      <c r="AE1457" t="n">
        <v>43</v>
      </c>
      <c r="AF1457" t="n">
        <v>17</v>
      </c>
      <c r="AG1457" t="n">
        <v>19</v>
      </c>
      <c r="AH1457" t="n">
        <v>4</v>
      </c>
      <c r="AI1457" t="n">
        <v>5</v>
      </c>
      <c r="AJ1457" t="n">
        <v>16</v>
      </c>
      <c r="AK1457" t="n">
        <v>16</v>
      </c>
      <c r="AL1457" t="n">
        <v>3</v>
      </c>
      <c r="AM1457" t="n">
        <v>4</v>
      </c>
      <c r="AN1457" t="n">
        <v>2</v>
      </c>
      <c r="AO1457" t="n">
        <v>7</v>
      </c>
      <c r="AP1457" t="inlineStr">
        <is>
          <t>Yes</t>
        </is>
      </c>
      <c r="AQ1457" t="inlineStr">
        <is>
          <t>No</t>
        </is>
      </c>
      <c r="AR1457">
        <f>HYPERLINK("http://catalog.hathitrust.org/Record/000409571","HathiTrust Record")</f>
        <v/>
      </c>
      <c r="AS1457">
        <f>HYPERLINK("https://creighton-primo.hosted.exlibrisgroup.com/primo-explore/search?tab=default_tab&amp;search_scope=EVERYTHING&amp;vid=01CRU&amp;lang=en_US&amp;offset=0&amp;query=any,contains,991002969499702656","Catalog Record")</f>
        <v/>
      </c>
      <c r="AT1457">
        <f>HYPERLINK("http://www.worldcat.org/oclc/547724","WorldCat Record")</f>
        <v/>
      </c>
      <c r="AU1457" t="inlineStr">
        <is>
          <t>9144829806:eng</t>
        </is>
      </c>
      <c r="AV1457" t="inlineStr">
        <is>
          <t>547724</t>
        </is>
      </c>
      <c r="AW1457" t="inlineStr">
        <is>
          <t>991002969499702656</t>
        </is>
      </c>
      <c r="AX1457" t="inlineStr">
        <is>
          <t>991002969499702656</t>
        </is>
      </c>
      <c r="AY1457" t="inlineStr">
        <is>
          <t>2262907440002656</t>
        </is>
      </c>
      <c r="AZ1457" t="inlineStr">
        <is>
          <t>BOOK</t>
        </is>
      </c>
      <c r="BC1457" t="inlineStr">
        <is>
          <t>32285000510262</t>
        </is>
      </c>
      <c r="BD1457" t="inlineStr">
        <is>
          <t>893329780</t>
        </is>
      </c>
    </row>
    <row r="1458">
      <c r="A1458" t="inlineStr">
        <is>
          <t>No</t>
        </is>
      </c>
      <c r="B1458" t="inlineStr">
        <is>
          <t>E487 .E8</t>
        </is>
      </c>
      <c r="C1458" t="inlineStr">
        <is>
          <t>0                      E  0487000E  8</t>
        </is>
      </c>
      <c r="D1458" t="inlineStr">
        <is>
          <t>After secession : Jefferson Davis and the failure of Confederate nationalism / Paul D. Escott.</t>
        </is>
      </c>
      <c r="F1458" t="inlineStr">
        <is>
          <t>No</t>
        </is>
      </c>
      <c r="G1458" t="inlineStr">
        <is>
          <t>1</t>
        </is>
      </c>
      <c r="H1458" t="inlineStr">
        <is>
          <t>No</t>
        </is>
      </c>
      <c r="I1458" t="inlineStr">
        <is>
          <t>No</t>
        </is>
      </c>
      <c r="J1458" t="inlineStr">
        <is>
          <t>0</t>
        </is>
      </c>
      <c r="K1458" t="inlineStr">
        <is>
          <t>Escott, Paul D., 1947-</t>
        </is>
      </c>
      <c r="L1458" t="inlineStr">
        <is>
          <t>Baton Rouge : Louisiana State University Press, c1978.</t>
        </is>
      </c>
      <c r="M1458" t="inlineStr">
        <is>
          <t>1978</t>
        </is>
      </c>
      <c r="O1458" t="inlineStr">
        <is>
          <t>eng</t>
        </is>
      </c>
      <c r="P1458" t="inlineStr">
        <is>
          <t>lau</t>
        </is>
      </c>
      <c r="R1458" t="inlineStr">
        <is>
          <t xml:space="preserve">E  </t>
        </is>
      </c>
      <c r="S1458" t="n">
        <v>1</v>
      </c>
      <c r="T1458" t="n">
        <v>1</v>
      </c>
      <c r="U1458" t="inlineStr">
        <is>
          <t>1992-03-17</t>
        </is>
      </c>
      <c r="V1458" t="inlineStr">
        <is>
          <t>1992-03-17</t>
        </is>
      </c>
      <c r="W1458" t="inlineStr">
        <is>
          <t>1991-05-06</t>
        </is>
      </c>
      <c r="X1458" t="inlineStr">
        <is>
          <t>1991-05-06</t>
        </is>
      </c>
      <c r="Y1458" t="n">
        <v>723</v>
      </c>
      <c r="Z1458" t="n">
        <v>640</v>
      </c>
      <c r="AA1458" t="n">
        <v>735</v>
      </c>
      <c r="AB1458" t="n">
        <v>4</v>
      </c>
      <c r="AC1458" t="n">
        <v>4</v>
      </c>
      <c r="AD1458" t="n">
        <v>21</v>
      </c>
      <c r="AE1458" t="n">
        <v>27</v>
      </c>
      <c r="AF1458" t="n">
        <v>11</v>
      </c>
      <c r="AG1458" t="n">
        <v>16</v>
      </c>
      <c r="AH1458" t="n">
        <v>6</v>
      </c>
      <c r="AI1458" t="n">
        <v>7</v>
      </c>
      <c r="AJ1458" t="n">
        <v>11</v>
      </c>
      <c r="AK1458" t="n">
        <v>13</v>
      </c>
      <c r="AL1458" t="n">
        <v>2</v>
      </c>
      <c r="AM1458" t="n">
        <v>2</v>
      </c>
      <c r="AN1458" t="n">
        <v>0</v>
      </c>
      <c r="AO1458" t="n">
        <v>0</v>
      </c>
      <c r="AP1458" t="inlineStr">
        <is>
          <t>No</t>
        </is>
      </c>
      <c r="AQ1458" t="inlineStr">
        <is>
          <t>No</t>
        </is>
      </c>
      <c r="AS1458">
        <f>HYPERLINK("https://creighton-primo.hosted.exlibrisgroup.com/primo-explore/search?tab=default_tab&amp;search_scope=EVERYTHING&amp;vid=01CRU&amp;lang=en_US&amp;offset=0&amp;query=any,contains,991004528039702656","Catalog Record")</f>
        <v/>
      </c>
      <c r="AT1458">
        <f>HYPERLINK("http://www.worldcat.org/oclc/3844261","WorldCat Record")</f>
        <v/>
      </c>
      <c r="AU1458" t="inlineStr">
        <is>
          <t>13322060:eng</t>
        </is>
      </c>
      <c r="AV1458" t="inlineStr">
        <is>
          <t>3844261</t>
        </is>
      </c>
      <c r="AW1458" t="inlineStr">
        <is>
          <t>991004528039702656</t>
        </is>
      </c>
      <c r="AX1458" t="inlineStr">
        <is>
          <t>991004528039702656</t>
        </is>
      </c>
      <c r="AY1458" t="inlineStr">
        <is>
          <t>2264786640002656</t>
        </is>
      </c>
      <c r="AZ1458" t="inlineStr">
        <is>
          <t>BOOK</t>
        </is>
      </c>
      <c r="BB1458" t="inlineStr">
        <is>
          <t>9780807103692</t>
        </is>
      </c>
      <c r="BC1458" t="inlineStr">
        <is>
          <t>32285000610195</t>
        </is>
      </c>
      <c r="BD1458" t="inlineStr">
        <is>
          <t>893241541</t>
        </is>
      </c>
    </row>
    <row r="1459">
      <c r="A1459" t="inlineStr">
        <is>
          <t>No</t>
        </is>
      </c>
      <c r="B1459" t="inlineStr">
        <is>
          <t>E487 .G26 1997</t>
        </is>
      </c>
      <c r="C1459" t="inlineStr">
        <is>
          <t>0                      E  0487000G  26          1997</t>
        </is>
      </c>
      <c r="D1459" t="inlineStr">
        <is>
          <t>The Confederate War / Gary W. Gallagher.</t>
        </is>
      </c>
      <c r="F1459" t="inlineStr">
        <is>
          <t>No</t>
        </is>
      </c>
      <c r="G1459" t="inlineStr">
        <is>
          <t>1</t>
        </is>
      </c>
      <c r="H1459" t="inlineStr">
        <is>
          <t>No</t>
        </is>
      </c>
      <c r="I1459" t="inlineStr">
        <is>
          <t>No</t>
        </is>
      </c>
      <c r="J1459" t="inlineStr">
        <is>
          <t>0</t>
        </is>
      </c>
      <c r="K1459" t="inlineStr">
        <is>
          <t>Gallagher, Gary W.</t>
        </is>
      </c>
      <c r="L1459" t="inlineStr">
        <is>
          <t>Cambridge, Mass. : Harvard University Press, 1997.</t>
        </is>
      </c>
      <c r="M1459" t="inlineStr">
        <is>
          <t>1997</t>
        </is>
      </c>
      <c r="O1459" t="inlineStr">
        <is>
          <t>eng</t>
        </is>
      </c>
      <c r="P1459" t="inlineStr">
        <is>
          <t>mau</t>
        </is>
      </c>
      <c r="R1459" t="inlineStr">
        <is>
          <t xml:space="preserve">E  </t>
        </is>
      </c>
      <c r="S1459" t="n">
        <v>2</v>
      </c>
      <c r="T1459" t="n">
        <v>2</v>
      </c>
      <c r="U1459" t="inlineStr">
        <is>
          <t>1998-01-26</t>
        </is>
      </c>
      <c r="V1459" t="inlineStr">
        <is>
          <t>1998-01-26</t>
        </is>
      </c>
      <c r="W1459" t="inlineStr">
        <is>
          <t>1998-01-07</t>
        </is>
      </c>
      <c r="X1459" t="inlineStr">
        <is>
          <t>1998-01-07</t>
        </is>
      </c>
      <c r="Y1459" t="n">
        <v>1286</v>
      </c>
      <c r="Z1459" t="n">
        <v>1176</v>
      </c>
      <c r="AA1459" t="n">
        <v>1310</v>
      </c>
      <c r="AB1459" t="n">
        <v>10</v>
      </c>
      <c r="AC1459" t="n">
        <v>11</v>
      </c>
      <c r="AD1459" t="n">
        <v>41</v>
      </c>
      <c r="AE1459" t="n">
        <v>47</v>
      </c>
      <c r="AF1459" t="n">
        <v>17</v>
      </c>
      <c r="AG1459" t="n">
        <v>21</v>
      </c>
      <c r="AH1459" t="n">
        <v>10</v>
      </c>
      <c r="AI1459" t="n">
        <v>11</v>
      </c>
      <c r="AJ1459" t="n">
        <v>20</v>
      </c>
      <c r="AK1459" t="n">
        <v>21</v>
      </c>
      <c r="AL1459" t="n">
        <v>4</v>
      </c>
      <c r="AM1459" t="n">
        <v>4</v>
      </c>
      <c r="AN1459" t="n">
        <v>1</v>
      </c>
      <c r="AO1459" t="n">
        <v>2</v>
      </c>
      <c r="AP1459" t="inlineStr">
        <is>
          <t>No</t>
        </is>
      </c>
      <c r="AQ1459" t="inlineStr">
        <is>
          <t>Yes</t>
        </is>
      </c>
      <c r="AR1459">
        <f>HYPERLINK("http://catalog.hathitrust.org/Record/003943689","HathiTrust Record")</f>
        <v/>
      </c>
      <c r="AS1459">
        <f>HYPERLINK("https://creighton-primo.hosted.exlibrisgroup.com/primo-explore/search?tab=default_tab&amp;search_scope=EVERYTHING&amp;vid=01CRU&amp;lang=en_US&amp;offset=0&amp;query=any,contains,991002770089702656","Catalog Record")</f>
        <v/>
      </c>
      <c r="AT1459">
        <f>HYPERLINK("http://www.worldcat.org/oclc/36364120","WorldCat Record")</f>
        <v/>
      </c>
      <c r="AU1459" t="inlineStr">
        <is>
          <t>569236:eng</t>
        </is>
      </c>
      <c r="AV1459" t="inlineStr">
        <is>
          <t>36364120</t>
        </is>
      </c>
      <c r="AW1459" t="inlineStr">
        <is>
          <t>991002770089702656</t>
        </is>
      </c>
      <c r="AX1459" t="inlineStr">
        <is>
          <t>991002770089702656</t>
        </is>
      </c>
      <c r="AY1459" t="inlineStr">
        <is>
          <t>2265059480002656</t>
        </is>
      </c>
      <c r="AZ1459" t="inlineStr">
        <is>
          <t>BOOK</t>
        </is>
      </c>
      <c r="BB1459" t="inlineStr">
        <is>
          <t>9780674160552</t>
        </is>
      </c>
      <c r="BC1459" t="inlineStr">
        <is>
          <t>32285003301727</t>
        </is>
      </c>
      <c r="BD1459" t="inlineStr">
        <is>
          <t>893511174</t>
        </is>
      </c>
    </row>
    <row r="1460">
      <c r="A1460" t="inlineStr">
        <is>
          <t>No</t>
        </is>
      </c>
      <c r="B1460" t="inlineStr">
        <is>
          <t>E487 .P778</t>
        </is>
      </c>
      <c r="C1460" t="inlineStr">
        <is>
          <t>0                      E  0487000P  778</t>
        </is>
      </c>
      <c r="D1460" t="inlineStr">
        <is>
          <t>Southern history of the war. The third year of the war. By Edward A. Pollard.</t>
        </is>
      </c>
      <c r="F1460" t="inlineStr">
        <is>
          <t>No</t>
        </is>
      </c>
      <c r="G1460" t="inlineStr">
        <is>
          <t>1</t>
        </is>
      </c>
      <c r="H1460" t="inlineStr">
        <is>
          <t>No</t>
        </is>
      </c>
      <c r="I1460" t="inlineStr">
        <is>
          <t>No</t>
        </is>
      </c>
      <c r="J1460" t="inlineStr">
        <is>
          <t>0</t>
        </is>
      </c>
      <c r="K1460" t="inlineStr">
        <is>
          <t>Pollard, Edward Alfred, 1831-1872.</t>
        </is>
      </c>
      <c r="L1460" t="inlineStr">
        <is>
          <t>New York, C. B. Richardson, 1865.</t>
        </is>
      </c>
      <c r="M1460" t="inlineStr">
        <is>
          <t>1865</t>
        </is>
      </c>
      <c r="O1460" t="inlineStr">
        <is>
          <t>eng</t>
        </is>
      </c>
      <c r="P1460" t="inlineStr">
        <is>
          <t>nyu</t>
        </is>
      </c>
      <c r="R1460" t="inlineStr">
        <is>
          <t xml:space="preserve">E  </t>
        </is>
      </c>
      <c r="S1460" t="n">
        <v>5</v>
      </c>
      <c r="T1460" t="n">
        <v>5</v>
      </c>
      <c r="U1460" t="inlineStr">
        <is>
          <t>2005-11-28</t>
        </is>
      </c>
      <c r="V1460" t="inlineStr">
        <is>
          <t>2005-11-28</t>
        </is>
      </c>
      <c r="W1460" t="inlineStr">
        <is>
          <t>1997-04-18</t>
        </is>
      </c>
      <c r="X1460" t="inlineStr">
        <is>
          <t>1997-04-18</t>
        </is>
      </c>
      <c r="Y1460" t="n">
        <v>151</v>
      </c>
      <c r="Z1460" t="n">
        <v>149</v>
      </c>
      <c r="AA1460" t="n">
        <v>169</v>
      </c>
      <c r="AB1460" t="n">
        <v>1</v>
      </c>
      <c r="AC1460" t="n">
        <v>2</v>
      </c>
      <c r="AD1460" t="n">
        <v>10</v>
      </c>
      <c r="AE1460" t="n">
        <v>12</v>
      </c>
      <c r="AF1460" t="n">
        <v>5</v>
      </c>
      <c r="AG1460" t="n">
        <v>5</v>
      </c>
      <c r="AH1460" t="n">
        <v>4</v>
      </c>
      <c r="AI1460" t="n">
        <v>5</v>
      </c>
      <c r="AJ1460" t="n">
        <v>6</v>
      </c>
      <c r="AK1460" t="n">
        <v>6</v>
      </c>
      <c r="AL1460" t="n">
        <v>0</v>
      </c>
      <c r="AM1460" t="n">
        <v>1</v>
      </c>
      <c r="AN1460" t="n">
        <v>0</v>
      </c>
      <c r="AO1460" t="n">
        <v>0</v>
      </c>
      <c r="AP1460" t="inlineStr">
        <is>
          <t>Yes</t>
        </is>
      </c>
      <c r="AQ1460" t="inlineStr">
        <is>
          <t>No</t>
        </is>
      </c>
      <c r="AR1460">
        <f>HYPERLINK("http://catalog.hathitrust.org/Record/000450970","HathiTrust Record")</f>
        <v/>
      </c>
      <c r="AS1460">
        <f>HYPERLINK("https://creighton-primo.hosted.exlibrisgroup.com/primo-explore/search?tab=default_tab&amp;search_scope=EVERYTHING&amp;vid=01CRU&amp;lang=en_US&amp;offset=0&amp;query=any,contains,991004038599702656","Catalog Record")</f>
        <v/>
      </c>
      <c r="AT1460">
        <f>HYPERLINK("http://www.worldcat.org/oclc/2181590","WorldCat Record")</f>
        <v/>
      </c>
      <c r="AU1460" t="inlineStr">
        <is>
          <t>4242406587:eng</t>
        </is>
      </c>
      <c r="AV1460" t="inlineStr">
        <is>
          <t>2181590</t>
        </is>
      </c>
      <c r="AW1460" t="inlineStr">
        <is>
          <t>991004038599702656</t>
        </is>
      </c>
      <c r="AX1460" t="inlineStr">
        <is>
          <t>991004038599702656</t>
        </is>
      </c>
      <c r="AY1460" t="inlineStr">
        <is>
          <t>2263106050002656</t>
        </is>
      </c>
      <c r="AZ1460" t="inlineStr">
        <is>
          <t>BOOK</t>
        </is>
      </c>
      <c r="BC1460" t="inlineStr">
        <is>
          <t>32285002556297</t>
        </is>
      </c>
      <c r="BD1460" t="inlineStr">
        <is>
          <t>893519172</t>
        </is>
      </c>
    </row>
    <row r="1461">
      <c r="A1461" t="inlineStr">
        <is>
          <t>No</t>
        </is>
      </c>
      <c r="B1461" t="inlineStr">
        <is>
          <t>E487 .T483 1979</t>
        </is>
      </c>
      <c r="C1461" t="inlineStr">
        <is>
          <t>0                      E  0487000T  483         1979</t>
        </is>
      </c>
      <c r="D1461" t="inlineStr">
        <is>
          <t>The Confederate nation, 1861-1865 / by Emory M. Thomas.</t>
        </is>
      </c>
      <c r="F1461" t="inlineStr">
        <is>
          <t>No</t>
        </is>
      </c>
      <c r="G1461" t="inlineStr">
        <is>
          <t>1</t>
        </is>
      </c>
      <c r="H1461" t="inlineStr">
        <is>
          <t>No</t>
        </is>
      </c>
      <c r="I1461" t="inlineStr">
        <is>
          <t>No</t>
        </is>
      </c>
      <c r="J1461" t="inlineStr">
        <is>
          <t>0</t>
        </is>
      </c>
      <c r="K1461" t="inlineStr">
        <is>
          <t>Thomas, Emory M., 1939-</t>
        </is>
      </c>
      <c r="L1461" t="inlineStr">
        <is>
          <t>New York : Harper &amp; Row, c1979.</t>
        </is>
      </c>
      <c r="M1461" t="inlineStr">
        <is>
          <t>1979</t>
        </is>
      </c>
      <c r="N1461" t="inlineStr">
        <is>
          <t>1st ed.</t>
        </is>
      </c>
      <c r="O1461" t="inlineStr">
        <is>
          <t>eng</t>
        </is>
      </c>
      <c r="P1461" t="inlineStr">
        <is>
          <t>nyu</t>
        </is>
      </c>
      <c r="Q1461" t="inlineStr">
        <is>
          <t>The New American National series</t>
        </is>
      </c>
      <c r="R1461" t="inlineStr">
        <is>
          <t xml:space="preserve">E  </t>
        </is>
      </c>
      <c r="S1461" t="n">
        <v>1</v>
      </c>
      <c r="T1461" t="n">
        <v>1</v>
      </c>
      <c r="U1461" t="inlineStr">
        <is>
          <t>1993-03-08</t>
        </is>
      </c>
      <c r="V1461" t="inlineStr">
        <is>
          <t>1993-03-08</t>
        </is>
      </c>
      <c r="W1461" t="inlineStr">
        <is>
          <t>1990-05-02</t>
        </is>
      </c>
      <c r="X1461" t="inlineStr">
        <is>
          <t>1990-05-02</t>
        </is>
      </c>
      <c r="Y1461" t="n">
        <v>1981</v>
      </c>
      <c r="Z1461" t="n">
        <v>1831</v>
      </c>
      <c r="AA1461" t="n">
        <v>1911</v>
      </c>
      <c r="AB1461" t="n">
        <v>15</v>
      </c>
      <c r="AC1461" t="n">
        <v>15</v>
      </c>
      <c r="AD1461" t="n">
        <v>53</v>
      </c>
      <c r="AE1461" t="n">
        <v>53</v>
      </c>
      <c r="AF1461" t="n">
        <v>23</v>
      </c>
      <c r="AG1461" t="n">
        <v>23</v>
      </c>
      <c r="AH1461" t="n">
        <v>11</v>
      </c>
      <c r="AI1461" t="n">
        <v>11</v>
      </c>
      <c r="AJ1461" t="n">
        <v>22</v>
      </c>
      <c r="AK1461" t="n">
        <v>22</v>
      </c>
      <c r="AL1461" t="n">
        <v>9</v>
      </c>
      <c r="AM1461" t="n">
        <v>9</v>
      </c>
      <c r="AN1461" t="n">
        <v>1</v>
      </c>
      <c r="AO1461" t="n">
        <v>1</v>
      </c>
      <c r="AP1461" t="inlineStr">
        <is>
          <t>No</t>
        </is>
      </c>
      <c r="AQ1461" t="inlineStr">
        <is>
          <t>Yes</t>
        </is>
      </c>
      <c r="AR1461">
        <f>HYPERLINK("http://catalog.hathitrust.org/Record/000020667","HathiTrust Record")</f>
        <v/>
      </c>
      <c r="AS1461">
        <f>HYPERLINK("https://creighton-primo.hosted.exlibrisgroup.com/primo-explore/search?tab=default_tab&amp;search_scope=EVERYTHING&amp;vid=01CRU&amp;lang=en_US&amp;offset=0&amp;query=any,contains,991004664799702656","Catalog Record")</f>
        <v/>
      </c>
      <c r="AT1461">
        <f>HYPERLINK("http://www.worldcat.org/oclc/4500273","WorldCat Record")</f>
        <v/>
      </c>
      <c r="AU1461" t="inlineStr">
        <is>
          <t>14777413:eng</t>
        </is>
      </c>
      <c r="AV1461" t="inlineStr">
        <is>
          <t>4500273</t>
        </is>
      </c>
      <c r="AW1461" t="inlineStr">
        <is>
          <t>991004664799702656</t>
        </is>
      </c>
      <c r="AX1461" t="inlineStr">
        <is>
          <t>991004664799702656</t>
        </is>
      </c>
      <c r="AY1461" t="inlineStr">
        <is>
          <t>2266696500002656</t>
        </is>
      </c>
      <c r="AZ1461" t="inlineStr">
        <is>
          <t>BOOK</t>
        </is>
      </c>
      <c r="BB1461" t="inlineStr">
        <is>
          <t>9780060142520</t>
        </is>
      </c>
      <c r="BC1461" t="inlineStr">
        <is>
          <t>32285000146596</t>
        </is>
      </c>
      <c r="BD1461" t="inlineStr">
        <is>
          <t>893319499</t>
        </is>
      </c>
    </row>
    <row r="1462">
      <c r="A1462" t="inlineStr">
        <is>
          <t>No</t>
        </is>
      </c>
      <c r="B1462" t="inlineStr">
        <is>
          <t>E491 .B7 1973</t>
        </is>
      </c>
      <c r="C1462" t="inlineStr">
        <is>
          <t>0                      E  0491000B  7           1973</t>
        </is>
      </c>
      <c r="D1462" t="inlineStr">
        <is>
          <t>Lincoln and the tools of war / by Robert V. Bruce. Foreword by Benjamin P. Thomas.</t>
        </is>
      </c>
      <c r="F1462" t="inlineStr">
        <is>
          <t>No</t>
        </is>
      </c>
      <c r="G1462" t="inlineStr">
        <is>
          <t>1</t>
        </is>
      </c>
      <c r="H1462" t="inlineStr">
        <is>
          <t>No</t>
        </is>
      </c>
      <c r="I1462" t="inlineStr">
        <is>
          <t>No</t>
        </is>
      </c>
      <c r="J1462" t="inlineStr">
        <is>
          <t>0</t>
        </is>
      </c>
      <c r="K1462" t="inlineStr">
        <is>
          <t>Bruce, Robert V.</t>
        </is>
      </c>
      <c r="L1462" t="inlineStr">
        <is>
          <t>Westport, Conn. : Greenwood Press, [1973, c1956]</t>
        </is>
      </c>
      <c r="M1462" t="inlineStr">
        <is>
          <t>1973</t>
        </is>
      </c>
      <c r="O1462" t="inlineStr">
        <is>
          <t>eng</t>
        </is>
      </c>
      <c r="P1462" t="inlineStr">
        <is>
          <t>ctu</t>
        </is>
      </c>
      <c r="R1462" t="inlineStr">
        <is>
          <t xml:space="preserve">E  </t>
        </is>
      </c>
      <c r="S1462" t="n">
        <v>5</v>
      </c>
      <c r="T1462" t="n">
        <v>5</v>
      </c>
      <c r="U1462" t="inlineStr">
        <is>
          <t>1994-01-27</t>
        </is>
      </c>
      <c r="V1462" t="inlineStr">
        <is>
          <t>1994-01-27</t>
        </is>
      </c>
      <c r="W1462" t="inlineStr">
        <is>
          <t>1992-12-23</t>
        </is>
      </c>
      <c r="X1462" t="inlineStr">
        <is>
          <t>1992-12-23</t>
        </is>
      </c>
      <c r="Y1462" t="n">
        <v>111</v>
      </c>
      <c r="Z1462" t="n">
        <v>101</v>
      </c>
      <c r="AA1462" t="n">
        <v>1201</v>
      </c>
      <c r="AB1462" t="n">
        <v>2</v>
      </c>
      <c r="AC1462" t="n">
        <v>8</v>
      </c>
      <c r="AD1462" t="n">
        <v>5</v>
      </c>
      <c r="AE1462" t="n">
        <v>50</v>
      </c>
      <c r="AF1462" t="n">
        <v>2</v>
      </c>
      <c r="AG1462" t="n">
        <v>24</v>
      </c>
      <c r="AH1462" t="n">
        <v>2</v>
      </c>
      <c r="AI1462" t="n">
        <v>10</v>
      </c>
      <c r="AJ1462" t="n">
        <v>1</v>
      </c>
      <c r="AK1462" t="n">
        <v>19</v>
      </c>
      <c r="AL1462" t="n">
        <v>1</v>
      </c>
      <c r="AM1462" t="n">
        <v>7</v>
      </c>
      <c r="AN1462" t="n">
        <v>0</v>
      </c>
      <c r="AO1462" t="n">
        <v>2</v>
      </c>
      <c r="AP1462" t="inlineStr">
        <is>
          <t>No</t>
        </is>
      </c>
      <c r="AQ1462" t="inlineStr">
        <is>
          <t>No</t>
        </is>
      </c>
      <c r="AS1462">
        <f>HYPERLINK("https://creighton-primo.hosted.exlibrisgroup.com/primo-explore/search?tab=default_tab&amp;search_scope=EVERYTHING&amp;vid=01CRU&amp;lang=en_US&amp;offset=0&amp;query=any,contains,991003188379702656","Catalog Record")</f>
        <v/>
      </c>
      <c r="AT1462">
        <f>HYPERLINK("http://www.worldcat.org/oclc/714190","WorldCat Record")</f>
        <v/>
      </c>
      <c r="AU1462" t="inlineStr">
        <is>
          <t>1578656:eng</t>
        </is>
      </c>
      <c r="AV1462" t="inlineStr">
        <is>
          <t>714190</t>
        </is>
      </c>
      <c r="AW1462" t="inlineStr">
        <is>
          <t>991003188379702656</t>
        </is>
      </c>
      <c r="AX1462" t="inlineStr">
        <is>
          <t>991003188379702656</t>
        </is>
      </c>
      <c r="AY1462" t="inlineStr">
        <is>
          <t>2255960350002656</t>
        </is>
      </c>
      <c r="AZ1462" t="inlineStr">
        <is>
          <t>BOOK</t>
        </is>
      </c>
      <c r="BB1462" t="inlineStr">
        <is>
          <t>9780837171678</t>
        </is>
      </c>
      <c r="BC1462" t="inlineStr">
        <is>
          <t>32285001470888</t>
        </is>
      </c>
      <c r="BD1462" t="inlineStr">
        <is>
          <t>893717393</t>
        </is>
      </c>
    </row>
    <row r="1463">
      <c r="A1463" t="inlineStr">
        <is>
          <t>No</t>
        </is>
      </c>
      <c r="B1463" t="inlineStr">
        <is>
          <t>E492.5 .S7</t>
        </is>
      </c>
      <c r="C1463" t="inlineStr">
        <is>
          <t>0                      E  0492500S  7</t>
        </is>
      </c>
      <c r="D1463" t="inlineStr">
        <is>
          <t>The Union cavalry in the Civil War / Stephen Z. Starr.</t>
        </is>
      </c>
      <c r="E1463" t="inlineStr">
        <is>
          <t>V.1</t>
        </is>
      </c>
      <c r="F1463" t="inlineStr">
        <is>
          <t>Yes</t>
        </is>
      </c>
      <c r="G1463" t="inlineStr">
        <is>
          <t>1</t>
        </is>
      </c>
      <c r="H1463" t="inlineStr">
        <is>
          <t>No</t>
        </is>
      </c>
      <c r="I1463" t="inlineStr">
        <is>
          <t>No</t>
        </is>
      </c>
      <c r="J1463" t="inlineStr">
        <is>
          <t>0</t>
        </is>
      </c>
      <c r="K1463" t="inlineStr">
        <is>
          <t>Starr, Stephen Z.</t>
        </is>
      </c>
      <c r="L1463" t="inlineStr">
        <is>
          <t>Baton Rouge : Louisiana State University Press, c1979-</t>
        </is>
      </c>
      <c r="M1463" t="inlineStr">
        <is>
          <t>1979</t>
        </is>
      </c>
      <c r="O1463" t="inlineStr">
        <is>
          <t>eng</t>
        </is>
      </c>
      <c r="P1463" t="inlineStr">
        <is>
          <t>lau</t>
        </is>
      </c>
      <c r="R1463" t="inlineStr">
        <is>
          <t xml:space="preserve">E  </t>
        </is>
      </c>
      <c r="S1463" t="n">
        <v>2</v>
      </c>
      <c r="T1463" t="n">
        <v>4</v>
      </c>
      <c r="U1463" t="inlineStr">
        <is>
          <t>1995-01-31</t>
        </is>
      </c>
      <c r="V1463" t="inlineStr">
        <is>
          <t>1995-01-31</t>
        </is>
      </c>
      <c r="W1463" t="inlineStr">
        <is>
          <t>1991-05-06</t>
        </is>
      </c>
      <c r="X1463" t="inlineStr">
        <is>
          <t>1991-05-06</t>
        </is>
      </c>
      <c r="Y1463" t="n">
        <v>995</v>
      </c>
      <c r="Z1463" t="n">
        <v>942</v>
      </c>
      <c r="AA1463" t="n">
        <v>946</v>
      </c>
      <c r="AB1463" t="n">
        <v>7</v>
      </c>
      <c r="AC1463" t="n">
        <v>7</v>
      </c>
      <c r="AD1463" t="n">
        <v>42</v>
      </c>
      <c r="AE1463" t="n">
        <v>42</v>
      </c>
      <c r="AF1463" t="n">
        <v>21</v>
      </c>
      <c r="AG1463" t="n">
        <v>21</v>
      </c>
      <c r="AH1463" t="n">
        <v>9</v>
      </c>
      <c r="AI1463" t="n">
        <v>9</v>
      </c>
      <c r="AJ1463" t="n">
        <v>18</v>
      </c>
      <c r="AK1463" t="n">
        <v>18</v>
      </c>
      <c r="AL1463" t="n">
        <v>5</v>
      </c>
      <c r="AM1463" t="n">
        <v>5</v>
      </c>
      <c r="AN1463" t="n">
        <v>0</v>
      </c>
      <c r="AO1463" t="n">
        <v>0</v>
      </c>
      <c r="AP1463" t="inlineStr">
        <is>
          <t>No</t>
        </is>
      </c>
      <c r="AQ1463" t="inlineStr">
        <is>
          <t>No</t>
        </is>
      </c>
      <c r="AS1463">
        <f>HYPERLINK("https://creighton-primo.hosted.exlibrisgroup.com/primo-explore/search?tab=default_tab&amp;search_scope=EVERYTHING&amp;vid=01CRU&amp;lang=en_US&amp;offset=0&amp;query=any,contains,991004647289702656","Catalog Record")</f>
        <v/>
      </c>
      <c r="AT1463">
        <f>HYPERLINK("http://www.worldcat.org/oclc/4492585","WorldCat Record")</f>
        <v/>
      </c>
      <c r="AU1463" t="inlineStr">
        <is>
          <t>3373690921:eng</t>
        </is>
      </c>
      <c r="AV1463" t="inlineStr">
        <is>
          <t>4492585</t>
        </is>
      </c>
      <c r="AW1463" t="inlineStr">
        <is>
          <t>991004647289702656</t>
        </is>
      </c>
      <c r="AX1463" t="inlineStr">
        <is>
          <t>991004647289702656</t>
        </is>
      </c>
      <c r="AY1463" t="inlineStr">
        <is>
          <t>2263607630002656</t>
        </is>
      </c>
      <c r="AZ1463" t="inlineStr">
        <is>
          <t>BOOK</t>
        </is>
      </c>
      <c r="BB1463" t="inlineStr">
        <is>
          <t>9780807104842</t>
        </is>
      </c>
      <c r="BC1463" t="inlineStr">
        <is>
          <t>32285000610245</t>
        </is>
      </c>
      <c r="BD1463" t="inlineStr">
        <is>
          <t>893719171</t>
        </is>
      </c>
    </row>
    <row r="1464">
      <c r="A1464" t="inlineStr">
        <is>
          <t>No</t>
        </is>
      </c>
      <c r="B1464" t="inlineStr">
        <is>
          <t>E492.5 .S7</t>
        </is>
      </c>
      <c r="C1464" t="inlineStr">
        <is>
          <t>0                      E  0492500S  7</t>
        </is>
      </c>
      <c r="D1464" t="inlineStr">
        <is>
          <t>The Union cavalry in the Civil War / Stephen Z. Starr.</t>
        </is>
      </c>
      <c r="E1464" t="inlineStr">
        <is>
          <t>V.3</t>
        </is>
      </c>
      <c r="F1464" t="inlineStr">
        <is>
          <t>Yes</t>
        </is>
      </c>
      <c r="G1464" t="inlineStr">
        <is>
          <t>1</t>
        </is>
      </c>
      <c r="H1464" t="inlineStr">
        <is>
          <t>No</t>
        </is>
      </c>
      <c r="I1464" t="inlineStr">
        <is>
          <t>No</t>
        </is>
      </c>
      <c r="J1464" t="inlineStr">
        <is>
          <t>0</t>
        </is>
      </c>
      <c r="K1464" t="inlineStr">
        <is>
          <t>Starr, Stephen Z.</t>
        </is>
      </c>
      <c r="L1464" t="inlineStr">
        <is>
          <t>Baton Rouge : Louisiana State University Press, c1979-</t>
        </is>
      </c>
      <c r="M1464" t="inlineStr">
        <is>
          <t>1979</t>
        </is>
      </c>
      <c r="O1464" t="inlineStr">
        <is>
          <t>eng</t>
        </is>
      </c>
      <c r="P1464" t="inlineStr">
        <is>
          <t>lau</t>
        </is>
      </c>
      <c r="R1464" t="inlineStr">
        <is>
          <t xml:space="preserve">E  </t>
        </is>
      </c>
      <c r="S1464" t="n">
        <v>2</v>
      </c>
      <c r="T1464" t="n">
        <v>4</v>
      </c>
      <c r="U1464" t="inlineStr">
        <is>
          <t>1995-01-31</t>
        </is>
      </c>
      <c r="V1464" t="inlineStr">
        <is>
          <t>1995-01-31</t>
        </is>
      </c>
      <c r="W1464" t="inlineStr">
        <is>
          <t>1991-05-06</t>
        </is>
      </c>
      <c r="X1464" t="inlineStr">
        <is>
          <t>1991-05-06</t>
        </is>
      </c>
      <c r="Y1464" t="n">
        <v>995</v>
      </c>
      <c r="Z1464" t="n">
        <v>942</v>
      </c>
      <c r="AA1464" t="n">
        <v>946</v>
      </c>
      <c r="AB1464" t="n">
        <v>7</v>
      </c>
      <c r="AC1464" t="n">
        <v>7</v>
      </c>
      <c r="AD1464" t="n">
        <v>42</v>
      </c>
      <c r="AE1464" t="n">
        <v>42</v>
      </c>
      <c r="AF1464" t="n">
        <v>21</v>
      </c>
      <c r="AG1464" t="n">
        <v>21</v>
      </c>
      <c r="AH1464" t="n">
        <v>9</v>
      </c>
      <c r="AI1464" t="n">
        <v>9</v>
      </c>
      <c r="AJ1464" t="n">
        <v>18</v>
      </c>
      <c r="AK1464" t="n">
        <v>18</v>
      </c>
      <c r="AL1464" t="n">
        <v>5</v>
      </c>
      <c r="AM1464" t="n">
        <v>5</v>
      </c>
      <c r="AN1464" t="n">
        <v>0</v>
      </c>
      <c r="AO1464" t="n">
        <v>0</v>
      </c>
      <c r="AP1464" t="inlineStr">
        <is>
          <t>No</t>
        </is>
      </c>
      <c r="AQ1464" t="inlineStr">
        <is>
          <t>No</t>
        </is>
      </c>
      <c r="AS1464">
        <f>HYPERLINK("https://creighton-primo.hosted.exlibrisgroup.com/primo-explore/search?tab=default_tab&amp;search_scope=EVERYTHING&amp;vid=01CRU&amp;lang=en_US&amp;offset=0&amp;query=any,contains,991004647289702656","Catalog Record")</f>
        <v/>
      </c>
      <c r="AT1464">
        <f>HYPERLINK("http://www.worldcat.org/oclc/4492585","WorldCat Record")</f>
        <v/>
      </c>
      <c r="AU1464" t="inlineStr">
        <is>
          <t>3373690921:eng</t>
        </is>
      </c>
      <c r="AV1464" t="inlineStr">
        <is>
          <t>4492585</t>
        </is>
      </c>
      <c r="AW1464" t="inlineStr">
        <is>
          <t>991004647289702656</t>
        </is>
      </c>
      <c r="AX1464" t="inlineStr">
        <is>
          <t>991004647289702656</t>
        </is>
      </c>
      <c r="AY1464" t="inlineStr">
        <is>
          <t>2263607630002656</t>
        </is>
      </c>
      <c r="AZ1464" t="inlineStr">
        <is>
          <t>BOOK</t>
        </is>
      </c>
      <c r="BB1464" t="inlineStr">
        <is>
          <t>9780807104842</t>
        </is>
      </c>
      <c r="BC1464" t="inlineStr">
        <is>
          <t>32285000610252</t>
        </is>
      </c>
      <c r="BD1464" t="inlineStr">
        <is>
          <t>893722534</t>
        </is>
      </c>
    </row>
    <row r="1465">
      <c r="A1465" t="inlineStr">
        <is>
          <t>No</t>
        </is>
      </c>
      <c r="B1465" t="inlineStr">
        <is>
          <t>E492.7 .E93 2002</t>
        </is>
      </c>
      <c r="C1465" t="inlineStr">
        <is>
          <t>0                      E  0492700E  93          2002</t>
        </is>
      </c>
      <c r="D1465" t="inlineStr">
        <is>
          <t>The war of the aeronauts : a history of ballooning during the Civil War / Charles M. Evans.</t>
        </is>
      </c>
      <c r="F1465" t="inlineStr">
        <is>
          <t>No</t>
        </is>
      </c>
      <c r="G1465" t="inlineStr">
        <is>
          <t>1</t>
        </is>
      </c>
      <c r="H1465" t="inlineStr">
        <is>
          <t>No</t>
        </is>
      </c>
      <c r="I1465" t="inlineStr">
        <is>
          <t>No</t>
        </is>
      </c>
      <c r="J1465" t="inlineStr">
        <is>
          <t>0</t>
        </is>
      </c>
      <c r="K1465" t="inlineStr">
        <is>
          <t>Evans, Charles M., 1963-</t>
        </is>
      </c>
      <c r="L1465" t="inlineStr">
        <is>
          <t>Mechanicsburg, PA : Stackpole Books, c2002.</t>
        </is>
      </c>
      <c r="M1465" t="inlineStr">
        <is>
          <t>2002</t>
        </is>
      </c>
      <c r="N1465" t="inlineStr">
        <is>
          <t>1st ed.</t>
        </is>
      </c>
      <c r="O1465" t="inlineStr">
        <is>
          <t>eng</t>
        </is>
      </c>
      <c r="P1465" t="inlineStr">
        <is>
          <t>pau</t>
        </is>
      </c>
      <c r="R1465" t="inlineStr">
        <is>
          <t xml:space="preserve">E  </t>
        </is>
      </c>
      <c r="S1465" t="n">
        <v>2</v>
      </c>
      <c r="T1465" t="n">
        <v>2</v>
      </c>
      <c r="U1465" t="inlineStr">
        <is>
          <t>2003-11-04</t>
        </is>
      </c>
      <c r="V1465" t="inlineStr">
        <is>
          <t>2003-11-04</t>
        </is>
      </c>
      <c r="W1465" t="inlineStr">
        <is>
          <t>2003-09-26</t>
        </is>
      </c>
      <c r="X1465" t="inlineStr">
        <is>
          <t>2003-09-26</t>
        </is>
      </c>
      <c r="Y1465" t="n">
        <v>388</v>
      </c>
      <c r="Z1465" t="n">
        <v>373</v>
      </c>
      <c r="AA1465" t="n">
        <v>377</v>
      </c>
      <c r="AB1465" t="n">
        <v>4</v>
      </c>
      <c r="AC1465" t="n">
        <v>4</v>
      </c>
      <c r="AD1465" t="n">
        <v>14</v>
      </c>
      <c r="AE1465" t="n">
        <v>14</v>
      </c>
      <c r="AF1465" t="n">
        <v>6</v>
      </c>
      <c r="AG1465" t="n">
        <v>6</v>
      </c>
      <c r="AH1465" t="n">
        <v>3</v>
      </c>
      <c r="AI1465" t="n">
        <v>3</v>
      </c>
      <c r="AJ1465" t="n">
        <v>5</v>
      </c>
      <c r="AK1465" t="n">
        <v>5</v>
      </c>
      <c r="AL1465" t="n">
        <v>2</v>
      </c>
      <c r="AM1465" t="n">
        <v>2</v>
      </c>
      <c r="AN1465" t="n">
        <v>0</v>
      </c>
      <c r="AO1465" t="n">
        <v>0</v>
      </c>
      <c r="AP1465" t="inlineStr">
        <is>
          <t>No</t>
        </is>
      </c>
      <c r="AQ1465" t="inlineStr">
        <is>
          <t>Yes</t>
        </is>
      </c>
      <c r="AR1465">
        <f>HYPERLINK("http://catalog.hathitrust.org/Record/004759424","HathiTrust Record")</f>
        <v/>
      </c>
      <c r="AS1465">
        <f>HYPERLINK("https://creighton-primo.hosted.exlibrisgroup.com/primo-explore/search?tab=default_tab&amp;search_scope=EVERYTHING&amp;vid=01CRU&amp;lang=en_US&amp;offset=0&amp;query=any,contains,991004139129702656","Catalog Record")</f>
        <v/>
      </c>
      <c r="AT1465">
        <f>HYPERLINK("http://www.worldcat.org/oclc/48920398","WorldCat Record")</f>
        <v/>
      </c>
      <c r="AU1465" t="inlineStr">
        <is>
          <t>308420074:eng</t>
        </is>
      </c>
      <c r="AV1465" t="inlineStr">
        <is>
          <t>48920398</t>
        </is>
      </c>
      <c r="AW1465" t="inlineStr">
        <is>
          <t>991004139129702656</t>
        </is>
      </c>
      <c r="AX1465" t="inlineStr">
        <is>
          <t>991004139129702656</t>
        </is>
      </c>
      <c r="AY1465" t="inlineStr">
        <is>
          <t>2264626670002656</t>
        </is>
      </c>
      <c r="AZ1465" t="inlineStr">
        <is>
          <t>BOOK</t>
        </is>
      </c>
      <c r="BB1465" t="inlineStr">
        <is>
          <t>9780811713955</t>
        </is>
      </c>
      <c r="BC1465" t="inlineStr">
        <is>
          <t>32285004790472</t>
        </is>
      </c>
      <c r="BD1465" t="inlineStr">
        <is>
          <t>893900860</t>
        </is>
      </c>
    </row>
    <row r="1466">
      <c r="A1466" t="inlineStr">
        <is>
          <t>No</t>
        </is>
      </c>
      <c r="B1466" t="inlineStr">
        <is>
          <t>E508 .C3 1958</t>
        </is>
      </c>
      <c r="C1466" t="inlineStr">
        <is>
          <t>0                      E  0508000C  3           1958</t>
        </is>
      </c>
      <c r="D1466" t="inlineStr">
        <is>
          <t>A frontier state at war: Kansas, 1861-1865.</t>
        </is>
      </c>
      <c r="F1466" t="inlineStr">
        <is>
          <t>No</t>
        </is>
      </c>
      <c r="G1466" t="inlineStr">
        <is>
          <t>1</t>
        </is>
      </c>
      <c r="H1466" t="inlineStr">
        <is>
          <t>No</t>
        </is>
      </c>
      <c r="I1466" t="inlineStr">
        <is>
          <t>No</t>
        </is>
      </c>
      <c r="J1466" t="inlineStr">
        <is>
          <t>0</t>
        </is>
      </c>
      <c r="K1466" t="inlineStr">
        <is>
          <t>Castel, Albert, 1928-2014.</t>
        </is>
      </c>
      <c r="L1466" t="inlineStr">
        <is>
          <t>Ithaca, N.Y., Published for the American Historical Association [by] Cornell University Press [1958]</t>
        </is>
      </c>
      <c r="M1466" t="inlineStr">
        <is>
          <t>1958</t>
        </is>
      </c>
      <c r="O1466" t="inlineStr">
        <is>
          <t>eng</t>
        </is>
      </c>
      <c r="P1466" t="inlineStr">
        <is>
          <t>nyu</t>
        </is>
      </c>
      <c r="R1466" t="inlineStr">
        <is>
          <t xml:space="preserve">E  </t>
        </is>
      </c>
      <c r="S1466" t="n">
        <v>0</v>
      </c>
      <c r="T1466" t="n">
        <v>0</v>
      </c>
      <c r="U1466" t="inlineStr">
        <is>
          <t>2004-09-07</t>
        </is>
      </c>
      <c r="V1466" t="inlineStr">
        <is>
          <t>2004-09-07</t>
        </is>
      </c>
      <c r="W1466" t="inlineStr">
        <is>
          <t>1997-04-18</t>
        </is>
      </c>
      <c r="X1466" t="inlineStr">
        <is>
          <t>1997-04-18</t>
        </is>
      </c>
      <c r="Y1466" t="n">
        <v>574</v>
      </c>
      <c r="Z1466" t="n">
        <v>547</v>
      </c>
      <c r="AA1466" t="n">
        <v>774</v>
      </c>
      <c r="AB1466" t="n">
        <v>5</v>
      </c>
      <c r="AC1466" t="n">
        <v>9</v>
      </c>
      <c r="AD1466" t="n">
        <v>24</v>
      </c>
      <c r="AE1466" t="n">
        <v>37</v>
      </c>
      <c r="AF1466" t="n">
        <v>8</v>
      </c>
      <c r="AG1466" t="n">
        <v>11</v>
      </c>
      <c r="AH1466" t="n">
        <v>7</v>
      </c>
      <c r="AI1466" t="n">
        <v>8</v>
      </c>
      <c r="AJ1466" t="n">
        <v>10</v>
      </c>
      <c r="AK1466" t="n">
        <v>11</v>
      </c>
      <c r="AL1466" t="n">
        <v>4</v>
      </c>
      <c r="AM1466" t="n">
        <v>7</v>
      </c>
      <c r="AN1466" t="n">
        <v>0</v>
      </c>
      <c r="AO1466" t="n">
        <v>6</v>
      </c>
      <c r="AP1466" t="inlineStr">
        <is>
          <t>Yes</t>
        </is>
      </c>
      <c r="AQ1466" t="inlineStr">
        <is>
          <t>No</t>
        </is>
      </c>
      <c r="AR1466">
        <f>HYPERLINK("http://catalog.hathitrust.org/Record/000408697","HathiTrust Record")</f>
        <v/>
      </c>
      <c r="AS1466">
        <f>HYPERLINK("https://creighton-primo.hosted.exlibrisgroup.com/primo-explore/search?tab=default_tab&amp;search_scope=EVERYTHING&amp;vid=01CRU&amp;lang=en_US&amp;offset=0&amp;query=any,contains,991002794909702656","Catalog Record")</f>
        <v/>
      </c>
      <c r="AT1466">
        <f>HYPERLINK("http://www.worldcat.org/oclc/444880","WorldCat Record")</f>
        <v/>
      </c>
      <c r="AU1466" t="inlineStr">
        <is>
          <t>577883:eng</t>
        </is>
      </c>
      <c r="AV1466" t="inlineStr">
        <is>
          <t>444880</t>
        </is>
      </c>
      <c r="AW1466" t="inlineStr">
        <is>
          <t>991002794909702656</t>
        </is>
      </c>
      <c r="AX1466" t="inlineStr">
        <is>
          <t>991002794909702656</t>
        </is>
      </c>
      <c r="AY1466" t="inlineStr">
        <is>
          <t>2264870640002656</t>
        </is>
      </c>
      <c r="AZ1466" t="inlineStr">
        <is>
          <t>BOOK</t>
        </is>
      </c>
      <c r="BC1466" t="inlineStr">
        <is>
          <t>32285002556479</t>
        </is>
      </c>
      <c r="BD1466" t="inlineStr">
        <is>
          <t>893415660</t>
        </is>
      </c>
    </row>
    <row r="1467">
      <c r="A1467" t="inlineStr">
        <is>
          <t>No</t>
        </is>
      </c>
      <c r="B1467" t="inlineStr">
        <is>
          <t>E509 .C83</t>
        </is>
      </c>
      <c r="C1467" t="inlineStr">
        <is>
          <t>0                      E  0509000C  83</t>
        </is>
      </c>
      <c r="D1467" t="inlineStr">
        <is>
          <t>The civil war and readjustment in Kentucky / by E. Merton Coulter.</t>
        </is>
      </c>
      <c r="F1467" t="inlineStr">
        <is>
          <t>No</t>
        </is>
      </c>
      <c r="G1467" t="inlineStr">
        <is>
          <t>1</t>
        </is>
      </c>
      <c r="H1467" t="inlineStr">
        <is>
          <t>No</t>
        </is>
      </c>
      <c r="I1467" t="inlineStr">
        <is>
          <t>No</t>
        </is>
      </c>
      <c r="J1467" t="inlineStr">
        <is>
          <t>0</t>
        </is>
      </c>
      <c r="K1467" t="inlineStr">
        <is>
          <t>Coulter, E. Merton (Ellis Merton), 1890-1981.</t>
        </is>
      </c>
      <c r="L1467" t="inlineStr">
        <is>
          <t>Chapel Hill : University of North Carolina Press ; London : H. Milford : Oxford University Press, 1926.</t>
        </is>
      </c>
      <c r="M1467" t="inlineStr">
        <is>
          <t>1926</t>
        </is>
      </c>
      <c r="O1467" t="inlineStr">
        <is>
          <t>eng</t>
        </is>
      </c>
      <c r="P1467" t="inlineStr">
        <is>
          <t>ncu</t>
        </is>
      </c>
      <c r="R1467" t="inlineStr">
        <is>
          <t xml:space="preserve">E  </t>
        </is>
      </c>
      <c r="S1467" t="n">
        <v>1</v>
      </c>
      <c r="T1467" t="n">
        <v>1</v>
      </c>
      <c r="U1467" t="inlineStr">
        <is>
          <t>1997-10-08</t>
        </is>
      </c>
      <c r="V1467" t="inlineStr">
        <is>
          <t>1997-10-08</t>
        </is>
      </c>
      <c r="W1467" t="inlineStr">
        <is>
          <t>1997-04-18</t>
        </is>
      </c>
      <c r="X1467" t="inlineStr">
        <is>
          <t>1997-04-18</t>
        </is>
      </c>
      <c r="Y1467" t="n">
        <v>355</v>
      </c>
      <c r="Z1467" t="n">
        <v>340</v>
      </c>
      <c r="AA1467" t="n">
        <v>651</v>
      </c>
      <c r="AB1467" t="n">
        <v>4</v>
      </c>
      <c r="AC1467" t="n">
        <v>6</v>
      </c>
      <c r="AD1467" t="n">
        <v>20</v>
      </c>
      <c r="AE1467" t="n">
        <v>32</v>
      </c>
      <c r="AF1467" t="n">
        <v>8</v>
      </c>
      <c r="AG1467" t="n">
        <v>12</v>
      </c>
      <c r="AH1467" t="n">
        <v>4</v>
      </c>
      <c r="AI1467" t="n">
        <v>6</v>
      </c>
      <c r="AJ1467" t="n">
        <v>9</v>
      </c>
      <c r="AK1467" t="n">
        <v>17</v>
      </c>
      <c r="AL1467" t="n">
        <v>3</v>
      </c>
      <c r="AM1467" t="n">
        <v>5</v>
      </c>
      <c r="AN1467" t="n">
        <v>0</v>
      </c>
      <c r="AO1467" t="n">
        <v>0</v>
      </c>
      <c r="AP1467" t="inlineStr">
        <is>
          <t>Yes</t>
        </is>
      </c>
      <c r="AQ1467" t="inlineStr">
        <is>
          <t>No</t>
        </is>
      </c>
      <c r="AR1467">
        <f>HYPERLINK("http://catalog.hathitrust.org/Record/000451458","HathiTrust Record")</f>
        <v/>
      </c>
      <c r="AS1467">
        <f>HYPERLINK("https://creighton-primo.hosted.exlibrisgroup.com/primo-explore/search?tab=default_tab&amp;search_scope=EVERYTHING&amp;vid=01CRU&amp;lang=en_US&amp;offset=0&amp;query=any,contains,991004005749702656","Catalog Record")</f>
        <v/>
      </c>
      <c r="AT1467">
        <f>HYPERLINK("http://www.worldcat.org/oclc/2084021","WorldCat Record")</f>
        <v/>
      </c>
      <c r="AU1467" t="inlineStr">
        <is>
          <t>184034090:eng</t>
        </is>
      </c>
      <c r="AV1467" t="inlineStr">
        <is>
          <t>2084021</t>
        </is>
      </c>
      <c r="AW1467" t="inlineStr">
        <is>
          <t>991004005749702656</t>
        </is>
      </c>
      <c r="AX1467" t="inlineStr">
        <is>
          <t>991004005749702656</t>
        </is>
      </c>
      <c r="AY1467" t="inlineStr">
        <is>
          <t>2254701660002656</t>
        </is>
      </c>
      <c r="AZ1467" t="inlineStr">
        <is>
          <t>BOOK</t>
        </is>
      </c>
      <c r="BC1467" t="inlineStr">
        <is>
          <t>32285002556487</t>
        </is>
      </c>
      <c r="BD1467" t="inlineStr">
        <is>
          <t>893788170</t>
        </is>
      </c>
    </row>
    <row r="1468">
      <c r="A1468" t="inlineStr">
        <is>
          <t>No</t>
        </is>
      </c>
      <c r="B1468" t="inlineStr">
        <is>
          <t>E514 .R62</t>
        </is>
      </c>
      <c r="C1468" t="inlineStr">
        <is>
          <t>0                      E  0514000R  62</t>
        </is>
      </c>
      <c r="D1468" t="inlineStr">
        <is>
          <t>Michigan in the war. Comp. by Jno. Robertson, adjutant general.</t>
        </is>
      </c>
      <c r="F1468" t="inlineStr">
        <is>
          <t>No</t>
        </is>
      </c>
      <c r="G1468" t="inlineStr">
        <is>
          <t>1</t>
        </is>
      </c>
      <c r="H1468" t="inlineStr">
        <is>
          <t>No</t>
        </is>
      </c>
      <c r="I1468" t="inlineStr">
        <is>
          <t>No</t>
        </is>
      </c>
      <c r="J1468" t="inlineStr">
        <is>
          <t>0</t>
        </is>
      </c>
      <c r="K1468" t="inlineStr">
        <is>
          <t>Michigan. Adjutant-General's Department.</t>
        </is>
      </c>
      <c r="L1468" t="inlineStr">
        <is>
          <t>Lansing, W.S. George &amp; Co., State Printers, 1882.</t>
        </is>
      </c>
      <c r="M1468" t="inlineStr">
        <is>
          <t>1882</t>
        </is>
      </c>
      <c r="N1468" t="inlineStr">
        <is>
          <t>Rev. ed. ...</t>
        </is>
      </c>
      <c r="O1468" t="inlineStr">
        <is>
          <t>eng</t>
        </is>
      </c>
      <c r="P1468" t="inlineStr">
        <is>
          <t>miu</t>
        </is>
      </c>
      <c r="R1468" t="inlineStr">
        <is>
          <t xml:space="preserve">E  </t>
        </is>
      </c>
      <c r="S1468" t="n">
        <v>1</v>
      </c>
      <c r="T1468" t="n">
        <v>1</v>
      </c>
      <c r="U1468" t="inlineStr">
        <is>
          <t>1999-10-27</t>
        </is>
      </c>
      <c r="V1468" t="inlineStr">
        <is>
          <t>1999-10-27</t>
        </is>
      </c>
      <c r="W1468" t="inlineStr">
        <is>
          <t>1997-04-18</t>
        </is>
      </c>
      <c r="X1468" t="inlineStr">
        <is>
          <t>1997-04-18</t>
        </is>
      </c>
      <c r="Y1468" t="n">
        <v>230</v>
      </c>
      <c r="Z1468" t="n">
        <v>228</v>
      </c>
      <c r="AA1468" t="n">
        <v>334</v>
      </c>
      <c r="AB1468" t="n">
        <v>2</v>
      </c>
      <c r="AC1468" t="n">
        <v>2</v>
      </c>
      <c r="AD1468" t="n">
        <v>3</v>
      </c>
      <c r="AE1468" t="n">
        <v>6</v>
      </c>
      <c r="AF1468" t="n">
        <v>0</v>
      </c>
      <c r="AG1468" t="n">
        <v>2</v>
      </c>
      <c r="AH1468" t="n">
        <v>2</v>
      </c>
      <c r="AI1468" t="n">
        <v>3</v>
      </c>
      <c r="AJ1468" t="n">
        <v>2</v>
      </c>
      <c r="AK1468" t="n">
        <v>3</v>
      </c>
      <c r="AL1468" t="n">
        <v>0</v>
      </c>
      <c r="AM1468" t="n">
        <v>0</v>
      </c>
      <c r="AN1468" t="n">
        <v>0</v>
      </c>
      <c r="AO1468" t="n">
        <v>0</v>
      </c>
      <c r="AP1468" t="inlineStr">
        <is>
          <t>Yes</t>
        </is>
      </c>
      <c r="AQ1468" t="inlineStr">
        <is>
          <t>No</t>
        </is>
      </c>
      <c r="AR1468">
        <f>HYPERLINK("http://catalog.hathitrust.org/Record/000624389","HathiTrust Record")</f>
        <v/>
      </c>
      <c r="AS1468">
        <f>HYPERLINK("https://creighton-primo.hosted.exlibrisgroup.com/primo-explore/search?tab=default_tab&amp;search_scope=EVERYTHING&amp;vid=01CRU&amp;lang=en_US&amp;offset=0&amp;query=any,contains,991002642499702656","Catalog Record")</f>
        <v/>
      </c>
      <c r="AT1468">
        <f>HYPERLINK("http://www.worldcat.org/oclc/384850","WorldCat Record")</f>
        <v/>
      </c>
      <c r="AU1468" t="inlineStr">
        <is>
          <t>1505231:eng</t>
        </is>
      </c>
      <c r="AV1468" t="inlineStr">
        <is>
          <t>384850</t>
        </is>
      </c>
      <c r="AW1468" t="inlineStr">
        <is>
          <t>991002642499702656</t>
        </is>
      </c>
      <c r="AX1468" t="inlineStr">
        <is>
          <t>991002642499702656</t>
        </is>
      </c>
      <c r="AY1468" t="inlineStr">
        <is>
          <t>2258541580002656</t>
        </is>
      </c>
      <c r="AZ1468" t="inlineStr">
        <is>
          <t>BOOK</t>
        </is>
      </c>
      <c r="BC1468" t="inlineStr">
        <is>
          <t>32285002556529</t>
        </is>
      </c>
      <c r="BD1468" t="inlineStr">
        <is>
          <t>893899018</t>
        </is>
      </c>
    </row>
    <row r="1469">
      <c r="A1469" t="inlineStr">
        <is>
          <t>No</t>
        </is>
      </c>
      <c r="B1469" t="inlineStr">
        <is>
          <t>E534 .S27 2001</t>
        </is>
      </c>
      <c r="C1469" t="inlineStr">
        <is>
          <t>0                      E  0534000S  27          2001</t>
        </is>
      </c>
      <c r="D1469" t="inlineStr">
        <is>
          <t>The official Virginia Civil War battlefield guide / John S. Salmon.</t>
        </is>
      </c>
      <c r="F1469" t="inlineStr">
        <is>
          <t>No</t>
        </is>
      </c>
      <c r="G1469" t="inlineStr">
        <is>
          <t>1</t>
        </is>
      </c>
      <c r="H1469" t="inlineStr">
        <is>
          <t>No</t>
        </is>
      </c>
      <c r="I1469" t="inlineStr">
        <is>
          <t>No</t>
        </is>
      </c>
      <c r="J1469" t="inlineStr">
        <is>
          <t>0</t>
        </is>
      </c>
      <c r="K1469" t="inlineStr">
        <is>
          <t>Salmon, John S., 1948-</t>
        </is>
      </c>
      <c r="L1469" t="inlineStr">
        <is>
          <t>Mechanicsburg, PA : Stackpole Books, c2001.</t>
        </is>
      </c>
      <c r="M1469" t="inlineStr">
        <is>
          <t>2001</t>
        </is>
      </c>
      <c r="N1469" t="inlineStr">
        <is>
          <t>1st ed.</t>
        </is>
      </c>
      <c r="O1469" t="inlineStr">
        <is>
          <t>eng</t>
        </is>
      </c>
      <c r="P1469" t="inlineStr">
        <is>
          <t>pau</t>
        </is>
      </c>
      <c r="R1469" t="inlineStr">
        <is>
          <t xml:space="preserve">E  </t>
        </is>
      </c>
      <c r="S1469" t="n">
        <v>2</v>
      </c>
      <c r="T1469" t="n">
        <v>2</v>
      </c>
      <c r="U1469" t="inlineStr">
        <is>
          <t>2001-08-28</t>
        </is>
      </c>
      <c r="V1469" t="inlineStr">
        <is>
          <t>2001-08-28</t>
        </is>
      </c>
      <c r="W1469" t="inlineStr">
        <is>
          <t>2001-08-27</t>
        </is>
      </c>
      <c r="X1469" t="inlineStr">
        <is>
          <t>2001-08-27</t>
        </is>
      </c>
      <c r="Y1469" t="n">
        <v>119</v>
      </c>
      <c r="Z1469" t="n">
        <v>119</v>
      </c>
      <c r="AA1469" t="n">
        <v>120</v>
      </c>
      <c r="AB1469" t="n">
        <v>1</v>
      </c>
      <c r="AC1469" t="n">
        <v>1</v>
      </c>
      <c r="AD1469" t="n">
        <v>2</v>
      </c>
      <c r="AE1469" t="n">
        <v>2</v>
      </c>
      <c r="AF1469" t="n">
        <v>2</v>
      </c>
      <c r="AG1469" t="n">
        <v>2</v>
      </c>
      <c r="AH1469" t="n">
        <v>0</v>
      </c>
      <c r="AI1469" t="n">
        <v>0</v>
      </c>
      <c r="AJ1469" t="n">
        <v>1</v>
      </c>
      <c r="AK1469" t="n">
        <v>1</v>
      </c>
      <c r="AL1469" t="n">
        <v>0</v>
      </c>
      <c r="AM1469" t="n">
        <v>0</v>
      </c>
      <c r="AN1469" t="n">
        <v>0</v>
      </c>
      <c r="AO1469" t="n">
        <v>0</v>
      </c>
      <c r="AP1469" t="inlineStr">
        <is>
          <t>No</t>
        </is>
      </c>
      <c r="AQ1469" t="inlineStr">
        <is>
          <t>No</t>
        </is>
      </c>
      <c r="AS1469">
        <f>HYPERLINK("https://creighton-primo.hosted.exlibrisgroup.com/primo-explore/search?tab=default_tab&amp;search_scope=EVERYTHING&amp;vid=01CRU&amp;lang=en_US&amp;offset=0&amp;query=any,contains,991003557229702656","Catalog Record")</f>
        <v/>
      </c>
      <c r="AT1469">
        <f>HYPERLINK("http://www.worldcat.org/oclc/45917111","WorldCat Record")</f>
        <v/>
      </c>
      <c r="AU1469" t="inlineStr">
        <is>
          <t>35407372:eng</t>
        </is>
      </c>
      <c r="AV1469" t="inlineStr">
        <is>
          <t>45917111</t>
        </is>
      </c>
      <c r="AW1469" t="inlineStr">
        <is>
          <t>991003557229702656</t>
        </is>
      </c>
      <c r="AX1469" t="inlineStr">
        <is>
          <t>991003557229702656</t>
        </is>
      </c>
      <c r="AY1469" t="inlineStr">
        <is>
          <t>2270022290002656</t>
        </is>
      </c>
      <c r="AZ1469" t="inlineStr">
        <is>
          <t>BOOK</t>
        </is>
      </c>
      <c r="BB1469" t="inlineStr">
        <is>
          <t>9780811728683</t>
        </is>
      </c>
      <c r="BC1469" t="inlineStr">
        <is>
          <t>32285004380902</t>
        </is>
      </c>
      <c r="BD1469" t="inlineStr">
        <is>
          <t>893535515</t>
        </is>
      </c>
    </row>
    <row r="1470">
      <c r="A1470" t="inlineStr">
        <is>
          <t>No</t>
        </is>
      </c>
      <c r="B1470" t="inlineStr">
        <is>
          <t>E545 .V3 1969</t>
        </is>
      </c>
      <c r="C1470" t="inlineStr">
        <is>
          <t>0                      E  0545000V  3           1969</t>
        </is>
      </c>
      <c r="D1470" t="inlineStr">
        <is>
          <t>Rebel brass; the Confederate command system, by Frank E. Vandiver. Introd. by T. Harry Williams.</t>
        </is>
      </c>
      <c r="F1470" t="inlineStr">
        <is>
          <t>No</t>
        </is>
      </c>
      <c r="G1470" t="inlineStr">
        <is>
          <t>1</t>
        </is>
      </c>
      <c r="H1470" t="inlineStr">
        <is>
          <t>No</t>
        </is>
      </c>
      <c r="I1470" t="inlineStr">
        <is>
          <t>No</t>
        </is>
      </c>
      <c r="J1470" t="inlineStr">
        <is>
          <t>0</t>
        </is>
      </c>
      <c r="K1470" t="inlineStr">
        <is>
          <t>Vandiver, Frank E., 1925-2005.</t>
        </is>
      </c>
      <c r="L1470" t="inlineStr">
        <is>
          <t>New York, Greenwood Press [1969, c1956]</t>
        </is>
      </c>
      <c r="M1470" t="inlineStr">
        <is>
          <t>1969</t>
        </is>
      </c>
      <c r="O1470" t="inlineStr">
        <is>
          <t>eng</t>
        </is>
      </c>
      <c r="P1470" t="inlineStr">
        <is>
          <t>nyu</t>
        </is>
      </c>
      <c r="R1470" t="inlineStr">
        <is>
          <t xml:space="preserve">E  </t>
        </is>
      </c>
      <c r="S1470" t="n">
        <v>1</v>
      </c>
      <c r="T1470" t="n">
        <v>1</v>
      </c>
      <c r="U1470" t="inlineStr">
        <is>
          <t>2005-02-09</t>
        </is>
      </c>
      <c r="V1470" t="inlineStr">
        <is>
          <t>2005-02-09</t>
        </is>
      </c>
      <c r="W1470" t="inlineStr">
        <is>
          <t>1997-04-18</t>
        </is>
      </c>
      <c r="X1470" t="inlineStr">
        <is>
          <t>1997-04-18</t>
        </is>
      </c>
      <c r="Y1470" t="n">
        <v>304</v>
      </c>
      <c r="Z1470" t="n">
        <v>281</v>
      </c>
      <c r="AA1470" t="n">
        <v>777</v>
      </c>
      <c r="AB1470" t="n">
        <v>2</v>
      </c>
      <c r="AC1470" t="n">
        <v>4</v>
      </c>
      <c r="AD1470" t="n">
        <v>13</v>
      </c>
      <c r="AE1470" t="n">
        <v>37</v>
      </c>
      <c r="AF1470" t="n">
        <v>7</v>
      </c>
      <c r="AG1470" t="n">
        <v>17</v>
      </c>
      <c r="AH1470" t="n">
        <v>4</v>
      </c>
      <c r="AI1470" t="n">
        <v>10</v>
      </c>
      <c r="AJ1470" t="n">
        <v>4</v>
      </c>
      <c r="AK1470" t="n">
        <v>16</v>
      </c>
      <c r="AL1470" t="n">
        <v>1</v>
      </c>
      <c r="AM1470" t="n">
        <v>3</v>
      </c>
      <c r="AN1470" t="n">
        <v>0</v>
      </c>
      <c r="AO1470" t="n">
        <v>0</v>
      </c>
      <c r="AP1470" t="inlineStr">
        <is>
          <t>No</t>
        </is>
      </c>
      <c r="AQ1470" t="inlineStr">
        <is>
          <t>Yes</t>
        </is>
      </c>
      <c r="AR1470">
        <f>HYPERLINK("http://catalog.hathitrust.org/Record/004388959","HathiTrust Record")</f>
        <v/>
      </c>
      <c r="AS1470">
        <f>HYPERLINK("https://creighton-primo.hosted.exlibrisgroup.com/primo-explore/search?tab=default_tab&amp;search_scope=EVERYTHING&amp;vid=01CRU&amp;lang=en_US&amp;offset=0&amp;query=any,contains,991000135139702656","Catalog Record")</f>
        <v/>
      </c>
      <c r="AT1470">
        <f>HYPERLINK("http://www.worldcat.org/oclc/55926","WorldCat Record")</f>
        <v/>
      </c>
      <c r="AU1470" t="inlineStr">
        <is>
          <t>253982861:eng</t>
        </is>
      </c>
      <c r="AV1470" t="inlineStr">
        <is>
          <t>55926</t>
        </is>
      </c>
      <c r="AW1470" t="inlineStr">
        <is>
          <t>991000135139702656</t>
        </is>
      </c>
      <c r="AX1470" t="inlineStr">
        <is>
          <t>991000135139702656</t>
        </is>
      </c>
      <c r="AY1470" t="inlineStr">
        <is>
          <t>2258314760002656</t>
        </is>
      </c>
      <c r="AZ1470" t="inlineStr">
        <is>
          <t>BOOK</t>
        </is>
      </c>
      <c r="BB1470" t="inlineStr">
        <is>
          <t>9780837123219</t>
        </is>
      </c>
      <c r="BC1470" t="inlineStr">
        <is>
          <t>32285002556727</t>
        </is>
      </c>
      <c r="BD1470" t="inlineStr">
        <is>
          <t>893327056</t>
        </is>
      </c>
    </row>
    <row r="1471">
      <c r="A1471" t="inlineStr">
        <is>
          <t>No</t>
        </is>
      </c>
      <c r="B1471" t="inlineStr">
        <is>
          <t>E559.5 11th  1967</t>
        </is>
      </c>
      <c r="C1471" t="inlineStr">
        <is>
          <t>0                      E  0559500                                                           11th  1967</t>
        </is>
      </c>
      <c r="D1471" t="inlineStr">
        <is>
          <t>Georgia boys with "Stonewall" Jackson : James Thomas Thompson and the Walton Infantry.</t>
        </is>
      </c>
      <c r="F1471" t="inlineStr">
        <is>
          <t>No</t>
        </is>
      </c>
      <c r="G1471" t="inlineStr">
        <is>
          <t>1</t>
        </is>
      </c>
      <c r="H1471" t="inlineStr">
        <is>
          <t>No</t>
        </is>
      </c>
      <c r="I1471" t="inlineStr">
        <is>
          <t>No</t>
        </is>
      </c>
      <c r="J1471" t="inlineStr">
        <is>
          <t>0</t>
        </is>
      </c>
      <c r="K1471" t="inlineStr">
        <is>
          <t>Austin, Aurelia.</t>
        </is>
      </c>
      <c r="L1471" t="inlineStr">
        <is>
          <t>Athens : University of Georgia Press, [1967]</t>
        </is>
      </c>
      <c r="M1471" t="inlineStr">
        <is>
          <t>1967</t>
        </is>
      </c>
      <c r="O1471" t="inlineStr">
        <is>
          <t>eng</t>
        </is>
      </c>
      <c r="P1471" t="inlineStr">
        <is>
          <t>gau</t>
        </is>
      </c>
      <c r="R1471" t="inlineStr">
        <is>
          <t xml:space="preserve">E  </t>
        </is>
      </c>
      <c r="S1471" t="n">
        <v>1</v>
      </c>
      <c r="T1471" t="n">
        <v>1</v>
      </c>
      <c r="U1471" t="inlineStr">
        <is>
          <t>2001-11-14</t>
        </is>
      </c>
      <c r="V1471" t="inlineStr">
        <is>
          <t>2001-11-14</t>
        </is>
      </c>
      <c r="W1471" t="inlineStr">
        <is>
          <t>1995-02-10</t>
        </is>
      </c>
      <c r="X1471" t="inlineStr">
        <is>
          <t>1995-02-10</t>
        </is>
      </c>
      <c r="Y1471" t="n">
        <v>278</v>
      </c>
      <c r="Z1471" t="n">
        <v>268</v>
      </c>
      <c r="AA1471" t="n">
        <v>272</v>
      </c>
      <c r="AB1471" t="n">
        <v>3</v>
      </c>
      <c r="AC1471" t="n">
        <v>3</v>
      </c>
      <c r="AD1471" t="n">
        <v>8</v>
      </c>
      <c r="AE1471" t="n">
        <v>8</v>
      </c>
      <c r="AF1471" t="n">
        <v>3</v>
      </c>
      <c r="AG1471" t="n">
        <v>3</v>
      </c>
      <c r="AH1471" t="n">
        <v>1</v>
      </c>
      <c r="AI1471" t="n">
        <v>1</v>
      </c>
      <c r="AJ1471" t="n">
        <v>3</v>
      </c>
      <c r="AK1471" t="n">
        <v>3</v>
      </c>
      <c r="AL1471" t="n">
        <v>2</v>
      </c>
      <c r="AM1471" t="n">
        <v>2</v>
      </c>
      <c r="AN1471" t="n">
        <v>0</v>
      </c>
      <c r="AO1471" t="n">
        <v>0</v>
      </c>
      <c r="AP1471" t="inlineStr">
        <is>
          <t>No</t>
        </is>
      </c>
      <c r="AQ1471" t="inlineStr">
        <is>
          <t>No</t>
        </is>
      </c>
      <c r="AS1471">
        <f>HYPERLINK("https://creighton-primo.hosted.exlibrisgroup.com/primo-explore/search?tab=default_tab&amp;search_scope=EVERYTHING&amp;vid=01CRU&amp;lang=en_US&amp;offset=0&amp;query=any,contains,991003536489702656","Catalog Record")</f>
        <v/>
      </c>
      <c r="AT1471">
        <f>HYPERLINK("http://www.worldcat.org/oclc/1101810","WorldCat Record")</f>
        <v/>
      </c>
      <c r="AU1471" t="inlineStr">
        <is>
          <t>1101554681:eng</t>
        </is>
      </c>
      <c r="AV1471" t="inlineStr">
        <is>
          <t>1101810</t>
        </is>
      </c>
      <c r="AW1471" t="inlineStr">
        <is>
          <t>991003536489702656</t>
        </is>
      </c>
      <c r="AX1471" t="inlineStr">
        <is>
          <t>991003536489702656</t>
        </is>
      </c>
      <c r="AY1471" t="inlineStr">
        <is>
          <t>2270796320002656</t>
        </is>
      </c>
      <c r="AZ1471" t="inlineStr">
        <is>
          <t>BOOK</t>
        </is>
      </c>
      <c r="BC1471" t="inlineStr">
        <is>
          <t>32285001988814</t>
        </is>
      </c>
      <c r="BD1471" t="inlineStr">
        <is>
          <t>893435097</t>
        </is>
      </c>
    </row>
    <row r="1472">
      <c r="A1472" t="inlineStr">
        <is>
          <t>No</t>
        </is>
      </c>
      <c r="B1472" t="inlineStr">
        <is>
          <t>E580.4.T4 S517</t>
        </is>
      </c>
      <c r="C1472" t="inlineStr">
        <is>
          <t>0                      E  0580400T  4                  S  517</t>
        </is>
      </c>
      <c r="D1472" t="inlineStr">
        <is>
          <t>Hood's Texas Brigade: Lee's Grenadier Guard, by Harold B. Simpson.</t>
        </is>
      </c>
      <c r="F1472" t="inlineStr">
        <is>
          <t>No</t>
        </is>
      </c>
      <c r="G1472" t="inlineStr">
        <is>
          <t>1</t>
        </is>
      </c>
      <c r="H1472" t="inlineStr">
        <is>
          <t>No</t>
        </is>
      </c>
      <c r="I1472" t="inlineStr">
        <is>
          <t>No</t>
        </is>
      </c>
      <c r="J1472" t="inlineStr">
        <is>
          <t>0</t>
        </is>
      </c>
      <c r="K1472" t="inlineStr">
        <is>
          <t>Simpson, Harold B.</t>
        </is>
      </c>
      <c r="L1472" t="inlineStr">
        <is>
          <t>Waco, Texas, Texian Press, 1970.</t>
        </is>
      </c>
      <c r="M1472" t="inlineStr">
        <is>
          <t>1970</t>
        </is>
      </c>
      <c r="O1472" t="inlineStr">
        <is>
          <t>eng</t>
        </is>
      </c>
      <c r="P1472" t="inlineStr">
        <is>
          <t>txu</t>
        </is>
      </c>
      <c r="Q1472" t="inlineStr">
        <is>
          <t>His Multi-volume history of Hood's Texas Brigade, v. 2</t>
        </is>
      </c>
      <c r="R1472" t="inlineStr">
        <is>
          <t xml:space="preserve">E  </t>
        </is>
      </c>
      <c r="S1472" t="n">
        <v>1</v>
      </c>
      <c r="T1472" t="n">
        <v>1</v>
      </c>
      <c r="U1472" t="inlineStr">
        <is>
          <t>2001-02-26</t>
        </is>
      </c>
      <c r="V1472" t="inlineStr">
        <is>
          <t>2001-02-26</t>
        </is>
      </c>
      <c r="W1472" t="inlineStr">
        <is>
          <t>1997-04-18</t>
        </is>
      </c>
      <c r="X1472" t="inlineStr">
        <is>
          <t>1997-04-18</t>
        </is>
      </c>
      <c r="Y1472" t="n">
        <v>272</v>
      </c>
      <c r="Z1472" t="n">
        <v>265</v>
      </c>
      <c r="AA1472" t="n">
        <v>319</v>
      </c>
      <c r="AB1472" t="n">
        <v>4</v>
      </c>
      <c r="AC1472" t="n">
        <v>4</v>
      </c>
      <c r="AD1472" t="n">
        <v>9</v>
      </c>
      <c r="AE1472" t="n">
        <v>10</v>
      </c>
      <c r="AF1472" t="n">
        <v>2</v>
      </c>
      <c r="AG1472" t="n">
        <v>3</v>
      </c>
      <c r="AH1472" t="n">
        <v>2</v>
      </c>
      <c r="AI1472" t="n">
        <v>2</v>
      </c>
      <c r="AJ1472" t="n">
        <v>3</v>
      </c>
      <c r="AK1472" t="n">
        <v>3</v>
      </c>
      <c r="AL1472" t="n">
        <v>3</v>
      </c>
      <c r="AM1472" t="n">
        <v>3</v>
      </c>
      <c r="AN1472" t="n">
        <v>0</v>
      </c>
      <c r="AO1472" t="n">
        <v>0</v>
      </c>
      <c r="AP1472" t="inlineStr">
        <is>
          <t>No</t>
        </is>
      </c>
      <c r="AQ1472" t="inlineStr">
        <is>
          <t>No</t>
        </is>
      </c>
      <c r="AS1472">
        <f>HYPERLINK("https://creighton-primo.hosted.exlibrisgroup.com/primo-explore/search?tab=default_tab&amp;search_scope=EVERYTHING&amp;vid=01CRU&amp;lang=en_US&amp;offset=0&amp;query=any,contains,991000756229702656","Catalog Record")</f>
        <v/>
      </c>
      <c r="AT1472">
        <f>HYPERLINK("http://www.worldcat.org/oclc/130426","WorldCat Record")</f>
        <v/>
      </c>
      <c r="AU1472" t="inlineStr">
        <is>
          <t>2286691900:eng</t>
        </is>
      </c>
      <c r="AV1472" t="inlineStr">
        <is>
          <t>130426</t>
        </is>
      </c>
      <c r="AW1472" t="inlineStr">
        <is>
          <t>991000756229702656</t>
        </is>
      </c>
      <c r="AX1472" t="inlineStr">
        <is>
          <t>991000756229702656</t>
        </is>
      </c>
      <c r="AY1472" t="inlineStr">
        <is>
          <t>2255018150002656</t>
        </is>
      </c>
      <c r="AZ1472" t="inlineStr">
        <is>
          <t>BOOK</t>
        </is>
      </c>
      <c r="BC1472" t="inlineStr">
        <is>
          <t>32285002556859</t>
        </is>
      </c>
      <c r="BD1472" t="inlineStr">
        <is>
          <t>893502773</t>
        </is>
      </c>
    </row>
    <row r="1473">
      <c r="A1473" t="inlineStr">
        <is>
          <t>No</t>
        </is>
      </c>
      <c r="B1473" t="inlineStr">
        <is>
          <t>E591 .F77 1990</t>
        </is>
      </c>
      <c r="C1473" t="inlineStr">
        <is>
          <t>0                      E  0591000F  77          1990</t>
        </is>
      </c>
      <c r="D1473" t="inlineStr">
        <is>
          <t>Under two flags : the American Navy in the Civil War / William M. Fowler, Jr.</t>
        </is>
      </c>
      <c r="F1473" t="inlineStr">
        <is>
          <t>No</t>
        </is>
      </c>
      <c r="G1473" t="inlineStr">
        <is>
          <t>1</t>
        </is>
      </c>
      <c r="H1473" t="inlineStr">
        <is>
          <t>No</t>
        </is>
      </c>
      <c r="I1473" t="inlineStr">
        <is>
          <t>No</t>
        </is>
      </c>
      <c r="J1473" t="inlineStr">
        <is>
          <t>0</t>
        </is>
      </c>
      <c r="K1473" t="inlineStr">
        <is>
          <t>Fowler, William M., 1944-</t>
        </is>
      </c>
      <c r="L1473" t="inlineStr">
        <is>
          <t>New York : Norton, 1990.</t>
        </is>
      </c>
      <c r="M1473" t="inlineStr">
        <is>
          <t>1990</t>
        </is>
      </c>
      <c r="N1473" t="inlineStr">
        <is>
          <t>1st ed.</t>
        </is>
      </c>
      <c r="O1473" t="inlineStr">
        <is>
          <t>eng</t>
        </is>
      </c>
      <c r="P1473" t="inlineStr">
        <is>
          <t>nyu</t>
        </is>
      </c>
      <c r="R1473" t="inlineStr">
        <is>
          <t xml:space="preserve">E  </t>
        </is>
      </c>
      <c r="S1473" t="n">
        <v>3</v>
      </c>
      <c r="T1473" t="n">
        <v>3</v>
      </c>
      <c r="U1473" t="inlineStr">
        <is>
          <t>2002-10-07</t>
        </is>
      </c>
      <c r="V1473" t="inlineStr">
        <is>
          <t>2002-10-07</t>
        </is>
      </c>
      <c r="W1473" t="inlineStr">
        <is>
          <t>1991-05-13</t>
        </is>
      </c>
      <c r="X1473" t="inlineStr">
        <is>
          <t>1991-05-13</t>
        </is>
      </c>
      <c r="Y1473" t="n">
        <v>860</v>
      </c>
      <c r="Z1473" t="n">
        <v>803</v>
      </c>
      <c r="AA1473" t="n">
        <v>994</v>
      </c>
      <c r="AB1473" t="n">
        <v>5</v>
      </c>
      <c r="AC1473" t="n">
        <v>7</v>
      </c>
      <c r="AD1473" t="n">
        <v>22</v>
      </c>
      <c r="AE1473" t="n">
        <v>29</v>
      </c>
      <c r="AF1473" t="n">
        <v>10</v>
      </c>
      <c r="AG1473" t="n">
        <v>13</v>
      </c>
      <c r="AH1473" t="n">
        <v>6</v>
      </c>
      <c r="AI1473" t="n">
        <v>9</v>
      </c>
      <c r="AJ1473" t="n">
        <v>11</v>
      </c>
      <c r="AK1473" t="n">
        <v>13</v>
      </c>
      <c r="AL1473" t="n">
        <v>2</v>
      </c>
      <c r="AM1473" t="n">
        <v>4</v>
      </c>
      <c r="AN1473" t="n">
        <v>0</v>
      </c>
      <c r="AO1473" t="n">
        <v>0</v>
      </c>
      <c r="AP1473" t="inlineStr">
        <is>
          <t>No</t>
        </is>
      </c>
      <c r="AQ1473" t="inlineStr">
        <is>
          <t>No</t>
        </is>
      </c>
      <c r="AS1473">
        <f>HYPERLINK("https://creighton-primo.hosted.exlibrisgroup.com/primo-explore/search?tab=default_tab&amp;search_scope=EVERYTHING&amp;vid=01CRU&amp;lang=en_US&amp;offset=0&amp;query=any,contains,991001595979702656","Catalog Record")</f>
        <v/>
      </c>
      <c r="AT1473">
        <f>HYPERLINK("http://www.worldcat.org/oclc/20628360","WorldCat Record")</f>
        <v/>
      </c>
      <c r="AU1473" t="inlineStr">
        <is>
          <t>22445178:eng</t>
        </is>
      </c>
      <c r="AV1473" t="inlineStr">
        <is>
          <t>20628360</t>
        </is>
      </c>
      <c r="AW1473" t="inlineStr">
        <is>
          <t>991001595979702656</t>
        </is>
      </c>
      <c r="AX1473" t="inlineStr">
        <is>
          <t>991001595979702656</t>
        </is>
      </c>
      <c r="AY1473" t="inlineStr">
        <is>
          <t>2266318570002656</t>
        </is>
      </c>
      <c r="AZ1473" t="inlineStr">
        <is>
          <t>BOOK</t>
        </is>
      </c>
      <c r="BB1473" t="inlineStr">
        <is>
          <t>9780393028591</t>
        </is>
      </c>
      <c r="BC1473" t="inlineStr">
        <is>
          <t>32285000572973</t>
        </is>
      </c>
      <c r="BD1473" t="inlineStr">
        <is>
          <t>893703113</t>
        </is>
      </c>
    </row>
    <row r="1474">
      <c r="A1474" t="inlineStr">
        <is>
          <t>No</t>
        </is>
      </c>
      <c r="B1474" t="inlineStr">
        <is>
          <t>E595.M7 N45 2004</t>
        </is>
      </c>
      <c r="C1474" t="inlineStr">
        <is>
          <t>0                      E  0595000M  7                  N  45          2004</t>
        </is>
      </c>
      <c r="D1474" t="inlineStr">
        <is>
          <t>Reign of iron : the story of the first battling ironclads, the Monitor and the Merrimack / James L. Nelson.</t>
        </is>
      </c>
      <c r="F1474" t="inlineStr">
        <is>
          <t>No</t>
        </is>
      </c>
      <c r="G1474" t="inlineStr">
        <is>
          <t>1</t>
        </is>
      </c>
      <c r="H1474" t="inlineStr">
        <is>
          <t>No</t>
        </is>
      </c>
      <c r="I1474" t="inlineStr">
        <is>
          <t>No</t>
        </is>
      </c>
      <c r="J1474" t="inlineStr">
        <is>
          <t>0</t>
        </is>
      </c>
      <c r="K1474" t="inlineStr">
        <is>
          <t>Nelson, James L.</t>
        </is>
      </c>
      <c r="L1474" t="inlineStr">
        <is>
          <t>New York : William Morrow, c2004.</t>
        </is>
      </c>
      <c r="M1474" t="inlineStr">
        <is>
          <t>2004</t>
        </is>
      </c>
      <c r="N1474" t="inlineStr">
        <is>
          <t>1st ed.</t>
        </is>
      </c>
      <c r="O1474" t="inlineStr">
        <is>
          <t>eng</t>
        </is>
      </c>
      <c r="P1474" t="inlineStr">
        <is>
          <t>nyu</t>
        </is>
      </c>
      <c r="R1474" t="inlineStr">
        <is>
          <t xml:space="preserve">E  </t>
        </is>
      </c>
      <c r="S1474" t="n">
        <v>2</v>
      </c>
      <c r="T1474" t="n">
        <v>2</v>
      </c>
      <c r="U1474" t="inlineStr">
        <is>
          <t>2004-06-29</t>
        </is>
      </c>
      <c r="V1474" t="inlineStr">
        <is>
          <t>2004-06-29</t>
        </is>
      </c>
      <c r="W1474" t="inlineStr">
        <is>
          <t>2004-06-29</t>
        </is>
      </c>
      <c r="X1474" t="inlineStr">
        <is>
          <t>2004-06-29</t>
        </is>
      </c>
      <c r="Y1474" t="n">
        <v>492</v>
      </c>
      <c r="Z1474" t="n">
        <v>478</v>
      </c>
      <c r="AA1474" t="n">
        <v>544</v>
      </c>
      <c r="AB1474" t="n">
        <v>3</v>
      </c>
      <c r="AC1474" t="n">
        <v>3</v>
      </c>
      <c r="AD1474" t="n">
        <v>11</v>
      </c>
      <c r="AE1474" t="n">
        <v>11</v>
      </c>
      <c r="AF1474" t="n">
        <v>1</v>
      </c>
      <c r="AG1474" t="n">
        <v>1</v>
      </c>
      <c r="AH1474" t="n">
        <v>4</v>
      </c>
      <c r="AI1474" t="n">
        <v>4</v>
      </c>
      <c r="AJ1474" t="n">
        <v>7</v>
      </c>
      <c r="AK1474" t="n">
        <v>7</v>
      </c>
      <c r="AL1474" t="n">
        <v>2</v>
      </c>
      <c r="AM1474" t="n">
        <v>2</v>
      </c>
      <c r="AN1474" t="n">
        <v>0</v>
      </c>
      <c r="AO1474" t="n">
        <v>0</v>
      </c>
      <c r="AP1474" t="inlineStr">
        <is>
          <t>No</t>
        </is>
      </c>
      <c r="AQ1474" t="inlineStr">
        <is>
          <t>No</t>
        </is>
      </c>
      <c r="AS1474">
        <f>HYPERLINK("https://creighton-primo.hosted.exlibrisgroup.com/primo-explore/search?tab=default_tab&amp;search_scope=EVERYTHING&amp;vid=01CRU&amp;lang=en_US&amp;offset=0&amp;query=any,contains,991004308019702656","Catalog Record")</f>
        <v/>
      </c>
      <c r="AT1474">
        <f>HYPERLINK("http://www.worldcat.org/oclc/53443015","WorldCat Record")</f>
        <v/>
      </c>
      <c r="AU1474" t="inlineStr">
        <is>
          <t>797234072:eng</t>
        </is>
      </c>
      <c r="AV1474" t="inlineStr">
        <is>
          <t>53443015</t>
        </is>
      </c>
      <c r="AW1474" t="inlineStr">
        <is>
          <t>991004308019702656</t>
        </is>
      </c>
      <c r="AX1474" t="inlineStr">
        <is>
          <t>991004308019702656</t>
        </is>
      </c>
      <c r="AY1474" t="inlineStr">
        <is>
          <t>2271006660002656</t>
        </is>
      </c>
      <c r="AZ1474" t="inlineStr">
        <is>
          <t>BOOK</t>
        </is>
      </c>
      <c r="BB1474" t="inlineStr">
        <is>
          <t>9780060524036</t>
        </is>
      </c>
      <c r="BC1474" t="inlineStr">
        <is>
          <t>32285004922018</t>
        </is>
      </c>
      <c r="BD1474" t="inlineStr">
        <is>
          <t>893331428</t>
        </is>
      </c>
    </row>
    <row r="1475">
      <c r="A1475" t="inlineStr">
        <is>
          <t>No</t>
        </is>
      </c>
      <c r="B1475" t="inlineStr">
        <is>
          <t>E595.M7 S54 2004</t>
        </is>
      </c>
      <c r="C1475" t="inlineStr">
        <is>
          <t>0                      E  0595000M  7                  S  54          2004</t>
        </is>
      </c>
      <c r="D1475" t="inlineStr">
        <is>
          <t>Iron from the deep : the discovery and recovery of the USS Monitor / Robert E. Sheridan.</t>
        </is>
      </c>
      <c r="F1475" t="inlineStr">
        <is>
          <t>No</t>
        </is>
      </c>
      <c r="G1475" t="inlineStr">
        <is>
          <t>1</t>
        </is>
      </c>
      <c r="H1475" t="inlineStr">
        <is>
          <t>No</t>
        </is>
      </c>
      <c r="I1475" t="inlineStr">
        <is>
          <t>No</t>
        </is>
      </c>
      <c r="J1475" t="inlineStr">
        <is>
          <t>0</t>
        </is>
      </c>
      <c r="K1475" t="inlineStr">
        <is>
          <t>Sheridan, Robert E., 1940-</t>
        </is>
      </c>
      <c r="L1475" t="inlineStr">
        <is>
          <t>Annapolis, Md. : Naval Institute Press, c2004.</t>
        </is>
      </c>
      <c r="M1475" t="inlineStr">
        <is>
          <t>2004</t>
        </is>
      </c>
      <c r="O1475" t="inlineStr">
        <is>
          <t>eng</t>
        </is>
      </c>
      <c r="P1475" t="inlineStr">
        <is>
          <t>mdu</t>
        </is>
      </c>
      <c r="R1475" t="inlineStr">
        <is>
          <t xml:space="preserve">E  </t>
        </is>
      </c>
      <c r="S1475" t="n">
        <v>1</v>
      </c>
      <c r="T1475" t="n">
        <v>1</v>
      </c>
      <c r="U1475" t="inlineStr">
        <is>
          <t>2004-03-29</t>
        </is>
      </c>
      <c r="V1475" t="inlineStr">
        <is>
          <t>2004-03-29</t>
        </is>
      </c>
      <c r="W1475" t="inlineStr">
        <is>
          <t>2004-03-29</t>
        </is>
      </c>
      <c r="X1475" t="inlineStr">
        <is>
          <t>2004-03-29</t>
        </is>
      </c>
      <c r="Y1475" t="n">
        <v>197</v>
      </c>
      <c r="Z1475" t="n">
        <v>190</v>
      </c>
      <c r="AA1475" t="n">
        <v>195</v>
      </c>
      <c r="AB1475" t="n">
        <v>1</v>
      </c>
      <c r="AC1475" t="n">
        <v>1</v>
      </c>
      <c r="AD1475" t="n">
        <v>8</v>
      </c>
      <c r="AE1475" t="n">
        <v>8</v>
      </c>
      <c r="AF1475" t="n">
        <v>1</v>
      </c>
      <c r="AG1475" t="n">
        <v>1</v>
      </c>
      <c r="AH1475" t="n">
        <v>4</v>
      </c>
      <c r="AI1475" t="n">
        <v>4</v>
      </c>
      <c r="AJ1475" t="n">
        <v>6</v>
      </c>
      <c r="AK1475" t="n">
        <v>6</v>
      </c>
      <c r="AL1475" t="n">
        <v>0</v>
      </c>
      <c r="AM1475" t="n">
        <v>0</v>
      </c>
      <c r="AN1475" t="n">
        <v>0</v>
      </c>
      <c r="AO1475" t="n">
        <v>0</v>
      </c>
      <c r="AP1475" t="inlineStr">
        <is>
          <t>No</t>
        </is>
      </c>
      <c r="AQ1475" t="inlineStr">
        <is>
          <t>Yes</t>
        </is>
      </c>
      <c r="AR1475">
        <f>HYPERLINK("http://catalog.hathitrust.org/Record/004357501","HathiTrust Record")</f>
        <v/>
      </c>
      <c r="AS1475">
        <f>HYPERLINK("https://creighton-primo.hosted.exlibrisgroup.com/primo-explore/search?tab=default_tab&amp;search_scope=EVERYTHING&amp;vid=01CRU&amp;lang=en_US&amp;offset=0&amp;query=any,contains,991004251349702656","Catalog Record")</f>
        <v/>
      </c>
      <c r="AT1475">
        <f>HYPERLINK("http://www.worldcat.org/oclc/52509419","WorldCat Record")</f>
        <v/>
      </c>
      <c r="AU1475" t="inlineStr">
        <is>
          <t>773131:eng</t>
        </is>
      </c>
      <c r="AV1475" t="inlineStr">
        <is>
          <t>52509419</t>
        </is>
      </c>
      <c r="AW1475" t="inlineStr">
        <is>
          <t>991004251349702656</t>
        </is>
      </c>
      <c r="AX1475" t="inlineStr">
        <is>
          <t>991004251349702656</t>
        </is>
      </c>
      <c r="AY1475" t="inlineStr">
        <is>
          <t>2266660070002656</t>
        </is>
      </c>
      <c r="AZ1475" t="inlineStr">
        <is>
          <t>BOOK</t>
        </is>
      </c>
      <c r="BB1475" t="inlineStr">
        <is>
          <t>9781557504135</t>
        </is>
      </c>
      <c r="BC1475" t="inlineStr">
        <is>
          <t>32285004897632</t>
        </is>
      </c>
      <c r="BD1475" t="inlineStr">
        <is>
          <t>893259509</t>
        </is>
      </c>
    </row>
    <row r="1476">
      <c r="A1476" t="inlineStr">
        <is>
          <t>No</t>
        </is>
      </c>
      <c r="B1476" t="inlineStr">
        <is>
          <t>E600 .B82 1974</t>
        </is>
      </c>
      <c r="C1476" t="inlineStr">
        <is>
          <t>0                      E  0600000B  82          1974</t>
        </is>
      </c>
      <c r="D1476" t="inlineStr">
        <is>
          <t>Blockade running during the Civil War and the effect of land and water transportation on the Confederacy.</t>
        </is>
      </c>
      <c r="F1476" t="inlineStr">
        <is>
          <t>No</t>
        </is>
      </c>
      <c r="G1476" t="inlineStr">
        <is>
          <t>1</t>
        </is>
      </c>
      <c r="H1476" t="inlineStr">
        <is>
          <t>No</t>
        </is>
      </c>
      <c r="I1476" t="inlineStr">
        <is>
          <t>No</t>
        </is>
      </c>
      <c r="J1476" t="inlineStr">
        <is>
          <t>0</t>
        </is>
      </c>
      <c r="K1476" t="inlineStr">
        <is>
          <t>Bradlee, Francis Boardman Crowninshield, 1881-1928.</t>
        </is>
      </c>
      <c r="L1476" t="inlineStr">
        <is>
          <t>Philadelphia, Porcupine Press, 1974.</t>
        </is>
      </c>
      <c r="M1476" t="inlineStr">
        <is>
          <t>1974</t>
        </is>
      </c>
      <c r="O1476" t="inlineStr">
        <is>
          <t>eng</t>
        </is>
      </c>
      <c r="P1476" t="inlineStr">
        <is>
          <t>pau</t>
        </is>
      </c>
      <c r="Q1476" t="inlineStr">
        <is>
          <t>Perspectives in American history, no. 1</t>
        </is>
      </c>
      <c r="R1476" t="inlineStr">
        <is>
          <t xml:space="preserve">E  </t>
        </is>
      </c>
      <c r="S1476" t="n">
        <v>0</v>
      </c>
      <c r="T1476" t="n">
        <v>0</v>
      </c>
      <c r="U1476" t="inlineStr">
        <is>
          <t>2001-03-06</t>
        </is>
      </c>
      <c r="V1476" t="inlineStr">
        <is>
          <t>2001-03-06</t>
        </is>
      </c>
      <c r="W1476" t="inlineStr">
        <is>
          <t>1997-04-18</t>
        </is>
      </c>
      <c r="X1476" t="inlineStr">
        <is>
          <t>1997-04-18</t>
        </is>
      </c>
      <c r="Y1476" t="n">
        <v>174</v>
      </c>
      <c r="Z1476" t="n">
        <v>159</v>
      </c>
      <c r="AA1476" t="n">
        <v>273</v>
      </c>
      <c r="AB1476" t="n">
        <v>1</v>
      </c>
      <c r="AC1476" t="n">
        <v>2</v>
      </c>
      <c r="AD1476" t="n">
        <v>3</v>
      </c>
      <c r="AE1476" t="n">
        <v>4</v>
      </c>
      <c r="AF1476" t="n">
        <v>1</v>
      </c>
      <c r="AG1476" t="n">
        <v>1</v>
      </c>
      <c r="AH1476" t="n">
        <v>1</v>
      </c>
      <c r="AI1476" t="n">
        <v>1</v>
      </c>
      <c r="AJ1476" t="n">
        <v>2</v>
      </c>
      <c r="AK1476" t="n">
        <v>2</v>
      </c>
      <c r="AL1476" t="n">
        <v>0</v>
      </c>
      <c r="AM1476" t="n">
        <v>1</v>
      </c>
      <c r="AN1476" t="n">
        <v>0</v>
      </c>
      <c r="AO1476" t="n">
        <v>0</v>
      </c>
      <c r="AP1476" t="inlineStr">
        <is>
          <t>No</t>
        </is>
      </c>
      <c r="AQ1476" t="inlineStr">
        <is>
          <t>Yes</t>
        </is>
      </c>
      <c r="AR1476">
        <f>HYPERLINK("http://catalog.hathitrust.org/Record/000409271","HathiTrust Record")</f>
        <v/>
      </c>
      <c r="AS1476">
        <f>HYPERLINK("https://creighton-primo.hosted.exlibrisgroup.com/primo-explore/search?tab=default_tab&amp;search_scope=EVERYTHING&amp;vid=01CRU&amp;lang=en_US&amp;offset=0&amp;query=any,contains,991003198319702656","Catalog Record")</f>
        <v/>
      </c>
      <c r="AT1476">
        <f>HYPERLINK("http://www.worldcat.org/oclc/723009","WorldCat Record")</f>
        <v/>
      </c>
      <c r="AU1476" t="inlineStr">
        <is>
          <t>1712860:eng</t>
        </is>
      </c>
      <c r="AV1476" t="inlineStr">
        <is>
          <t>723009</t>
        </is>
      </c>
      <c r="AW1476" t="inlineStr">
        <is>
          <t>991003198319702656</t>
        </is>
      </c>
      <c r="AX1476" t="inlineStr">
        <is>
          <t>991003198319702656</t>
        </is>
      </c>
      <c r="AY1476" t="inlineStr">
        <is>
          <t>2256186360002656</t>
        </is>
      </c>
      <c r="AZ1476" t="inlineStr">
        <is>
          <t>BOOK</t>
        </is>
      </c>
      <c r="BB1476" t="inlineStr">
        <is>
          <t>9780879913281</t>
        </is>
      </c>
      <c r="BC1476" t="inlineStr">
        <is>
          <t>32285002556982</t>
        </is>
      </c>
      <c r="BD1476" t="inlineStr">
        <is>
          <t>893893465</t>
        </is>
      </c>
    </row>
    <row r="1477">
      <c r="A1477" t="inlineStr">
        <is>
          <t>No</t>
        </is>
      </c>
      <c r="B1477" t="inlineStr">
        <is>
          <t>E611 .H452</t>
        </is>
      </c>
      <c r="C1477" t="inlineStr">
        <is>
          <t>0                      E  0611000H  452</t>
        </is>
      </c>
      <c r="D1477" t="inlineStr">
        <is>
          <t>Civil war prisons; a study in war psychology [by] William Best Hesseltine.</t>
        </is>
      </c>
      <c r="F1477" t="inlineStr">
        <is>
          <t>No</t>
        </is>
      </c>
      <c r="G1477" t="inlineStr">
        <is>
          <t>1</t>
        </is>
      </c>
      <c r="H1477" t="inlineStr">
        <is>
          <t>No</t>
        </is>
      </c>
      <c r="I1477" t="inlineStr">
        <is>
          <t>No</t>
        </is>
      </c>
      <c r="J1477" t="inlineStr">
        <is>
          <t>0</t>
        </is>
      </c>
      <c r="K1477" t="inlineStr">
        <is>
          <t>Hesseltine, William B. (William Best), 1902-1963.</t>
        </is>
      </c>
      <c r="L1477" t="inlineStr">
        <is>
          <t>Columbus, Ohio, The Ohio State University Press, 1930.</t>
        </is>
      </c>
      <c r="M1477" t="inlineStr">
        <is>
          <t>1930</t>
        </is>
      </c>
      <c r="O1477" t="inlineStr">
        <is>
          <t>eng</t>
        </is>
      </c>
      <c r="P1477" t="inlineStr">
        <is>
          <t>ohu</t>
        </is>
      </c>
      <c r="Q1477" t="inlineStr">
        <is>
          <t>Ohio State University. Contributions in history and political science. no.12.</t>
        </is>
      </c>
      <c r="R1477" t="inlineStr">
        <is>
          <t xml:space="preserve">E  </t>
        </is>
      </c>
      <c r="S1477" t="n">
        <v>6</v>
      </c>
      <c r="T1477" t="n">
        <v>6</v>
      </c>
      <c r="U1477" t="inlineStr">
        <is>
          <t>1997-02-05</t>
        </is>
      </c>
      <c r="V1477" t="inlineStr">
        <is>
          <t>1997-02-05</t>
        </is>
      </c>
      <c r="W1477" t="inlineStr">
        <is>
          <t>1992-07-08</t>
        </is>
      </c>
      <c r="X1477" t="inlineStr">
        <is>
          <t>1992-07-08</t>
        </is>
      </c>
      <c r="Y1477" t="n">
        <v>189</v>
      </c>
      <c r="Z1477" t="n">
        <v>178</v>
      </c>
      <c r="AA1477" t="n">
        <v>965</v>
      </c>
      <c r="AB1477" t="n">
        <v>3</v>
      </c>
      <c r="AC1477" t="n">
        <v>7</v>
      </c>
      <c r="AD1477" t="n">
        <v>4</v>
      </c>
      <c r="AE1477" t="n">
        <v>34</v>
      </c>
      <c r="AF1477" t="n">
        <v>1</v>
      </c>
      <c r="AG1477" t="n">
        <v>15</v>
      </c>
      <c r="AH1477" t="n">
        <v>1</v>
      </c>
      <c r="AI1477" t="n">
        <v>9</v>
      </c>
      <c r="AJ1477" t="n">
        <v>1</v>
      </c>
      <c r="AK1477" t="n">
        <v>10</v>
      </c>
      <c r="AL1477" t="n">
        <v>2</v>
      </c>
      <c r="AM1477" t="n">
        <v>6</v>
      </c>
      <c r="AN1477" t="n">
        <v>0</v>
      </c>
      <c r="AO1477" t="n">
        <v>1</v>
      </c>
      <c r="AP1477" t="inlineStr">
        <is>
          <t>No</t>
        </is>
      </c>
      <c r="AQ1477" t="inlineStr">
        <is>
          <t>Yes</t>
        </is>
      </c>
      <c r="AR1477">
        <f>HYPERLINK("http://catalog.hathitrust.org/Record/000818321","HathiTrust Record")</f>
        <v/>
      </c>
      <c r="AS1477">
        <f>HYPERLINK("https://creighton-primo.hosted.exlibrisgroup.com/primo-explore/search?tab=default_tab&amp;search_scope=EVERYTHING&amp;vid=01CRU&amp;lang=en_US&amp;offset=0&amp;query=any,contains,991004206249702656","Catalog Record")</f>
        <v/>
      </c>
      <c r="AT1477">
        <f>HYPERLINK("http://www.worldcat.org/oclc/2667653","WorldCat Record")</f>
        <v/>
      </c>
      <c r="AU1477" t="inlineStr">
        <is>
          <t>457745:eng</t>
        </is>
      </c>
      <c r="AV1477" t="inlineStr">
        <is>
          <t>2667653</t>
        </is>
      </c>
      <c r="AW1477" t="inlineStr">
        <is>
          <t>991004206249702656</t>
        </is>
      </c>
      <c r="AX1477" t="inlineStr">
        <is>
          <t>991004206249702656</t>
        </is>
      </c>
      <c r="AY1477" t="inlineStr">
        <is>
          <t>2256284550002656</t>
        </is>
      </c>
      <c r="AZ1477" t="inlineStr">
        <is>
          <t>BOOK</t>
        </is>
      </c>
      <c r="BC1477" t="inlineStr">
        <is>
          <t>32285001187193</t>
        </is>
      </c>
      <c r="BD1477" t="inlineStr">
        <is>
          <t>893781968</t>
        </is>
      </c>
    </row>
    <row r="1478">
      <c r="A1478" t="inlineStr">
        <is>
          <t>No</t>
        </is>
      </c>
      <c r="B1478" t="inlineStr">
        <is>
          <t>E612.A5 F8</t>
        </is>
      </c>
      <c r="C1478" t="inlineStr">
        <is>
          <t>0                      E  0612000A  5                  F  8</t>
        </is>
      </c>
      <c r="D1478" t="inlineStr">
        <is>
          <t>History of Andersonville prison / [by] Ovid L. Futch.</t>
        </is>
      </c>
      <c r="F1478" t="inlineStr">
        <is>
          <t>No</t>
        </is>
      </c>
      <c r="G1478" t="inlineStr">
        <is>
          <t>1</t>
        </is>
      </c>
      <c r="H1478" t="inlineStr">
        <is>
          <t>No</t>
        </is>
      </c>
      <c r="I1478" t="inlineStr">
        <is>
          <t>No</t>
        </is>
      </c>
      <c r="J1478" t="inlineStr">
        <is>
          <t>0</t>
        </is>
      </c>
      <c r="K1478" t="inlineStr">
        <is>
          <t>Futch, Ovid L.</t>
        </is>
      </c>
      <c r="L1478" t="inlineStr">
        <is>
          <t>[Gainesville] : University of Florida Press, 1968.</t>
        </is>
      </c>
      <c r="M1478" t="inlineStr">
        <is>
          <t>1968</t>
        </is>
      </c>
      <c r="O1478" t="inlineStr">
        <is>
          <t>eng</t>
        </is>
      </c>
      <c r="P1478" t="inlineStr">
        <is>
          <t>flu</t>
        </is>
      </c>
      <c r="R1478" t="inlineStr">
        <is>
          <t xml:space="preserve">E  </t>
        </is>
      </c>
      <c r="S1478" t="n">
        <v>6</v>
      </c>
      <c r="T1478" t="n">
        <v>6</v>
      </c>
      <c r="U1478" t="inlineStr">
        <is>
          <t>1997-02-05</t>
        </is>
      </c>
      <c r="V1478" t="inlineStr">
        <is>
          <t>1997-02-05</t>
        </is>
      </c>
      <c r="W1478" t="inlineStr">
        <is>
          <t>1990-08-30</t>
        </is>
      </c>
      <c r="X1478" t="inlineStr">
        <is>
          <t>1990-08-30</t>
        </is>
      </c>
      <c r="Y1478" t="n">
        <v>947</v>
      </c>
      <c r="Z1478" t="n">
        <v>918</v>
      </c>
      <c r="AA1478" t="n">
        <v>1103</v>
      </c>
      <c r="AB1478" t="n">
        <v>5</v>
      </c>
      <c r="AC1478" t="n">
        <v>7</v>
      </c>
      <c r="AD1478" t="n">
        <v>25</v>
      </c>
      <c r="AE1478" t="n">
        <v>33</v>
      </c>
      <c r="AF1478" t="n">
        <v>11</v>
      </c>
      <c r="AG1478" t="n">
        <v>14</v>
      </c>
      <c r="AH1478" t="n">
        <v>5</v>
      </c>
      <c r="AI1478" t="n">
        <v>7</v>
      </c>
      <c r="AJ1478" t="n">
        <v>11</v>
      </c>
      <c r="AK1478" t="n">
        <v>14</v>
      </c>
      <c r="AL1478" t="n">
        <v>3</v>
      </c>
      <c r="AM1478" t="n">
        <v>5</v>
      </c>
      <c r="AN1478" t="n">
        <v>0</v>
      </c>
      <c r="AO1478" t="n">
        <v>0</v>
      </c>
      <c r="AP1478" t="inlineStr">
        <is>
          <t>No</t>
        </is>
      </c>
      <c r="AQ1478" t="inlineStr">
        <is>
          <t>No</t>
        </is>
      </c>
      <c r="AS1478">
        <f>HYPERLINK("https://creighton-primo.hosted.exlibrisgroup.com/primo-explore/search?tab=default_tab&amp;search_scope=EVERYTHING&amp;vid=01CRU&amp;lang=en_US&amp;offset=0&amp;query=any,contains,991001055339702656","Catalog Record")</f>
        <v/>
      </c>
      <c r="AT1478">
        <f>HYPERLINK("http://www.worldcat.org/oclc/177142","WorldCat Record")</f>
        <v/>
      </c>
      <c r="AU1478" t="inlineStr">
        <is>
          <t>864534:eng</t>
        </is>
      </c>
      <c r="AV1478" t="inlineStr">
        <is>
          <t>177142</t>
        </is>
      </c>
      <c r="AW1478" t="inlineStr">
        <is>
          <t>991001055339702656</t>
        </is>
      </c>
      <c r="AX1478" t="inlineStr">
        <is>
          <t>991001055339702656</t>
        </is>
      </c>
      <c r="AY1478" t="inlineStr">
        <is>
          <t>2268311120002656</t>
        </is>
      </c>
      <c r="AZ1478" t="inlineStr">
        <is>
          <t>BOOK</t>
        </is>
      </c>
      <c r="BC1478" t="inlineStr">
        <is>
          <t>32285000284579</t>
        </is>
      </c>
      <c r="BD1478" t="inlineStr">
        <is>
          <t>893528628</t>
        </is>
      </c>
    </row>
    <row r="1479">
      <c r="A1479" t="inlineStr">
        <is>
          <t>No</t>
        </is>
      </c>
      <c r="B1479" t="inlineStr">
        <is>
          <t>E628 .M3</t>
        </is>
      </c>
      <c r="C1479" t="inlineStr">
        <is>
          <t>0                      E  0628000M  3</t>
        </is>
      </c>
      <c r="D1479" t="inlineStr">
        <is>
          <t>Bonnet brigades.</t>
        </is>
      </c>
      <c r="F1479" t="inlineStr">
        <is>
          <t>No</t>
        </is>
      </c>
      <c r="G1479" t="inlineStr">
        <is>
          <t>1</t>
        </is>
      </c>
      <c r="H1479" t="inlineStr">
        <is>
          <t>No</t>
        </is>
      </c>
      <c r="I1479" t="inlineStr">
        <is>
          <t>No</t>
        </is>
      </c>
      <c r="J1479" t="inlineStr">
        <is>
          <t>0</t>
        </is>
      </c>
      <c r="K1479" t="inlineStr">
        <is>
          <t>Massey, Mary Elizabeth.</t>
        </is>
      </c>
      <c r="L1479" t="inlineStr">
        <is>
          <t>New York, Knopf, 1966.</t>
        </is>
      </c>
      <c r="M1479" t="inlineStr">
        <is>
          <t>1966</t>
        </is>
      </c>
      <c r="N1479" t="inlineStr">
        <is>
          <t>[1st ed.]</t>
        </is>
      </c>
      <c r="O1479" t="inlineStr">
        <is>
          <t>eng</t>
        </is>
      </c>
      <c r="P1479" t="inlineStr">
        <is>
          <t>nyu</t>
        </is>
      </c>
      <c r="Q1479" t="inlineStr">
        <is>
          <t>The Impact of the Civil War</t>
        </is>
      </c>
      <c r="R1479" t="inlineStr">
        <is>
          <t xml:space="preserve">E  </t>
        </is>
      </c>
      <c r="S1479" t="n">
        <v>6</v>
      </c>
      <c r="T1479" t="n">
        <v>6</v>
      </c>
      <c r="U1479" t="inlineStr">
        <is>
          <t>2005-09-22</t>
        </is>
      </c>
      <c r="V1479" t="inlineStr">
        <is>
          <t>2005-09-22</t>
        </is>
      </c>
      <c r="W1479" t="inlineStr">
        <is>
          <t>1997-04-21</t>
        </is>
      </c>
      <c r="X1479" t="inlineStr">
        <is>
          <t>1997-04-21</t>
        </is>
      </c>
      <c r="Y1479" t="n">
        <v>963</v>
      </c>
      <c r="Z1479" t="n">
        <v>922</v>
      </c>
      <c r="AA1479" t="n">
        <v>929</v>
      </c>
      <c r="AB1479" t="n">
        <v>6</v>
      </c>
      <c r="AC1479" t="n">
        <v>6</v>
      </c>
      <c r="AD1479" t="n">
        <v>33</v>
      </c>
      <c r="AE1479" t="n">
        <v>33</v>
      </c>
      <c r="AF1479" t="n">
        <v>15</v>
      </c>
      <c r="AG1479" t="n">
        <v>15</v>
      </c>
      <c r="AH1479" t="n">
        <v>7</v>
      </c>
      <c r="AI1479" t="n">
        <v>7</v>
      </c>
      <c r="AJ1479" t="n">
        <v>15</v>
      </c>
      <c r="AK1479" t="n">
        <v>15</v>
      </c>
      <c r="AL1479" t="n">
        <v>5</v>
      </c>
      <c r="AM1479" t="n">
        <v>5</v>
      </c>
      <c r="AN1479" t="n">
        <v>0</v>
      </c>
      <c r="AO1479" t="n">
        <v>0</v>
      </c>
      <c r="AP1479" t="inlineStr">
        <is>
          <t>No</t>
        </is>
      </c>
      <c r="AQ1479" t="inlineStr">
        <is>
          <t>No</t>
        </is>
      </c>
      <c r="AS1479">
        <f>HYPERLINK("https://creighton-primo.hosted.exlibrisgroup.com/primo-explore/search?tab=default_tab&amp;search_scope=EVERYTHING&amp;vid=01CRU&amp;lang=en_US&amp;offset=0&amp;query=any,contains,991001083999702656","Catalog Record")</f>
        <v/>
      </c>
      <c r="AT1479">
        <f>HYPERLINK("http://www.worldcat.org/oclc/179654","WorldCat Record")</f>
        <v/>
      </c>
      <c r="AU1479" t="inlineStr">
        <is>
          <t>359149437:eng</t>
        </is>
      </c>
      <c r="AV1479" t="inlineStr">
        <is>
          <t>179654</t>
        </is>
      </c>
      <c r="AW1479" t="inlineStr">
        <is>
          <t>991001083999702656</t>
        </is>
      </c>
      <c r="AX1479" t="inlineStr">
        <is>
          <t>991001083999702656</t>
        </is>
      </c>
      <c r="AY1479" t="inlineStr">
        <is>
          <t>2264987490002656</t>
        </is>
      </c>
      <c r="AZ1479" t="inlineStr">
        <is>
          <t>BOOK</t>
        </is>
      </c>
      <c r="BC1479" t="inlineStr">
        <is>
          <t>32285002557451</t>
        </is>
      </c>
      <c r="BD1479" t="inlineStr">
        <is>
          <t>893897496</t>
        </is>
      </c>
    </row>
    <row r="1480">
      <c r="A1480" t="inlineStr">
        <is>
          <t>No</t>
        </is>
      </c>
      <c r="B1480" t="inlineStr">
        <is>
          <t>E649 .W27</t>
        </is>
      </c>
      <c r="C1480" t="inlineStr">
        <is>
          <t>0                      E  0649000W  27</t>
        </is>
      </c>
      <c r="D1480" t="inlineStr">
        <is>
          <t>The legacy of the Civil War : meditations on the centennial.</t>
        </is>
      </c>
      <c r="F1480" t="inlineStr">
        <is>
          <t>No</t>
        </is>
      </c>
      <c r="G1480" t="inlineStr">
        <is>
          <t>1</t>
        </is>
      </c>
      <c r="H1480" t="inlineStr">
        <is>
          <t>No</t>
        </is>
      </c>
      <c r="I1480" t="inlineStr">
        <is>
          <t>No</t>
        </is>
      </c>
      <c r="J1480" t="inlineStr">
        <is>
          <t>0</t>
        </is>
      </c>
      <c r="K1480" t="inlineStr">
        <is>
          <t>Warren, Robert Penn, 1905-1989.</t>
        </is>
      </c>
      <c r="L1480" t="inlineStr">
        <is>
          <t>New York : Random House, [1961]</t>
        </is>
      </c>
      <c r="M1480" t="inlineStr">
        <is>
          <t>1961</t>
        </is>
      </c>
      <c r="O1480" t="inlineStr">
        <is>
          <t>eng</t>
        </is>
      </c>
      <c r="P1480" t="inlineStr">
        <is>
          <t>nyu</t>
        </is>
      </c>
      <c r="R1480" t="inlineStr">
        <is>
          <t xml:space="preserve">E  </t>
        </is>
      </c>
      <c r="S1480" t="n">
        <v>3</v>
      </c>
      <c r="T1480" t="n">
        <v>3</v>
      </c>
      <c r="U1480" t="inlineStr">
        <is>
          <t>1996-06-18</t>
        </is>
      </c>
      <c r="V1480" t="inlineStr">
        <is>
          <t>1996-06-18</t>
        </is>
      </c>
      <c r="W1480" t="inlineStr">
        <is>
          <t>1990-10-05</t>
        </is>
      </c>
      <c r="X1480" t="inlineStr">
        <is>
          <t>1990-10-05</t>
        </is>
      </c>
      <c r="Y1480" t="n">
        <v>962</v>
      </c>
      <c r="Z1480" t="n">
        <v>858</v>
      </c>
      <c r="AA1480" t="n">
        <v>1255</v>
      </c>
      <c r="AB1480" t="n">
        <v>6</v>
      </c>
      <c r="AC1480" t="n">
        <v>11</v>
      </c>
      <c r="AD1480" t="n">
        <v>38</v>
      </c>
      <c r="AE1480" t="n">
        <v>46</v>
      </c>
      <c r="AF1480" t="n">
        <v>14</v>
      </c>
      <c r="AG1480" t="n">
        <v>19</v>
      </c>
      <c r="AH1480" t="n">
        <v>9</v>
      </c>
      <c r="AI1480" t="n">
        <v>9</v>
      </c>
      <c r="AJ1480" t="n">
        <v>17</v>
      </c>
      <c r="AK1480" t="n">
        <v>19</v>
      </c>
      <c r="AL1480" t="n">
        <v>4</v>
      </c>
      <c r="AM1480" t="n">
        <v>7</v>
      </c>
      <c r="AN1480" t="n">
        <v>1</v>
      </c>
      <c r="AO1480" t="n">
        <v>1</v>
      </c>
      <c r="AP1480" t="inlineStr">
        <is>
          <t>No</t>
        </is>
      </c>
      <c r="AQ1480" t="inlineStr">
        <is>
          <t>Yes</t>
        </is>
      </c>
      <c r="AR1480">
        <f>HYPERLINK("http://catalog.hathitrust.org/Record/000422560","HathiTrust Record")</f>
        <v/>
      </c>
      <c r="AS1480">
        <f>HYPERLINK("https://creighton-primo.hosted.exlibrisgroup.com/primo-explore/search?tab=default_tab&amp;search_scope=EVERYTHING&amp;vid=01CRU&amp;lang=en_US&amp;offset=0&amp;query=any,contains,991003413019702656","Catalog Record")</f>
        <v/>
      </c>
      <c r="AT1480">
        <f>HYPERLINK("http://www.worldcat.org/oclc/951489","WorldCat Record")</f>
        <v/>
      </c>
      <c r="AU1480" t="inlineStr">
        <is>
          <t>52426347:eng</t>
        </is>
      </c>
      <c r="AV1480" t="inlineStr">
        <is>
          <t>951489</t>
        </is>
      </c>
      <c r="AW1480" t="inlineStr">
        <is>
          <t>991003413019702656</t>
        </is>
      </c>
      <c r="AX1480" t="inlineStr">
        <is>
          <t>991003413019702656</t>
        </is>
      </c>
      <c r="AY1480" t="inlineStr">
        <is>
          <t>2263939480002656</t>
        </is>
      </c>
      <c r="AZ1480" t="inlineStr">
        <is>
          <t>BOOK</t>
        </is>
      </c>
      <c r="BC1480" t="inlineStr">
        <is>
          <t>32285000333004</t>
        </is>
      </c>
      <c r="BD1480" t="inlineStr">
        <is>
          <t>893445648</t>
        </is>
      </c>
    </row>
    <row r="1481">
      <c r="A1481" t="inlineStr">
        <is>
          <t>No</t>
        </is>
      </c>
      <c r="B1481" t="inlineStr">
        <is>
          <t>E656 .C48 2001</t>
        </is>
      </c>
      <c r="C1481" t="inlineStr">
        <is>
          <t>0                      E  0656000C  48          2001</t>
        </is>
      </c>
      <c r="D1481" t="inlineStr">
        <is>
          <t>The reel Civil War : mythmaking in American film / Bruce Chadwick.</t>
        </is>
      </c>
      <c r="F1481" t="inlineStr">
        <is>
          <t>No</t>
        </is>
      </c>
      <c r="G1481" t="inlineStr">
        <is>
          <t>1</t>
        </is>
      </c>
      <c r="H1481" t="inlineStr">
        <is>
          <t>No</t>
        </is>
      </c>
      <c r="I1481" t="inlineStr">
        <is>
          <t>No</t>
        </is>
      </c>
      <c r="J1481" t="inlineStr">
        <is>
          <t>0</t>
        </is>
      </c>
      <c r="K1481" t="inlineStr">
        <is>
          <t>Chadwick, Bruce.</t>
        </is>
      </c>
      <c r="L1481" t="inlineStr">
        <is>
          <t>New York : Alfred A. Knopf, c2001.</t>
        </is>
      </c>
      <c r="M1481" t="inlineStr">
        <is>
          <t>2001</t>
        </is>
      </c>
      <c r="N1481" t="inlineStr">
        <is>
          <t>1st ed.</t>
        </is>
      </c>
      <c r="O1481" t="inlineStr">
        <is>
          <t>eng</t>
        </is>
      </c>
      <c r="P1481" t="inlineStr">
        <is>
          <t>nyu</t>
        </is>
      </c>
      <c r="R1481" t="inlineStr">
        <is>
          <t xml:space="preserve">E  </t>
        </is>
      </c>
      <c r="S1481" t="n">
        <v>23</v>
      </c>
      <c r="T1481" t="n">
        <v>23</v>
      </c>
      <c r="U1481" t="inlineStr">
        <is>
          <t>2005-11-28</t>
        </is>
      </c>
      <c r="V1481" t="inlineStr">
        <is>
          <t>2005-11-28</t>
        </is>
      </c>
      <c r="W1481" t="inlineStr">
        <is>
          <t>2002-03-27</t>
        </is>
      </c>
      <c r="X1481" t="inlineStr">
        <is>
          <t>2002-03-27</t>
        </is>
      </c>
      <c r="Y1481" t="n">
        <v>750</v>
      </c>
      <c r="Z1481" t="n">
        <v>688</v>
      </c>
      <c r="AA1481" t="n">
        <v>780</v>
      </c>
      <c r="AB1481" t="n">
        <v>6</v>
      </c>
      <c r="AC1481" t="n">
        <v>6</v>
      </c>
      <c r="AD1481" t="n">
        <v>33</v>
      </c>
      <c r="AE1481" t="n">
        <v>34</v>
      </c>
      <c r="AF1481" t="n">
        <v>12</v>
      </c>
      <c r="AG1481" t="n">
        <v>13</v>
      </c>
      <c r="AH1481" t="n">
        <v>9</v>
      </c>
      <c r="AI1481" t="n">
        <v>9</v>
      </c>
      <c r="AJ1481" t="n">
        <v>15</v>
      </c>
      <c r="AK1481" t="n">
        <v>15</v>
      </c>
      <c r="AL1481" t="n">
        <v>5</v>
      </c>
      <c r="AM1481" t="n">
        <v>5</v>
      </c>
      <c r="AN1481" t="n">
        <v>0</v>
      </c>
      <c r="AO1481" t="n">
        <v>0</v>
      </c>
      <c r="AP1481" t="inlineStr">
        <is>
          <t>No</t>
        </is>
      </c>
      <c r="AQ1481" t="inlineStr">
        <is>
          <t>Yes</t>
        </is>
      </c>
      <c r="AR1481">
        <f>HYPERLINK("http://catalog.hathitrust.org/Record/004201072","HathiTrust Record")</f>
        <v/>
      </c>
      <c r="AS1481">
        <f>HYPERLINK("https://creighton-primo.hosted.exlibrisgroup.com/primo-explore/search?tab=default_tab&amp;search_scope=EVERYTHING&amp;vid=01CRU&amp;lang=en_US&amp;offset=0&amp;query=any,contains,991003767489702656","Catalog Record")</f>
        <v/>
      </c>
      <c r="AT1481">
        <f>HYPERLINK("http://www.worldcat.org/oclc/48024410","WorldCat Record")</f>
        <v/>
      </c>
      <c r="AU1481" t="inlineStr">
        <is>
          <t>36447292:eng</t>
        </is>
      </c>
      <c r="AV1481" t="inlineStr">
        <is>
          <t>48024410</t>
        </is>
      </c>
      <c r="AW1481" t="inlineStr">
        <is>
          <t>991003767489702656</t>
        </is>
      </c>
      <c r="AX1481" t="inlineStr">
        <is>
          <t>991003767489702656</t>
        </is>
      </c>
      <c r="AY1481" t="inlineStr">
        <is>
          <t>2269939830002656</t>
        </is>
      </c>
      <c r="AZ1481" t="inlineStr">
        <is>
          <t>BOOK</t>
        </is>
      </c>
      <c r="BB1481" t="inlineStr">
        <is>
          <t>9780375409189</t>
        </is>
      </c>
      <c r="BC1481" t="inlineStr">
        <is>
          <t>32285004475249</t>
        </is>
      </c>
      <c r="BD1481" t="inlineStr">
        <is>
          <t>893722087</t>
        </is>
      </c>
    </row>
    <row r="1482">
      <c r="A1482" t="inlineStr">
        <is>
          <t>No</t>
        </is>
      </c>
      <c r="B1482" t="inlineStr">
        <is>
          <t>E661 .B36 1971</t>
        </is>
      </c>
      <c r="C1482" t="inlineStr">
        <is>
          <t>0                      E  0661000B  36          1971</t>
        </is>
      </c>
      <c r="D1482" t="inlineStr">
        <is>
          <t>Contemporary American history, 1877-1913.</t>
        </is>
      </c>
      <c r="F1482" t="inlineStr">
        <is>
          <t>No</t>
        </is>
      </c>
      <c r="G1482" t="inlineStr">
        <is>
          <t>1</t>
        </is>
      </c>
      <c r="H1482" t="inlineStr">
        <is>
          <t>No</t>
        </is>
      </c>
      <c r="I1482" t="inlineStr">
        <is>
          <t>No</t>
        </is>
      </c>
      <c r="J1482" t="inlineStr">
        <is>
          <t>0</t>
        </is>
      </c>
      <c r="K1482" t="inlineStr">
        <is>
          <t>Beard, Charles A. (Charles Austin), 1874-1948.</t>
        </is>
      </c>
      <c r="L1482" t="inlineStr">
        <is>
          <t>Port Washington, N.Y., Kennikat Press [1971, c1914]</t>
        </is>
      </c>
      <c r="M1482" t="inlineStr">
        <is>
          <t>1971</t>
        </is>
      </c>
      <c r="O1482" t="inlineStr">
        <is>
          <t>eng</t>
        </is>
      </c>
      <c r="P1482" t="inlineStr">
        <is>
          <t>nyu</t>
        </is>
      </c>
      <c r="Q1482" t="inlineStr">
        <is>
          <t>Kennikat Press scholarly reprints. Series in American history and culture in the nineteenth century</t>
        </is>
      </c>
      <c r="R1482" t="inlineStr">
        <is>
          <t xml:space="preserve">E  </t>
        </is>
      </c>
      <c r="S1482" t="n">
        <v>1</v>
      </c>
      <c r="T1482" t="n">
        <v>1</v>
      </c>
      <c r="U1482" t="inlineStr">
        <is>
          <t>2001-09-18</t>
        </is>
      </c>
      <c r="V1482" t="inlineStr">
        <is>
          <t>2001-09-18</t>
        </is>
      </c>
      <c r="W1482" t="inlineStr">
        <is>
          <t>1997-04-21</t>
        </is>
      </c>
      <c r="X1482" t="inlineStr">
        <is>
          <t>1997-04-21</t>
        </is>
      </c>
      <c r="Y1482" t="n">
        <v>135</v>
      </c>
      <c r="Z1482" t="n">
        <v>115</v>
      </c>
      <c r="AA1482" t="n">
        <v>639</v>
      </c>
      <c r="AB1482" t="n">
        <v>1</v>
      </c>
      <c r="AC1482" t="n">
        <v>6</v>
      </c>
      <c r="AD1482" t="n">
        <v>2</v>
      </c>
      <c r="AE1482" t="n">
        <v>27</v>
      </c>
      <c r="AF1482" t="n">
        <v>0</v>
      </c>
      <c r="AG1482" t="n">
        <v>8</v>
      </c>
      <c r="AH1482" t="n">
        <v>1</v>
      </c>
      <c r="AI1482" t="n">
        <v>8</v>
      </c>
      <c r="AJ1482" t="n">
        <v>2</v>
      </c>
      <c r="AK1482" t="n">
        <v>13</v>
      </c>
      <c r="AL1482" t="n">
        <v>0</v>
      </c>
      <c r="AM1482" t="n">
        <v>5</v>
      </c>
      <c r="AN1482" t="n">
        <v>0</v>
      </c>
      <c r="AO1482" t="n">
        <v>0</v>
      </c>
      <c r="AP1482" t="inlineStr">
        <is>
          <t>No</t>
        </is>
      </c>
      <c r="AQ1482" t="inlineStr">
        <is>
          <t>No</t>
        </is>
      </c>
      <c r="AS1482">
        <f>HYPERLINK("https://creighton-primo.hosted.exlibrisgroup.com/primo-explore/search?tab=default_tab&amp;search_scope=EVERYTHING&amp;vid=01CRU&amp;lang=en_US&amp;offset=0&amp;query=any,contains,991000672789702656","Catalog Record")</f>
        <v/>
      </c>
      <c r="AT1482">
        <f>HYPERLINK("http://www.worldcat.org/oclc/119343","WorldCat Record")</f>
        <v/>
      </c>
      <c r="AU1482" t="inlineStr">
        <is>
          <t>691953086:eng</t>
        </is>
      </c>
      <c r="AV1482" t="inlineStr">
        <is>
          <t>119343</t>
        </is>
      </c>
      <c r="AW1482" t="inlineStr">
        <is>
          <t>991000672789702656</t>
        </is>
      </c>
      <c r="AX1482" t="inlineStr">
        <is>
          <t>991000672789702656</t>
        </is>
      </c>
      <c r="AY1482" t="inlineStr">
        <is>
          <t>2264265770002656</t>
        </is>
      </c>
      <c r="AZ1482" t="inlineStr">
        <is>
          <t>BOOK</t>
        </is>
      </c>
      <c r="BB1482" t="inlineStr">
        <is>
          <t>9780804614702</t>
        </is>
      </c>
      <c r="BC1482" t="inlineStr">
        <is>
          <t>32285002558137</t>
        </is>
      </c>
      <c r="BD1482" t="inlineStr">
        <is>
          <t>893249559</t>
        </is>
      </c>
    </row>
    <row r="1483">
      <c r="A1483" t="inlineStr">
        <is>
          <t>No</t>
        </is>
      </c>
      <c r="B1483" t="inlineStr">
        <is>
          <t>E661 .B84</t>
        </is>
      </c>
      <c r="C1483" t="inlineStr">
        <is>
          <t>0                      E  0661000B  84</t>
        </is>
      </c>
      <c r="D1483" t="inlineStr">
        <is>
          <t>The road to reunion, 1865-1900.</t>
        </is>
      </c>
      <c r="F1483" t="inlineStr">
        <is>
          <t>No</t>
        </is>
      </c>
      <c r="G1483" t="inlineStr">
        <is>
          <t>1</t>
        </is>
      </c>
      <c r="H1483" t="inlineStr">
        <is>
          <t>No</t>
        </is>
      </c>
      <c r="I1483" t="inlineStr">
        <is>
          <t>No</t>
        </is>
      </c>
      <c r="J1483" t="inlineStr">
        <is>
          <t>0</t>
        </is>
      </c>
      <c r="K1483" t="inlineStr">
        <is>
          <t>Buck, Paul Herman, 1899-1978.</t>
        </is>
      </c>
      <c r="L1483" t="inlineStr">
        <is>
          <t>Boston, Little, Brown and Company [c1937]</t>
        </is>
      </c>
      <c r="M1483" t="inlineStr">
        <is>
          <t>1937</t>
        </is>
      </c>
      <c r="O1483" t="inlineStr">
        <is>
          <t>eng</t>
        </is>
      </c>
      <c r="P1483" t="inlineStr">
        <is>
          <t>mau</t>
        </is>
      </c>
      <c r="R1483" t="inlineStr">
        <is>
          <t xml:space="preserve">E  </t>
        </is>
      </c>
      <c r="S1483" t="n">
        <v>2</v>
      </c>
      <c r="T1483" t="n">
        <v>2</v>
      </c>
      <c r="U1483" t="inlineStr">
        <is>
          <t>2003-04-14</t>
        </is>
      </c>
      <c r="V1483" t="inlineStr">
        <is>
          <t>2003-04-14</t>
        </is>
      </c>
      <c r="W1483" t="inlineStr">
        <is>
          <t>1997-04-21</t>
        </is>
      </c>
      <c r="X1483" t="inlineStr">
        <is>
          <t>1997-04-21</t>
        </is>
      </c>
      <c r="Y1483" t="n">
        <v>1279</v>
      </c>
      <c r="Z1483" t="n">
        <v>1197</v>
      </c>
      <c r="AA1483" t="n">
        <v>1438</v>
      </c>
      <c r="AB1483" t="n">
        <v>9</v>
      </c>
      <c r="AC1483" t="n">
        <v>9</v>
      </c>
      <c r="AD1483" t="n">
        <v>45</v>
      </c>
      <c r="AE1483" t="n">
        <v>54</v>
      </c>
      <c r="AF1483" t="n">
        <v>20</v>
      </c>
      <c r="AG1483" t="n">
        <v>26</v>
      </c>
      <c r="AH1483" t="n">
        <v>5</v>
      </c>
      <c r="AI1483" t="n">
        <v>9</v>
      </c>
      <c r="AJ1483" t="n">
        <v>21</v>
      </c>
      <c r="AK1483" t="n">
        <v>24</v>
      </c>
      <c r="AL1483" t="n">
        <v>7</v>
      </c>
      <c r="AM1483" t="n">
        <v>7</v>
      </c>
      <c r="AN1483" t="n">
        <v>1</v>
      </c>
      <c r="AO1483" t="n">
        <v>1</v>
      </c>
      <c r="AP1483" t="inlineStr">
        <is>
          <t>No</t>
        </is>
      </c>
      <c r="AQ1483" t="inlineStr">
        <is>
          <t>Yes</t>
        </is>
      </c>
      <c r="AR1483">
        <f>HYPERLINK("http://catalog.hathitrust.org/Record/000464485","HathiTrust Record")</f>
        <v/>
      </c>
      <c r="AS1483">
        <f>HYPERLINK("https://creighton-primo.hosted.exlibrisgroup.com/primo-explore/search?tab=default_tab&amp;search_scope=EVERYTHING&amp;vid=01CRU&amp;lang=en_US&amp;offset=0&amp;query=any,contains,991003889579702656","Catalog Record")</f>
        <v/>
      </c>
      <c r="AT1483">
        <f>HYPERLINK("http://www.worldcat.org/oclc/1749875","WorldCat Record")</f>
        <v/>
      </c>
      <c r="AU1483" t="inlineStr">
        <is>
          <t>101372983:eng</t>
        </is>
      </c>
      <c r="AV1483" t="inlineStr">
        <is>
          <t>1749875</t>
        </is>
      </c>
      <c r="AW1483" t="inlineStr">
        <is>
          <t>991003889579702656</t>
        </is>
      </c>
      <c r="AX1483" t="inlineStr">
        <is>
          <t>991003889579702656</t>
        </is>
      </c>
      <c r="AY1483" t="inlineStr">
        <is>
          <t>2260713590002656</t>
        </is>
      </c>
      <c r="AZ1483" t="inlineStr">
        <is>
          <t>BOOK</t>
        </is>
      </c>
      <c r="BC1483" t="inlineStr">
        <is>
          <t>32285002558202</t>
        </is>
      </c>
      <c r="BD1483" t="inlineStr">
        <is>
          <t>893324663</t>
        </is>
      </c>
    </row>
    <row r="1484">
      <c r="A1484" t="inlineStr">
        <is>
          <t>No</t>
        </is>
      </c>
      <c r="B1484" t="inlineStr">
        <is>
          <t>E661 .C72 1980</t>
        </is>
      </c>
      <c r="C1484" t="inlineStr">
        <is>
          <t>0                      E  0661000C  72          1980</t>
        </is>
      </c>
      <c r="D1484" t="inlineStr">
        <is>
          <t>Conflict and consensus in modern American history / edited and with introductions by Allen F. Davis, Harold D. Woodman.</t>
        </is>
      </c>
      <c r="F1484" t="inlineStr">
        <is>
          <t>No</t>
        </is>
      </c>
      <c r="G1484" t="inlineStr">
        <is>
          <t>1</t>
        </is>
      </c>
      <c r="H1484" t="inlineStr">
        <is>
          <t>No</t>
        </is>
      </c>
      <c r="I1484" t="inlineStr">
        <is>
          <t>No</t>
        </is>
      </c>
      <c r="J1484" t="inlineStr">
        <is>
          <t>0</t>
        </is>
      </c>
      <c r="L1484" t="inlineStr">
        <is>
          <t>Lexington, Mass. : D.C. Heath, c1980.</t>
        </is>
      </c>
      <c r="M1484" t="inlineStr">
        <is>
          <t>1980</t>
        </is>
      </c>
      <c r="N1484" t="inlineStr">
        <is>
          <t>5th ed.</t>
        </is>
      </c>
      <c r="O1484" t="inlineStr">
        <is>
          <t>eng</t>
        </is>
      </c>
      <c r="P1484" t="inlineStr">
        <is>
          <t>mau</t>
        </is>
      </c>
      <c r="R1484" t="inlineStr">
        <is>
          <t xml:space="preserve">E  </t>
        </is>
      </c>
      <c r="S1484" t="n">
        <v>2</v>
      </c>
      <c r="T1484" t="n">
        <v>2</v>
      </c>
      <c r="U1484" t="inlineStr">
        <is>
          <t>1992-08-10</t>
        </is>
      </c>
      <c r="V1484" t="inlineStr">
        <is>
          <t>1992-08-10</t>
        </is>
      </c>
      <c r="W1484" t="inlineStr">
        <is>
          <t>1991-05-14</t>
        </is>
      </c>
      <c r="X1484" t="inlineStr">
        <is>
          <t>1991-05-14</t>
        </is>
      </c>
      <c r="Y1484" t="n">
        <v>116</v>
      </c>
      <c r="Z1484" t="n">
        <v>103</v>
      </c>
      <c r="AA1484" t="n">
        <v>498</v>
      </c>
      <c r="AB1484" t="n">
        <v>1</v>
      </c>
      <c r="AC1484" t="n">
        <v>4</v>
      </c>
      <c r="AD1484" t="n">
        <v>2</v>
      </c>
      <c r="AE1484" t="n">
        <v>13</v>
      </c>
      <c r="AF1484" t="n">
        <v>1</v>
      </c>
      <c r="AG1484" t="n">
        <v>4</v>
      </c>
      <c r="AH1484" t="n">
        <v>1</v>
      </c>
      <c r="AI1484" t="n">
        <v>3</v>
      </c>
      <c r="AJ1484" t="n">
        <v>1</v>
      </c>
      <c r="AK1484" t="n">
        <v>6</v>
      </c>
      <c r="AL1484" t="n">
        <v>0</v>
      </c>
      <c r="AM1484" t="n">
        <v>2</v>
      </c>
      <c r="AN1484" t="n">
        <v>0</v>
      </c>
      <c r="AO1484" t="n">
        <v>0</v>
      </c>
      <c r="AP1484" t="inlineStr">
        <is>
          <t>No</t>
        </is>
      </c>
      <c r="AQ1484" t="inlineStr">
        <is>
          <t>Yes</t>
        </is>
      </c>
      <c r="AR1484">
        <f>HYPERLINK("http://catalog.hathitrust.org/Record/009909516","HathiTrust Record")</f>
        <v/>
      </c>
      <c r="AS1484">
        <f>HYPERLINK("https://creighton-primo.hosted.exlibrisgroup.com/primo-explore/search?tab=default_tab&amp;search_scope=EVERYTHING&amp;vid=01CRU&amp;lang=en_US&amp;offset=0&amp;query=any,contains,991004910959702656","Catalog Record")</f>
        <v/>
      </c>
      <c r="AT1484">
        <f>HYPERLINK("http://www.worldcat.org/oclc/5990988","WorldCat Record")</f>
        <v/>
      </c>
      <c r="AU1484" t="inlineStr">
        <is>
          <t>3855318709:eng</t>
        </is>
      </c>
      <c r="AV1484" t="inlineStr">
        <is>
          <t>5990988</t>
        </is>
      </c>
      <c r="AW1484" t="inlineStr">
        <is>
          <t>991004910959702656</t>
        </is>
      </c>
      <c r="AX1484" t="inlineStr">
        <is>
          <t>991004910959702656</t>
        </is>
      </c>
      <c r="AY1484" t="inlineStr">
        <is>
          <t>2260809330002656</t>
        </is>
      </c>
      <c r="AZ1484" t="inlineStr">
        <is>
          <t>BOOK</t>
        </is>
      </c>
      <c r="BB1484" t="inlineStr">
        <is>
          <t>9780669024906</t>
        </is>
      </c>
      <c r="BC1484" t="inlineStr">
        <is>
          <t>32285000611151</t>
        </is>
      </c>
      <c r="BD1484" t="inlineStr">
        <is>
          <t>893241961</t>
        </is>
      </c>
    </row>
    <row r="1485">
      <c r="A1485" t="inlineStr">
        <is>
          <t>No</t>
        </is>
      </c>
      <c r="B1485" t="inlineStr">
        <is>
          <t>E661 .F52</t>
        </is>
      </c>
      <c r="C1485" t="inlineStr">
        <is>
          <t>0                      E  0661000F  52</t>
        </is>
      </c>
      <c r="D1485" t="inlineStr">
        <is>
          <t>Appointment at Armageddon : muckraking and progressivism in the American tradition / Louis Filler.</t>
        </is>
      </c>
      <c r="F1485" t="inlineStr">
        <is>
          <t>No</t>
        </is>
      </c>
      <c r="G1485" t="inlineStr">
        <is>
          <t>1</t>
        </is>
      </c>
      <c r="H1485" t="inlineStr">
        <is>
          <t>No</t>
        </is>
      </c>
      <c r="I1485" t="inlineStr">
        <is>
          <t>No</t>
        </is>
      </c>
      <c r="J1485" t="inlineStr">
        <is>
          <t>0</t>
        </is>
      </c>
      <c r="K1485" t="inlineStr">
        <is>
          <t>Filler, Louis, 1911-1998.</t>
        </is>
      </c>
      <c r="L1485" t="inlineStr">
        <is>
          <t>Westport, Conn. : Greenwood Press, 1976.</t>
        </is>
      </c>
      <c r="M1485" t="inlineStr">
        <is>
          <t>1976</t>
        </is>
      </c>
      <c r="O1485" t="inlineStr">
        <is>
          <t>eng</t>
        </is>
      </c>
      <c r="P1485" t="inlineStr">
        <is>
          <t>ctu</t>
        </is>
      </c>
      <c r="Q1485" t="inlineStr">
        <is>
          <t>Contributions in American studies ; no. 20</t>
        </is>
      </c>
      <c r="R1485" t="inlineStr">
        <is>
          <t xml:space="preserve">E  </t>
        </is>
      </c>
      <c r="S1485" t="n">
        <v>6</v>
      </c>
      <c r="T1485" t="n">
        <v>6</v>
      </c>
      <c r="U1485" t="inlineStr">
        <is>
          <t>1998-06-11</t>
        </is>
      </c>
      <c r="V1485" t="inlineStr">
        <is>
          <t>1998-06-11</t>
        </is>
      </c>
      <c r="W1485" t="inlineStr">
        <is>
          <t>1990-02-22</t>
        </is>
      </c>
      <c r="X1485" t="inlineStr">
        <is>
          <t>1990-02-22</t>
        </is>
      </c>
      <c r="Y1485" t="n">
        <v>761</v>
      </c>
      <c r="Z1485" t="n">
        <v>654</v>
      </c>
      <c r="AA1485" t="n">
        <v>665</v>
      </c>
      <c r="AB1485" t="n">
        <v>10</v>
      </c>
      <c r="AC1485" t="n">
        <v>10</v>
      </c>
      <c r="AD1485" t="n">
        <v>34</v>
      </c>
      <c r="AE1485" t="n">
        <v>34</v>
      </c>
      <c r="AF1485" t="n">
        <v>12</v>
      </c>
      <c r="AG1485" t="n">
        <v>12</v>
      </c>
      <c r="AH1485" t="n">
        <v>6</v>
      </c>
      <c r="AI1485" t="n">
        <v>6</v>
      </c>
      <c r="AJ1485" t="n">
        <v>17</v>
      </c>
      <c r="AK1485" t="n">
        <v>17</v>
      </c>
      <c r="AL1485" t="n">
        <v>8</v>
      </c>
      <c r="AM1485" t="n">
        <v>8</v>
      </c>
      <c r="AN1485" t="n">
        <v>0</v>
      </c>
      <c r="AO1485" t="n">
        <v>0</v>
      </c>
      <c r="AP1485" t="inlineStr">
        <is>
          <t>No</t>
        </is>
      </c>
      <c r="AQ1485" t="inlineStr">
        <is>
          <t>Yes</t>
        </is>
      </c>
      <c r="AR1485">
        <f>HYPERLINK("http://catalog.hathitrust.org/Record/000697726","HathiTrust Record")</f>
        <v/>
      </c>
      <c r="AS1485">
        <f>HYPERLINK("https://creighton-primo.hosted.exlibrisgroup.com/primo-explore/search?tab=default_tab&amp;search_scope=EVERYTHING&amp;vid=01CRU&amp;lang=en_US&amp;offset=0&amp;query=any,contains,991003917419702656","Catalog Record")</f>
        <v/>
      </c>
      <c r="AT1485">
        <f>HYPERLINK("http://www.worldcat.org/oclc/1863378","WorldCat Record")</f>
        <v/>
      </c>
      <c r="AU1485" t="inlineStr">
        <is>
          <t>158959800:eng</t>
        </is>
      </c>
      <c r="AV1485" t="inlineStr">
        <is>
          <t>1863378</t>
        </is>
      </c>
      <c r="AW1485" t="inlineStr">
        <is>
          <t>991003917419702656</t>
        </is>
      </c>
      <c r="AX1485" t="inlineStr">
        <is>
          <t>991003917419702656</t>
        </is>
      </c>
      <c r="AY1485" t="inlineStr">
        <is>
          <t>2263217950002656</t>
        </is>
      </c>
      <c r="AZ1485" t="inlineStr">
        <is>
          <t>BOOK</t>
        </is>
      </c>
      <c r="BB1485" t="inlineStr">
        <is>
          <t>9780837182612</t>
        </is>
      </c>
      <c r="BC1485" t="inlineStr">
        <is>
          <t>32285000060128</t>
        </is>
      </c>
      <c r="BD1485" t="inlineStr">
        <is>
          <t>893519036</t>
        </is>
      </c>
    </row>
    <row r="1486">
      <c r="A1486" t="inlineStr">
        <is>
          <t>No</t>
        </is>
      </c>
      <c r="B1486" t="inlineStr">
        <is>
          <t>E661 .K22 1980</t>
        </is>
      </c>
      <c r="C1486" t="inlineStr">
        <is>
          <t>0                      E  0661000K  22          1980</t>
        </is>
      </c>
      <c r="D1486" t="inlineStr">
        <is>
          <t>The politics of war : the story of two wars which altered forever the political life of the American Republic (1890-1920) / Walter Karp.</t>
        </is>
      </c>
      <c r="F1486" t="inlineStr">
        <is>
          <t>No</t>
        </is>
      </c>
      <c r="G1486" t="inlineStr">
        <is>
          <t>1</t>
        </is>
      </c>
      <c r="H1486" t="inlineStr">
        <is>
          <t>No</t>
        </is>
      </c>
      <c r="I1486" t="inlineStr">
        <is>
          <t>No</t>
        </is>
      </c>
      <c r="J1486" t="inlineStr">
        <is>
          <t>0</t>
        </is>
      </c>
      <c r="K1486" t="inlineStr">
        <is>
          <t>Karp, Walter.</t>
        </is>
      </c>
      <c r="L1486" t="inlineStr">
        <is>
          <t>New York : Harper &amp; Row, 1980, c1979.</t>
        </is>
      </c>
      <c r="M1486" t="inlineStr">
        <is>
          <t>1979</t>
        </is>
      </c>
      <c r="N1486" t="inlineStr">
        <is>
          <t>1st Harper Colophon ed.</t>
        </is>
      </c>
      <c r="O1486" t="inlineStr">
        <is>
          <t>eng</t>
        </is>
      </c>
      <c r="P1486" t="inlineStr">
        <is>
          <t>nyu</t>
        </is>
      </c>
      <c r="R1486" t="inlineStr">
        <is>
          <t xml:space="preserve">E  </t>
        </is>
      </c>
      <c r="S1486" t="n">
        <v>4</v>
      </c>
      <c r="T1486" t="n">
        <v>4</v>
      </c>
      <c r="U1486" t="inlineStr">
        <is>
          <t>1996-03-20</t>
        </is>
      </c>
      <c r="V1486" t="inlineStr">
        <is>
          <t>1996-03-20</t>
        </is>
      </c>
      <c r="W1486" t="inlineStr">
        <is>
          <t>1991-05-14</t>
        </is>
      </c>
      <c r="X1486" t="inlineStr">
        <is>
          <t>1991-05-14</t>
        </is>
      </c>
      <c r="Y1486" t="n">
        <v>560</v>
      </c>
      <c r="Z1486" t="n">
        <v>509</v>
      </c>
      <c r="AA1486" t="n">
        <v>604</v>
      </c>
      <c r="AB1486" t="n">
        <v>5</v>
      </c>
      <c r="AC1486" t="n">
        <v>5</v>
      </c>
      <c r="AD1486" t="n">
        <v>21</v>
      </c>
      <c r="AE1486" t="n">
        <v>24</v>
      </c>
      <c r="AF1486" t="n">
        <v>7</v>
      </c>
      <c r="AG1486" t="n">
        <v>8</v>
      </c>
      <c r="AH1486" t="n">
        <v>5</v>
      </c>
      <c r="AI1486" t="n">
        <v>5</v>
      </c>
      <c r="AJ1486" t="n">
        <v>9</v>
      </c>
      <c r="AK1486" t="n">
        <v>11</v>
      </c>
      <c r="AL1486" t="n">
        <v>4</v>
      </c>
      <c r="AM1486" t="n">
        <v>4</v>
      </c>
      <c r="AN1486" t="n">
        <v>1</v>
      </c>
      <c r="AO1486" t="n">
        <v>1</v>
      </c>
      <c r="AP1486" t="inlineStr">
        <is>
          <t>No</t>
        </is>
      </c>
      <c r="AQ1486" t="inlineStr">
        <is>
          <t>Yes</t>
        </is>
      </c>
      <c r="AR1486">
        <f>HYPERLINK("http://catalog.hathitrust.org/Record/000259246","HathiTrust Record")</f>
        <v/>
      </c>
      <c r="AS1486">
        <f>HYPERLINK("https://creighton-primo.hosted.exlibrisgroup.com/primo-explore/search?tab=default_tab&amp;search_scope=EVERYTHING&amp;vid=01CRU&amp;lang=en_US&amp;offset=0&amp;query=any,contains,991004687149702656","Catalog Record")</f>
        <v/>
      </c>
      <c r="AT1486">
        <f>HYPERLINK("http://www.worldcat.org/oclc/4593327","WorldCat Record")</f>
        <v/>
      </c>
      <c r="AU1486" t="inlineStr">
        <is>
          <t>819700:eng</t>
        </is>
      </c>
      <c r="AV1486" t="inlineStr">
        <is>
          <t>4593327</t>
        </is>
      </c>
      <c r="AW1486" t="inlineStr">
        <is>
          <t>991004687149702656</t>
        </is>
      </c>
      <c r="AX1486" t="inlineStr">
        <is>
          <t>991004687149702656</t>
        </is>
      </c>
      <c r="AY1486" t="inlineStr">
        <is>
          <t>2270995230002656</t>
        </is>
      </c>
      <c r="AZ1486" t="inlineStr">
        <is>
          <t>BOOK</t>
        </is>
      </c>
      <c r="BB1486" t="inlineStr">
        <is>
          <t>9780060122652</t>
        </is>
      </c>
      <c r="BC1486" t="inlineStr">
        <is>
          <t>32285000611177</t>
        </is>
      </c>
      <c r="BD1486" t="inlineStr">
        <is>
          <t>893788998</t>
        </is>
      </c>
    </row>
    <row r="1487">
      <c r="A1487" t="inlineStr">
        <is>
          <t>No</t>
        </is>
      </c>
      <c r="B1487" t="inlineStr">
        <is>
          <t>E661 .K27</t>
        </is>
      </c>
      <c r="C1487" t="inlineStr">
        <is>
          <t>0                      E  0661000K  27</t>
        </is>
      </c>
      <c r="D1487" t="inlineStr">
        <is>
          <t>Affairs of State : public life in late nineteenth century America / Morton Keller.</t>
        </is>
      </c>
      <c r="F1487" t="inlineStr">
        <is>
          <t>No</t>
        </is>
      </c>
      <c r="G1487" t="inlineStr">
        <is>
          <t>1</t>
        </is>
      </c>
      <c r="H1487" t="inlineStr">
        <is>
          <t>No</t>
        </is>
      </c>
      <c r="I1487" t="inlineStr">
        <is>
          <t>No</t>
        </is>
      </c>
      <c r="J1487" t="inlineStr">
        <is>
          <t>0</t>
        </is>
      </c>
      <c r="K1487" t="inlineStr">
        <is>
          <t>Keller, Morton.</t>
        </is>
      </c>
      <c r="L1487" t="inlineStr">
        <is>
          <t>Cambridge : Belknap Press of Harvard University Press, 1977.</t>
        </is>
      </c>
      <c r="M1487" t="inlineStr">
        <is>
          <t>1977</t>
        </is>
      </c>
      <c r="O1487" t="inlineStr">
        <is>
          <t>eng</t>
        </is>
      </c>
      <c r="P1487" t="inlineStr">
        <is>
          <t>mau</t>
        </is>
      </c>
      <c r="R1487" t="inlineStr">
        <is>
          <t xml:space="preserve">E  </t>
        </is>
      </c>
      <c r="S1487" t="n">
        <v>1</v>
      </c>
      <c r="T1487" t="n">
        <v>1</v>
      </c>
      <c r="U1487" t="inlineStr">
        <is>
          <t>1999-06-23</t>
        </is>
      </c>
      <c r="V1487" t="inlineStr">
        <is>
          <t>1999-06-23</t>
        </is>
      </c>
      <c r="W1487" t="inlineStr">
        <is>
          <t>1991-05-14</t>
        </is>
      </c>
      <c r="X1487" t="inlineStr">
        <is>
          <t>1991-05-14</t>
        </is>
      </c>
      <c r="Y1487" t="n">
        <v>937</v>
      </c>
      <c r="Z1487" t="n">
        <v>816</v>
      </c>
      <c r="AA1487" t="n">
        <v>842</v>
      </c>
      <c r="AB1487" t="n">
        <v>6</v>
      </c>
      <c r="AC1487" t="n">
        <v>6</v>
      </c>
      <c r="AD1487" t="n">
        <v>41</v>
      </c>
      <c r="AE1487" t="n">
        <v>42</v>
      </c>
      <c r="AF1487" t="n">
        <v>15</v>
      </c>
      <c r="AG1487" t="n">
        <v>15</v>
      </c>
      <c r="AH1487" t="n">
        <v>8</v>
      </c>
      <c r="AI1487" t="n">
        <v>8</v>
      </c>
      <c r="AJ1487" t="n">
        <v>22</v>
      </c>
      <c r="AK1487" t="n">
        <v>22</v>
      </c>
      <c r="AL1487" t="n">
        <v>5</v>
      </c>
      <c r="AM1487" t="n">
        <v>5</v>
      </c>
      <c r="AN1487" t="n">
        <v>3</v>
      </c>
      <c r="AO1487" t="n">
        <v>4</v>
      </c>
      <c r="AP1487" t="inlineStr">
        <is>
          <t>No</t>
        </is>
      </c>
      <c r="AQ1487" t="inlineStr">
        <is>
          <t>Yes</t>
        </is>
      </c>
      <c r="AR1487">
        <f>HYPERLINK("http://catalog.hathitrust.org/Record/000741289","HathiTrust Record")</f>
        <v/>
      </c>
      <c r="AS1487">
        <f>HYPERLINK("https://creighton-primo.hosted.exlibrisgroup.com/primo-explore/search?tab=default_tab&amp;search_scope=EVERYTHING&amp;vid=01CRU&amp;lang=en_US&amp;offset=0&amp;query=any,contains,991004085899702656","Catalog Record")</f>
        <v/>
      </c>
      <c r="AT1487">
        <f>HYPERLINK("http://www.worldcat.org/oclc/2332070","WorldCat Record")</f>
        <v/>
      </c>
      <c r="AU1487" t="inlineStr">
        <is>
          <t>836659707:eng</t>
        </is>
      </c>
      <c r="AV1487" t="inlineStr">
        <is>
          <t>2332070</t>
        </is>
      </c>
      <c r="AW1487" t="inlineStr">
        <is>
          <t>991004085899702656</t>
        </is>
      </c>
      <c r="AX1487" t="inlineStr">
        <is>
          <t>991004085899702656</t>
        </is>
      </c>
      <c r="AY1487" t="inlineStr">
        <is>
          <t>2264160120002656</t>
        </is>
      </c>
      <c r="AZ1487" t="inlineStr">
        <is>
          <t>BOOK</t>
        </is>
      </c>
      <c r="BB1487" t="inlineStr">
        <is>
          <t>9780674007215</t>
        </is>
      </c>
      <c r="BC1487" t="inlineStr">
        <is>
          <t>32285000611185</t>
        </is>
      </c>
      <c r="BD1487" t="inlineStr">
        <is>
          <t>893247143</t>
        </is>
      </c>
    </row>
    <row r="1488">
      <c r="A1488" t="inlineStr">
        <is>
          <t>No</t>
        </is>
      </c>
      <c r="B1488" t="inlineStr">
        <is>
          <t>E661 .L67</t>
        </is>
      </c>
      <c r="C1488" t="inlineStr">
        <is>
          <t>0                      E  0661000L  67</t>
        </is>
      </c>
      <c r="D1488" t="inlineStr">
        <is>
          <t>A guidebook for teaching United States history : mid-nineteenth century to the present / Tedd Levy, Donna Collins Krasnow.</t>
        </is>
      </c>
      <c r="F1488" t="inlineStr">
        <is>
          <t>No</t>
        </is>
      </c>
      <c r="G1488" t="inlineStr">
        <is>
          <t>1</t>
        </is>
      </c>
      <c r="H1488" t="inlineStr">
        <is>
          <t>No</t>
        </is>
      </c>
      <c r="I1488" t="inlineStr">
        <is>
          <t>No</t>
        </is>
      </c>
      <c r="J1488" t="inlineStr">
        <is>
          <t>0</t>
        </is>
      </c>
      <c r="K1488" t="inlineStr">
        <is>
          <t>Levy, Tedd.</t>
        </is>
      </c>
      <c r="L1488" t="inlineStr">
        <is>
          <t>Boston : Allyn and Bacon, c1979.</t>
        </is>
      </c>
      <c r="M1488" t="inlineStr">
        <is>
          <t>1979</t>
        </is>
      </c>
      <c r="O1488" t="inlineStr">
        <is>
          <t>eng</t>
        </is>
      </c>
      <c r="P1488" t="inlineStr">
        <is>
          <t>mau</t>
        </is>
      </c>
      <c r="Q1488" t="inlineStr">
        <is>
          <t>A Guidebook for teaching series</t>
        </is>
      </c>
      <c r="R1488" t="inlineStr">
        <is>
          <t xml:space="preserve">E  </t>
        </is>
      </c>
      <c r="S1488" t="n">
        <v>4</v>
      </c>
      <c r="T1488" t="n">
        <v>4</v>
      </c>
      <c r="U1488" t="inlineStr">
        <is>
          <t>1992-11-30</t>
        </is>
      </c>
      <c r="V1488" t="inlineStr">
        <is>
          <t>1992-11-30</t>
        </is>
      </c>
      <c r="W1488" t="inlineStr">
        <is>
          <t>1990-04-06</t>
        </is>
      </c>
      <c r="X1488" t="inlineStr">
        <is>
          <t>1990-04-06</t>
        </is>
      </c>
      <c r="Y1488" t="n">
        <v>190</v>
      </c>
      <c r="Z1488" t="n">
        <v>187</v>
      </c>
      <c r="AA1488" t="n">
        <v>188</v>
      </c>
      <c r="AB1488" t="n">
        <v>3</v>
      </c>
      <c r="AC1488" t="n">
        <v>3</v>
      </c>
      <c r="AD1488" t="n">
        <v>8</v>
      </c>
      <c r="AE1488" t="n">
        <v>8</v>
      </c>
      <c r="AF1488" t="n">
        <v>1</v>
      </c>
      <c r="AG1488" t="n">
        <v>1</v>
      </c>
      <c r="AH1488" t="n">
        <v>1</v>
      </c>
      <c r="AI1488" t="n">
        <v>1</v>
      </c>
      <c r="AJ1488" t="n">
        <v>5</v>
      </c>
      <c r="AK1488" t="n">
        <v>5</v>
      </c>
      <c r="AL1488" t="n">
        <v>2</v>
      </c>
      <c r="AM1488" t="n">
        <v>2</v>
      </c>
      <c r="AN1488" t="n">
        <v>0</v>
      </c>
      <c r="AO1488" t="n">
        <v>0</v>
      </c>
      <c r="AP1488" t="inlineStr">
        <is>
          <t>No</t>
        </is>
      </c>
      <c r="AQ1488" t="inlineStr">
        <is>
          <t>Yes</t>
        </is>
      </c>
      <c r="AR1488">
        <f>HYPERLINK("http://catalog.hathitrust.org/Record/101991935","HathiTrust Record")</f>
        <v/>
      </c>
      <c r="AS1488">
        <f>HYPERLINK("https://creighton-primo.hosted.exlibrisgroup.com/primo-explore/search?tab=default_tab&amp;search_scope=EVERYTHING&amp;vid=01CRU&amp;lang=en_US&amp;offset=0&amp;query=any,contains,991004681489702656","Catalog Record")</f>
        <v/>
      </c>
      <c r="AT1488">
        <f>HYPERLINK("http://www.worldcat.org/oclc/4570008","WorldCat Record")</f>
        <v/>
      </c>
      <c r="AU1488" t="inlineStr">
        <is>
          <t>14844188:eng</t>
        </is>
      </c>
      <c r="AV1488" t="inlineStr">
        <is>
          <t>4570008</t>
        </is>
      </c>
      <c r="AW1488" t="inlineStr">
        <is>
          <t>991004681489702656</t>
        </is>
      </c>
      <c r="AX1488" t="inlineStr">
        <is>
          <t>991004681489702656</t>
        </is>
      </c>
      <c r="AY1488" t="inlineStr">
        <is>
          <t>2268202740002656</t>
        </is>
      </c>
      <c r="AZ1488" t="inlineStr">
        <is>
          <t>BOOK</t>
        </is>
      </c>
      <c r="BB1488" t="inlineStr">
        <is>
          <t>9780205064960</t>
        </is>
      </c>
      <c r="BC1488" t="inlineStr">
        <is>
          <t>32285000111673</t>
        </is>
      </c>
      <c r="BD1488" t="inlineStr">
        <is>
          <t>893801219</t>
        </is>
      </c>
    </row>
    <row r="1489">
      <c r="A1489" t="inlineStr">
        <is>
          <t>No</t>
        </is>
      </c>
      <c r="B1489" t="inlineStr">
        <is>
          <t>E661 .O46 1999</t>
        </is>
      </c>
      <c r="C1489" t="inlineStr">
        <is>
          <t>0                      E  0661000O  46          1999</t>
        </is>
      </c>
      <c r="D1489" t="inlineStr">
        <is>
          <t>To die for : the paradox of American patriotism / Cecilia Elizabeth O'Leary.</t>
        </is>
      </c>
      <c r="F1489" t="inlineStr">
        <is>
          <t>No</t>
        </is>
      </c>
      <c r="G1489" t="inlineStr">
        <is>
          <t>1</t>
        </is>
      </c>
      <c r="H1489" t="inlineStr">
        <is>
          <t>No</t>
        </is>
      </c>
      <c r="I1489" t="inlineStr">
        <is>
          <t>No</t>
        </is>
      </c>
      <c r="J1489" t="inlineStr">
        <is>
          <t>0</t>
        </is>
      </c>
      <c r="K1489" t="inlineStr">
        <is>
          <t>O'Leary, Cecilia Elizabeth, 1949-</t>
        </is>
      </c>
      <c r="L1489" t="inlineStr">
        <is>
          <t>Princeton, N.J. : Princeton University Press, c1999.</t>
        </is>
      </c>
      <c r="M1489" t="inlineStr">
        <is>
          <t>1999</t>
        </is>
      </c>
      <c r="O1489" t="inlineStr">
        <is>
          <t>eng</t>
        </is>
      </c>
      <c r="P1489" t="inlineStr">
        <is>
          <t>nju</t>
        </is>
      </c>
      <c r="R1489" t="inlineStr">
        <is>
          <t xml:space="preserve">E  </t>
        </is>
      </c>
      <c r="S1489" t="n">
        <v>4</v>
      </c>
      <c r="T1489" t="n">
        <v>4</v>
      </c>
      <c r="U1489" t="inlineStr">
        <is>
          <t>2004-04-21</t>
        </is>
      </c>
      <c r="V1489" t="inlineStr">
        <is>
          <t>2004-04-21</t>
        </is>
      </c>
      <c r="W1489" t="inlineStr">
        <is>
          <t>1999-09-20</t>
        </is>
      </c>
      <c r="X1489" t="inlineStr">
        <is>
          <t>1999-09-20</t>
        </is>
      </c>
      <c r="Y1489" t="n">
        <v>726</v>
      </c>
      <c r="Z1489" t="n">
        <v>636</v>
      </c>
      <c r="AA1489" t="n">
        <v>822</v>
      </c>
      <c r="AB1489" t="n">
        <v>6</v>
      </c>
      <c r="AC1489" t="n">
        <v>6</v>
      </c>
      <c r="AD1489" t="n">
        <v>38</v>
      </c>
      <c r="AE1489" t="n">
        <v>45</v>
      </c>
      <c r="AF1489" t="n">
        <v>16</v>
      </c>
      <c r="AG1489" t="n">
        <v>22</v>
      </c>
      <c r="AH1489" t="n">
        <v>10</v>
      </c>
      <c r="AI1489" t="n">
        <v>11</v>
      </c>
      <c r="AJ1489" t="n">
        <v>18</v>
      </c>
      <c r="AK1489" t="n">
        <v>19</v>
      </c>
      <c r="AL1489" t="n">
        <v>5</v>
      </c>
      <c r="AM1489" t="n">
        <v>5</v>
      </c>
      <c r="AN1489" t="n">
        <v>0</v>
      </c>
      <c r="AO1489" t="n">
        <v>0</v>
      </c>
      <c r="AP1489" t="inlineStr">
        <is>
          <t>No</t>
        </is>
      </c>
      <c r="AQ1489" t="inlineStr">
        <is>
          <t>No</t>
        </is>
      </c>
      <c r="AS1489">
        <f>HYPERLINK("https://creighton-primo.hosted.exlibrisgroup.com/primo-explore/search?tab=default_tab&amp;search_scope=EVERYTHING&amp;vid=01CRU&amp;lang=en_US&amp;offset=0&amp;query=any,contains,991002945409702656","Catalog Record")</f>
        <v/>
      </c>
      <c r="AT1489">
        <f>HYPERLINK("http://www.worldcat.org/oclc/39217627","WorldCat Record")</f>
        <v/>
      </c>
      <c r="AU1489" t="inlineStr">
        <is>
          <t>48071:eng</t>
        </is>
      </c>
      <c r="AV1489" t="inlineStr">
        <is>
          <t>39217627</t>
        </is>
      </c>
      <c r="AW1489" t="inlineStr">
        <is>
          <t>991002945409702656</t>
        </is>
      </c>
      <c r="AX1489" t="inlineStr">
        <is>
          <t>991002945409702656</t>
        </is>
      </c>
      <c r="AY1489" t="inlineStr">
        <is>
          <t>2259584080002656</t>
        </is>
      </c>
      <c r="AZ1489" t="inlineStr">
        <is>
          <t>BOOK</t>
        </is>
      </c>
      <c r="BB1489" t="inlineStr">
        <is>
          <t>9780691016863</t>
        </is>
      </c>
      <c r="BC1489" t="inlineStr">
        <is>
          <t>32285003589719</t>
        </is>
      </c>
      <c r="BD1489" t="inlineStr">
        <is>
          <t>893434486</t>
        </is>
      </c>
    </row>
    <row r="1490">
      <c r="A1490" t="inlineStr">
        <is>
          <t>No</t>
        </is>
      </c>
      <c r="B1490" t="inlineStr">
        <is>
          <t>E661 .P53 1970</t>
        </is>
      </c>
      <c r="C1490" t="inlineStr">
        <is>
          <t>0                      E  0661000P  53          1970</t>
        </is>
      </c>
      <c r="D1490" t="inlineStr">
        <is>
          <t>Imperial Washington : the story of American public life from 1870-1920.</t>
        </is>
      </c>
      <c r="F1490" t="inlineStr">
        <is>
          <t>No</t>
        </is>
      </c>
      <c r="G1490" t="inlineStr">
        <is>
          <t>1</t>
        </is>
      </c>
      <c r="H1490" t="inlineStr">
        <is>
          <t>No</t>
        </is>
      </c>
      <c r="I1490" t="inlineStr">
        <is>
          <t>No</t>
        </is>
      </c>
      <c r="J1490" t="inlineStr">
        <is>
          <t>0</t>
        </is>
      </c>
      <c r="K1490" t="inlineStr">
        <is>
          <t>Pettigrew, Richard F. (Richard Franklin), 1848-1926.</t>
        </is>
      </c>
      <c r="L1490" t="inlineStr">
        <is>
          <t>New York : Arno Press, 1970 [c1922]</t>
        </is>
      </c>
      <c r="M1490" t="inlineStr">
        <is>
          <t>1970</t>
        </is>
      </c>
      <c r="O1490" t="inlineStr">
        <is>
          <t>eng</t>
        </is>
      </c>
      <c r="P1490" t="inlineStr">
        <is>
          <t>nyu</t>
        </is>
      </c>
      <c r="Q1490" t="inlineStr">
        <is>
          <t>American imperialism</t>
        </is>
      </c>
      <c r="R1490" t="inlineStr">
        <is>
          <t xml:space="preserve">E  </t>
        </is>
      </c>
      <c r="S1490" t="n">
        <v>2</v>
      </c>
      <c r="T1490" t="n">
        <v>2</v>
      </c>
      <c r="U1490" t="inlineStr">
        <is>
          <t>1997-02-01</t>
        </is>
      </c>
      <c r="V1490" t="inlineStr">
        <is>
          <t>1997-02-01</t>
        </is>
      </c>
      <c r="W1490" t="inlineStr">
        <is>
          <t>1993-03-25</t>
        </is>
      </c>
      <c r="X1490" t="inlineStr">
        <is>
          <t>1993-03-25</t>
        </is>
      </c>
      <c r="Y1490" t="n">
        <v>174</v>
      </c>
      <c r="Z1490" t="n">
        <v>160</v>
      </c>
      <c r="AA1490" t="n">
        <v>168</v>
      </c>
      <c r="AB1490" t="n">
        <v>2</v>
      </c>
      <c r="AC1490" t="n">
        <v>2</v>
      </c>
      <c r="AD1490" t="n">
        <v>8</v>
      </c>
      <c r="AE1490" t="n">
        <v>8</v>
      </c>
      <c r="AF1490" t="n">
        <v>2</v>
      </c>
      <c r="AG1490" t="n">
        <v>2</v>
      </c>
      <c r="AH1490" t="n">
        <v>2</v>
      </c>
      <c r="AI1490" t="n">
        <v>2</v>
      </c>
      <c r="AJ1490" t="n">
        <v>3</v>
      </c>
      <c r="AK1490" t="n">
        <v>3</v>
      </c>
      <c r="AL1490" t="n">
        <v>1</v>
      </c>
      <c r="AM1490" t="n">
        <v>1</v>
      </c>
      <c r="AN1490" t="n">
        <v>0</v>
      </c>
      <c r="AO1490" t="n">
        <v>0</v>
      </c>
      <c r="AP1490" t="inlineStr">
        <is>
          <t>No</t>
        </is>
      </c>
      <c r="AQ1490" t="inlineStr">
        <is>
          <t>Yes</t>
        </is>
      </c>
      <c r="AR1490">
        <f>HYPERLINK("http://catalog.hathitrust.org/Record/009629249","HathiTrust Record")</f>
        <v/>
      </c>
      <c r="AS1490">
        <f>HYPERLINK("https://creighton-primo.hosted.exlibrisgroup.com/primo-explore/search?tab=default_tab&amp;search_scope=EVERYTHING&amp;vid=01CRU&amp;lang=en_US&amp;offset=0&amp;query=any,contains,991000606329702656","Catalog Record")</f>
        <v/>
      </c>
      <c r="AT1490">
        <f>HYPERLINK("http://www.worldcat.org/oclc/99194","WorldCat Record")</f>
        <v/>
      </c>
      <c r="AU1490" t="inlineStr">
        <is>
          <t>889044118:eng</t>
        </is>
      </c>
      <c r="AV1490" t="inlineStr">
        <is>
          <t>99194</t>
        </is>
      </c>
      <c r="AW1490" t="inlineStr">
        <is>
          <t>991000606329702656</t>
        </is>
      </c>
      <c r="AX1490" t="inlineStr">
        <is>
          <t>991000606329702656</t>
        </is>
      </c>
      <c r="AY1490" t="inlineStr">
        <is>
          <t>2268992150002656</t>
        </is>
      </c>
      <c r="AZ1490" t="inlineStr">
        <is>
          <t>BOOK</t>
        </is>
      </c>
      <c r="BB1490" t="inlineStr">
        <is>
          <t>9780405020445</t>
        </is>
      </c>
      <c r="BC1490" t="inlineStr">
        <is>
          <t>32285001590859</t>
        </is>
      </c>
      <c r="BD1490" t="inlineStr">
        <is>
          <t>893897042</t>
        </is>
      </c>
    </row>
    <row r="1491">
      <c r="A1491" t="inlineStr">
        <is>
          <t>No</t>
        </is>
      </c>
      <c r="B1491" t="inlineStr">
        <is>
          <t>E661 .S25</t>
        </is>
      </c>
      <c r="C1491" t="inlineStr">
        <is>
          <t>0                      E  0661000S  25</t>
        </is>
      </c>
      <c r="D1491" t="inlineStr">
        <is>
          <t>Populism; reaction or reform?</t>
        </is>
      </c>
      <c r="F1491" t="inlineStr">
        <is>
          <t>No</t>
        </is>
      </c>
      <c r="G1491" t="inlineStr">
        <is>
          <t>1</t>
        </is>
      </c>
      <c r="H1491" t="inlineStr">
        <is>
          <t>No</t>
        </is>
      </c>
      <c r="I1491" t="inlineStr">
        <is>
          <t>No</t>
        </is>
      </c>
      <c r="J1491" t="inlineStr">
        <is>
          <t>0</t>
        </is>
      </c>
      <c r="K1491" t="inlineStr">
        <is>
          <t>Saloutos, Theodore compiler.</t>
        </is>
      </c>
      <c r="L1491" t="inlineStr">
        <is>
          <t>New York, Holt, Rinehart and Winston [1968]</t>
        </is>
      </c>
      <c r="M1491" t="inlineStr">
        <is>
          <t>1968</t>
        </is>
      </c>
      <c r="O1491" t="inlineStr">
        <is>
          <t>eng</t>
        </is>
      </c>
      <c r="P1491" t="inlineStr">
        <is>
          <t>nyu</t>
        </is>
      </c>
      <c r="Q1491" t="inlineStr">
        <is>
          <t>American problem studies</t>
        </is>
      </c>
      <c r="R1491" t="inlineStr">
        <is>
          <t xml:space="preserve">E  </t>
        </is>
      </c>
      <c r="S1491" t="n">
        <v>4</v>
      </c>
      <c r="T1491" t="n">
        <v>4</v>
      </c>
      <c r="U1491" t="inlineStr">
        <is>
          <t>2000-04-02</t>
        </is>
      </c>
      <c r="V1491" t="inlineStr">
        <is>
          <t>2000-04-02</t>
        </is>
      </c>
      <c r="W1491" t="inlineStr">
        <is>
          <t>1997-04-21</t>
        </is>
      </c>
      <c r="X1491" t="inlineStr">
        <is>
          <t>1997-04-21</t>
        </is>
      </c>
      <c r="Y1491" t="n">
        <v>490</v>
      </c>
      <c r="Z1491" t="n">
        <v>424</v>
      </c>
      <c r="AA1491" t="n">
        <v>488</v>
      </c>
      <c r="AB1491" t="n">
        <v>7</v>
      </c>
      <c r="AC1491" t="n">
        <v>8</v>
      </c>
      <c r="AD1491" t="n">
        <v>23</v>
      </c>
      <c r="AE1491" t="n">
        <v>24</v>
      </c>
      <c r="AF1491" t="n">
        <v>7</v>
      </c>
      <c r="AG1491" t="n">
        <v>8</v>
      </c>
      <c r="AH1491" t="n">
        <v>5</v>
      </c>
      <c r="AI1491" t="n">
        <v>5</v>
      </c>
      <c r="AJ1491" t="n">
        <v>11</v>
      </c>
      <c r="AK1491" t="n">
        <v>12</v>
      </c>
      <c r="AL1491" t="n">
        <v>6</v>
      </c>
      <c r="AM1491" t="n">
        <v>6</v>
      </c>
      <c r="AN1491" t="n">
        <v>0</v>
      </c>
      <c r="AO1491" t="n">
        <v>0</v>
      </c>
      <c r="AP1491" t="inlineStr">
        <is>
          <t>No</t>
        </is>
      </c>
      <c r="AQ1491" t="inlineStr">
        <is>
          <t>No</t>
        </is>
      </c>
      <c r="AS1491">
        <f>HYPERLINK("https://creighton-primo.hosted.exlibrisgroup.com/primo-explore/search?tab=default_tab&amp;search_scope=EVERYTHING&amp;vid=01CRU&amp;lang=en_US&amp;offset=0&amp;query=any,contains,991002142769702656","Catalog Record")</f>
        <v/>
      </c>
      <c r="AT1491">
        <f>HYPERLINK("http://www.worldcat.org/oclc/270808","WorldCat Record")</f>
        <v/>
      </c>
      <c r="AU1491" t="inlineStr">
        <is>
          <t>368670422:eng</t>
        </is>
      </c>
      <c r="AV1491" t="inlineStr">
        <is>
          <t>270808</t>
        </is>
      </c>
      <c r="AW1491" t="inlineStr">
        <is>
          <t>991002142769702656</t>
        </is>
      </c>
      <c r="AX1491" t="inlineStr">
        <is>
          <t>991002142769702656</t>
        </is>
      </c>
      <c r="AY1491" t="inlineStr">
        <is>
          <t>2263673480002656</t>
        </is>
      </c>
      <c r="AZ1491" t="inlineStr">
        <is>
          <t>BOOK</t>
        </is>
      </c>
      <c r="BC1491" t="inlineStr">
        <is>
          <t>32285002558509</t>
        </is>
      </c>
      <c r="BD1491" t="inlineStr">
        <is>
          <t>893497760</t>
        </is>
      </c>
    </row>
    <row r="1492">
      <c r="A1492" t="inlineStr">
        <is>
          <t>No</t>
        </is>
      </c>
      <c r="B1492" t="inlineStr">
        <is>
          <t>E661.7 .B44 1975</t>
        </is>
      </c>
      <c r="C1492" t="inlineStr">
        <is>
          <t>0                      E  0661700B  44          1975</t>
        </is>
      </c>
      <c r="D1492" t="inlineStr">
        <is>
          <t>From the old diplomacy to the new, 1865-1900 / [by] Robert L. Beisner.</t>
        </is>
      </c>
      <c r="F1492" t="inlineStr">
        <is>
          <t>No</t>
        </is>
      </c>
      <c r="G1492" t="inlineStr">
        <is>
          <t>1</t>
        </is>
      </c>
      <c r="H1492" t="inlineStr">
        <is>
          <t>No</t>
        </is>
      </c>
      <c r="I1492" t="inlineStr">
        <is>
          <t>Yes</t>
        </is>
      </c>
      <c r="J1492" t="inlineStr">
        <is>
          <t>0</t>
        </is>
      </c>
      <c r="K1492" t="inlineStr">
        <is>
          <t>Beisner, Robert L.</t>
        </is>
      </c>
      <c r="L1492" t="inlineStr">
        <is>
          <t>New York : Crowell, [c1975]</t>
        </is>
      </c>
      <c r="M1492" t="inlineStr">
        <is>
          <t>1975</t>
        </is>
      </c>
      <c r="O1492" t="inlineStr">
        <is>
          <t>eng</t>
        </is>
      </c>
      <c r="P1492" t="inlineStr">
        <is>
          <t>nyu</t>
        </is>
      </c>
      <c r="Q1492" t="inlineStr">
        <is>
          <t>The Crowell American history series</t>
        </is>
      </c>
      <c r="R1492" t="inlineStr">
        <is>
          <t xml:space="preserve">E  </t>
        </is>
      </c>
      <c r="S1492" t="n">
        <v>2</v>
      </c>
      <c r="T1492" t="n">
        <v>2</v>
      </c>
      <c r="U1492" t="inlineStr">
        <is>
          <t>1993-11-15</t>
        </is>
      </c>
      <c r="V1492" t="inlineStr">
        <is>
          <t>1993-11-15</t>
        </is>
      </c>
      <c r="W1492" t="inlineStr">
        <is>
          <t>1993-11-11</t>
        </is>
      </c>
      <c r="X1492" t="inlineStr">
        <is>
          <t>1993-11-11</t>
        </is>
      </c>
      <c r="Y1492" t="n">
        <v>290</v>
      </c>
      <c r="Z1492" t="n">
        <v>239</v>
      </c>
      <c r="AA1492" t="n">
        <v>542</v>
      </c>
      <c r="AB1492" t="n">
        <v>5</v>
      </c>
      <c r="AC1492" t="n">
        <v>8</v>
      </c>
      <c r="AD1492" t="n">
        <v>12</v>
      </c>
      <c r="AE1492" t="n">
        <v>22</v>
      </c>
      <c r="AF1492" t="n">
        <v>2</v>
      </c>
      <c r="AG1492" t="n">
        <v>6</v>
      </c>
      <c r="AH1492" t="n">
        <v>2</v>
      </c>
      <c r="AI1492" t="n">
        <v>4</v>
      </c>
      <c r="AJ1492" t="n">
        <v>6</v>
      </c>
      <c r="AK1492" t="n">
        <v>10</v>
      </c>
      <c r="AL1492" t="n">
        <v>4</v>
      </c>
      <c r="AM1492" t="n">
        <v>6</v>
      </c>
      <c r="AN1492" t="n">
        <v>0</v>
      </c>
      <c r="AO1492" t="n">
        <v>0</v>
      </c>
      <c r="AP1492" t="inlineStr">
        <is>
          <t>No</t>
        </is>
      </c>
      <c r="AQ1492" t="inlineStr">
        <is>
          <t>Yes</t>
        </is>
      </c>
      <c r="AR1492">
        <f>HYPERLINK("http://catalog.hathitrust.org/Record/000013616","HathiTrust Record")</f>
        <v/>
      </c>
      <c r="AS1492">
        <f>HYPERLINK("https://creighton-primo.hosted.exlibrisgroup.com/primo-explore/search?tab=default_tab&amp;search_scope=EVERYTHING&amp;vid=01CRU&amp;lang=en_US&amp;offset=0&amp;query=any,contains,991003343499702656","Catalog Record")</f>
        <v/>
      </c>
      <c r="AT1492">
        <f>HYPERLINK("http://www.worldcat.org/oclc/874239","WorldCat Record")</f>
        <v/>
      </c>
      <c r="AU1492" t="inlineStr">
        <is>
          <t>1847210:eng</t>
        </is>
      </c>
      <c r="AV1492" t="inlineStr">
        <is>
          <t>874239</t>
        </is>
      </c>
      <c r="AW1492" t="inlineStr">
        <is>
          <t>991003343499702656</t>
        </is>
      </c>
      <c r="AX1492" t="inlineStr">
        <is>
          <t>991003343499702656</t>
        </is>
      </c>
      <c r="AY1492" t="inlineStr">
        <is>
          <t>2262443720002656</t>
        </is>
      </c>
      <c r="AZ1492" t="inlineStr">
        <is>
          <t>BOOK</t>
        </is>
      </c>
      <c r="BB1492" t="inlineStr">
        <is>
          <t>9780690006261</t>
        </is>
      </c>
      <c r="BC1492" t="inlineStr">
        <is>
          <t>32285001812147</t>
        </is>
      </c>
      <c r="BD1492" t="inlineStr">
        <is>
          <t>893434919</t>
        </is>
      </c>
    </row>
    <row r="1493">
      <c r="A1493" t="inlineStr">
        <is>
          <t>No</t>
        </is>
      </c>
      <c r="B1493" t="inlineStr">
        <is>
          <t>E661.7 .D62</t>
        </is>
      </c>
      <c r="C1493" t="inlineStr">
        <is>
          <t>0                      E  0661700D  62</t>
        </is>
      </c>
      <c r="D1493" t="inlineStr">
        <is>
          <t>America's ascent : the United States becomes a great power, 1880-1914 / John M. Dobson. --</t>
        </is>
      </c>
      <c r="F1493" t="inlineStr">
        <is>
          <t>No</t>
        </is>
      </c>
      <c r="G1493" t="inlineStr">
        <is>
          <t>1</t>
        </is>
      </c>
      <c r="H1493" t="inlineStr">
        <is>
          <t>No</t>
        </is>
      </c>
      <c r="I1493" t="inlineStr">
        <is>
          <t>No</t>
        </is>
      </c>
      <c r="J1493" t="inlineStr">
        <is>
          <t>0</t>
        </is>
      </c>
      <c r="K1493" t="inlineStr">
        <is>
          <t>Dobson, John M.</t>
        </is>
      </c>
      <c r="L1493" t="inlineStr">
        <is>
          <t>DeKalb : Northern Illinois University Press, [1978]</t>
        </is>
      </c>
      <c r="M1493" t="inlineStr">
        <is>
          <t>1978</t>
        </is>
      </c>
      <c r="O1493" t="inlineStr">
        <is>
          <t>eng</t>
        </is>
      </c>
      <c r="P1493" t="inlineStr">
        <is>
          <t>ilu</t>
        </is>
      </c>
      <c r="R1493" t="inlineStr">
        <is>
          <t xml:space="preserve">E  </t>
        </is>
      </c>
      <c r="S1493" t="n">
        <v>2</v>
      </c>
      <c r="T1493" t="n">
        <v>2</v>
      </c>
      <c r="U1493" t="inlineStr">
        <is>
          <t>1993-09-23</t>
        </is>
      </c>
      <c r="V1493" t="inlineStr">
        <is>
          <t>1993-09-23</t>
        </is>
      </c>
      <c r="W1493" t="inlineStr">
        <is>
          <t>1991-05-14</t>
        </is>
      </c>
      <c r="X1493" t="inlineStr">
        <is>
          <t>1991-05-14</t>
        </is>
      </c>
      <c r="Y1493" t="n">
        <v>776</v>
      </c>
      <c r="Z1493" t="n">
        <v>691</v>
      </c>
      <c r="AA1493" t="n">
        <v>692</v>
      </c>
      <c r="AB1493" t="n">
        <v>5</v>
      </c>
      <c r="AC1493" t="n">
        <v>5</v>
      </c>
      <c r="AD1493" t="n">
        <v>24</v>
      </c>
      <c r="AE1493" t="n">
        <v>24</v>
      </c>
      <c r="AF1493" t="n">
        <v>8</v>
      </c>
      <c r="AG1493" t="n">
        <v>8</v>
      </c>
      <c r="AH1493" t="n">
        <v>7</v>
      </c>
      <c r="AI1493" t="n">
        <v>7</v>
      </c>
      <c r="AJ1493" t="n">
        <v>12</v>
      </c>
      <c r="AK1493" t="n">
        <v>12</v>
      </c>
      <c r="AL1493" t="n">
        <v>4</v>
      </c>
      <c r="AM1493" t="n">
        <v>4</v>
      </c>
      <c r="AN1493" t="n">
        <v>0</v>
      </c>
      <c r="AO1493" t="n">
        <v>0</v>
      </c>
      <c r="AP1493" t="inlineStr">
        <is>
          <t>No</t>
        </is>
      </c>
      <c r="AQ1493" t="inlineStr">
        <is>
          <t>No</t>
        </is>
      </c>
      <c r="AS1493">
        <f>HYPERLINK("https://creighton-primo.hosted.exlibrisgroup.com/primo-explore/search?tab=default_tab&amp;search_scope=EVERYTHING&amp;vid=01CRU&amp;lang=en_US&amp;offset=0&amp;query=any,contains,991004499439702656","Catalog Record")</f>
        <v/>
      </c>
      <c r="AT1493">
        <f>HYPERLINK("http://www.worldcat.org/oclc/3710659","WorldCat Record")</f>
        <v/>
      </c>
      <c r="AU1493" t="inlineStr">
        <is>
          <t>861351455:eng</t>
        </is>
      </c>
      <c r="AV1493" t="inlineStr">
        <is>
          <t>3710659</t>
        </is>
      </c>
      <c r="AW1493" t="inlineStr">
        <is>
          <t>991004499439702656</t>
        </is>
      </c>
      <c r="AX1493" t="inlineStr">
        <is>
          <t>991004499439702656</t>
        </is>
      </c>
      <c r="AY1493" t="inlineStr">
        <is>
          <t>2263849640002656</t>
        </is>
      </c>
      <c r="AZ1493" t="inlineStr">
        <is>
          <t>BOOK</t>
        </is>
      </c>
      <c r="BB1493" t="inlineStr">
        <is>
          <t>9780875800707</t>
        </is>
      </c>
      <c r="BC1493" t="inlineStr">
        <is>
          <t>32285000611201</t>
        </is>
      </c>
      <c r="BD1493" t="inlineStr">
        <is>
          <t>893423885</t>
        </is>
      </c>
    </row>
    <row r="1494">
      <c r="A1494" t="inlineStr">
        <is>
          <t>No</t>
        </is>
      </c>
      <c r="B1494" t="inlineStr">
        <is>
          <t>E661.7 .M3 1968</t>
        </is>
      </c>
      <c r="C1494" t="inlineStr">
        <is>
          <t>0                      E  0661700M  3           1968</t>
        </is>
      </c>
      <c r="D1494" t="inlineStr">
        <is>
          <t>American imperialism : a speculative essay / [by] Ernest R. May.</t>
        </is>
      </c>
      <c r="F1494" t="inlineStr">
        <is>
          <t>No</t>
        </is>
      </c>
      <c r="G1494" t="inlineStr">
        <is>
          <t>1</t>
        </is>
      </c>
      <c r="H1494" t="inlineStr">
        <is>
          <t>No</t>
        </is>
      </c>
      <c r="I1494" t="inlineStr">
        <is>
          <t>No</t>
        </is>
      </c>
      <c r="J1494" t="inlineStr">
        <is>
          <t>0</t>
        </is>
      </c>
      <c r="K1494" t="inlineStr">
        <is>
          <t>May, Ernest R.</t>
        </is>
      </c>
      <c r="L1494" t="inlineStr">
        <is>
          <t>New York : Atheneum, 1968.</t>
        </is>
      </c>
      <c r="M1494" t="inlineStr">
        <is>
          <t>1968</t>
        </is>
      </c>
      <c r="N1494" t="inlineStr">
        <is>
          <t>[1st ed.]</t>
        </is>
      </c>
      <c r="O1494" t="inlineStr">
        <is>
          <t>eng</t>
        </is>
      </c>
      <c r="P1494" t="inlineStr">
        <is>
          <t>nyu</t>
        </is>
      </c>
      <c r="R1494" t="inlineStr">
        <is>
          <t xml:space="preserve">E  </t>
        </is>
      </c>
      <c r="S1494" t="n">
        <v>2</v>
      </c>
      <c r="T1494" t="n">
        <v>2</v>
      </c>
      <c r="U1494" t="inlineStr">
        <is>
          <t>1998-02-20</t>
        </is>
      </c>
      <c r="V1494" t="inlineStr">
        <is>
          <t>1998-02-20</t>
        </is>
      </c>
      <c r="W1494" t="inlineStr">
        <is>
          <t>1990-02-26</t>
        </is>
      </c>
      <c r="X1494" t="inlineStr">
        <is>
          <t>1990-02-26</t>
        </is>
      </c>
      <c r="Y1494" t="n">
        <v>857</v>
      </c>
      <c r="Z1494" t="n">
        <v>779</v>
      </c>
      <c r="AA1494" t="n">
        <v>824</v>
      </c>
      <c r="AB1494" t="n">
        <v>5</v>
      </c>
      <c r="AC1494" t="n">
        <v>5</v>
      </c>
      <c r="AD1494" t="n">
        <v>31</v>
      </c>
      <c r="AE1494" t="n">
        <v>34</v>
      </c>
      <c r="AF1494" t="n">
        <v>12</v>
      </c>
      <c r="AG1494" t="n">
        <v>13</v>
      </c>
      <c r="AH1494" t="n">
        <v>8</v>
      </c>
      <c r="AI1494" t="n">
        <v>10</v>
      </c>
      <c r="AJ1494" t="n">
        <v>17</v>
      </c>
      <c r="AK1494" t="n">
        <v>18</v>
      </c>
      <c r="AL1494" t="n">
        <v>4</v>
      </c>
      <c r="AM1494" t="n">
        <v>4</v>
      </c>
      <c r="AN1494" t="n">
        <v>0</v>
      </c>
      <c r="AO1494" t="n">
        <v>0</v>
      </c>
      <c r="AP1494" t="inlineStr">
        <is>
          <t>No</t>
        </is>
      </c>
      <c r="AQ1494" t="inlineStr">
        <is>
          <t>Yes</t>
        </is>
      </c>
      <c r="AR1494">
        <f>HYPERLINK("http://catalog.hathitrust.org/Record/000464747","HathiTrust Record")</f>
        <v/>
      </c>
      <c r="AS1494">
        <f>HYPERLINK("https://creighton-primo.hosted.exlibrisgroup.com/primo-explore/search?tab=default_tab&amp;search_scope=EVERYTHING&amp;vid=01CRU&amp;lang=en_US&amp;offset=0&amp;query=any,contains,991000948819702656","Catalog Record")</f>
        <v/>
      </c>
      <c r="AT1494">
        <f>HYPERLINK("http://www.worldcat.org/oclc/167555","WorldCat Record")</f>
        <v/>
      </c>
      <c r="AU1494" t="inlineStr">
        <is>
          <t>1105147486:eng</t>
        </is>
      </c>
      <c r="AV1494" t="inlineStr">
        <is>
          <t>167555</t>
        </is>
      </c>
      <c r="AW1494" t="inlineStr">
        <is>
          <t>991000948819702656</t>
        </is>
      </c>
      <c r="AX1494" t="inlineStr">
        <is>
          <t>991000948819702656</t>
        </is>
      </c>
      <c r="AY1494" t="inlineStr">
        <is>
          <t>2272718240002656</t>
        </is>
      </c>
      <c r="AZ1494" t="inlineStr">
        <is>
          <t>BOOK</t>
        </is>
      </c>
      <c r="BC1494" t="inlineStr">
        <is>
          <t>32285000062074</t>
        </is>
      </c>
      <c r="BD1494" t="inlineStr">
        <is>
          <t>893791018</t>
        </is>
      </c>
    </row>
    <row r="1495">
      <c r="A1495" t="inlineStr">
        <is>
          <t>No</t>
        </is>
      </c>
      <c r="B1495" t="inlineStr">
        <is>
          <t>E663 .W32</t>
        </is>
      </c>
      <c r="C1495" t="inlineStr">
        <is>
          <t>0                      E  0663000W  32</t>
        </is>
      </c>
      <c r="D1495" t="inlineStr">
        <is>
          <t>Famous American men and women; a complete portrait gallery of celebrated people, whose names are prominent in the annals of the time, each portrait accompanied by an authentic biographical sketch, secured by personal interview--the whole forming a text book of national character. Ed. by Stanley Waterloo and John Wesley Hanson, jr.</t>
        </is>
      </c>
      <c r="F1495" t="inlineStr">
        <is>
          <t>No</t>
        </is>
      </c>
      <c r="G1495" t="inlineStr">
        <is>
          <t>1</t>
        </is>
      </c>
      <c r="H1495" t="inlineStr">
        <is>
          <t>No</t>
        </is>
      </c>
      <c r="I1495" t="inlineStr">
        <is>
          <t>No</t>
        </is>
      </c>
      <c r="J1495" t="inlineStr">
        <is>
          <t>0</t>
        </is>
      </c>
      <c r="K1495" t="inlineStr">
        <is>
          <t>Waterloo, Stanley, 1846-1913, editor.</t>
        </is>
      </c>
      <c r="M1495" t="inlineStr">
        <is>
          <t>1895</t>
        </is>
      </c>
      <c r="O1495" t="inlineStr">
        <is>
          <t>eng</t>
        </is>
      </c>
      <c r="P1495" t="inlineStr">
        <is>
          <t>ilu</t>
        </is>
      </c>
      <c r="R1495" t="inlineStr">
        <is>
          <t xml:space="preserve">E  </t>
        </is>
      </c>
      <c r="S1495" t="n">
        <v>1</v>
      </c>
      <c r="T1495" t="n">
        <v>1</v>
      </c>
      <c r="U1495" t="inlineStr">
        <is>
          <t>2003-01-30</t>
        </is>
      </c>
      <c r="V1495" t="inlineStr">
        <is>
          <t>2003-01-30</t>
        </is>
      </c>
      <c r="W1495" t="inlineStr">
        <is>
          <t>1997-07-17</t>
        </is>
      </c>
      <c r="X1495" t="inlineStr">
        <is>
          <t>1997-07-17</t>
        </is>
      </c>
      <c r="Y1495" t="n">
        <v>23</v>
      </c>
      <c r="Z1495" t="n">
        <v>23</v>
      </c>
      <c r="AA1495" t="n">
        <v>82</v>
      </c>
      <c r="AB1495" t="n">
        <v>1</v>
      </c>
      <c r="AC1495" t="n">
        <v>2</v>
      </c>
      <c r="AD1495" t="n">
        <v>1</v>
      </c>
      <c r="AE1495" t="n">
        <v>3</v>
      </c>
      <c r="AF1495" t="n">
        <v>0</v>
      </c>
      <c r="AG1495" t="n">
        <v>0</v>
      </c>
      <c r="AH1495" t="n">
        <v>1</v>
      </c>
      <c r="AI1495" t="n">
        <v>1</v>
      </c>
      <c r="AJ1495" t="n">
        <v>0</v>
      </c>
      <c r="AK1495" t="n">
        <v>1</v>
      </c>
      <c r="AL1495" t="n">
        <v>0</v>
      </c>
      <c r="AM1495" t="n">
        <v>1</v>
      </c>
      <c r="AN1495" t="n">
        <v>0</v>
      </c>
      <c r="AO1495" t="n">
        <v>0</v>
      </c>
      <c r="AP1495" t="inlineStr">
        <is>
          <t>Yes</t>
        </is>
      </c>
      <c r="AQ1495" t="inlineStr">
        <is>
          <t>No</t>
        </is>
      </c>
      <c r="AR1495">
        <f>HYPERLINK("http://catalog.hathitrust.org/Record/009563974","HathiTrust Record")</f>
        <v/>
      </c>
      <c r="AS1495">
        <f>HYPERLINK("https://creighton-primo.hosted.exlibrisgroup.com/primo-explore/search?tab=default_tab&amp;search_scope=EVERYTHING&amp;vid=01CRU&amp;lang=en_US&amp;offset=0&amp;query=any,contains,991000203579702656","Catalog Record")</f>
        <v/>
      </c>
      <c r="AT1495">
        <f>HYPERLINK("http://www.worldcat.org/oclc/9474868","WorldCat Record")</f>
        <v/>
      </c>
      <c r="AU1495" t="inlineStr">
        <is>
          <t>996957986:eng</t>
        </is>
      </c>
      <c r="AV1495" t="inlineStr">
        <is>
          <t>9474868</t>
        </is>
      </c>
      <c r="AW1495" t="inlineStr">
        <is>
          <t>991000203579702656</t>
        </is>
      </c>
      <c r="AX1495" t="inlineStr">
        <is>
          <t>991000203579702656</t>
        </is>
      </c>
      <c r="AY1495" t="inlineStr">
        <is>
          <t>2258153950002656</t>
        </is>
      </c>
      <c r="AZ1495" t="inlineStr">
        <is>
          <t>BOOK</t>
        </is>
      </c>
      <c r="BC1495" t="inlineStr">
        <is>
          <t>32285002932621</t>
        </is>
      </c>
      <c r="BD1495" t="inlineStr">
        <is>
          <t>893419280</t>
        </is>
      </c>
    </row>
    <row r="1496">
      <c r="A1496" t="inlineStr">
        <is>
          <t>No</t>
        </is>
      </c>
      <c r="B1496" t="inlineStr">
        <is>
          <t>E664.B87 A83</t>
        </is>
      </c>
      <c r="C1496" t="inlineStr">
        <is>
          <t>0                      E  0664000B  87                 A  83</t>
        </is>
      </c>
      <c r="D1496" t="inlineStr">
        <is>
          <t>William Jennings Bryan / by David D. Anderson.</t>
        </is>
      </c>
      <c r="F1496" t="inlineStr">
        <is>
          <t>No</t>
        </is>
      </c>
      <c r="G1496" t="inlineStr">
        <is>
          <t>1</t>
        </is>
      </c>
      <c r="H1496" t="inlineStr">
        <is>
          <t>No</t>
        </is>
      </c>
      <c r="I1496" t="inlineStr">
        <is>
          <t>No</t>
        </is>
      </c>
      <c r="J1496" t="inlineStr">
        <is>
          <t>0</t>
        </is>
      </c>
      <c r="K1496" t="inlineStr">
        <is>
          <t>Anderson, David D.</t>
        </is>
      </c>
      <c r="L1496" t="inlineStr">
        <is>
          <t>Boston : Twayne Publishers, 1981.</t>
        </is>
      </c>
      <c r="M1496" t="inlineStr">
        <is>
          <t>1981</t>
        </is>
      </c>
      <c r="O1496" t="inlineStr">
        <is>
          <t>eng</t>
        </is>
      </c>
      <c r="P1496" t="inlineStr">
        <is>
          <t>mau</t>
        </is>
      </c>
      <c r="Q1496" t="inlineStr">
        <is>
          <t>Twayne's United States authors series ; TUSAS 415</t>
        </is>
      </c>
      <c r="R1496" t="inlineStr">
        <is>
          <t xml:space="preserve">E  </t>
        </is>
      </c>
      <c r="S1496" t="n">
        <v>6</v>
      </c>
      <c r="T1496" t="n">
        <v>6</v>
      </c>
      <c r="U1496" t="inlineStr">
        <is>
          <t>1993-11-10</t>
        </is>
      </c>
      <c r="V1496" t="inlineStr">
        <is>
          <t>1993-11-10</t>
        </is>
      </c>
      <c r="W1496" t="inlineStr">
        <is>
          <t>1990-03-21</t>
        </is>
      </c>
      <c r="X1496" t="inlineStr">
        <is>
          <t>1990-03-21</t>
        </is>
      </c>
      <c r="Y1496" t="n">
        <v>787</v>
      </c>
      <c r="Z1496" t="n">
        <v>716</v>
      </c>
      <c r="AA1496" t="n">
        <v>719</v>
      </c>
      <c r="AB1496" t="n">
        <v>10</v>
      </c>
      <c r="AC1496" t="n">
        <v>10</v>
      </c>
      <c r="AD1496" t="n">
        <v>29</v>
      </c>
      <c r="AE1496" t="n">
        <v>29</v>
      </c>
      <c r="AF1496" t="n">
        <v>10</v>
      </c>
      <c r="AG1496" t="n">
        <v>10</v>
      </c>
      <c r="AH1496" t="n">
        <v>4</v>
      </c>
      <c r="AI1496" t="n">
        <v>4</v>
      </c>
      <c r="AJ1496" t="n">
        <v>13</v>
      </c>
      <c r="AK1496" t="n">
        <v>13</v>
      </c>
      <c r="AL1496" t="n">
        <v>8</v>
      </c>
      <c r="AM1496" t="n">
        <v>8</v>
      </c>
      <c r="AN1496" t="n">
        <v>0</v>
      </c>
      <c r="AO1496" t="n">
        <v>0</v>
      </c>
      <c r="AP1496" t="inlineStr">
        <is>
          <t>No</t>
        </is>
      </c>
      <c r="AQ1496" t="inlineStr">
        <is>
          <t>Yes</t>
        </is>
      </c>
      <c r="AR1496">
        <f>HYPERLINK("http://catalog.hathitrust.org/Record/000221462","HathiTrust Record")</f>
        <v/>
      </c>
      <c r="AS1496">
        <f>HYPERLINK("https://creighton-primo.hosted.exlibrisgroup.com/primo-explore/search?tab=default_tab&amp;search_scope=EVERYTHING&amp;vid=01CRU&amp;lang=en_US&amp;offset=0&amp;query=any,contains,991005100959702656","Catalog Record")</f>
        <v/>
      </c>
      <c r="AT1496">
        <f>HYPERLINK("http://www.worldcat.org/oclc/7283633","WorldCat Record")</f>
        <v/>
      </c>
      <c r="AU1496" t="inlineStr">
        <is>
          <t>5091539893:eng</t>
        </is>
      </c>
      <c r="AV1496" t="inlineStr">
        <is>
          <t>7283633</t>
        </is>
      </c>
      <c r="AW1496" t="inlineStr">
        <is>
          <t>991005100959702656</t>
        </is>
      </c>
      <c r="AX1496" t="inlineStr">
        <is>
          <t>991005100959702656</t>
        </is>
      </c>
      <c r="AY1496" t="inlineStr">
        <is>
          <t>2257233110002656</t>
        </is>
      </c>
      <c r="AZ1496" t="inlineStr">
        <is>
          <t>BOOK</t>
        </is>
      </c>
      <c r="BB1496" t="inlineStr">
        <is>
          <t>9780805772944</t>
        </is>
      </c>
      <c r="BC1496" t="inlineStr">
        <is>
          <t>32285000089622</t>
        </is>
      </c>
      <c r="BD1496" t="inlineStr">
        <is>
          <t>893326160</t>
        </is>
      </c>
    </row>
    <row r="1497">
      <c r="A1497" t="inlineStr">
        <is>
          <t>No</t>
        </is>
      </c>
      <c r="B1497" t="inlineStr">
        <is>
          <t>E664.B87 A85 1987</t>
        </is>
      </c>
      <c r="C1497" t="inlineStr">
        <is>
          <t>0                      E  0664000B  87                 A  85          1987</t>
        </is>
      </c>
      <c r="D1497" t="inlineStr">
        <is>
          <t>William Jennings Bryan : champion of democracy / LeRoy Ashby.</t>
        </is>
      </c>
      <c r="F1497" t="inlineStr">
        <is>
          <t>No</t>
        </is>
      </c>
      <c r="G1497" t="inlineStr">
        <is>
          <t>1</t>
        </is>
      </c>
      <c r="H1497" t="inlineStr">
        <is>
          <t>No</t>
        </is>
      </c>
      <c r="I1497" t="inlineStr">
        <is>
          <t>No</t>
        </is>
      </c>
      <c r="J1497" t="inlineStr">
        <is>
          <t>0</t>
        </is>
      </c>
      <c r="K1497" t="inlineStr">
        <is>
          <t>Ashby, LeRoy.</t>
        </is>
      </c>
      <c r="L1497" t="inlineStr">
        <is>
          <t>Boston : Twayne Publishers, c1987.</t>
        </is>
      </c>
      <c r="M1497" t="inlineStr">
        <is>
          <t>1987</t>
        </is>
      </c>
      <c r="O1497" t="inlineStr">
        <is>
          <t>eng</t>
        </is>
      </c>
      <c r="P1497" t="inlineStr">
        <is>
          <t>mau</t>
        </is>
      </c>
      <c r="Q1497" t="inlineStr">
        <is>
          <t>Twayne's twentieth-century American biography series ; no. 4</t>
        </is>
      </c>
      <c r="R1497" t="inlineStr">
        <is>
          <t xml:space="preserve">E  </t>
        </is>
      </c>
      <c r="S1497" t="n">
        <v>1</v>
      </c>
      <c r="T1497" t="n">
        <v>1</v>
      </c>
      <c r="U1497" t="inlineStr">
        <is>
          <t>2005-05-04</t>
        </is>
      </c>
      <c r="V1497" t="inlineStr">
        <is>
          <t>2005-05-04</t>
        </is>
      </c>
      <c r="W1497" t="inlineStr">
        <is>
          <t>1998-11-30</t>
        </is>
      </c>
      <c r="X1497" t="inlineStr">
        <is>
          <t>1998-11-30</t>
        </is>
      </c>
      <c r="Y1497" t="n">
        <v>869</v>
      </c>
      <c r="Z1497" t="n">
        <v>821</v>
      </c>
      <c r="AA1497" t="n">
        <v>834</v>
      </c>
      <c r="AB1497" t="n">
        <v>14</v>
      </c>
      <c r="AC1497" t="n">
        <v>14</v>
      </c>
      <c r="AD1497" t="n">
        <v>35</v>
      </c>
      <c r="AE1497" t="n">
        <v>35</v>
      </c>
      <c r="AF1497" t="n">
        <v>11</v>
      </c>
      <c r="AG1497" t="n">
        <v>11</v>
      </c>
      <c r="AH1497" t="n">
        <v>9</v>
      </c>
      <c r="AI1497" t="n">
        <v>9</v>
      </c>
      <c r="AJ1497" t="n">
        <v>13</v>
      </c>
      <c r="AK1497" t="n">
        <v>13</v>
      </c>
      <c r="AL1497" t="n">
        <v>9</v>
      </c>
      <c r="AM1497" t="n">
        <v>9</v>
      </c>
      <c r="AN1497" t="n">
        <v>0</v>
      </c>
      <c r="AO1497" t="n">
        <v>0</v>
      </c>
      <c r="AP1497" t="inlineStr">
        <is>
          <t>No</t>
        </is>
      </c>
      <c r="AQ1497" t="inlineStr">
        <is>
          <t>Yes</t>
        </is>
      </c>
      <c r="AR1497">
        <f>HYPERLINK("http://catalog.hathitrust.org/Record/000832793","HathiTrust Record")</f>
        <v/>
      </c>
      <c r="AS1497">
        <f>HYPERLINK("https://creighton-primo.hosted.exlibrisgroup.com/primo-explore/search?tab=default_tab&amp;search_scope=EVERYTHING&amp;vid=01CRU&amp;lang=en_US&amp;offset=0&amp;query=any,contains,991001029079702656","Catalog Record")</f>
        <v/>
      </c>
      <c r="AT1497">
        <f>HYPERLINK("http://www.worldcat.org/oclc/15489544","WorldCat Record")</f>
        <v/>
      </c>
      <c r="AU1497" t="inlineStr">
        <is>
          <t>232492490:eng</t>
        </is>
      </c>
      <c r="AV1497" t="inlineStr">
        <is>
          <t>15489544</t>
        </is>
      </c>
      <c r="AW1497" t="inlineStr">
        <is>
          <t>991001029079702656</t>
        </is>
      </c>
      <c r="AX1497" t="inlineStr">
        <is>
          <t>991001029079702656</t>
        </is>
      </c>
      <c r="AY1497" t="inlineStr">
        <is>
          <t>2272507990002656</t>
        </is>
      </c>
      <c r="AZ1497" t="inlineStr">
        <is>
          <t>BOOK</t>
        </is>
      </c>
      <c r="BB1497" t="inlineStr">
        <is>
          <t>9780805777765</t>
        </is>
      </c>
      <c r="BC1497" t="inlineStr">
        <is>
          <t>32285003492039</t>
        </is>
      </c>
      <c r="BD1497" t="inlineStr">
        <is>
          <t>893249912</t>
        </is>
      </c>
    </row>
    <row r="1498">
      <c r="A1498" t="inlineStr">
        <is>
          <t>No</t>
        </is>
      </c>
      <c r="B1498" t="inlineStr">
        <is>
          <t>E664.B87 G15</t>
        </is>
      </c>
      <c r="C1498" t="inlineStr">
        <is>
          <t>0                      E  0664000B  87                 G  15</t>
        </is>
      </c>
      <c r="D1498" t="inlineStr">
        <is>
          <t>Bryan the man, the great commoner at close range : an intimate and impartial review of the personal side of his life, together with a history of his public career / by Albert L. Gale and George W. Kline.</t>
        </is>
      </c>
      <c r="F1498" t="inlineStr">
        <is>
          <t>No</t>
        </is>
      </c>
      <c r="G1498" t="inlineStr">
        <is>
          <t>1</t>
        </is>
      </c>
      <c r="H1498" t="inlineStr">
        <is>
          <t>No</t>
        </is>
      </c>
      <c r="I1498" t="inlineStr">
        <is>
          <t>No</t>
        </is>
      </c>
      <c r="J1498" t="inlineStr">
        <is>
          <t>0</t>
        </is>
      </c>
      <c r="K1498" t="inlineStr">
        <is>
          <t>Gale, Albert L. (Albert Liscomb), 1870-</t>
        </is>
      </c>
      <c r="L1498" t="inlineStr">
        <is>
          <t>Saint Louis : The Thompson Publishing Company, 1908.</t>
        </is>
      </c>
      <c r="M1498" t="inlineStr">
        <is>
          <t>1908</t>
        </is>
      </c>
      <c r="O1498" t="inlineStr">
        <is>
          <t>eng</t>
        </is>
      </c>
      <c r="P1498" t="inlineStr">
        <is>
          <t>mou</t>
        </is>
      </c>
      <c r="R1498" t="inlineStr">
        <is>
          <t xml:space="preserve">E  </t>
        </is>
      </c>
      <c r="S1498" t="n">
        <v>3</v>
      </c>
      <c r="T1498" t="n">
        <v>3</v>
      </c>
      <c r="U1498" t="inlineStr">
        <is>
          <t>1993-11-10</t>
        </is>
      </c>
      <c r="V1498" t="inlineStr">
        <is>
          <t>1993-11-10</t>
        </is>
      </c>
      <c r="W1498" t="inlineStr">
        <is>
          <t>1992-10-07</t>
        </is>
      </c>
      <c r="X1498" t="inlineStr">
        <is>
          <t>1992-10-07</t>
        </is>
      </c>
      <c r="Y1498" t="n">
        <v>86</v>
      </c>
      <c r="Z1498" t="n">
        <v>84</v>
      </c>
      <c r="AA1498" t="n">
        <v>116</v>
      </c>
      <c r="AB1498" t="n">
        <v>7</v>
      </c>
      <c r="AC1498" t="n">
        <v>7</v>
      </c>
      <c r="AD1498" t="n">
        <v>7</v>
      </c>
      <c r="AE1498" t="n">
        <v>8</v>
      </c>
      <c r="AF1498" t="n">
        <v>1</v>
      </c>
      <c r="AG1498" t="n">
        <v>1</v>
      </c>
      <c r="AH1498" t="n">
        <v>1</v>
      </c>
      <c r="AI1498" t="n">
        <v>2</v>
      </c>
      <c r="AJ1498" t="n">
        <v>1</v>
      </c>
      <c r="AK1498" t="n">
        <v>1</v>
      </c>
      <c r="AL1498" t="n">
        <v>4</v>
      </c>
      <c r="AM1498" t="n">
        <v>4</v>
      </c>
      <c r="AN1498" t="n">
        <v>0</v>
      </c>
      <c r="AO1498" t="n">
        <v>0</v>
      </c>
      <c r="AP1498" t="inlineStr">
        <is>
          <t>Yes</t>
        </is>
      </c>
      <c r="AQ1498" t="inlineStr">
        <is>
          <t>No</t>
        </is>
      </c>
      <c r="AR1498">
        <f>HYPERLINK("http://catalog.hathitrust.org/Record/008637919","HathiTrust Record")</f>
        <v/>
      </c>
      <c r="AS1498">
        <f>HYPERLINK("https://creighton-primo.hosted.exlibrisgroup.com/primo-explore/search?tab=default_tab&amp;search_scope=EVERYTHING&amp;vid=01CRU&amp;lang=en_US&amp;offset=0&amp;query=any,contains,991004674079702656","Catalog Record")</f>
        <v/>
      </c>
      <c r="AT1498">
        <f>HYPERLINK("http://www.worldcat.org/oclc/4527328","WorldCat Record")</f>
        <v/>
      </c>
      <c r="AU1498" t="inlineStr">
        <is>
          <t>14871727:eng</t>
        </is>
      </c>
      <c r="AV1498" t="inlineStr">
        <is>
          <t>4527328</t>
        </is>
      </c>
      <c r="AW1498" t="inlineStr">
        <is>
          <t>991004674079702656</t>
        </is>
      </c>
      <c r="AX1498" t="inlineStr">
        <is>
          <t>991004674079702656</t>
        </is>
      </c>
      <c r="AY1498" t="inlineStr">
        <is>
          <t>2269812690002656</t>
        </is>
      </c>
      <c r="AZ1498" t="inlineStr">
        <is>
          <t>BOOK</t>
        </is>
      </c>
      <c r="BC1498" t="inlineStr">
        <is>
          <t>32285001328359</t>
        </is>
      </c>
      <c r="BD1498" t="inlineStr">
        <is>
          <t>893319512</t>
        </is>
      </c>
    </row>
    <row r="1499">
      <c r="A1499" t="inlineStr">
        <is>
          <t>No</t>
        </is>
      </c>
      <c r="B1499" t="inlineStr">
        <is>
          <t>E664.B87 K57 1971</t>
        </is>
      </c>
      <c r="C1499" t="inlineStr">
        <is>
          <t>0                      E  0664000B  87                 K  57          1971</t>
        </is>
      </c>
      <c r="D1499" t="inlineStr">
        <is>
          <t>Bryan : a political biography of William Jennings Bryan / by Louis W. Koenig.</t>
        </is>
      </c>
      <c r="F1499" t="inlineStr">
        <is>
          <t>No</t>
        </is>
      </c>
      <c r="G1499" t="inlineStr">
        <is>
          <t>1</t>
        </is>
      </c>
      <c r="H1499" t="inlineStr">
        <is>
          <t>No</t>
        </is>
      </c>
      <c r="I1499" t="inlineStr">
        <is>
          <t>No</t>
        </is>
      </c>
      <c r="J1499" t="inlineStr">
        <is>
          <t>0</t>
        </is>
      </c>
      <c r="K1499" t="inlineStr">
        <is>
          <t>Koenig, Louis W. (Louis William), 1916-2011.</t>
        </is>
      </c>
      <c r="L1499" t="inlineStr">
        <is>
          <t>New York : Putnam, [1971]</t>
        </is>
      </c>
      <c r="M1499" t="inlineStr">
        <is>
          <t>1971</t>
        </is>
      </c>
      <c r="O1499" t="inlineStr">
        <is>
          <t>eng</t>
        </is>
      </c>
      <c r="P1499" t="inlineStr">
        <is>
          <t>nyu</t>
        </is>
      </c>
      <c r="R1499" t="inlineStr">
        <is>
          <t xml:space="preserve">E  </t>
        </is>
      </c>
      <c r="S1499" t="n">
        <v>3</v>
      </c>
      <c r="T1499" t="n">
        <v>3</v>
      </c>
      <c r="U1499" t="inlineStr">
        <is>
          <t>1996-11-15</t>
        </is>
      </c>
      <c r="V1499" t="inlineStr">
        <is>
          <t>1996-11-15</t>
        </is>
      </c>
      <c r="W1499" t="inlineStr">
        <is>
          <t>1996-11-01</t>
        </is>
      </c>
      <c r="X1499" t="inlineStr">
        <is>
          <t>1996-11-01</t>
        </is>
      </c>
      <c r="Y1499" t="n">
        <v>1350</v>
      </c>
      <c r="Z1499" t="n">
        <v>1292</v>
      </c>
      <c r="AA1499" t="n">
        <v>1314</v>
      </c>
      <c r="AB1499" t="n">
        <v>23</v>
      </c>
      <c r="AC1499" t="n">
        <v>23</v>
      </c>
      <c r="AD1499" t="n">
        <v>53</v>
      </c>
      <c r="AE1499" t="n">
        <v>53</v>
      </c>
      <c r="AF1499" t="n">
        <v>21</v>
      </c>
      <c r="AG1499" t="n">
        <v>21</v>
      </c>
      <c r="AH1499" t="n">
        <v>9</v>
      </c>
      <c r="AI1499" t="n">
        <v>9</v>
      </c>
      <c r="AJ1499" t="n">
        <v>18</v>
      </c>
      <c r="AK1499" t="n">
        <v>18</v>
      </c>
      <c r="AL1499" t="n">
        <v>12</v>
      </c>
      <c r="AM1499" t="n">
        <v>12</v>
      </c>
      <c r="AN1499" t="n">
        <v>4</v>
      </c>
      <c r="AO1499" t="n">
        <v>4</v>
      </c>
      <c r="AP1499" t="inlineStr">
        <is>
          <t>No</t>
        </is>
      </c>
      <c r="AQ1499" t="inlineStr">
        <is>
          <t>Yes</t>
        </is>
      </c>
      <c r="AR1499">
        <f>HYPERLINK("http://catalog.hathitrust.org/Record/000465284","HathiTrust Record")</f>
        <v/>
      </c>
      <c r="AS1499">
        <f>HYPERLINK("https://creighton-primo.hosted.exlibrisgroup.com/primo-explore/search?tab=default_tab&amp;search_scope=EVERYTHING&amp;vid=01CRU&amp;lang=en_US&amp;offset=0&amp;query=any,contains,991000828289702656","Catalog Record")</f>
        <v/>
      </c>
      <c r="AT1499">
        <f>HYPERLINK("http://www.worldcat.org/oclc/146766","WorldCat Record")</f>
        <v/>
      </c>
      <c r="AU1499" t="inlineStr">
        <is>
          <t>1327475:eng</t>
        </is>
      </c>
      <c r="AV1499" t="inlineStr">
        <is>
          <t>146766</t>
        </is>
      </c>
      <c r="AW1499" t="inlineStr">
        <is>
          <t>991000828289702656</t>
        </is>
      </c>
      <c r="AX1499" t="inlineStr">
        <is>
          <t>991000828289702656</t>
        </is>
      </c>
      <c r="AY1499" t="inlineStr">
        <is>
          <t>2258726690002656</t>
        </is>
      </c>
      <c r="AZ1499" t="inlineStr">
        <is>
          <t>BOOK</t>
        </is>
      </c>
      <c r="BC1499" t="inlineStr">
        <is>
          <t>32285002371085</t>
        </is>
      </c>
      <c r="BD1499" t="inlineStr">
        <is>
          <t>893407561</t>
        </is>
      </c>
    </row>
    <row r="1500">
      <c r="A1500" t="inlineStr">
        <is>
          <t>No</t>
        </is>
      </c>
      <c r="B1500" t="inlineStr">
        <is>
          <t>E664.B87 L4</t>
        </is>
      </c>
      <c r="C1500" t="inlineStr">
        <is>
          <t>0                      E  0664000B  87                 L  4</t>
        </is>
      </c>
      <c r="D1500" t="inlineStr">
        <is>
          <t>Defender of the faith : William Jennings Bryan : the last decade, 1915-1925 / [by] Lawrence W. Levine.</t>
        </is>
      </c>
      <c r="F1500" t="inlineStr">
        <is>
          <t>No</t>
        </is>
      </c>
      <c r="G1500" t="inlineStr">
        <is>
          <t>1</t>
        </is>
      </c>
      <c r="H1500" t="inlineStr">
        <is>
          <t>No</t>
        </is>
      </c>
      <c r="I1500" t="inlineStr">
        <is>
          <t>No</t>
        </is>
      </c>
      <c r="J1500" t="inlineStr">
        <is>
          <t>0</t>
        </is>
      </c>
      <c r="K1500" t="inlineStr">
        <is>
          <t>Levine, Lawrence W.</t>
        </is>
      </c>
      <c r="L1500" t="inlineStr">
        <is>
          <t>New York : Oxford University Press, 1965.</t>
        </is>
      </c>
      <c r="M1500" t="inlineStr">
        <is>
          <t>1965</t>
        </is>
      </c>
      <c r="O1500" t="inlineStr">
        <is>
          <t>eng</t>
        </is>
      </c>
      <c r="P1500" t="inlineStr">
        <is>
          <t>nyu</t>
        </is>
      </c>
      <c r="R1500" t="inlineStr">
        <is>
          <t xml:space="preserve">E  </t>
        </is>
      </c>
      <c r="S1500" t="n">
        <v>5</v>
      </c>
      <c r="T1500" t="n">
        <v>5</v>
      </c>
      <c r="U1500" t="inlineStr">
        <is>
          <t>1996-02-01</t>
        </is>
      </c>
      <c r="V1500" t="inlineStr">
        <is>
          <t>1996-02-01</t>
        </is>
      </c>
      <c r="W1500" t="inlineStr">
        <is>
          <t>1990-03-22</t>
        </is>
      </c>
      <c r="X1500" t="inlineStr">
        <is>
          <t>1990-03-22</t>
        </is>
      </c>
      <c r="Y1500" t="n">
        <v>1383</v>
      </c>
      <c r="Z1500" t="n">
        <v>1287</v>
      </c>
      <c r="AA1500" t="n">
        <v>1398</v>
      </c>
      <c r="AB1500" t="n">
        <v>17</v>
      </c>
      <c r="AC1500" t="n">
        <v>17</v>
      </c>
      <c r="AD1500" t="n">
        <v>56</v>
      </c>
      <c r="AE1500" t="n">
        <v>59</v>
      </c>
      <c r="AF1500" t="n">
        <v>20</v>
      </c>
      <c r="AG1500" t="n">
        <v>23</v>
      </c>
      <c r="AH1500" t="n">
        <v>9</v>
      </c>
      <c r="AI1500" t="n">
        <v>9</v>
      </c>
      <c r="AJ1500" t="n">
        <v>22</v>
      </c>
      <c r="AK1500" t="n">
        <v>23</v>
      </c>
      <c r="AL1500" t="n">
        <v>11</v>
      </c>
      <c r="AM1500" t="n">
        <v>11</v>
      </c>
      <c r="AN1500" t="n">
        <v>5</v>
      </c>
      <c r="AO1500" t="n">
        <v>5</v>
      </c>
      <c r="AP1500" t="inlineStr">
        <is>
          <t>No</t>
        </is>
      </c>
      <c r="AQ1500" t="inlineStr">
        <is>
          <t>Yes</t>
        </is>
      </c>
      <c r="AR1500">
        <f>HYPERLINK("http://catalog.hathitrust.org/Record/000465287","HathiTrust Record")</f>
        <v/>
      </c>
      <c r="AS1500">
        <f>HYPERLINK("https://creighton-primo.hosted.exlibrisgroup.com/primo-explore/search?tab=default_tab&amp;search_scope=EVERYTHING&amp;vid=01CRU&amp;lang=en_US&amp;offset=0&amp;query=any,contains,991002794379702656","Catalog Record")</f>
        <v/>
      </c>
      <c r="AT1500">
        <f>HYPERLINK("http://www.worldcat.org/oclc/444726","WorldCat Record")</f>
        <v/>
      </c>
      <c r="AU1500" t="inlineStr">
        <is>
          <t>234619279:eng</t>
        </is>
      </c>
      <c r="AV1500" t="inlineStr">
        <is>
          <t>444726</t>
        </is>
      </c>
      <c r="AW1500" t="inlineStr">
        <is>
          <t>991002794379702656</t>
        </is>
      </c>
      <c r="AX1500" t="inlineStr">
        <is>
          <t>991002794379702656</t>
        </is>
      </c>
      <c r="AY1500" t="inlineStr">
        <is>
          <t>2264958080002656</t>
        </is>
      </c>
      <c r="AZ1500" t="inlineStr">
        <is>
          <t>BOOK</t>
        </is>
      </c>
      <c r="BC1500" t="inlineStr">
        <is>
          <t>32285000092238</t>
        </is>
      </c>
      <c r="BD1500" t="inlineStr">
        <is>
          <t>893616584</t>
        </is>
      </c>
    </row>
    <row r="1501">
      <c r="A1501" t="inlineStr">
        <is>
          <t>No</t>
        </is>
      </c>
      <c r="B1501" t="inlineStr">
        <is>
          <t>E664.B87 L8</t>
        </is>
      </c>
      <c r="C1501" t="inlineStr">
        <is>
          <t>0                      E  0664000B  87                 L  8</t>
        </is>
      </c>
      <c r="D1501" t="inlineStr">
        <is>
          <t>Bryan, the Great Commoner / by J.C. Long.</t>
        </is>
      </c>
      <c r="F1501" t="inlineStr">
        <is>
          <t>No</t>
        </is>
      </c>
      <c r="G1501" t="inlineStr">
        <is>
          <t>1</t>
        </is>
      </c>
      <c r="H1501" t="inlineStr">
        <is>
          <t>No</t>
        </is>
      </c>
      <c r="I1501" t="inlineStr">
        <is>
          <t>No</t>
        </is>
      </c>
      <c r="J1501" t="inlineStr">
        <is>
          <t>0</t>
        </is>
      </c>
      <c r="K1501" t="inlineStr">
        <is>
          <t>Long, J. C. (John Cuthbert), 1892-</t>
        </is>
      </c>
      <c r="L1501" t="inlineStr">
        <is>
          <t>New York ; London : D. Appleton &amp; Company, 1928.</t>
        </is>
      </c>
      <c r="M1501" t="inlineStr">
        <is>
          <t>1928</t>
        </is>
      </c>
      <c r="O1501" t="inlineStr">
        <is>
          <t>eng</t>
        </is>
      </c>
      <c r="P1501" t="inlineStr">
        <is>
          <t>nyu</t>
        </is>
      </c>
      <c r="R1501" t="inlineStr">
        <is>
          <t xml:space="preserve">E  </t>
        </is>
      </c>
      <c r="S1501" t="n">
        <v>3</v>
      </c>
      <c r="T1501" t="n">
        <v>3</v>
      </c>
      <c r="U1501" t="inlineStr">
        <is>
          <t>1992-11-15</t>
        </is>
      </c>
      <c r="V1501" t="inlineStr">
        <is>
          <t>1992-11-15</t>
        </is>
      </c>
      <c r="W1501" t="inlineStr">
        <is>
          <t>1992-10-07</t>
        </is>
      </c>
      <c r="X1501" t="inlineStr">
        <is>
          <t>1992-10-07</t>
        </is>
      </c>
      <c r="Y1501" t="n">
        <v>418</v>
      </c>
      <c r="Z1501" t="n">
        <v>398</v>
      </c>
      <c r="AA1501" t="n">
        <v>411</v>
      </c>
      <c r="AB1501" t="n">
        <v>6</v>
      </c>
      <c r="AC1501" t="n">
        <v>6</v>
      </c>
      <c r="AD1501" t="n">
        <v>19</v>
      </c>
      <c r="AE1501" t="n">
        <v>19</v>
      </c>
      <c r="AF1501" t="n">
        <v>4</v>
      </c>
      <c r="AG1501" t="n">
        <v>4</v>
      </c>
      <c r="AH1501" t="n">
        <v>3</v>
      </c>
      <c r="AI1501" t="n">
        <v>3</v>
      </c>
      <c r="AJ1501" t="n">
        <v>10</v>
      </c>
      <c r="AK1501" t="n">
        <v>10</v>
      </c>
      <c r="AL1501" t="n">
        <v>3</v>
      </c>
      <c r="AM1501" t="n">
        <v>3</v>
      </c>
      <c r="AN1501" t="n">
        <v>1</v>
      </c>
      <c r="AO1501" t="n">
        <v>1</v>
      </c>
      <c r="AP1501" t="inlineStr">
        <is>
          <t>Yes</t>
        </is>
      </c>
      <c r="AQ1501" t="inlineStr">
        <is>
          <t>No</t>
        </is>
      </c>
      <c r="AR1501">
        <f>HYPERLINK("http://catalog.hathitrust.org/Record/000465291","HathiTrust Record")</f>
        <v/>
      </c>
      <c r="AS1501">
        <f>HYPERLINK("https://creighton-primo.hosted.exlibrisgroup.com/primo-explore/search?tab=default_tab&amp;search_scope=EVERYTHING&amp;vid=01CRU&amp;lang=en_US&amp;offset=0&amp;query=any,contains,991003795869702656","Catalog Record")</f>
        <v/>
      </c>
      <c r="AT1501">
        <f>HYPERLINK("http://www.worldcat.org/oclc/1517397","WorldCat Record")</f>
        <v/>
      </c>
      <c r="AU1501" t="inlineStr">
        <is>
          <t>2351669:eng</t>
        </is>
      </c>
      <c r="AV1501" t="inlineStr">
        <is>
          <t>1517397</t>
        </is>
      </c>
      <c r="AW1501" t="inlineStr">
        <is>
          <t>991003795869702656</t>
        </is>
      </c>
      <c r="AX1501" t="inlineStr">
        <is>
          <t>991003795869702656</t>
        </is>
      </c>
      <c r="AY1501" t="inlineStr">
        <is>
          <t>2260736280002656</t>
        </is>
      </c>
      <c r="AZ1501" t="inlineStr">
        <is>
          <t>BOOK</t>
        </is>
      </c>
      <c r="BC1501" t="inlineStr">
        <is>
          <t>32285001328326</t>
        </is>
      </c>
      <c r="BD1501" t="inlineStr">
        <is>
          <t>893699423</t>
        </is>
      </c>
    </row>
    <row r="1502">
      <c r="A1502" t="inlineStr">
        <is>
          <t>No</t>
        </is>
      </c>
      <c r="B1502" t="inlineStr">
        <is>
          <t>E664.B87 M8</t>
        </is>
      </c>
      <c r="C1502" t="inlineStr">
        <is>
          <t>0                      E  0664000B  87                 M  8</t>
        </is>
      </c>
      <c r="D1502" t="inlineStr">
        <is>
          <t>Life and patriotic services of Hon. William J. Bryan : the fearless and brilliant leader of the people and candidate for president of the United States. A sketch from the beginning of his career to the high position he holds in the affection of his countrymen--an affection won by his devotion and loyalty to the welfare of the toiling masses of America / by Richard L. Metcalf [!] of the Omaha "World-Herald". Also the life of Hon. Arthur Sewall. Together with many interesting articles bearing upon the great issue of the day.</t>
        </is>
      </c>
      <c r="F1502" t="inlineStr">
        <is>
          <t>No</t>
        </is>
      </c>
      <c r="G1502" t="inlineStr">
        <is>
          <t>1</t>
        </is>
      </c>
      <c r="H1502" t="inlineStr">
        <is>
          <t>No</t>
        </is>
      </c>
      <c r="I1502" t="inlineStr">
        <is>
          <t>No</t>
        </is>
      </c>
      <c r="J1502" t="inlineStr">
        <is>
          <t>0</t>
        </is>
      </c>
      <c r="K1502" t="inlineStr">
        <is>
          <t>Metcalfe, Richard Lee, 1861-1954.</t>
        </is>
      </c>
      <c r="L1502" t="inlineStr">
        <is>
          <t>[Omaha] : Edgewood Publishing Company, [c1896]</t>
        </is>
      </c>
      <c r="M1502" t="inlineStr">
        <is>
          <t>1896</t>
        </is>
      </c>
      <c r="O1502" t="inlineStr">
        <is>
          <t>eng</t>
        </is>
      </c>
      <c r="P1502" t="inlineStr">
        <is>
          <t>nbu</t>
        </is>
      </c>
      <c r="R1502" t="inlineStr">
        <is>
          <t xml:space="preserve">E  </t>
        </is>
      </c>
      <c r="S1502" t="n">
        <v>4</v>
      </c>
      <c r="T1502" t="n">
        <v>4</v>
      </c>
      <c r="U1502" t="inlineStr">
        <is>
          <t>1993-11-10</t>
        </is>
      </c>
      <c r="V1502" t="inlineStr">
        <is>
          <t>1993-11-10</t>
        </is>
      </c>
      <c r="W1502" t="inlineStr">
        <is>
          <t>1992-11-05</t>
        </is>
      </c>
      <c r="X1502" t="inlineStr">
        <is>
          <t>1992-11-05</t>
        </is>
      </c>
      <c r="Y1502" t="n">
        <v>92</v>
      </c>
      <c r="Z1502" t="n">
        <v>90</v>
      </c>
      <c r="AA1502" t="n">
        <v>129</v>
      </c>
      <c r="AB1502" t="n">
        <v>2</v>
      </c>
      <c r="AC1502" t="n">
        <v>2</v>
      </c>
      <c r="AD1502" t="n">
        <v>4</v>
      </c>
      <c r="AE1502" t="n">
        <v>5</v>
      </c>
      <c r="AF1502" t="n">
        <v>0</v>
      </c>
      <c r="AG1502" t="n">
        <v>0</v>
      </c>
      <c r="AH1502" t="n">
        <v>3</v>
      </c>
      <c r="AI1502" t="n">
        <v>3</v>
      </c>
      <c r="AJ1502" t="n">
        <v>3</v>
      </c>
      <c r="AK1502" t="n">
        <v>4</v>
      </c>
      <c r="AL1502" t="n">
        <v>0</v>
      </c>
      <c r="AM1502" t="n">
        <v>0</v>
      </c>
      <c r="AN1502" t="n">
        <v>0</v>
      </c>
      <c r="AO1502" t="n">
        <v>0</v>
      </c>
      <c r="AP1502" t="inlineStr">
        <is>
          <t>Yes</t>
        </is>
      </c>
      <c r="AQ1502" t="inlineStr">
        <is>
          <t>No</t>
        </is>
      </c>
      <c r="AR1502">
        <f>HYPERLINK("http://catalog.hathitrust.org/Record/006578962","HathiTrust Record")</f>
        <v/>
      </c>
      <c r="AS1502">
        <f>HYPERLINK("https://creighton-primo.hosted.exlibrisgroup.com/primo-explore/search?tab=default_tab&amp;search_scope=EVERYTHING&amp;vid=01CRU&amp;lang=en_US&amp;offset=0&amp;query=any,contains,991004818909702656","Catalog Record")</f>
        <v/>
      </c>
      <c r="AT1502">
        <f>HYPERLINK("http://www.worldcat.org/oclc/5316732","WorldCat Record")</f>
        <v/>
      </c>
      <c r="AU1502" t="inlineStr">
        <is>
          <t>17431416:eng</t>
        </is>
      </c>
      <c r="AV1502" t="inlineStr">
        <is>
          <t>5316732</t>
        </is>
      </c>
      <c r="AW1502" t="inlineStr">
        <is>
          <t>991004818909702656</t>
        </is>
      </c>
      <c r="AX1502" t="inlineStr">
        <is>
          <t>991004818909702656</t>
        </is>
      </c>
      <c r="AY1502" t="inlineStr">
        <is>
          <t>2258288650002656</t>
        </is>
      </c>
      <c r="AZ1502" t="inlineStr">
        <is>
          <t>BOOK</t>
        </is>
      </c>
      <c r="BC1502" t="inlineStr">
        <is>
          <t>32285001382984</t>
        </is>
      </c>
      <c r="BD1502" t="inlineStr">
        <is>
          <t>893801399</t>
        </is>
      </c>
    </row>
    <row r="1503">
      <c r="A1503" t="inlineStr">
        <is>
          <t>No</t>
        </is>
      </c>
      <c r="B1503" t="inlineStr">
        <is>
          <t>E664.B87 S67 1991</t>
        </is>
      </c>
      <c r="C1503" t="inlineStr">
        <is>
          <t>0                      E  0664000B  87                 S  67          1991</t>
        </is>
      </c>
      <c r="D1503" t="inlineStr">
        <is>
          <t>William Jennings Bryan : orator of small-town America / Donald K. Springen ; foreword by Halford R. Ryan.</t>
        </is>
      </c>
      <c r="F1503" t="inlineStr">
        <is>
          <t>No</t>
        </is>
      </c>
      <c r="G1503" t="inlineStr">
        <is>
          <t>1</t>
        </is>
      </c>
      <c r="H1503" t="inlineStr">
        <is>
          <t>No</t>
        </is>
      </c>
      <c r="I1503" t="inlineStr">
        <is>
          <t>No</t>
        </is>
      </c>
      <c r="J1503" t="inlineStr">
        <is>
          <t>0</t>
        </is>
      </c>
      <c r="K1503" t="inlineStr">
        <is>
          <t>Springen, Donald K.</t>
        </is>
      </c>
      <c r="L1503" t="inlineStr">
        <is>
          <t>New York : Greenwood Press, 1991.</t>
        </is>
      </c>
      <c r="M1503" t="inlineStr">
        <is>
          <t>1991</t>
        </is>
      </c>
      <c r="O1503" t="inlineStr">
        <is>
          <t>eng</t>
        </is>
      </c>
      <c r="P1503" t="inlineStr">
        <is>
          <t>nyu</t>
        </is>
      </c>
      <c r="Q1503" t="inlineStr">
        <is>
          <t>Great American orators, 0898-8277 ; no. 11</t>
        </is>
      </c>
      <c r="R1503" t="inlineStr">
        <is>
          <t xml:space="preserve">E  </t>
        </is>
      </c>
      <c r="S1503" t="n">
        <v>11</v>
      </c>
      <c r="T1503" t="n">
        <v>11</v>
      </c>
      <c r="U1503" t="inlineStr">
        <is>
          <t>2005-05-04</t>
        </is>
      </c>
      <c r="V1503" t="inlineStr">
        <is>
          <t>2005-05-04</t>
        </is>
      </c>
      <c r="W1503" t="inlineStr">
        <is>
          <t>1992-07-15</t>
        </is>
      </c>
      <c r="X1503" t="inlineStr">
        <is>
          <t>1992-07-15</t>
        </is>
      </c>
      <c r="Y1503" t="n">
        <v>277</v>
      </c>
      <c r="Z1503" t="n">
        <v>254</v>
      </c>
      <c r="AA1503" t="n">
        <v>256</v>
      </c>
      <c r="AB1503" t="n">
        <v>6</v>
      </c>
      <c r="AC1503" t="n">
        <v>6</v>
      </c>
      <c r="AD1503" t="n">
        <v>12</v>
      </c>
      <c r="AE1503" t="n">
        <v>12</v>
      </c>
      <c r="AF1503" t="n">
        <v>4</v>
      </c>
      <c r="AG1503" t="n">
        <v>4</v>
      </c>
      <c r="AH1503" t="n">
        <v>1</v>
      </c>
      <c r="AI1503" t="n">
        <v>1</v>
      </c>
      <c r="AJ1503" t="n">
        <v>3</v>
      </c>
      <c r="AK1503" t="n">
        <v>3</v>
      </c>
      <c r="AL1503" t="n">
        <v>4</v>
      </c>
      <c r="AM1503" t="n">
        <v>4</v>
      </c>
      <c r="AN1503" t="n">
        <v>1</v>
      </c>
      <c r="AO1503" t="n">
        <v>1</v>
      </c>
      <c r="AP1503" t="inlineStr">
        <is>
          <t>No</t>
        </is>
      </c>
      <c r="AQ1503" t="inlineStr">
        <is>
          <t>Yes</t>
        </is>
      </c>
      <c r="AR1503">
        <f>HYPERLINK("http://catalog.hathitrust.org/Record/002479881","HathiTrust Record")</f>
        <v/>
      </c>
      <c r="AS1503">
        <f>HYPERLINK("https://creighton-primo.hosted.exlibrisgroup.com/primo-explore/search?tab=default_tab&amp;search_scope=EVERYTHING&amp;vid=01CRU&amp;lang=en_US&amp;offset=0&amp;query=any,contains,991001745469702656","Catalog Record")</f>
        <v/>
      </c>
      <c r="AT1503">
        <f>HYPERLINK("http://www.worldcat.org/oclc/22112313","WorldCat Record")</f>
        <v/>
      </c>
      <c r="AU1503" t="inlineStr">
        <is>
          <t>475966284:eng</t>
        </is>
      </c>
      <c r="AV1503" t="inlineStr">
        <is>
          <t>22112313</t>
        </is>
      </c>
      <c r="AW1503" t="inlineStr">
        <is>
          <t>991001745469702656</t>
        </is>
      </c>
      <c r="AX1503" t="inlineStr">
        <is>
          <t>991001745469702656</t>
        </is>
      </c>
      <c r="AY1503" t="inlineStr">
        <is>
          <t>2263079180002656</t>
        </is>
      </c>
      <c r="AZ1503" t="inlineStr">
        <is>
          <t>BOOK</t>
        </is>
      </c>
      <c r="BB1503" t="inlineStr">
        <is>
          <t>9780313259777</t>
        </is>
      </c>
      <c r="BC1503" t="inlineStr">
        <is>
          <t>32285001158442</t>
        </is>
      </c>
      <c r="BD1503" t="inlineStr">
        <is>
          <t>893250464</t>
        </is>
      </c>
    </row>
    <row r="1504">
      <c r="A1504" t="inlineStr">
        <is>
          <t>No</t>
        </is>
      </c>
      <c r="B1504" t="inlineStr">
        <is>
          <t>E664.B87 W75</t>
        </is>
      </c>
      <c r="C1504" t="inlineStr">
        <is>
          <t>0                      E  0664000B  87                 W  75</t>
        </is>
      </c>
      <c r="D1504" t="inlineStr">
        <is>
          <t>The commoner, William Jennings Bryan / by Charles Morrow Wilson.</t>
        </is>
      </c>
      <c r="F1504" t="inlineStr">
        <is>
          <t>No</t>
        </is>
      </c>
      <c r="G1504" t="inlineStr">
        <is>
          <t>1</t>
        </is>
      </c>
      <c r="H1504" t="inlineStr">
        <is>
          <t>No</t>
        </is>
      </c>
      <c r="I1504" t="inlineStr">
        <is>
          <t>No</t>
        </is>
      </c>
      <c r="J1504" t="inlineStr">
        <is>
          <t>0</t>
        </is>
      </c>
      <c r="K1504" t="inlineStr">
        <is>
          <t>Wilson, Charles Morrow, 1905-1977.</t>
        </is>
      </c>
      <c r="L1504" t="inlineStr">
        <is>
          <t>Garden City, N.Y. : Doubleday, 1970.</t>
        </is>
      </c>
      <c r="M1504" t="inlineStr">
        <is>
          <t>1970</t>
        </is>
      </c>
      <c r="N1504" t="inlineStr">
        <is>
          <t>[1st ed.] --</t>
        </is>
      </c>
      <c r="O1504" t="inlineStr">
        <is>
          <t>eng</t>
        </is>
      </c>
      <c r="P1504" t="inlineStr">
        <is>
          <t>nyu</t>
        </is>
      </c>
      <c r="R1504" t="inlineStr">
        <is>
          <t xml:space="preserve">E  </t>
        </is>
      </c>
      <c r="S1504" t="n">
        <v>2</v>
      </c>
      <c r="T1504" t="n">
        <v>2</v>
      </c>
      <c r="U1504" t="inlineStr">
        <is>
          <t>1993-11-10</t>
        </is>
      </c>
      <c r="V1504" t="inlineStr">
        <is>
          <t>1993-11-10</t>
        </is>
      </c>
      <c r="W1504" t="inlineStr">
        <is>
          <t>1990-03-21</t>
        </is>
      </c>
      <c r="X1504" t="inlineStr">
        <is>
          <t>1990-03-21</t>
        </is>
      </c>
      <c r="Y1504" t="n">
        <v>651</v>
      </c>
      <c r="Z1504" t="n">
        <v>623</v>
      </c>
      <c r="AA1504" t="n">
        <v>631</v>
      </c>
      <c r="AB1504" t="n">
        <v>12</v>
      </c>
      <c r="AC1504" t="n">
        <v>12</v>
      </c>
      <c r="AD1504" t="n">
        <v>18</v>
      </c>
      <c r="AE1504" t="n">
        <v>18</v>
      </c>
      <c r="AF1504" t="n">
        <v>4</v>
      </c>
      <c r="AG1504" t="n">
        <v>4</v>
      </c>
      <c r="AH1504" t="n">
        <v>5</v>
      </c>
      <c r="AI1504" t="n">
        <v>5</v>
      </c>
      <c r="AJ1504" t="n">
        <v>4</v>
      </c>
      <c r="AK1504" t="n">
        <v>4</v>
      </c>
      <c r="AL1504" t="n">
        <v>8</v>
      </c>
      <c r="AM1504" t="n">
        <v>8</v>
      </c>
      <c r="AN1504" t="n">
        <v>0</v>
      </c>
      <c r="AO1504" t="n">
        <v>0</v>
      </c>
      <c r="AP1504" t="inlineStr">
        <is>
          <t>No</t>
        </is>
      </c>
      <c r="AQ1504" t="inlineStr">
        <is>
          <t>Yes</t>
        </is>
      </c>
      <c r="AR1504">
        <f>HYPERLINK("http://catalog.hathitrust.org/Record/000423835","HathiTrust Record")</f>
        <v/>
      </c>
      <c r="AS1504">
        <f>HYPERLINK("https://creighton-primo.hosted.exlibrisgroup.com/primo-explore/search?tab=default_tab&amp;search_scope=EVERYTHING&amp;vid=01CRU&amp;lang=en_US&amp;offset=0&amp;query=any,contains,991000581419702656","Catalog Record")</f>
        <v/>
      </c>
      <c r="AT1504">
        <f>HYPERLINK("http://www.worldcat.org/oclc/95639","WorldCat Record")</f>
        <v/>
      </c>
      <c r="AU1504" t="inlineStr">
        <is>
          <t>1318661:eng</t>
        </is>
      </c>
      <c r="AV1504" t="inlineStr">
        <is>
          <t>95639</t>
        </is>
      </c>
      <c r="AW1504" t="inlineStr">
        <is>
          <t>991000581419702656</t>
        </is>
      </c>
      <c r="AX1504" t="inlineStr">
        <is>
          <t>991000581419702656</t>
        </is>
      </c>
      <c r="AY1504" t="inlineStr">
        <is>
          <t>2272320630002656</t>
        </is>
      </c>
      <c r="AZ1504" t="inlineStr">
        <is>
          <t>BOOK</t>
        </is>
      </c>
      <c r="BC1504" t="inlineStr">
        <is>
          <t>32285000089655</t>
        </is>
      </c>
      <c r="BD1504" t="inlineStr">
        <is>
          <t>893778049</t>
        </is>
      </c>
    </row>
    <row r="1505">
      <c r="A1505" t="inlineStr">
        <is>
          <t>No</t>
        </is>
      </c>
      <c r="B1505" t="inlineStr">
        <is>
          <t>E664.F52 N4</t>
        </is>
      </c>
      <c r="C1505" t="inlineStr">
        <is>
          <t>0                      E  0664000F  52                 N  4</t>
        </is>
      </c>
      <c r="D1505" t="inlineStr">
        <is>
          <t>Hamilton Fish : the inner history of the Grant administration / by Allan Nevins ; with an introduction by John Bassett Moore.</t>
        </is>
      </c>
      <c r="F1505" t="inlineStr">
        <is>
          <t>No</t>
        </is>
      </c>
      <c r="G1505" t="inlineStr">
        <is>
          <t>1</t>
        </is>
      </c>
      <c r="H1505" t="inlineStr">
        <is>
          <t>No</t>
        </is>
      </c>
      <c r="I1505" t="inlineStr">
        <is>
          <t>No</t>
        </is>
      </c>
      <c r="J1505" t="inlineStr">
        <is>
          <t>0</t>
        </is>
      </c>
      <c r="K1505" t="inlineStr">
        <is>
          <t>Nevins, Allan, 1890-1971.</t>
        </is>
      </c>
      <c r="L1505" t="inlineStr">
        <is>
          <t>New York, Dodd, Mead &amp; Company, 1936.</t>
        </is>
      </c>
      <c r="M1505" t="inlineStr">
        <is>
          <t>1936</t>
        </is>
      </c>
      <c r="O1505" t="inlineStr">
        <is>
          <t>eng</t>
        </is>
      </c>
      <c r="P1505" t="inlineStr">
        <is>
          <t>nyu</t>
        </is>
      </c>
      <c r="R1505" t="inlineStr">
        <is>
          <t xml:space="preserve">E  </t>
        </is>
      </c>
      <c r="S1505" t="n">
        <v>3</v>
      </c>
      <c r="T1505" t="n">
        <v>3</v>
      </c>
      <c r="U1505" t="inlineStr">
        <is>
          <t>2002-04-30</t>
        </is>
      </c>
      <c r="V1505" t="inlineStr">
        <is>
          <t>2002-04-30</t>
        </is>
      </c>
      <c r="W1505" t="inlineStr">
        <is>
          <t>1996-08-21</t>
        </is>
      </c>
      <c r="X1505" t="inlineStr">
        <is>
          <t>1996-08-21</t>
        </is>
      </c>
      <c r="Y1505" t="n">
        <v>475</v>
      </c>
      <c r="Z1505" t="n">
        <v>446</v>
      </c>
      <c r="AA1505" t="n">
        <v>1365</v>
      </c>
      <c r="AB1505" t="n">
        <v>3</v>
      </c>
      <c r="AC1505" t="n">
        <v>11</v>
      </c>
      <c r="AD1505" t="n">
        <v>28</v>
      </c>
      <c r="AE1505" t="n">
        <v>60</v>
      </c>
      <c r="AF1505" t="n">
        <v>13</v>
      </c>
      <c r="AG1505" t="n">
        <v>25</v>
      </c>
      <c r="AH1505" t="n">
        <v>6</v>
      </c>
      <c r="AI1505" t="n">
        <v>10</v>
      </c>
      <c r="AJ1505" t="n">
        <v>14</v>
      </c>
      <c r="AK1505" t="n">
        <v>27</v>
      </c>
      <c r="AL1505" t="n">
        <v>2</v>
      </c>
      <c r="AM1505" t="n">
        <v>10</v>
      </c>
      <c r="AN1505" t="n">
        <v>0</v>
      </c>
      <c r="AO1505" t="n">
        <v>2</v>
      </c>
      <c r="AP1505" t="inlineStr">
        <is>
          <t>No</t>
        </is>
      </c>
      <c r="AQ1505" t="inlineStr">
        <is>
          <t>Yes</t>
        </is>
      </c>
      <c r="AR1505">
        <f>HYPERLINK("http://catalog.hathitrust.org/Record/004388336","HathiTrust Record")</f>
        <v/>
      </c>
      <c r="AS1505">
        <f>HYPERLINK("https://creighton-primo.hosted.exlibrisgroup.com/primo-explore/search?tab=default_tab&amp;search_scope=EVERYTHING&amp;vid=01CRU&amp;lang=en_US&amp;offset=0&amp;query=any,contains,991003114909702656","Catalog Record")</f>
        <v/>
      </c>
      <c r="AT1505">
        <f>HYPERLINK("http://www.worldcat.org/oclc/660417","WorldCat Record")</f>
        <v/>
      </c>
      <c r="AU1505" t="inlineStr">
        <is>
          <t>3944014520:eng</t>
        </is>
      </c>
      <c r="AV1505" t="inlineStr">
        <is>
          <t>660417</t>
        </is>
      </c>
      <c r="AW1505" t="inlineStr">
        <is>
          <t>991003114909702656</t>
        </is>
      </c>
      <c r="AX1505" t="inlineStr">
        <is>
          <t>991003114909702656</t>
        </is>
      </c>
      <c r="AY1505" t="inlineStr">
        <is>
          <t>2270288940002656</t>
        </is>
      </c>
      <c r="AZ1505" t="inlineStr">
        <is>
          <t>BOOK</t>
        </is>
      </c>
      <c r="BC1505" t="inlineStr">
        <is>
          <t>32285002282779</t>
        </is>
      </c>
      <c r="BD1505" t="inlineStr">
        <is>
          <t>893524424</t>
        </is>
      </c>
    </row>
    <row r="1506">
      <c r="A1506" t="inlineStr">
        <is>
          <t>No</t>
        </is>
      </c>
      <c r="B1506" t="inlineStr">
        <is>
          <t>E664.H86 A32</t>
        </is>
      </c>
      <c r="C1506" t="inlineStr">
        <is>
          <t>0                      E  0664000H  86                 A  32</t>
        </is>
      </c>
      <c r="D1506" t="inlineStr">
        <is>
          <t>The autobiographical notes of Charles Evans Hughes. Edited by David J. Danelski and Joseph S. Tulchin.</t>
        </is>
      </c>
      <c r="F1506" t="inlineStr">
        <is>
          <t>No</t>
        </is>
      </c>
      <c r="G1506" t="inlineStr">
        <is>
          <t>1</t>
        </is>
      </c>
      <c r="H1506" t="inlineStr">
        <is>
          <t>Yes</t>
        </is>
      </c>
      <c r="I1506" t="inlineStr">
        <is>
          <t>No</t>
        </is>
      </c>
      <c r="J1506" t="inlineStr">
        <is>
          <t>0</t>
        </is>
      </c>
      <c r="K1506" t="inlineStr">
        <is>
          <t>Hughes, Charles Evans, 1862-1948.</t>
        </is>
      </c>
      <c r="L1506" t="inlineStr">
        <is>
          <t>Cambridge, Mass., Harvard University Press, 1973.</t>
        </is>
      </c>
      <c r="M1506" t="inlineStr">
        <is>
          <t>1973</t>
        </is>
      </c>
      <c r="O1506" t="inlineStr">
        <is>
          <t>eng</t>
        </is>
      </c>
      <c r="P1506" t="inlineStr">
        <is>
          <t>mau</t>
        </is>
      </c>
      <c r="Q1506" t="inlineStr">
        <is>
          <t>Studies in legal history</t>
        </is>
      </c>
      <c r="R1506" t="inlineStr">
        <is>
          <t xml:space="preserve">E  </t>
        </is>
      </c>
      <c r="S1506" t="n">
        <v>2</v>
      </c>
      <c r="T1506" t="n">
        <v>2</v>
      </c>
      <c r="U1506" t="inlineStr">
        <is>
          <t>1998-12-16</t>
        </is>
      </c>
      <c r="V1506" t="inlineStr">
        <is>
          <t>1998-12-16</t>
        </is>
      </c>
      <c r="W1506" t="inlineStr">
        <is>
          <t>1997-04-22</t>
        </is>
      </c>
      <c r="X1506" t="inlineStr">
        <is>
          <t>1997-04-22</t>
        </is>
      </c>
      <c r="Y1506" t="n">
        <v>783</v>
      </c>
      <c r="Z1506" t="n">
        <v>726</v>
      </c>
      <c r="AA1506" t="n">
        <v>730</v>
      </c>
      <c r="AB1506" t="n">
        <v>6</v>
      </c>
      <c r="AC1506" t="n">
        <v>6</v>
      </c>
      <c r="AD1506" t="n">
        <v>45</v>
      </c>
      <c r="AE1506" t="n">
        <v>45</v>
      </c>
      <c r="AF1506" t="n">
        <v>8</v>
      </c>
      <c r="AG1506" t="n">
        <v>8</v>
      </c>
      <c r="AH1506" t="n">
        <v>8</v>
      </c>
      <c r="AI1506" t="n">
        <v>8</v>
      </c>
      <c r="AJ1506" t="n">
        <v>13</v>
      </c>
      <c r="AK1506" t="n">
        <v>13</v>
      </c>
      <c r="AL1506" t="n">
        <v>3</v>
      </c>
      <c r="AM1506" t="n">
        <v>3</v>
      </c>
      <c r="AN1506" t="n">
        <v>20</v>
      </c>
      <c r="AO1506" t="n">
        <v>20</v>
      </c>
      <c r="AP1506" t="inlineStr">
        <is>
          <t>No</t>
        </is>
      </c>
      <c r="AQ1506" t="inlineStr">
        <is>
          <t>Yes</t>
        </is>
      </c>
      <c r="AR1506">
        <f>HYPERLINK("http://catalog.hathitrust.org/Record/000424380","HathiTrust Record")</f>
        <v/>
      </c>
      <c r="AS1506">
        <f>HYPERLINK("https://creighton-primo.hosted.exlibrisgroup.com/primo-explore/search?tab=default_tab&amp;search_scope=EVERYTHING&amp;vid=01CRU&amp;lang=en_US&amp;offset=0&amp;query=any,contains,991001667069702656","Catalog Record")</f>
        <v/>
      </c>
      <c r="AT1506">
        <f>HYPERLINK("http://www.worldcat.org/oclc/668127","WorldCat Record")</f>
        <v/>
      </c>
      <c r="AU1506" t="inlineStr">
        <is>
          <t>1686588:eng</t>
        </is>
      </c>
      <c r="AV1506" t="inlineStr">
        <is>
          <t>668127</t>
        </is>
      </c>
      <c r="AW1506" t="inlineStr">
        <is>
          <t>991001667069702656</t>
        </is>
      </c>
      <c r="AX1506" t="inlineStr">
        <is>
          <t>991001667069702656</t>
        </is>
      </c>
      <c r="AY1506" t="inlineStr">
        <is>
          <t>2254934810002656</t>
        </is>
      </c>
      <c r="AZ1506" t="inlineStr">
        <is>
          <t>BOOK</t>
        </is>
      </c>
      <c r="BB1506" t="inlineStr">
        <is>
          <t>9780674053250</t>
        </is>
      </c>
      <c r="BC1506" t="inlineStr">
        <is>
          <t>32285002559150</t>
        </is>
      </c>
      <c r="BD1506" t="inlineStr">
        <is>
          <t>893503576</t>
        </is>
      </c>
    </row>
    <row r="1507">
      <c r="A1507" t="inlineStr">
        <is>
          <t>No</t>
        </is>
      </c>
      <c r="B1507" t="inlineStr">
        <is>
          <t>E664.L16 D6</t>
        </is>
      </c>
      <c r="C1507" t="inlineStr">
        <is>
          <t>0                      E  0664000L  16                 D  6</t>
        </is>
      </c>
      <c r="D1507" t="inlineStr">
        <is>
          <t>The La Follettes and the Wisconsin idea.</t>
        </is>
      </c>
      <c r="F1507" t="inlineStr">
        <is>
          <t>No</t>
        </is>
      </c>
      <c r="G1507" t="inlineStr">
        <is>
          <t>1</t>
        </is>
      </c>
      <c r="H1507" t="inlineStr">
        <is>
          <t>No</t>
        </is>
      </c>
      <c r="I1507" t="inlineStr">
        <is>
          <t>No</t>
        </is>
      </c>
      <c r="J1507" t="inlineStr">
        <is>
          <t>0</t>
        </is>
      </c>
      <c r="K1507" t="inlineStr">
        <is>
          <t>Doan, Edward Newell, 1904-</t>
        </is>
      </c>
      <c r="L1507" t="inlineStr">
        <is>
          <t>New York, Rinehart [1947]</t>
        </is>
      </c>
      <c r="M1507" t="inlineStr">
        <is>
          <t>1947</t>
        </is>
      </c>
      <c r="O1507" t="inlineStr">
        <is>
          <t>eng</t>
        </is>
      </c>
      <c r="P1507" t="inlineStr">
        <is>
          <t>nyu</t>
        </is>
      </c>
      <c r="R1507" t="inlineStr">
        <is>
          <t xml:space="preserve">E  </t>
        </is>
      </c>
      <c r="S1507" t="n">
        <v>1</v>
      </c>
      <c r="T1507" t="n">
        <v>1</v>
      </c>
      <c r="U1507" t="inlineStr">
        <is>
          <t>1997-07-03</t>
        </is>
      </c>
      <c r="V1507" t="inlineStr">
        <is>
          <t>1997-07-03</t>
        </is>
      </c>
      <c r="W1507" t="inlineStr">
        <is>
          <t>1997-04-22</t>
        </is>
      </c>
      <c r="X1507" t="inlineStr">
        <is>
          <t>1997-04-22</t>
        </is>
      </c>
      <c r="Y1507" t="n">
        <v>532</v>
      </c>
      <c r="Z1507" t="n">
        <v>502</v>
      </c>
      <c r="AA1507" t="n">
        <v>518</v>
      </c>
      <c r="AB1507" t="n">
        <v>5</v>
      </c>
      <c r="AC1507" t="n">
        <v>5</v>
      </c>
      <c r="AD1507" t="n">
        <v>24</v>
      </c>
      <c r="AE1507" t="n">
        <v>25</v>
      </c>
      <c r="AF1507" t="n">
        <v>7</v>
      </c>
      <c r="AG1507" t="n">
        <v>7</v>
      </c>
      <c r="AH1507" t="n">
        <v>7</v>
      </c>
      <c r="AI1507" t="n">
        <v>7</v>
      </c>
      <c r="AJ1507" t="n">
        <v>11</v>
      </c>
      <c r="AK1507" t="n">
        <v>12</v>
      </c>
      <c r="AL1507" t="n">
        <v>4</v>
      </c>
      <c r="AM1507" t="n">
        <v>4</v>
      </c>
      <c r="AN1507" t="n">
        <v>1</v>
      </c>
      <c r="AO1507" t="n">
        <v>1</v>
      </c>
      <c r="AP1507" t="inlineStr">
        <is>
          <t>No</t>
        </is>
      </c>
      <c r="AQ1507" t="inlineStr">
        <is>
          <t>Yes</t>
        </is>
      </c>
      <c r="AR1507">
        <f>HYPERLINK("http://catalog.hathitrust.org/Record/000464533","HathiTrust Record")</f>
        <v/>
      </c>
      <c r="AS1507">
        <f>HYPERLINK("https://creighton-primo.hosted.exlibrisgroup.com/primo-explore/search?tab=default_tab&amp;search_scope=EVERYTHING&amp;vid=01CRU&amp;lang=en_US&amp;offset=0&amp;query=any,contains,991003873329702656","Catalog Record")</f>
        <v/>
      </c>
      <c r="AT1507">
        <f>HYPERLINK("http://www.worldcat.org/oclc/1698535","WorldCat Record")</f>
        <v/>
      </c>
      <c r="AU1507" t="inlineStr">
        <is>
          <t>422819350:eng</t>
        </is>
      </c>
      <c r="AV1507" t="inlineStr">
        <is>
          <t>1698535</t>
        </is>
      </c>
      <c r="AW1507" t="inlineStr">
        <is>
          <t>991003873329702656</t>
        </is>
      </c>
      <c r="AX1507" t="inlineStr">
        <is>
          <t>991003873329702656</t>
        </is>
      </c>
      <c r="AY1507" t="inlineStr">
        <is>
          <t>2269956580002656</t>
        </is>
      </c>
      <c r="AZ1507" t="inlineStr">
        <is>
          <t>BOOK</t>
        </is>
      </c>
      <c r="BC1507" t="inlineStr">
        <is>
          <t>32285002559515</t>
        </is>
      </c>
      <c r="BD1507" t="inlineStr">
        <is>
          <t>893868979</t>
        </is>
      </c>
    </row>
    <row r="1508">
      <c r="A1508" t="inlineStr">
        <is>
          <t>No</t>
        </is>
      </c>
      <c r="B1508" t="inlineStr">
        <is>
          <t>E664.L16 G73</t>
        </is>
      </c>
      <c r="C1508" t="inlineStr">
        <is>
          <t>0                      E  0664000L  16                 G  73</t>
        </is>
      </c>
      <c r="D1508" t="inlineStr">
        <is>
          <t>Robert Marion La Follette / Fred Greenbaum.</t>
        </is>
      </c>
      <c r="F1508" t="inlineStr">
        <is>
          <t>No</t>
        </is>
      </c>
      <c r="G1508" t="inlineStr">
        <is>
          <t>1</t>
        </is>
      </c>
      <c r="H1508" t="inlineStr">
        <is>
          <t>No</t>
        </is>
      </c>
      <c r="I1508" t="inlineStr">
        <is>
          <t>No</t>
        </is>
      </c>
      <c r="J1508" t="inlineStr">
        <is>
          <t>0</t>
        </is>
      </c>
      <c r="K1508" t="inlineStr">
        <is>
          <t>Greenbaum, Fred, 1930-</t>
        </is>
      </c>
      <c r="L1508" t="inlineStr">
        <is>
          <t>Boston : Twayne Publishers, [1975]</t>
        </is>
      </c>
      <c r="M1508" t="inlineStr">
        <is>
          <t>1975</t>
        </is>
      </c>
      <c r="O1508" t="inlineStr">
        <is>
          <t>eng</t>
        </is>
      </c>
      <c r="P1508" t="inlineStr">
        <is>
          <t>mau</t>
        </is>
      </c>
      <c r="Q1508" t="inlineStr">
        <is>
          <t>Twayne's world leaders series</t>
        </is>
      </c>
      <c r="R1508" t="inlineStr">
        <is>
          <t xml:space="preserve">E  </t>
        </is>
      </c>
      <c r="S1508" t="n">
        <v>1</v>
      </c>
      <c r="T1508" t="n">
        <v>1</v>
      </c>
      <c r="U1508" t="inlineStr">
        <is>
          <t>1997-07-03</t>
        </is>
      </c>
      <c r="V1508" t="inlineStr">
        <is>
          <t>1997-07-03</t>
        </is>
      </c>
      <c r="W1508" t="inlineStr">
        <is>
          <t>1997-04-22</t>
        </is>
      </c>
      <c r="X1508" t="inlineStr">
        <is>
          <t>1997-04-22</t>
        </is>
      </c>
      <c r="Y1508" t="n">
        <v>515</v>
      </c>
      <c r="Z1508" t="n">
        <v>482</v>
      </c>
      <c r="AA1508" t="n">
        <v>489</v>
      </c>
      <c r="AB1508" t="n">
        <v>5</v>
      </c>
      <c r="AC1508" t="n">
        <v>5</v>
      </c>
      <c r="AD1508" t="n">
        <v>24</v>
      </c>
      <c r="AE1508" t="n">
        <v>24</v>
      </c>
      <c r="AF1508" t="n">
        <v>7</v>
      </c>
      <c r="AG1508" t="n">
        <v>7</v>
      </c>
      <c r="AH1508" t="n">
        <v>8</v>
      </c>
      <c r="AI1508" t="n">
        <v>8</v>
      </c>
      <c r="AJ1508" t="n">
        <v>13</v>
      </c>
      <c r="AK1508" t="n">
        <v>13</v>
      </c>
      <c r="AL1508" t="n">
        <v>4</v>
      </c>
      <c r="AM1508" t="n">
        <v>4</v>
      </c>
      <c r="AN1508" t="n">
        <v>0</v>
      </c>
      <c r="AO1508" t="n">
        <v>0</v>
      </c>
      <c r="AP1508" t="inlineStr">
        <is>
          <t>No</t>
        </is>
      </c>
      <c r="AQ1508" t="inlineStr">
        <is>
          <t>Yes</t>
        </is>
      </c>
      <c r="AR1508">
        <f>HYPERLINK("http://catalog.hathitrust.org/Record/000424383","HathiTrust Record")</f>
        <v/>
      </c>
      <c r="AS1508">
        <f>HYPERLINK("https://creighton-primo.hosted.exlibrisgroup.com/primo-explore/search?tab=default_tab&amp;search_scope=EVERYTHING&amp;vid=01CRU&amp;lang=en_US&amp;offset=0&amp;query=any,contains,991003532899702656","Catalog Record")</f>
        <v/>
      </c>
      <c r="AT1508">
        <f>HYPERLINK("http://www.worldcat.org/oclc/1095063","WorldCat Record")</f>
        <v/>
      </c>
      <c r="AU1508" t="inlineStr">
        <is>
          <t>2071561:eng</t>
        </is>
      </c>
      <c r="AV1508" t="inlineStr">
        <is>
          <t>1095063</t>
        </is>
      </c>
      <c r="AW1508" t="inlineStr">
        <is>
          <t>991003532899702656</t>
        </is>
      </c>
      <c r="AX1508" t="inlineStr">
        <is>
          <t>991003532899702656</t>
        </is>
      </c>
      <c r="AY1508" t="inlineStr">
        <is>
          <t>2268077170002656</t>
        </is>
      </c>
      <c r="AZ1508" t="inlineStr">
        <is>
          <t>BOOK</t>
        </is>
      </c>
      <c r="BB1508" t="inlineStr">
        <is>
          <t>9780805730579</t>
        </is>
      </c>
      <c r="BC1508" t="inlineStr">
        <is>
          <t>32285002559523</t>
        </is>
      </c>
      <c r="BD1508" t="inlineStr">
        <is>
          <t>893711452</t>
        </is>
      </c>
    </row>
    <row r="1509">
      <c r="A1509" t="inlineStr">
        <is>
          <t>No</t>
        </is>
      </c>
      <c r="B1509" t="inlineStr">
        <is>
          <t>E664.L16 M3 1973</t>
        </is>
      </c>
      <c r="C1509" t="inlineStr">
        <is>
          <t>0                      E  0664000L  16                 M  3           1973</t>
        </is>
      </c>
      <c r="D1509" t="inlineStr">
        <is>
          <t>La Follette and the rise of the Progressives in Wisconsin [by] Robert S. Maxwell.</t>
        </is>
      </c>
      <c r="F1509" t="inlineStr">
        <is>
          <t>No</t>
        </is>
      </c>
      <c r="G1509" t="inlineStr">
        <is>
          <t>1</t>
        </is>
      </c>
      <c r="H1509" t="inlineStr">
        <is>
          <t>No</t>
        </is>
      </c>
      <c r="I1509" t="inlineStr">
        <is>
          <t>No</t>
        </is>
      </c>
      <c r="J1509" t="inlineStr">
        <is>
          <t>0</t>
        </is>
      </c>
      <c r="K1509" t="inlineStr">
        <is>
          <t>Maxwell, Robert S.</t>
        </is>
      </c>
      <c r="L1509" t="inlineStr">
        <is>
          <t>New York, Russell &amp; Russell [1973, c1956]</t>
        </is>
      </c>
      <c r="M1509" t="inlineStr">
        <is>
          <t>1973</t>
        </is>
      </c>
      <c r="O1509" t="inlineStr">
        <is>
          <t>eng</t>
        </is>
      </c>
      <c r="P1509" t="inlineStr">
        <is>
          <t>nyu</t>
        </is>
      </c>
      <c r="R1509" t="inlineStr">
        <is>
          <t xml:space="preserve">E  </t>
        </is>
      </c>
      <c r="S1509" t="n">
        <v>1</v>
      </c>
      <c r="T1509" t="n">
        <v>1</v>
      </c>
      <c r="U1509" t="inlineStr">
        <is>
          <t>1997-07-03</t>
        </is>
      </c>
      <c r="V1509" t="inlineStr">
        <is>
          <t>1997-07-03</t>
        </is>
      </c>
      <c r="W1509" t="inlineStr">
        <is>
          <t>1997-04-22</t>
        </is>
      </c>
      <c r="X1509" t="inlineStr">
        <is>
          <t>1997-04-22</t>
        </is>
      </c>
      <c r="Y1509" t="n">
        <v>148</v>
      </c>
      <c r="Z1509" t="n">
        <v>136</v>
      </c>
      <c r="AA1509" t="n">
        <v>1222</v>
      </c>
      <c r="AB1509" t="n">
        <v>1</v>
      </c>
      <c r="AC1509" t="n">
        <v>12</v>
      </c>
      <c r="AD1509" t="n">
        <v>3</v>
      </c>
      <c r="AE1509" t="n">
        <v>48</v>
      </c>
      <c r="AF1509" t="n">
        <v>1</v>
      </c>
      <c r="AG1509" t="n">
        <v>16</v>
      </c>
      <c r="AH1509" t="n">
        <v>1</v>
      </c>
      <c r="AI1509" t="n">
        <v>9</v>
      </c>
      <c r="AJ1509" t="n">
        <v>2</v>
      </c>
      <c r="AK1509" t="n">
        <v>21</v>
      </c>
      <c r="AL1509" t="n">
        <v>0</v>
      </c>
      <c r="AM1509" t="n">
        <v>11</v>
      </c>
      <c r="AN1509" t="n">
        <v>0</v>
      </c>
      <c r="AO1509" t="n">
        <v>2</v>
      </c>
      <c r="AP1509" t="inlineStr">
        <is>
          <t>No</t>
        </is>
      </c>
      <c r="AQ1509" t="inlineStr">
        <is>
          <t>No</t>
        </is>
      </c>
      <c r="AS1509">
        <f>HYPERLINK("https://creighton-primo.hosted.exlibrisgroup.com/primo-explore/search?tab=default_tab&amp;search_scope=EVERYTHING&amp;vid=01CRU&amp;lang=en_US&amp;offset=0&amp;query=any,contains,991003068179702656","Catalog Record")</f>
        <v/>
      </c>
      <c r="AT1509">
        <f>HYPERLINK("http://www.worldcat.org/oclc/623369","WorldCat Record")</f>
        <v/>
      </c>
      <c r="AU1509" t="inlineStr">
        <is>
          <t>422790278:eng</t>
        </is>
      </c>
      <c r="AV1509" t="inlineStr">
        <is>
          <t>623369</t>
        </is>
      </c>
      <c r="AW1509" t="inlineStr">
        <is>
          <t>991003068179702656</t>
        </is>
      </c>
      <c r="AX1509" t="inlineStr">
        <is>
          <t>991003068179702656</t>
        </is>
      </c>
      <c r="AY1509" t="inlineStr">
        <is>
          <t>2255950390002656</t>
        </is>
      </c>
      <c r="AZ1509" t="inlineStr">
        <is>
          <t>BOOK</t>
        </is>
      </c>
      <c r="BB1509" t="inlineStr">
        <is>
          <t>9780846216964</t>
        </is>
      </c>
      <c r="BC1509" t="inlineStr">
        <is>
          <t>32285002559531</t>
        </is>
      </c>
      <c r="BD1509" t="inlineStr">
        <is>
          <t>893799354</t>
        </is>
      </c>
    </row>
    <row r="1510">
      <c r="A1510" t="inlineStr">
        <is>
          <t>No</t>
        </is>
      </c>
      <c r="B1510" t="inlineStr">
        <is>
          <t>E664.L63 G6</t>
        </is>
      </c>
      <c r="C1510" t="inlineStr">
        <is>
          <t>0                      E  0664000L  63                 G  6</t>
        </is>
      </c>
      <c r="D1510" t="inlineStr">
        <is>
          <t>Robert Todd Lincoln: a man in his own right, by John S. Goff.</t>
        </is>
      </c>
      <c r="F1510" t="inlineStr">
        <is>
          <t>No</t>
        </is>
      </c>
      <c r="G1510" t="inlineStr">
        <is>
          <t>1</t>
        </is>
      </c>
      <c r="H1510" t="inlineStr">
        <is>
          <t>No</t>
        </is>
      </c>
      <c r="I1510" t="inlineStr">
        <is>
          <t>No</t>
        </is>
      </c>
      <c r="J1510" t="inlineStr">
        <is>
          <t>0</t>
        </is>
      </c>
      <c r="K1510" t="inlineStr">
        <is>
          <t>Goff, John S., 1931-2001.</t>
        </is>
      </c>
      <c r="L1510" t="inlineStr">
        <is>
          <t>Norman, University of Oklahoma Press [1968, c1969]</t>
        </is>
      </c>
      <c r="M1510" t="inlineStr">
        <is>
          <t>1968</t>
        </is>
      </c>
      <c r="N1510" t="inlineStr">
        <is>
          <t>[1st ed.]</t>
        </is>
      </c>
      <c r="O1510" t="inlineStr">
        <is>
          <t>eng</t>
        </is>
      </c>
      <c r="P1510" t="inlineStr">
        <is>
          <t>oku</t>
        </is>
      </c>
      <c r="R1510" t="inlineStr">
        <is>
          <t xml:space="preserve">E  </t>
        </is>
      </c>
      <c r="S1510" t="n">
        <v>0</v>
      </c>
      <c r="T1510" t="n">
        <v>0</v>
      </c>
      <c r="U1510" t="inlineStr">
        <is>
          <t>2003-03-24</t>
        </is>
      </c>
      <c r="V1510" t="inlineStr">
        <is>
          <t>2003-03-24</t>
        </is>
      </c>
      <c r="W1510" t="inlineStr">
        <is>
          <t>1997-04-22</t>
        </is>
      </c>
      <c r="X1510" t="inlineStr">
        <is>
          <t>1997-04-22</t>
        </is>
      </c>
      <c r="Y1510" t="n">
        <v>724</v>
      </c>
      <c r="Z1510" t="n">
        <v>702</v>
      </c>
      <c r="AA1510" t="n">
        <v>779</v>
      </c>
      <c r="AB1510" t="n">
        <v>4</v>
      </c>
      <c r="AC1510" t="n">
        <v>4</v>
      </c>
      <c r="AD1510" t="n">
        <v>16</v>
      </c>
      <c r="AE1510" t="n">
        <v>19</v>
      </c>
      <c r="AF1510" t="n">
        <v>6</v>
      </c>
      <c r="AG1510" t="n">
        <v>8</v>
      </c>
      <c r="AH1510" t="n">
        <v>2</v>
      </c>
      <c r="AI1510" t="n">
        <v>3</v>
      </c>
      <c r="AJ1510" t="n">
        <v>7</v>
      </c>
      <c r="AK1510" t="n">
        <v>7</v>
      </c>
      <c r="AL1510" t="n">
        <v>2</v>
      </c>
      <c r="AM1510" t="n">
        <v>2</v>
      </c>
      <c r="AN1510" t="n">
        <v>1</v>
      </c>
      <c r="AO1510" t="n">
        <v>2</v>
      </c>
      <c r="AP1510" t="inlineStr">
        <is>
          <t>No</t>
        </is>
      </c>
      <c r="AQ1510" t="inlineStr">
        <is>
          <t>Yes</t>
        </is>
      </c>
      <c r="AR1510">
        <f>HYPERLINK("http://catalog.hathitrust.org/Record/000424365","HathiTrust Record")</f>
        <v/>
      </c>
      <c r="AS1510">
        <f>HYPERLINK("https://creighton-primo.hosted.exlibrisgroup.com/primo-explore/search?tab=default_tab&amp;search_scope=EVERYTHING&amp;vid=01CRU&amp;lang=en_US&amp;offset=0&amp;query=any,contains,991002386279702656","Catalog Record")</f>
        <v/>
      </c>
      <c r="AT1510">
        <f>HYPERLINK("http://www.worldcat.org/oclc/330289","WorldCat Record")</f>
        <v/>
      </c>
      <c r="AU1510" t="inlineStr">
        <is>
          <t>24459123:eng</t>
        </is>
      </c>
      <c r="AV1510" t="inlineStr">
        <is>
          <t>330289</t>
        </is>
      </c>
      <c r="AW1510" t="inlineStr">
        <is>
          <t>991002386279702656</t>
        </is>
      </c>
      <c r="AX1510" t="inlineStr">
        <is>
          <t>991002386279702656</t>
        </is>
      </c>
      <c r="AY1510" t="inlineStr">
        <is>
          <t>2259060580002656</t>
        </is>
      </c>
      <c r="AZ1510" t="inlineStr">
        <is>
          <t>BOOK</t>
        </is>
      </c>
      <c r="BC1510" t="inlineStr">
        <is>
          <t>32285002559580</t>
        </is>
      </c>
      <c r="BD1510" t="inlineStr">
        <is>
          <t>893616051</t>
        </is>
      </c>
    </row>
    <row r="1511">
      <c r="A1511" t="inlineStr">
        <is>
          <t>No</t>
        </is>
      </c>
      <c r="B1511" t="inlineStr">
        <is>
          <t>E664.L7 W45</t>
        </is>
      </c>
      <c r="C1511" t="inlineStr">
        <is>
          <t>0                      E  0664000L  7                  W  45</t>
        </is>
      </c>
      <c r="D1511" t="inlineStr">
        <is>
          <t>Henry Cabot Lodge and the search for an American foreign policy / William C. Widenor.</t>
        </is>
      </c>
      <c r="F1511" t="inlineStr">
        <is>
          <t>No</t>
        </is>
      </c>
      <c r="G1511" t="inlineStr">
        <is>
          <t>1</t>
        </is>
      </c>
      <c r="H1511" t="inlineStr">
        <is>
          <t>No</t>
        </is>
      </c>
      <c r="I1511" t="inlineStr">
        <is>
          <t>No</t>
        </is>
      </c>
      <c r="J1511" t="inlineStr">
        <is>
          <t>0</t>
        </is>
      </c>
      <c r="K1511" t="inlineStr">
        <is>
          <t>Widenor, William C.</t>
        </is>
      </c>
      <c r="L1511" t="inlineStr">
        <is>
          <t>Berkeley : University of California Press, c1980.</t>
        </is>
      </c>
      <c r="M1511" t="inlineStr">
        <is>
          <t>1980</t>
        </is>
      </c>
      <c r="O1511" t="inlineStr">
        <is>
          <t>eng</t>
        </is>
      </c>
      <c r="P1511" t="inlineStr">
        <is>
          <t>cau</t>
        </is>
      </c>
      <c r="R1511" t="inlineStr">
        <is>
          <t xml:space="preserve">E  </t>
        </is>
      </c>
      <c r="S1511" t="n">
        <v>1</v>
      </c>
      <c r="T1511" t="n">
        <v>1</v>
      </c>
      <c r="U1511" t="inlineStr">
        <is>
          <t>1998-02-20</t>
        </is>
      </c>
      <c r="V1511" t="inlineStr">
        <is>
          <t>1998-02-20</t>
        </is>
      </c>
      <c r="W1511" t="inlineStr">
        <is>
          <t>1991-05-14</t>
        </is>
      </c>
      <c r="X1511" t="inlineStr">
        <is>
          <t>1991-05-14</t>
        </is>
      </c>
      <c r="Y1511" t="n">
        <v>950</v>
      </c>
      <c r="Z1511" t="n">
        <v>817</v>
      </c>
      <c r="AA1511" t="n">
        <v>935</v>
      </c>
      <c r="AB1511" t="n">
        <v>8</v>
      </c>
      <c r="AC1511" t="n">
        <v>9</v>
      </c>
      <c r="AD1511" t="n">
        <v>43</v>
      </c>
      <c r="AE1511" t="n">
        <v>48</v>
      </c>
      <c r="AF1511" t="n">
        <v>19</v>
      </c>
      <c r="AG1511" t="n">
        <v>21</v>
      </c>
      <c r="AH1511" t="n">
        <v>10</v>
      </c>
      <c r="AI1511" t="n">
        <v>10</v>
      </c>
      <c r="AJ1511" t="n">
        <v>18</v>
      </c>
      <c r="AK1511" t="n">
        <v>21</v>
      </c>
      <c r="AL1511" t="n">
        <v>7</v>
      </c>
      <c r="AM1511" t="n">
        <v>8</v>
      </c>
      <c r="AN1511" t="n">
        <v>1</v>
      </c>
      <c r="AO1511" t="n">
        <v>1</v>
      </c>
      <c r="AP1511" t="inlineStr">
        <is>
          <t>No</t>
        </is>
      </c>
      <c r="AQ1511" t="inlineStr">
        <is>
          <t>Yes</t>
        </is>
      </c>
      <c r="AR1511">
        <f>HYPERLINK("http://catalog.hathitrust.org/Record/000718361","HathiTrust Record")</f>
        <v/>
      </c>
      <c r="AS1511">
        <f>HYPERLINK("https://creighton-primo.hosted.exlibrisgroup.com/primo-explore/search?tab=default_tab&amp;search_scope=EVERYTHING&amp;vid=01CRU&amp;lang=en_US&amp;offset=0&amp;query=any,contains,991004821649702656","Catalog Record")</f>
        <v/>
      </c>
      <c r="AT1511">
        <f>HYPERLINK("http://www.worldcat.org/oclc/5334812","WorldCat Record")</f>
        <v/>
      </c>
      <c r="AU1511" t="inlineStr">
        <is>
          <t>9716745:eng</t>
        </is>
      </c>
      <c r="AV1511" t="inlineStr">
        <is>
          <t>5334812</t>
        </is>
      </c>
      <c r="AW1511" t="inlineStr">
        <is>
          <t>991004821649702656</t>
        </is>
      </c>
      <c r="AX1511" t="inlineStr">
        <is>
          <t>991004821649702656</t>
        </is>
      </c>
      <c r="AY1511" t="inlineStr">
        <is>
          <t>2266159580002656</t>
        </is>
      </c>
      <c r="AZ1511" t="inlineStr">
        <is>
          <t>BOOK</t>
        </is>
      </c>
      <c r="BB1511" t="inlineStr">
        <is>
          <t>9780520037786</t>
        </is>
      </c>
      <c r="BC1511" t="inlineStr">
        <is>
          <t>32285000611359</t>
        </is>
      </c>
      <c r="BD1511" t="inlineStr">
        <is>
          <t>893688204</t>
        </is>
      </c>
    </row>
    <row r="1512">
      <c r="A1512" t="inlineStr">
        <is>
          <t>No</t>
        </is>
      </c>
      <c r="B1512" t="inlineStr">
        <is>
          <t>E664.P15 C66 1977</t>
        </is>
      </c>
      <c r="C1512" t="inlineStr">
        <is>
          <t>0                      E  0664000P  15                 C  66          1977</t>
        </is>
      </c>
      <c r="D1512" t="inlineStr">
        <is>
          <t>Walter Hines Page : the Southerner as American, 1855-1918 / by John Milton Cooper, Jr.</t>
        </is>
      </c>
      <c r="F1512" t="inlineStr">
        <is>
          <t>No</t>
        </is>
      </c>
      <c r="G1512" t="inlineStr">
        <is>
          <t>1</t>
        </is>
      </c>
      <c r="H1512" t="inlineStr">
        <is>
          <t>No</t>
        </is>
      </c>
      <c r="I1512" t="inlineStr">
        <is>
          <t>No</t>
        </is>
      </c>
      <c r="J1512" t="inlineStr">
        <is>
          <t>0</t>
        </is>
      </c>
      <c r="K1512" t="inlineStr">
        <is>
          <t>Cooper, John Milton.</t>
        </is>
      </c>
      <c r="L1512" t="inlineStr">
        <is>
          <t>Chapel Hill : University of North Carolina Press, c1977.</t>
        </is>
      </c>
      <c r="M1512" t="inlineStr">
        <is>
          <t>1977</t>
        </is>
      </c>
      <c r="O1512" t="inlineStr">
        <is>
          <t>eng</t>
        </is>
      </c>
      <c r="P1512" t="inlineStr">
        <is>
          <t>ncu</t>
        </is>
      </c>
      <c r="Q1512" t="inlineStr">
        <is>
          <t>The Fred W. Morrison series in Southern studies</t>
        </is>
      </c>
      <c r="R1512" t="inlineStr">
        <is>
          <t xml:space="preserve">E  </t>
        </is>
      </c>
      <c r="S1512" t="n">
        <v>2</v>
      </c>
      <c r="T1512" t="n">
        <v>2</v>
      </c>
      <c r="U1512" t="inlineStr">
        <is>
          <t>1998-06-11</t>
        </is>
      </c>
      <c r="V1512" t="inlineStr">
        <is>
          <t>1998-06-11</t>
        </is>
      </c>
      <c r="W1512" t="inlineStr">
        <is>
          <t>1991-05-14</t>
        </is>
      </c>
      <c r="X1512" t="inlineStr">
        <is>
          <t>1991-05-14</t>
        </is>
      </c>
      <c r="Y1512" t="n">
        <v>676</v>
      </c>
      <c r="Z1512" t="n">
        <v>605</v>
      </c>
      <c r="AA1512" t="n">
        <v>612</v>
      </c>
      <c r="AB1512" t="n">
        <v>4</v>
      </c>
      <c r="AC1512" t="n">
        <v>4</v>
      </c>
      <c r="AD1512" t="n">
        <v>27</v>
      </c>
      <c r="AE1512" t="n">
        <v>27</v>
      </c>
      <c r="AF1512" t="n">
        <v>12</v>
      </c>
      <c r="AG1512" t="n">
        <v>12</v>
      </c>
      <c r="AH1512" t="n">
        <v>10</v>
      </c>
      <c r="AI1512" t="n">
        <v>10</v>
      </c>
      <c r="AJ1512" t="n">
        <v>12</v>
      </c>
      <c r="AK1512" t="n">
        <v>12</v>
      </c>
      <c r="AL1512" t="n">
        <v>2</v>
      </c>
      <c r="AM1512" t="n">
        <v>2</v>
      </c>
      <c r="AN1512" t="n">
        <v>0</v>
      </c>
      <c r="AO1512" t="n">
        <v>0</v>
      </c>
      <c r="AP1512" t="inlineStr">
        <is>
          <t>No</t>
        </is>
      </c>
      <c r="AQ1512" t="inlineStr">
        <is>
          <t>Yes</t>
        </is>
      </c>
      <c r="AR1512">
        <f>HYPERLINK("http://catalog.hathitrust.org/Record/000726455","HathiTrust Record")</f>
        <v/>
      </c>
      <c r="AS1512">
        <f>HYPERLINK("https://creighton-primo.hosted.exlibrisgroup.com/primo-explore/search?tab=default_tab&amp;search_scope=EVERYTHING&amp;vid=01CRU&amp;lang=en_US&amp;offset=0&amp;query=any,contains,991004269369702656","Catalog Record")</f>
        <v/>
      </c>
      <c r="AT1512">
        <f>HYPERLINK("http://www.worldcat.org/oclc/2874723","WorldCat Record")</f>
        <v/>
      </c>
      <c r="AU1512" t="inlineStr">
        <is>
          <t>864121527:eng</t>
        </is>
      </c>
      <c r="AV1512" t="inlineStr">
        <is>
          <t>2874723</t>
        </is>
      </c>
      <c r="AW1512" t="inlineStr">
        <is>
          <t>991004269369702656</t>
        </is>
      </c>
      <c r="AX1512" t="inlineStr">
        <is>
          <t>991004269369702656</t>
        </is>
      </c>
      <c r="AY1512" t="inlineStr">
        <is>
          <t>2257504530002656</t>
        </is>
      </c>
      <c r="AZ1512" t="inlineStr">
        <is>
          <t>BOOK</t>
        </is>
      </c>
      <c r="BB1512" t="inlineStr">
        <is>
          <t>9780807812983</t>
        </is>
      </c>
      <c r="BC1512" t="inlineStr">
        <is>
          <t>32285000611367</t>
        </is>
      </c>
      <c r="BD1512" t="inlineStr">
        <is>
          <t>893687551</t>
        </is>
      </c>
    </row>
    <row r="1513">
      <c r="A1513" t="inlineStr">
        <is>
          <t>No</t>
        </is>
      </c>
      <c r="B1513" t="inlineStr">
        <is>
          <t>E664.R4 T47 1982</t>
        </is>
      </c>
      <c r="C1513" t="inlineStr">
        <is>
          <t>0                      E  0664000R  4                  T  47          1982</t>
        </is>
      </c>
      <c r="D1513" t="inlineStr">
        <is>
          <t>Hiram R. Revels, 1827-1901 : a biography / Julius Eric Thompson.</t>
        </is>
      </c>
      <c r="F1513" t="inlineStr">
        <is>
          <t>No</t>
        </is>
      </c>
      <c r="G1513" t="inlineStr">
        <is>
          <t>1</t>
        </is>
      </c>
      <c r="H1513" t="inlineStr">
        <is>
          <t>No</t>
        </is>
      </c>
      <c r="I1513" t="inlineStr">
        <is>
          <t>No</t>
        </is>
      </c>
      <c r="J1513" t="inlineStr">
        <is>
          <t>0</t>
        </is>
      </c>
      <c r="K1513" t="inlineStr">
        <is>
          <t>Thompson, Julius Eric.</t>
        </is>
      </c>
      <c r="L1513" t="inlineStr">
        <is>
          <t>New York : Arno Press, 1982, c1973.</t>
        </is>
      </c>
      <c r="M1513" t="inlineStr">
        <is>
          <t>1982</t>
        </is>
      </c>
      <c r="O1513" t="inlineStr">
        <is>
          <t>eng</t>
        </is>
      </c>
      <c r="P1513" t="inlineStr">
        <is>
          <t>nyu</t>
        </is>
      </c>
      <c r="Q1513" t="inlineStr">
        <is>
          <t>Dissertations in American biography</t>
        </is>
      </c>
      <c r="R1513" t="inlineStr">
        <is>
          <t xml:space="preserve">E  </t>
        </is>
      </c>
      <c r="S1513" t="n">
        <v>1</v>
      </c>
      <c r="T1513" t="n">
        <v>1</v>
      </c>
      <c r="U1513" t="inlineStr">
        <is>
          <t>1998-04-16</t>
        </is>
      </c>
      <c r="V1513" t="inlineStr">
        <is>
          <t>1998-04-16</t>
        </is>
      </c>
      <c r="W1513" t="inlineStr">
        <is>
          <t>1995-08-09</t>
        </is>
      </c>
      <c r="X1513" t="inlineStr">
        <is>
          <t>1995-08-09</t>
        </is>
      </c>
      <c r="Y1513" t="n">
        <v>65</v>
      </c>
      <c r="Z1513" t="n">
        <v>63</v>
      </c>
      <c r="AA1513" t="n">
        <v>84</v>
      </c>
      <c r="AB1513" t="n">
        <v>1</v>
      </c>
      <c r="AC1513" t="n">
        <v>1</v>
      </c>
      <c r="AD1513" t="n">
        <v>1</v>
      </c>
      <c r="AE1513" t="n">
        <v>1</v>
      </c>
      <c r="AF1513" t="n">
        <v>1</v>
      </c>
      <c r="AG1513" t="n">
        <v>1</v>
      </c>
      <c r="AH1513" t="n">
        <v>0</v>
      </c>
      <c r="AI1513" t="n">
        <v>0</v>
      </c>
      <c r="AJ1513" t="n">
        <v>1</v>
      </c>
      <c r="AK1513" t="n">
        <v>1</v>
      </c>
      <c r="AL1513" t="n">
        <v>0</v>
      </c>
      <c r="AM1513" t="n">
        <v>0</v>
      </c>
      <c r="AN1513" t="n">
        <v>0</v>
      </c>
      <c r="AO1513" t="n">
        <v>0</v>
      </c>
      <c r="AP1513" t="inlineStr">
        <is>
          <t>No</t>
        </is>
      </c>
      <c r="AQ1513" t="inlineStr">
        <is>
          <t>No</t>
        </is>
      </c>
      <c r="AS1513">
        <f>HYPERLINK("https://creighton-primo.hosted.exlibrisgroup.com/primo-explore/search?tab=default_tab&amp;search_scope=EVERYTHING&amp;vid=01CRU&amp;lang=en_US&amp;offset=0&amp;query=any,contains,991005105059702656","Catalog Record")</f>
        <v/>
      </c>
      <c r="AT1513">
        <f>HYPERLINK("http://www.worldcat.org/oclc/7328377","WorldCat Record")</f>
        <v/>
      </c>
      <c r="AU1513" t="inlineStr">
        <is>
          <t>290656799:eng</t>
        </is>
      </c>
      <c r="AV1513" t="inlineStr">
        <is>
          <t>7328377</t>
        </is>
      </c>
      <c r="AW1513" t="inlineStr">
        <is>
          <t>991005105059702656</t>
        </is>
      </c>
      <c r="AX1513" t="inlineStr">
        <is>
          <t>991005105059702656</t>
        </is>
      </c>
      <c r="AY1513" t="inlineStr">
        <is>
          <t>2272575000002656</t>
        </is>
      </c>
      <c r="AZ1513" t="inlineStr">
        <is>
          <t>BOOK</t>
        </is>
      </c>
      <c r="BB1513" t="inlineStr">
        <is>
          <t>9780405141096</t>
        </is>
      </c>
      <c r="BC1513" t="inlineStr">
        <is>
          <t>32285002063104</t>
        </is>
      </c>
      <c r="BD1513" t="inlineStr">
        <is>
          <t>893418379</t>
        </is>
      </c>
    </row>
    <row r="1514">
      <c r="A1514" t="inlineStr">
        <is>
          <t>No</t>
        </is>
      </c>
      <c r="B1514" t="inlineStr">
        <is>
          <t>E664.R7 J5</t>
        </is>
      </c>
      <c r="C1514" t="inlineStr">
        <is>
          <t>0                      E  0664000R  7                  J  5</t>
        </is>
      </c>
      <c r="D1514" t="inlineStr">
        <is>
          <t>Elihu Root, by Philip C. Jessup ...</t>
        </is>
      </c>
      <c r="E1514" t="inlineStr">
        <is>
          <t>V.2</t>
        </is>
      </c>
      <c r="F1514" t="inlineStr">
        <is>
          <t>Yes</t>
        </is>
      </c>
      <c r="G1514" t="inlineStr">
        <is>
          <t>1</t>
        </is>
      </c>
      <c r="H1514" t="inlineStr">
        <is>
          <t>No</t>
        </is>
      </c>
      <c r="I1514" t="inlineStr">
        <is>
          <t>No</t>
        </is>
      </c>
      <c r="J1514" t="inlineStr">
        <is>
          <t>0</t>
        </is>
      </c>
      <c r="K1514" t="inlineStr">
        <is>
          <t>Jessup, Philip C. (Philip Caryl), 1897-1986.</t>
        </is>
      </c>
      <c r="L1514" t="inlineStr">
        <is>
          <t>New York, Dodd, Mead &amp; Company, 1938.</t>
        </is>
      </c>
      <c r="M1514" t="inlineStr">
        <is>
          <t>1938</t>
        </is>
      </c>
      <c r="O1514" t="inlineStr">
        <is>
          <t>eng</t>
        </is>
      </c>
      <c r="P1514" t="inlineStr">
        <is>
          <t>nyu</t>
        </is>
      </c>
      <c r="R1514" t="inlineStr">
        <is>
          <t xml:space="preserve">E  </t>
        </is>
      </c>
      <c r="S1514" t="n">
        <v>1</v>
      </c>
      <c r="T1514" t="n">
        <v>2</v>
      </c>
      <c r="U1514" t="inlineStr">
        <is>
          <t>2001-06-18</t>
        </is>
      </c>
      <c r="V1514" t="inlineStr">
        <is>
          <t>2001-06-18</t>
        </is>
      </c>
      <c r="W1514" t="inlineStr">
        <is>
          <t>1997-04-22</t>
        </is>
      </c>
      <c r="X1514" t="inlineStr">
        <is>
          <t>1997-04-22</t>
        </is>
      </c>
      <c r="Y1514" t="n">
        <v>848</v>
      </c>
      <c r="Z1514" t="n">
        <v>793</v>
      </c>
      <c r="AA1514" t="n">
        <v>837</v>
      </c>
      <c r="AB1514" t="n">
        <v>5</v>
      </c>
      <c r="AC1514" t="n">
        <v>5</v>
      </c>
      <c r="AD1514" t="n">
        <v>46</v>
      </c>
      <c r="AE1514" t="n">
        <v>48</v>
      </c>
      <c r="AF1514" t="n">
        <v>16</v>
      </c>
      <c r="AG1514" t="n">
        <v>16</v>
      </c>
      <c r="AH1514" t="n">
        <v>8</v>
      </c>
      <c r="AI1514" t="n">
        <v>8</v>
      </c>
      <c r="AJ1514" t="n">
        <v>15</v>
      </c>
      <c r="AK1514" t="n">
        <v>15</v>
      </c>
      <c r="AL1514" t="n">
        <v>4</v>
      </c>
      <c r="AM1514" t="n">
        <v>4</v>
      </c>
      <c r="AN1514" t="n">
        <v>12</v>
      </c>
      <c r="AO1514" t="n">
        <v>14</v>
      </c>
      <c r="AP1514" t="inlineStr">
        <is>
          <t>Yes</t>
        </is>
      </c>
      <c r="AQ1514" t="inlineStr">
        <is>
          <t>No</t>
        </is>
      </c>
      <c r="AR1514">
        <f>HYPERLINK("http://catalog.hathitrust.org/Record/003435492","HathiTrust Record")</f>
        <v/>
      </c>
      <c r="AS1514">
        <f>HYPERLINK("https://creighton-primo.hosted.exlibrisgroup.com/primo-explore/search?tab=default_tab&amp;search_scope=EVERYTHING&amp;vid=01CRU&amp;lang=en_US&amp;offset=0&amp;query=any,contains,991002892699702656","Catalog Record")</f>
        <v/>
      </c>
      <c r="AT1514">
        <f>HYPERLINK("http://www.worldcat.org/oclc/512435","WorldCat Record")</f>
        <v/>
      </c>
      <c r="AU1514" t="inlineStr">
        <is>
          <t>135946031:eng</t>
        </is>
      </c>
      <c r="AV1514" t="inlineStr">
        <is>
          <t>512435</t>
        </is>
      </c>
      <c r="AW1514" t="inlineStr">
        <is>
          <t>991002892699702656</t>
        </is>
      </c>
      <c r="AX1514" t="inlineStr">
        <is>
          <t>991002892699702656</t>
        </is>
      </c>
      <c r="AY1514" t="inlineStr">
        <is>
          <t>2263282900002656</t>
        </is>
      </c>
      <c r="AZ1514" t="inlineStr">
        <is>
          <t>BOOK</t>
        </is>
      </c>
      <c r="BC1514" t="inlineStr">
        <is>
          <t>32285002559861</t>
        </is>
      </c>
      <c r="BD1514" t="inlineStr">
        <is>
          <t>893899376</t>
        </is>
      </c>
    </row>
    <row r="1515">
      <c r="A1515" t="inlineStr">
        <is>
          <t>No</t>
        </is>
      </c>
      <c r="B1515" t="inlineStr">
        <is>
          <t>E664.R7 J5</t>
        </is>
      </c>
      <c r="C1515" t="inlineStr">
        <is>
          <t>0                      E  0664000R  7                  J  5</t>
        </is>
      </c>
      <c r="D1515" t="inlineStr">
        <is>
          <t>Elihu Root, by Philip C. Jessup ...</t>
        </is>
      </c>
      <c r="E1515" t="inlineStr">
        <is>
          <t>V.1</t>
        </is>
      </c>
      <c r="F1515" t="inlineStr">
        <is>
          <t>Yes</t>
        </is>
      </c>
      <c r="G1515" t="inlineStr">
        <is>
          <t>1</t>
        </is>
      </c>
      <c r="H1515" t="inlineStr">
        <is>
          <t>No</t>
        </is>
      </c>
      <c r="I1515" t="inlineStr">
        <is>
          <t>No</t>
        </is>
      </c>
      <c r="J1515" t="inlineStr">
        <is>
          <t>0</t>
        </is>
      </c>
      <c r="K1515" t="inlineStr">
        <is>
          <t>Jessup, Philip C. (Philip Caryl), 1897-1986.</t>
        </is>
      </c>
      <c r="L1515" t="inlineStr">
        <is>
          <t>New York, Dodd, Mead &amp; Company, 1938.</t>
        </is>
      </c>
      <c r="M1515" t="inlineStr">
        <is>
          <t>1938</t>
        </is>
      </c>
      <c r="O1515" t="inlineStr">
        <is>
          <t>eng</t>
        </is>
      </c>
      <c r="P1515" t="inlineStr">
        <is>
          <t>nyu</t>
        </is>
      </c>
      <c r="R1515" t="inlineStr">
        <is>
          <t xml:space="preserve">E  </t>
        </is>
      </c>
      <c r="S1515" t="n">
        <v>1</v>
      </c>
      <c r="T1515" t="n">
        <v>2</v>
      </c>
      <c r="U1515" t="inlineStr">
        <is>
          <t>2001-06-10</t>
        </is>
      </c>
      <c r="V1515" t="inlineStr">
        <is>
          <t>2001-06-18</t>
        </is>
      </c>
      <c r="W1515" t="inlineStr">
        <is>
          <t>1997-04-22</t>
        </is>
      </c>
      <c r="X1515" t="inlineStr">
        <is>
          <t>1997-04-22</t>
        </is>
      </c>
      <c r="Y1515" t="n">
        <v>848</v>
      </c>
      <c r="Z1515" t="n">
        <v>793</v>
      </c>
      <c r="AA1515" t="n">
        <v>837</v>
      </c>
      <c r="AB1515" t="n">
        <v>5</v>
      </c>
      <c r="AC1515" t="n">
        <v>5</v>
      </c>
      <c r="AD1515" t="n">
        <v>46</v>
      </c>
      <c r="AE1515" t="n">
        <v>48</v>
      </c>
      <c r="AF1515" t="n">
        <v>16</v>
      </c>
      <c r="AG1515" t="n">
        <v>16</v>
      </c>
      <c r="AH1515" t="n">
        <v>8</v>
      </c>
      <c r="AI1515" t="n">
        <v>8</v>
      </c>
      <c r="AJ1515" t="n">
        <v>15</v>
      </c>
      <c r="AK1515" t="n">
        <v>15</v>
      </c>
      <c r="AL1515" t="n">
        <v>4</v>
      </c>
      <c r="AM1515" t="n">
        <v>4</v>
      </c>
      <c r="AN1515" t="n">
        <v>12</v>
      </c>
      <c r="AO1515" t="n">
        <v>14</v>
      </c>
      <c r="AP1515" t="inlineStr">
        <is>
          <t>Yes</t>
        </is>
      </c>
      <c r="AQ1515" t="inlineStr">
        <is>
          <t>No</t>
        </is>
      </c>
      <c r="AR1515">
        <f>HYPERLINK("http://catalog.hathitrust.org/Record/003435492","HathiTrust Record")</f>
        <v/>
      </c>
      <c r="AS1515">
        <f>HYPERLINK("https://creighton-primo.hosted.exlibrisgroup.com/primo-explore/search?tab=default_tab&amp;search_scope=EVERYTHING&amp;vid=01CRU&amp;lang=en_US&amp;offset=0&amp;query=any,contains,991002892699702656","Catalog Record")</f>
        <v/>
      </c>
      <c r="AT1515">
        <f>HYPERLINK("http://www.worldcat.org/oclc/512435","WorldCat Record")</f>
        <v/>
      </c>
      <c r="AU1515" t="inlineStr">
        <is>
          <t>135946031:eng</t>
        </is>
      </c>
      <c r="AV1515" t="inlineStr">
        <is>
          <t>512435</t>
        </is>
      </c>
      <c r="AW1515" t="inlineStr">
        <is>
          <t>991002892699702656</t>
        </is>
      </c>
      <c r="AX1515" t="inlineStr">
        <is>
          <t>991002892699702656</t>
        </is>
      </c>
      <c r="AY1515" t="inlineStr">
        <is>
          <t>2263282900002656</t>
        </is>
      </c>
      <c r="AZ1515" t="inlineStr">
        <is>
          <t>BOOK</t>
        </is>
      </c>
      <c r="BC1515" t="inlineStr">
        <is>
          <t>32285002559853</t>
        </is>
      </c>
      <c r="BD1515" t="inlineStr">
        <is>
          <t>893899377</t>
        </is>
      </c>
    </row>
    <row r="1516">
      <c r="A1516" t="inlineStr">
        <is>
          <t>No</t>
        </is>
      </c>
      <c r="B1516" t="inlineStr">
        <is>
          <t>E664.T57 S5</t>
        </is>
      </c>
      <c r="C1516" t="inlineStr">
        <is>
          <t>0                      E  0664000T  57                 S  5</t>
        </is>
      </c>
      <c r="D1516" t="inlineStr">
        <is>
          <t>Pitchfork Ben Tillman, South Carolinian / Francis Butler Simkins.</t>
        </is>
      </c>
      <c r="F1516" t="inlineStr">
        <is>
          <t>No</t>
        </is>
      </c>
      <c r="G1516" t="inlineStr">
        <is>
          <t>1</t>
        </is>
      </c>
      <c r="H1516" t="inlineStr">
        <is>
          <t>No</t>
        </is>
      </c>
      <c r="I1516" t="inlineStr">
        <is>
          <t>No</t>
        </is>
      </c>
      <c r="J1516" t="inlineStr">
        <is>
          <t>0</t>
        </is>
      </c>
      <c r="K1516" t="inlineStr">
        <is>
          <t>Simkins, Francis Butler, 1897-1966.</t>
        </is>
      </c>
      <c r="L1516" t="inlineStr">
        <is>
          <t>[Baton Rouge] Louisiana State University Press [1967, c1944]</t>
        </is>
      </c>
      <c r="M1516" t="inlineStr">
        <is>
          <t>1967</t>
        </is>
      </c>
      <c r="O1516" t="inlineStr">
        <is>
          <t>eng</t>
        </is>
      </c>
      <c r="P1516" t="inlineStr">
        <is>
          <t>___</t>
        </is>
      </c>
      <c r="Q1516" t="inlineStr">
        <is>
          <t>Louisiana paperbacks ; L 19</t>
        </is>
      </c>
      <c r="R1516" t="inlineStr">
        <is>
          <t xml:space="preserve">E  </t>
        </is>
      </c>
      <c r="S1516" t="n">
        <v>2</v>
      </c>
      <c r="T1516" t="n">
        <v>2</v>
      </c>
      <c r="U1516" t="inlineStr">
        <is>
          <t>1993-08-26</t>
        </is>
      </c>
      <c r="V1516" t="inlineStr">
        <is>
          <t>1993-08-26</t>
        </is>
      </c>
      <c r="W1516" t="inlineStr">
        <is>
          <t>1991-05-14</t>
        </is>
      </c>
      <c r="X1516" t="inlineStr">
        <is>
          <t>1991-05-14</t>
        </is>
      </c>
      <c r="Y1516" t="n">
        <v>207</v>
      </c>
      <c r="Z1516" t="n">
        <v>194</v>
      </c>
      <c r="AA1516" t="n">
        <v>942</v>
      </c>
      <c r="AB1516" t="n">
        <v>3</v>
      </c>
      <c r="AC1516" t="n">
        <v>10</v>
      </c>
      <c r="AD1516" t="n">
        <v>10</v>
      </c>
      <c r="AE1516" t="n">
        <v>47</v>
      </c>
      <c r="AF1516" t="n">
        <v>4</v>
      </c>
      <c r="AG1516" t="n">
        <v>20</v>
      </c>
      <c r="AH1516" t="n">
        <v>2</v>
      </c>
      <c r="AI1516" t="n">
        <v>9</v>
      </c>
      <c r="AJ1516" t="n">
        <v>6</v>
      </c>
      <c r="AK1516" t="n">
        <v>23</v>
      </c>
      <c r="AL1516" t="n">
        <v>2</v>
      </c>
      <c r="AM1516" t="n">
        <v>8</v>
      </c>
      <c r="AN1516" t="n">
        <v>0</v>
      </c>
      <c r="AO1516" t="n">
        <v>1</v>
      </c>
      <c r="AP1516" t="inlineStr">
        <is>
          <t>No</t>
        </is>
      </c>
      <c r="AQ1516" t="inlineStr">
        <is>
          <t>No</t>
        </is>
      </c>
      <c r="AS1516">
        <f>HYPERLINK("https://creighton-primo.hosted.exlibrisgroup.com/primo-explore/search?tab=default_tab&amp;search_scope=EVERYTHING&amp;vid=01CRU&amp;lang=en_US&amp;offset=0&amp;query=any,contains,991002229069702656","Catalog Record")</f>
        <v/>
      </c>
      <c r="AT1516">
        <f>HYPERLINK("http://www.worldcat.org/oclc/293322","WorldCat Record")</f>
        <v/>
      </c>
      <c r="AU1516" t="inlineStr">
        <is>
          <t>1052042:eng</t>
        </is>
      </c>
      <c r="AV1516" t="inlineStr">
        <is>
          <t>293322</t>
        </is>
      </c>
      <c r="AW1516" t="inlineStr">
        <is>
          <t>991002229069702656</t>
        </is>
      </c>
      <c r="AX1516" t="inlineStr">
        <is>
          <t>991002229069702656</t>
        </is>
      </c>
      <c r="AY1516" t="inlineStr">
        <is>
          <t>2266642110002656</t>
        </is>
      </c>
      <c r="AZ1516" t="inlineStr">
        <is>
          <t>BOOK</t>
        </is>
      </c>
      <c r="BC1516" t="inlineStr">
        <is>
          <t>32285000611391</t>
        </is>
      </c>
      <c r="BD1516" t="inlineStr">
        <is>
          <t>893347258</t>
        </is>
      </c>
    </row>
    <row r="1517">
      <c r="A1517" t="inlineStr">
        <is>
          <t>No</t>
        </is>
      </c>
      <c r="B1517" t="inlineStr">
        <is>
          <t>E664.U5 J63</t>
        </is>
      </c>
      <c r="C1517" t="inlineStr">
        <is>
          <t>0                      E  0664000U  5                  J  63</t>
        </is>
      </c>
      <c r="D1517" t="inlineStr">
        <is>
          <t>Oscar W. Underwood, a political biography / by Evans C. Johnson.</t>
        </is>
      </c>
      <c r="F1517" t="inlineStr">
        <is>
          <t>No</t>
        </is>
      </c>
      <c r="G1517" t="inlineStr">
        <is>
          <t>1</t>
        </is>
      </c>
      <c r="H1517" t="inlineStr">
        <is>
          <t>No</t>
        </is>
      </c>
      <c r="I1517" t="inlineStr">
        <is>
          <t>No</t>
        </is>
      </c>
      <c r="J1517" t="inlineStr">
        <is>
          <t>0</t>
        </is>
      </c>
      <c r="K1517" t="inlineStr">
        <is>
          <t>Johnson, Evans C., 1922-</t>
        </is>
      </c>
      <c r="L1517" t="inlineStr">
        <is>
          <t>Baton Rouge : Louisiana State University Press, c1980.</t>
        </is>
      </c>
      <c r="M1517" t="inlineStr">
        <is>
          <t>1980</t>
        </is>
      </c>
      <c r="O1517" t="inlineStr">
        <is>
          <t>eng</t>
        </is>
      </c>
      <c r="P1517" t="inlineStr">
        <is>
          <t>lau</t>
        </is>
      </c>
      <c r="Q1517" t="inlineStr">
        <is>
          <t>Southern biography series</t>
        </is>
      </c>
      <c r="R1517" t="inlineStr">
        <is>
          <t xml:space="preserve">E  </t>
        </is>
      </c>
      <c r="S1517" t="n">
        <v>2</v>
      </c>
      <c r="T1517" t="n">
        <v>2</v>
      </c>
      <c r="U1517" t="inlineStr">
        <is>
          <t>1993-08-05</t>
        </is>
      </c>
      <c r="V1517" t="inlineStr">
        <is>
          <t>1993-08-05</t>
        </is>
      </c>
      <c r="W1517" t="inlineStr">
        <is>
          <t>1991-05-14</t>
        </is>
      </c>
      <c r="X1517" t="inlineStr">
        <is>
          <t>1991-05-14</t>
        </is>
      </c>
      <c r="Y1517" t="n">
        <v>376</v>
      </c>
      <c r="Z1517" t="n">
        <v>346</v>
      </c>
      <c r="AA1517" t="n">
        <v>353</v>
      </c>
      <c r="AB1517" t="n">
        <v>3</v>
      </c>
      <c r="AC1517" t="n">
        <v>3</v>
      </c>
      <c r="AD1517" t="n">
        <v>22</v>
      </c>
      <c r="AE1517" t="n">
        <v>22</v>
      </c>
      <c r="AF1517" t="n">
        <v>11</v>
      </c>
      <c r="AG1517" t="n">
        <v>11</v>
      </c>
      <c r="AH1517" t="n">
        <v>7</v>
      </c>
      <c r="AI1517" t="n">
        <v>7</v>
      </c>
      <c r="AJ1517" t="n">
        <v>11</v>
      </c>
      <c r="AK1517" t="n">
        <v>11</v>
      </c>
      <c r="AL1517" t="n">
        <v>2</v>
      </c>
      <c r="AM1517" t="n">
        <v>2</v>
      </c>
      <c r="AN1517" t="n">
        <v>0</v>
      </c>
      <c r="AO1517" t="n">
        <v>0</v>
      </c>
      <c r="AP1517" t="inlineStr">
        <is>
          <t>No</t>
        </is>
      </c>
      <c r="AQ1517" t="inlineStr">
        <is>
          <t>No</t>
        </is>
      </c>
      <c r="AS1517">
        <f>HYPERLINK("https://creighton-primo.hosted.exlibrisgroup.com/primo-explore/search?tab=default_tab&amp;search_scope=EVERYTHING&amp;vid=01CRU&amp;lang=en_US&amp;offset=0&amp;query=any,contains,991004820799702656","Catalog Record")</f>
        <v/>
      </c>
      <c r="AT1517">
        <f>HYPERLINK("http://www.worldcat.org/oclc/5333674","WorldCat Record")</f>
        <v/>
      </c>
      <c r="AU1517" t="inlineStr">
        <is>
          <t>852685453:eng</t>
        </is>
      </c>
      <c r="AV1517" t="inlineStr">
        <is>
          <t>5333674</t>
        </is>
      </c>
      <c r="AW1517" t="inlineStr">
        <is>
          <t>991004820799702656</t>
        </is>
      </c>
      <c r="AX1517" t="inlineStr">
        <is>
          <t>991004820799702656</t>
        </is>
      </c>
      <c r="AY1517" t="inlineStr">
        <is>
          <t>2265637090002656</t>
        </is>
      </c>
      <c r="AZ1517" t="inlineStr">
        <is>
          <t>BOOK</t>
        </is>
      </c>
      <c r="BB1517" t="inlineStr">
        <is>
          <t>9780807105825</t>
        </is>
      </c>
      <c r="BC1517" t="inlineStr">
        <is>
          <t>32285000611409</t>
        </is>
      </c>
      <c r="BD1517" t="inlineStr">
        <is>
          <t>893424231</t>
        </is>
      </c>
    </row>
    <row r="1518">
      <c r="A1518" t="inlineStr">
        <is>
          <t>No</t>
        </is>
      </c>
      <c r="B1518" t="inlineStr">
        <is>
          <t>E667 .M66</t>
        </is>
      </c>
      <c r="C1518" t="inlineStr">
        <is>
          <t>0                      E  0667000M  66</t>
        </is>
      </c>
      <c r="D1518" t="inlineStr">
        <is>
          <t>The age of hate : Andrew Johnson and the radicals / by George Fort Milton.</t>
        </is>
      </c>
      <c r="F1518" t="inlineStr">
        <is>
          <t>No</t>
        </is>
      </c>
      <c r="G1518" t="inlineStr">
        <is>
          <t>1</t>
        </is>
      </c>
      <c r="H1518" t="inlineStr">
        <is>
          <t>No</t>
        </is>
      </c>
      <c r="I1518" t="inlineStr">
        <is>
          <t>No</t>
        </is>
      </c>
      <c r="J1518" t="inlineStr">
        <is>
          <t>0</t>
        </is>
      </c>
      <c r="K1518" t="inlineStr">
        <is>
          <t>Milton, George Fort, 1894-1955.</t>
        </is>
      </c>
      <c r="L1518" t="inlineStr">
        <is>
          <t>New York : Coward-McCann, Inc., 1930.</t>
        </is>
      </c>
      <c r="M1518" t="inlineStr">
        <is>
          <t>1930</t>
        </is>
      </c>
      <c r="O1518" t="inlineStr">
        <is>
          <t>eng</t>
        </is>
      </c>
      <c r="P1518" t="inlineStr">
        <is>
          <t>nyu</t>
        </is>
      </c>
      <c r="R1518" t="inlineStr">
        <is>
          <t xml:space="preserve">E  </t>
        </is>
      </c>
      <c r="S1518" t="n">
        <v>4</v>
      </c>
      <c r="T1518" t="n">
        <v>4</v>
      </c>
      <c r="U1518" t="inlineStr">
        <is>
          <t>1996-03-08</t>
        </is>
      </c>
      <c r="V1518" t="inlineStr">
        <is>
          <t>1996-03-08</t>
        </is>
      </c>
      <c r="W1518" t="inlineStr">
        <is>
          <t>1992-03-23</t>
        </is>
      </c>
      <c r="X1518" t="inlineStr">
        <is>
          <t>1992-03-23</t>
        </is>
      </c>
      <c r="Y1518" t="n">
        <v>589</v>
      </c>
      <c r="Z1518" t="n">
        <v>563</v>
      </c>
      <c r="AA1518" t="n">
        <v>851</v>
      </c>
      <c r="AB1518" t="n">
        <v>4</v>
      </c>
      <c r="AC1518" t="n">
        <v>7</v>
      </c>
      <c r="AD1518" t="n">
        <v>31</v>
      </c>
      <c r="AE1518" t="n">
        <v>41</v>
      </c>
      <c r="AF1518" t="n">
        <v>14</v>
      </c>
      <c r="AG1518" t="n">
        <v>19</v>
      </c>
      <c r="AH1518" t="n">
        <v>8</v>
      </c>
      <c r="AI1518" t="n">
        <v>9</v>
      </c>
      <c r="AJ1518" t="n">
        <v>16</v>
      </c>
      <c r="AK1518" t="n">
        <v>19</v>
      </c>
      <c r="AL1518" t="n">
        <v>3</v>
      </c>
      <c r="AM1518" t="n">
        <v>6</v>
      </c>
      <c r="AN1518" t="n">
        <v>0</v>
      </c>
      <c r="AO1518" t="n">
        <v>0</v>
      </c>
      <c r="AP1518" t="inlineStr">
        <is>
          <t>No</t>
        </is>
      </c>
      <c r="AQ1518" t="inlineStr">
        <is>
          <t>Yes</t>
        </is>
      </c>
      <c r="AR1518">
        <f>HYPERLINK("http://catalog.hathitrust.org/Record/000465018","HathiTrust Record")</f>
        <v/>
      </c>
      <c r="AS1518">
        <f>HYPERLINK("https://creighton-primo.hosted.exlibrisgroup.com/primo-explore/search?tab=default_tab&amp;search_scope=EVERYTHING&amp;vid=01CRU&amp;lang=en_US&amp;offset=0&amp;query=any,contains,991003213459702656","Catalog Record")</f>
        <v/>
      </c>
      <c r="AT1518">
        <f>HYPERLINK("http://www.worldcat.org/oclc/739916","WorldCat Record")</f>
        <v/>
      </c>
      <c r="AU1518" t="inlineStr">
        <is>
          <t>1495908:eng</t>
        </is>
      </c>
      <c r="AV1518" t="inlineStr">
        <is>
          <t>739916</t>
        </is>
      </c>
      <c r="AW1518" t="inlineStr">
        <is>
          <t>991003213459702656</t>
        </is>
      </c>
      <c r="AX1518" t="inlineStr">
        <is>
          <t>991003213459702656</t>
        </is>
      </c>
      <c r="AY1518" t="inlineStr">
        <is>
          <t>2255932930002656</t>
        </is>
      </c>
      <c r="AZ1518" t="inlineStr">
        <is>
          <t>BOOK</t>
        </is>
      </c>
      <c r="BC1518" t="inlineStr">
        <is>
          <t>32285001026425</t>
        </is>
      </c>
      <c r="BD1518" t="inlineStr">
        <is>
          <t>893698763</t>
        </is>
      </c>
    </row>
    <row r="1519">
      <c r="A1519" t="inlineStr">
        <is>
          <t>No</t>
        </is>
      </c>
      <c r="B1519" t="inlineStr">
        <is>
          <t>E668 .B462</t>
        </is>
      </c>
      <c r="C1519" t="inlineStr">
        <is>
          <t>0                      E  0668000B  462</t>
        </is>
      </c>
      <c r="D1519" t="inlineStr">
        <is>
          <t>The fruits of victory : alternatives in restoring the Union, 1865-1877 / Michael Les Benedict.</t>
        </is>
      </c>
      <c r="F1519" t="inlineStr">
        <is>
          <t>No</t>
        </is>
      </c>
      <c r="G1519" t="inlineStr">
        <is>
          <t>1</t>
        </is>
      </c>
      <c r="H1519" t="inlineStr">
        <is>
          <t>No</t>
        </is>
      </c>
      <c r="I1519" t="inlineStr">
        <is>
          <t>No</t>
        </is>
      </c>
      <c r="J1519" t="inlineStr">
        <is>
          <t>0</t>
        </is>
      </c>
      <c r="K1519" t="inlineStr">
        <is>
          <t>Benedict, Michael Les.</t>
        </is>
      </c>
      <c r="L1519" t="inlineStr">
        <is>
          <t>Philadelphia : Lippincott, [1975]</t>
        </is>
      </c>
      <c r="M1519" t="inlineStr">
        <is>
          <t>1975</t>
        </is>
      </c>
      <c r="O1519" t="inlineStr">
        <is>
          <t>eng</t>
        </is>
      </c>
      <c r="P1519" t="inlineStr">
        <is>
          <t>pau</t>
        </is>
      </c>
      <c r="Q1519" t="inlineStr">
        <is>
          <t>The America's alternatives series</t>
        </is>
      </c>
      <c r="R1519" t="inlineStr">
        <is>
          <t xml:space="preserve">E  </t>
        </is>
      </c>
      <c r="S1519" t="n">
        <v>2</v>
      </c>
      <c r="T1519" t="n">
        <v>2</v>
      </c>
      <c r="U1519" t="inlineStr">
        <is>
          <t>1994-12-11</t>
        </is>
      </c>
      <c r="V1519" t="inlineStr">
        <is>
          <t>1994-12-11</t>
        </is>
      </c>
      <c r="W1519" t="inlineStr">
        <is>
          <t>1992-12-07</t>
        </is>
      </c>
      <c r="X1519" t="inlineStr">
        <is>
          <t>1992-12-07</t>
        </is>
      </c>
      <c r="Y1519" t="n">
        <v>338</v>
      </c>
      <c r="Z1519" t="n">
        <v>309</v>
      </c>
      <c r="AA1519" t="n">
        <v>394</v>
      </c>
      <c r="AB1519" t="n">
        <v>6</v>
      </c>
      <c r="AC1519" t="n">
        <v>7</v>
      </c>
      <c r="AD1519" t="n">
        <v>19</v>
      </c>
      <c r="AE1519" t="n">
        <v>22</v>
      </c>
      <c r="AF1519" t="n">
        <v>4</v>
      </c>
      <c r="AG1519" t="n">
        <v>6</v>
      </c>
      <c r="AH1519" t="n">
        <v>6</v>
      </c>
      <c r="AI1519" t="n">
        <v>7</v>
      </c>
      <c r="AJ1519" t="n">
        <v>9</v>
      </c>
      <c r="AK1519" t="n">
        <v>10</v>
      </c>
      <c r="AL1519" t="n">
        <v>5</v>
      </c>
      <c r="AM1519" t="n">
        <v>6</v>
      </c>
      <c r="AN1519" t="n">
        <v>0</v>
      </c>
      <c r="AO1519" t="n">
        <v>0</v>
      </c>
      <c r="AP1519" t="inlineStr">
        <is>
          <t>No</t>
        </is>
      </c>
      <c r="AQ1519" t="inlineStr">
        <is>
          <t>Yes</t>
        </is>
      </c>
      <c r="AR1519">
        <f>HYPERLINK("http://catalog.hathitrust.org/Record/000464553","HathiTrust Record")</f>
        <v/>
      </c>
      <c r="AS1519">
        <f>HYPERLINK("https://creighton-primo.hosted.exlibrisgroup.com/primo-explore/search?tab=default_tab&amp;search_scope=EVERYTHING&amp;vid=01CRU&amp;lang=en_US&amp;offset=0&amp;query=any,contains,991003653369702656","Catalog Record")</f>
        <v/>
      </c>
      <c r="AT1519">
        <f>HYPERLINK("http://www.worldcat.org/oclc/1256924","WorldCat Record")</f>
        <v/>
      </c>
      <c r="AU1519" t="inlineStr">
        <is>
          <t>1076623:eng</t>
        </is>
      </c>
      <c r="AV1519" t="inlineStr">
        <is>
          <t>1256924</t>
        </is>
      </c>
      <c r="AW1519" t="inlineStr">
        <is>
          <t>991003653369702656</t>
        </is>
      </c>
      <c r="AX1519" t="inlineStr">
        <is>
          <t>991003653369702656</t>
        </is>
      </c>
      <c r="AY1519" t="inlineStr">
        <is>
          <t>2257980890002656</t>
        </is>
      </c>
      <c r="AZ1519" t="inlineStr">
        <is>
          <t>BOOK</t>
        </is>
      </c>
      <c r="BB1519" t="inlineStr">
        <is>
          <t>9780397473380</t>
        </is>
      </c>
      <c r="BC1519" t="inlineStr">
        <is>
          <t>32285001466126</t>
        </is>
      </c>
      <c r="BD1519" t="inlineStr">
        <is>
          <t>893348957</t>
        </is>
      </c>
    </row>
    <row r="1520">
      <c r="A1520" t="inlineStr">
        <is>
          <t>No</t>
        </is>
      </c>
      <c r="B1520" t="inlineStr">
        <is>
          <t>E668 .B85</t>
        </is>
      </c>
      <c r="C1520" t="inlineStr">
        <is>
          <t>0                      E  0668000B  85</t>
        </is>
      </c>
      <c r="D1520" t="inlineStr">
        <is>
          <t>An American crisis : Congress and Reconstruction, 1865-1867.</t>
        </is>
      </c>
      <c r="F1520" t="inlineStr">
        <is>
          <t>No</t>
        </is>
      </c>
      <c r="G1520" t="inlineStr">
        <is>
          <t>1</t>
        </is>
      </c>
      <c r="H1520" t="inlineStr">
        <is>
          <t>No</t>
        </is>
      </c>
      <c r="I1520" t="inlineStr">
        <is>
          <t>No</t>
        </is>
      </c>
      <c r="J1520" t="inlineStr">
        <is>
          <t>0</t>
        </is>
      </c>
      <c r="K1520" t="inlineStr">
        <is>
          <t>Brock, William Ranulf.</t>
        </is>
      </c>
      <c r="L1520" t="inlineStr">
        <is>
          <t>[New York] : St. Martin's Press, [1963]</t>
        </is>
      </c>
      <c r="M1520" t="inlineStr">
        <is>
          <t>1963</t>
        </is>
      </c>
      <c r="O1520" t="inlineStr">
        <is>
          <t>eng</t>
        </is>
      </c>
      <c r="P1520" t="inlineStr">
        <is>
          <t>nyu</t>
        </is>
      </c>
      <c r="R1520" t="inlineStr">
        <is>
          <t xml:space="preserve">E  </t>
        </is>
      </c>
      <c r="S1520" t="n">
        <v>1</v>
      </c>
      <c r="T1520" t="n">
        <v>1</v>
      </c>
      <c r="U1520" t="inlineStr">
        <is>
          <t>1992-12-16</t>
        </is>
      </c>
      <c r="V1520" t="inlineStr">
        <is>
          <t>1992-12-16</t>
        </is>
      </c>
      <c r="W1520" t="inlineStr">
        <is>
          <t>1992-12-16</t>
        </is>
      </c>
      <c r="X1520" t="inlineStr">
        <is>
          <t>1992-12-16</t>
        </is>
      </c>
      <c r="Y1520" t="n">
        <v>612</v>
      </c>
      <c r="Z1520" t="n">
        <v>585</v>
      </c>
      <c r="AA1520" t="n">
        <v>930</v>
      </c>
      <c r="AB1520" t="n">
        <v>4</v>
      </c>
      <c r="AC1520" t="n">
        <v>7</v>
      </c>
      <c r="AD1520" t="n">
        <v>26</v>
      </c>
      <c r="AE1520" t="n">
        <v>43</v>
      </c>
      <c r="AF1520" t="n">
        <v>13</v>
      </c>
      <c r="AG1520" t="n">
        <v>18</v>
      </c>
      <c r="AH1520" t="n">
        <v>5</v>
      </c>
      <c r="AI1520" t="n">
        <v>10</v>
      </c>
      <c r="AJ1520" t="n">
        <v>15</v>
      </c>
      <c r="AK1520" t="n">
        <v>20</v>
      </c>
      <c r="AL1520" t="n">
        <v>3</v>
      </c>
      <c r="AM1520" t="n">
        <v>6</v>
      </c>
      <c r="AN1520" t="n">
        <v>0</v>
      </c>
      <c r="AO1520" t="n">
        <v>1</v>
      </c>
      <c r="AP1520" t="inlineStr">
        <is>
          <t>No</t>
        </is>
      </c>
      <c r="AQ1520" t="inlineStr">
        <is>
          <t>No</t>
        </is>
      </c>
      <c r="AS1520">
        <f>HYPERLINK("https://creighton-primo.hosted.exlibrisgroup.com/primo-explore/search?tab=default_tab&amp;search_scope=EVERYTHING&amp;vid=01CRU&amp;lang=en_US&amp;offset=0&amp;query=any,contains,991003900039702656","Catalog Record")</f>
        <v/>
      </c>
      <c r="AT1520">
        <f>HYPERLINK("http://www.worldcat.org/oclc/1820622","WorldCat Record")</f>
        <v/>
      </c>
      <c r="AU1520" t="inlineStr">
        <is>
          <t>2652548:eng</t>
        </is>
      </c>
      <c r="AV1520" t="inlineStr">
        <is>
          <t>1820622</t>
        </is>
      </c>
      <c r="AW1520" t="inlineStr">
        <is>
          <t>991003900039702656</t>
        </is>
      </c>
      <c r="AX1520" t="inlineStr">
        <is>
          <t>991003900039702656</t>
        </is>
      </c>
      <c r="AY1520" t="inlineStr">
        <is>
          <t>2257029060002656</t>
        </is>
      </c>
      <c r="AZ1520" t="inlineStr">
        <is>
          <t>BOOK</t>
        </is>
      </c>
      <c r="BC1520" t="inlineStr">
        <is>
          <t>32285001403764</t>
        </is>
      </c>
      <c r="BD1520" t="inlineStr">
        <is>
          <t>893881802</t>
        </is>
      </c>
    </row>
    <row r="1521">
      <c r="A1521" t="inlineStr">
        <is>
          <t>No</t>
        </is>
      </c>
      <c r="B1521" t="inlineStr">
        <is>
          <t>E668 .C98</t>
        </is>
      </c>
      <c r="C1521" t="inlineStr">
        <is>
          <t>0                      E  0668000C  98</t>
        </is>
      </c>
      <c r="D1521" t="inlineStr">
        <is>
          <t>Reconstruction, 1865-1877 / edited by Richard N. Current.</t>
        </is>
      </c>
      <c r="F1521" t="inlineStr">
        <is>
          <t>No</t>
        </is>
      </c>
      <c r="G1521" t="inlineStr">
        <is>
          <t>1</t>
        </is>
      </c>
      <c r="H1521" t="inlineStr">
        <is>
          <t>No</t>
        </is>
      </c>
      <c r="I1521" t="inlineStr">
        <is>
          <t>No</t>
        </is>
      </c>
      <c r="J1521" t="inlineStr">
        <is>
          <t>0</t>
        </is>
      </c>
      <c r="K1521" t="inlineStr">
        <is>
          <t>Current, Richard Nelson editor.</t>
        </is>
      </c>
      <c r="L1521" t="inlineStr">
        <is>
          <t>Englewood Cliffs, N.J. : Prentice-Hall, [1965]</t>
        </is>
      </c>
      <c r="M1521" t="inlineStr">
        <is>
          <t>1965</t>
        </is>
      </c>
      <c r="O1521" t="inlineStr">
        <is>
          <t>eng</t>
        </is>
      </c>
      <c r="P1521" t="inlineStr">
        <is>
          <t>nju</t>
        </is>
      </c>
      <c r="Q1521" t="inlineStr">
        <is>
          <t>A Spectrum book, S-114: Eyewitness accounts of American history</t>
        </is>
      </c>
      <c r="R1521" t="inlineStr">
        <is>
          <t xml:space="preserve">E  </t>
        </is>
      </c>
      <c r="S1521" t="n">
        <v>2</v>
      </c>
      <c r="T1521" t="n">
        <v>2</v>
      </c>
      <c r="U1521" t="inlineStr">
        <is>
          <t>1996-12-11</t>
        </is>
      </c>
      <c r="V1521" t="inlineStr">
        <is>
          <t>1996-12-11</t>
        </is>
      </c>
      <c r="W1521" t="inlineStr">
        <is>
          <t>1993-01-23</t>
        </is>
      </c>
      <c r="X1521" t="inlineStr">
        <is>
          <t>1993-01-23</t>
        </is>
      </c>
      <c r="Y1521" t="n">
        <v>1060</v>
      </c>
      <c r="Z1521" t="n">
        <v>966</v>
      </c>
      <c r="AA1521" t="n">
        <v>974</v>
      </c>
      <c r="AB1521" t="n">
        <v>12</v>
      </c>
      <c r="AC1521" t="n">
        <v>12</v>
      </c>
      <c r="AD1521" t="n">
        <v>32</v>
      </c>
      <c r="AE1521" t="n">
        <v>32</v>
      </c>
      <c r="AF1521" t="n">
        <v>11</v>
      </c>
      <c r="AG1521" t="n">
        <v>11</v>
      </c>
      <c r="AH1521" t="n">
        <v>7</v>
      </c>
      <c r="AI1521" t="n">
        <v>7</v>
      </c>
      <c r="AJ1521" t="n">
        <v>10</v>
      </c>
      <c r="AK1521" t="n">
        <v>10</v>
      </c>
      <c r="AL1521" t="n">
        <v>10</v>
      </c>
      <c r="AM1521" t="n">
        <v>10</v>
      </c>
      <c r="AN1521" t="n">
        <v>0</v>
      </c>
      <c r="AO1521" t="n">
        <v>0</v>
      </c>
      <c r="AP1521" t="inlineStr">
        <is>
          <t>No</t>
        </is>
      </c>
      <c r="AQ1521" t="inlineStr">
        <is>
          <t>Yes</t>
        </is>
      </c>
      <c r="AR1521">
        <f>HYPERLINK("http://catalog.hathitrust.org/Record/000464558","HathiTrust Record")</f>
        <v/>
      </c>
      <c r="AS1521">
        <f>HYPERLINK("https://creighton-primo.hosted.exlibrisgroup.com/primo-explore/search?tab=default_tab&amp;search_scope=EVERYTHING&amp;vid=01CRU&amp;lang=en_US&amp;offset=0&amp;query=any,contains,991003594639702656","Catalog Record")</f>
        <v/>
      </c>
      <c r="AT1521">
        <f>HYPERLINK("http://www.worldcat.org/oclc/1175532","WorldCat Record")</f>
        <v/>
      </c>
      <c r="AU1521" t="inlineStr">
        <is>
          <t>2120654:eng</t>
        </is>
      </c>
      <c r="AV1521" t="inlineStr">
        <is>
          <t>1175532</t>
        </is>
      </c>
      <c r="AW1521" t="inlineStr">
        <is>
          <t>991003594639702656</t>
        </is>
      </c>
      <c r="AX1521" t="inlineStr">
        <is>
          <t>991003594639702656</t>
        </is>
      </c>
      <c r="AY1521" t="inlineStr">
        <is>
          <t>2271912760002656</t>
        </is>
      </c>
      <c r="AZ1521" t="inlineStr">
        <is>
          <t>BOOK</t>
        </is>
      </c>
      <c r="BC1521" t="inlineStr">
        <is>
          <t>32285001476976</t>
        </is>
      </c>
      <c r="BD1521" t="inlineStr">
        <is>
          <t>893774912</t>
        </is>
      </c>
    </row>
    <row r="1522">
      <c r="A1522" t="inlineStr">
        <is>
          <t>No</t>
        </is>
      </c>
      <c r="B1522" t="inlineStr">
        <is>
          <t>E668 .D62 1970</t>
        </is>
      </c>
      <c r="C1522" t="inlineStr">
        <is>
          <t>0                      E  0668000D  62          1970</t>
        </is>
      </c>
      <c r="D1522" t="inlineStr">
        <is>
          <t>The terrible mysteries of the Ku-Klux-Klan.</t>
        </is>
      </c>
      <c r="F1522" t="inlineStr">
        <is>
          <t>No</t>
        </is>
      </c>
      <c r="G1522" t="inlineStr">
        <is>
          <t>1</t>
        </is>
      </c>
      <c r="H1522" t="inlineStr">
        <is>
          <t>No</t>
        </is>
      </c>
      <c r="I1522" t="inlineStr">
        <is>
          <t>No</t>
        </is>
      </c>
      <c r="J1522" t="inlineStr">
        <is>
          <t>0</t>
        </is>
      </c>
      <c r="K1522" t="inlineStr">
        <is>
          <t>Dixon, Edward H., 1808-1880.</t>
        </is>
      </c>
      <c r="L1522" t="inlineStr">
        <is>
          <t>Upper Saddle River, N.J., Literature House [1970]</t>
        </is>
      </c>
      <c r="M1522" t="inlineStr">
        <is>
          <t>1970</t>
        </is>
      </c>
      <c r="O1522" t="inlineStr">
        <is>
          <t>eng</t>
        </is>
      </c>
      <c r="P1522" t="inlineStr">
        <is>
          <t>nju</t>
        </is>
      </c>
      <c r="R1522" t="inlineStr">
        <is>
          <t xml:space="preserve">E  </t>
        </is>
      </c>
      <c r="S1522" t="n">
        <v>16</v>
      </c>
      <c r="T1522" t="n">
        <v>16</v>
      </c>
      <c r="U1522" t="inlineStr">
        <is>
          <t>2002-01-29</t>
        </is>
      </c>
      <c r="V1522" t="inlineStr">
        <is>
          <t>2002-01-29</t>
        </is>
      </c>
      <c r="W1522" t="inlineStr">
        <is>
          <t>1990-05-08</t>
        </is>
      </c>
      <c r="X1522" t="inlineStr">
        <is>
          <t>1990-05-08</t>
        </is>
      </c>
      <c r="Y1522" t="n">
        <v>115</v>
      </c>
      <c r="Z1522" t="n">
        <v>105</v>
      </c>
      <c r="AA1522" t="n">
        <v>132</v>
      </c>
      <c r="AB1522" t="n">
        <v>3</v>
      </c>
      <c r="AC1522" t="n">
        <v>3</v>
      </c>
      <c r="AD1522" t="n">
        <v>4</v>
      </c>
      <c r="AE1522" t="n">
        <v>5</v>
      </c>
      <c r="AF1522" t="n">
        <v>1</v>
      </c>
      <c r="AG1522" t="n">
        <v>1</v>
      </c>
      <c r="AH1522" t="n">
        <v>1</v>
      </c>
      <c r="AI1522" t="n">
        <v>1</v>
      </c>
      <c r="AJ1522" t="n">
        <v>1</v>
      </c>
      <c r="AK1522" t="n">
        <v>2</v>
      </c>
      <c r="AL1522" t="n">
        <v>2</v>
      </c>
      <c r="AM1522" t="n">
        <v>2</v>
      </c>
      <c r="AN1522" t="n">
        <v>0</v>
      </c>
      <c r="AO1522" t="n">
        <v>0</v>
      </c>
      <c r="AP1522" t="inlineStr">
        <is>
          <t>No</t>
        </is>
      </c>
      <c r="AQ1522" t="inlineStr">
        <is>
          <t>Yes</t>
        </is>
      </c>
      <c r="AR1522">
        <f>HYPERLINK("http://catalog.hathitrust.org/Record/000464540","HathiTrust Record")</f>
        <v/>
      </c>
      <c r="AS1522">
        <f>HYPERLINK("https://creighton-primo.hosted.exlibrisgroup.com/primo-explore/search?tab=default_tab&amp;search_scope=EVERYTHING&amp;vid=01CRU&amp;lang=en_US&amp;offset=0&amp;query=any,contains,991002434559702656","Catalog Record")</f>
        <v/>
      </c>
      <c r="AT1522">
        <f>HYPERLINK("http://www.worldcat.org/oclc/348429","WorldCat Record")</f>
        <v/>
      </c>
      <c r="AU1522" t="inlineStr">
        <is>
          <t>3980086577:eng</t>
        </is>
      </c>
      <c r="AV1522" t="inlineStr">
        <is>
          <t>348429</t>
        </is>
      </c>
      <c r="AW1522" t="inlineStr">
        <is>
          <t>991002434559702656</t>
        </is>
      </c>
      <c r="AX1522" t="inlineStr">
        <is>
          <t>991002434559702656</t>
        </is>
      </c>
      <c r="AY1522" t="inlineStr">
        <is>
          <t>2271034400002656</t>
        </is>
      </c>
      <c r="AZ1522" t="inlineStr">
        <is>
          <t>BOOK</t>
        </is>
      </c>
      <c r="BB1522" t="inlineStr">
        <is>
          <t>9780839803645</t>
        </is>
      </c>
      <c r="BC1522" t="inlineStr">
        <is>
          <t>32285000150804</t>
        </is>
      </c>
      <c r="BD1522" t="inlineStr">
        <is>
          <t>893517284</t>
        </is>
      </c>
    </row>
    <row r="1523">
      <c r="A1523" t="inlineStr">
        <is>
          <t>No</t>
        </is>
      </c>
      <c r="B1523" t="inlineStr">
        <is>
          <t>E668 .F7</t>
        </is>
      </c>
      <c r="C1523" t="inlineStr">
        <is>
          <t>0                      E  0668000F  7</t>
        </is>
      </c>
      <c r="D1523" t="inlineStr">
        <is>
          <t>Reconstruction: after the Civil War.</t>
        </is>
      </c>
      <c r="F1523" t="inlineStr">
        <is>
          <t>No</t>
        </is>
      </c>
      <c r="G1523" t="inlineStr">
        <is>
          <t>1</t>
        </is>
      </c>
      <c r="H1523" t="inlineStr">
        <is>
          <t>No</t>
        </is>
      </c>
      <c r="I1523" t="inlineStr">
        <is>
          <t>No</t>
        </is>
      </c>
      <c r="J1523" t="inlineStr">
        <is>
          <t>0</t>
        </is>
      </c>
      <c r="K1523" t="inlineStr">
        <is>
          <t>Franklin, John Hope, 1915-2009.</t>
        </is>
      </c>
      <c r="L1523" t="inlineStr">
        <is>
          <t>[Chicago] University of Chicago Press [1961]</t>
        </is>
      </c>
      <c r="M1523" t="inlineStr">
        <is>
          <t>1961</t>
        </is>
      </c>
      <c r="O1523" t="inlineStr">
        <is>
          <t>eng</t>
        </is>
      </c>
      <c r="P1523" t="inlineStr">
        <is>
          <t>ilu</t>
        </is>
      </c>
      <c r="Q1523" t="inlineStr">
        <is>
          <t>The Chicago history of American civilization</t>
        </is>
      </c>
      <c r="R1523" t="inlineStr">
        <is>
          <t xml:space="preserve">E  </t>
        </is>
      </c>
      <c r="S1523" t="n">
        <v>3</v>
      </c>
      <c r="T1523" t="n">
        <v>3</v>
      </c>
      <c r="U1523" t="inlineStr">
        <is>
          <t>1998-03-01</t>
        </is>
      </c>
      <c r="V1523" t="inlineStr">
        <is>
          <t>1998-03-01</t>
        </is>
      </c>
      <c r="W1523" t="inlineStr">
        <is>
          <t>1997-04-22</t>
        </is>
      </c>
      <c r="X1523" t="inlineStr">
        <is>
          <t>1997-04-22</t>
        </is>
      </c>
      <c r="Y1523" t="n">
        <v>2183</v>
      </c>
      <c r="Z1523" t="n">
        <v>2018</v>
      </c>
      <c r="AA1523" t="n">
        <v>2299</v>
      </c>
      <c r="AB1523" t="n">
        <v>20</v>
      </c>
      <c r="AC1523" t="n">
        <v>22</v>
      </c>
      <c r="AD1523" t="n">
        <v>56</v>
      </c>
      <c r="AE1523" t="n">
        <v>64</v>
      </c>
      <c r="AF1523" t="n">
        <v>21</v>
      </c>
      <c r="AG1523" t="n">
        <v>25</v>
      </c>
      <c r="AH1523" t="n">
        <v>6</v>
      </c>
      <c r="AI1523" t="n">
        <v>9</v>
      </c>
      <c r="AJ1523" t="n">
        <v>22</v>
      </c>
      <c r="AK1523" t="n">
        <v>24</v>
      </c>
      <c r="AL1523" t="n">
        <v>17</v>
      </c>
      <c r="AM1523" t="n">
        <v>18</v>
      </c>
      <c r="AN1523" t="n">
        <v>0</v>
      </c>
      <c r="AO1523" t="n">
        <v>0</v>
      </c>
      <c r="AP1523" t="inlineStr">
        <is>
          <t>No</t>
        </is>
      </c>
      <c r="AQ1523" t="inlineStr">
        <is>
          <t>Yes</t>
        </is>
      </c>
      <c r="AR1523">
        <f>HYPERLINK("http://catalog.hathitrust.org/Record/000466894","HathiTrust Record")</f>
        <v/>
      </c>
      <c r="AS1523">
        <f>HYPERLINK("https://creighton-primo.hosted.exlibrisgroup.com/primo-explore/search?tab=default_tab&amp;search_scope=EVERYTHING&amp;vid=01CRU&amp;lang=en_US&amp;offset=0&amp;query=any,contains,991004887839702656","Catalog Record")</f>
        <v/>
      </c>
      <c r="AT1523">
        <f>HYPERLINK("http://www.worldcat.org/oclc/5845934","WorldCat Record")</f>
        <v/>
      </c>
      <c r="AU1523" t="inlineStr">
        <is>
          <t>197201736:eng</t>
        </is>
      </c>
      <c r="AV1523" t="inlineStr">
        <is>
          <t>5845934</t>
        </is>
      </c>
      <c r="AW1523" t="inlineStr">
        <is>
          <t>991004887839702656</t>
        </is>
      </c>
      <c r="AX1523" t="inlineStr">
        <is>
          <t>991004887839702656</t>
        </is>
      </c>
      <c r="AY1523" t="inlineStr">
        <is>
          <t>2264244350002656</t>
        </is>
      </c>
      <c r="AZ1523" t="inlineStr">
        <is>
          <t>BOOK</t>
        </is>
      </c>
      <c r="BC1523" t="inlineStr">
        <is>
          <t>32285002560158</t>
        </is>
      </c>
      <c r="BD1523" t="inlineStr">
        <is>
          <t>893526622</t>
        </is>
      </c>
    </row>
    <row r="1524">
      <c r="A1524" t="inlineStr">
        <is>
          <t>No</t>
        </is>
      </c>
      <c r="B1524" t="inlineStr">
        <is>
          <t>E668 .H37 1997</t>
        </is>
      </c>
      <c r="C1524" t="inlineStr">
        <is>
          <t>0                      E  0668000H  37          1997</t>
        </is>
      </c>
      <c r="D1524" t="inlineStr">
        <is>
          <t>With charity for all : Lincoln and the restoration of the Union / William C. Harris.</t>
        </is>
      </c>
      <c r="F1524" t="inlineStr">
        <is>
          <t>No</t>
        </is>
      </c>
      <c r="G1524" t="inlineStr">
        <is>
          <t>1</t>
        </is>
      </c>
      <c r="H1524" t="inlineStr">
        <is>
          <t>No</t>
        </is>
      </c>
      <c r="I1524" t="inlineStr">
        <is>
          <t>No</t>
        </is>
      </c>
      <c r="J1524" t="inlineStr">
        <is>
          <t>0</t>
        </is>
      </c>
      <c r="K1524" t="inlineStr">
        <is>
          <t>Harris, William C. (William Charles), 1933-</t>
        </is>
      </c>
      <c r="L1524" t="inlineStr">
        <is>
          <t>Lexington, Ky. : University Press of Kentucky, c1997.</t>
        </is>
      </c>
      <c r="M1524" t="inlineStr">
        <is>
          <t>1997</t>
        </is>
      </c>
      <c r="O1524" t="inlineStr">
        <is>
          <t>eng</t>
        </is>
      </c>
      <c r="P1524" t="inlineStr">
        <is>
          <t>kyu</t>
        </is>
      </c>
      <c r="R1524" t="inlineStr">
        <is>
          <t xml:space="preserve">E  </t>
        </is>
      </c>
      <c r="S1524" t="n">
        <v>3</v>
      </c>
      <c r="T1524" t="n">
        <v>3</v>
      </c>
      <c r="U1524" t="inlineStr">
        <is>
          <t>2000-10-04</t>
        </is>
      </c>
      <c r="V1524" t="inlineStr">
        <is>
          <t>2000-10-04</t>
        </is>
      </c>
      <c r="W1524" t="inlineStr">
        <is>
          <t>1997-12-15</t>
        </is>
      </c>
      <c r="X1524" t="inlineStr">
        <is>
          <t>1997-12-15</t>
        </is>
      </c>
      <c r="Y1524" t="n">
        <v>697</v>
      </c>
      <c r="Z1524" t="n">
        <v>638</v>
      </c>
      <c r="AA1524" t="n">
        <v>855</v>
      </c>
      <c r="AB1524" t="n">
        <v>6</v>
      </c>
      <c r="AC1524" t="n">
        <v>8</v>
      </c>
      <c r="AD1524" t="n">
        <v>35</v>
      </c>
      <c r="AE1524" t="n">
        <v>41</v>
      </c>
      <c r="AF1524" t="n">
        <v>14</v>
      </c>
      <c r="AG1524" t="n">
        <v>18</v>
      </c>
      <c r="AH1524" t="n">
        <v>8</v>
      </c>
      <c r="AI1524" t="n">
        <v>10</v>
      </c>
      <c r="AJ1524" t="n">
        <v>16</v>
      </c>
      <c r="AK1524" t="n">
        <v>16</v>
      </c>
      <c r="AL1524" t="n">
        <v>5</v>
      </c>
      <c r="AM1524" t="n">
        <v>6</v>
      </c>
      <c r="AN1524" t="n">
        <v>2</v>
      </c>
      <c r="AO1524" t="n">
        <v>2</v>
      </c>
      <c r="AP1524" t="inlineStr">
        <is>
          <t>No</t>
        </is>
      </c>
      <c r="AQ1524" t="inlineStr">
        <is>
          <t>Yes</t>
        </is>
      </c>
      <c r="AR1524">
        <f>HYPERLINK("http://catalog.hathitrust.org/Record/003150586","HathiTrust Record")</f>
        <v/>
      </c>
      <c r="AS1524">
        <f>HYPERLINK("https://creighton-primo.hosted.exlibrisgroup.com/primo-explore/search?tab=default_tab&amp;search_scope=EVERYTHING&amp;vid=01CRU&amp;lang=en_US&amp;offset=0&amp;query=any,contains,991002712909702656","Catalog Record")</f>
        <v/>
      </c>
      <c r="AT1524">
        <f>HYPERLINK("http://www.worldcat.org/oclc/35574529","WorldCat Record")</f>
        <v/>
      </c>
      <c r="AU1524" t="inlineStr">
        <is>
          <t>40542644:eng</t>
        </is>
      </c>
      <c r="AV1524" t="inlineStr">
        <is>
          <t>35574529</t>
        </is>
      </c>
      <c r="AW1524" t="inlineStr">
        <is>
          <t>991002712909702656</t>
        </is>
      </c>
      <c r="AX1524" t="inlineStr">
        <is>
          <t>991002712909702656</t>
        </is>
      </c>
      <c r="AY1524" t="inlineStr">
        <is>
          <t>2257702770002656</t>
        </is>
      </c>
      <c r="AZ1524" t="inlineStr">
        <is>
          <t>BOOK</t>
        </is>
      </c>
      <c r="BB1524" t="inlineStr">
        <is>
          <t>9780813120072</t>
        </is>
      </c>
      <c r="BC1524" t="inlineStr">
        <is>
          <t>32285003283479</t>
        </is>
      </c>
      <c r="BD1524" t="inlineStr">
        <is>
          <t>893892889</t>
        </is>
      </c>
    </row>
    <row r="1525">
      <c r="A1525" t="inlineStr">
        <is>
          <t>No</t>
        </is>
      </c>
      <c r="B1525" t="inlineStr">
        <is>
          <t>E668 .H516</t>
        </is>
      </c>
      <c r="C1525" t="inlineStr">
        <is>
          <t>0                      E  0668000H  516</t>
        </is>
      </c>
      <c r="D1525" t="inlineStr">
        <is>
          <t>The story of reconstruction / by Robert Selph Henry.</t>
        </is>
      </c>
      <c r="F1525" t="inlineStr">
        <is>
          <t>No</t>
        </is>
      </c>
      <c r="G1525" t="inlineStr">
        <is>
          <t>1</t>
        </is>
      </c>
      <c r="H1525" t="inlineStr">
        <is>
          <t>No</t>
        </is>
      </c>
      <c r="I1525" t="inlineStr">
        <is>
          <t>No</t>
        </is>
      </c>
      <c r="J1525" t="inlineStr">
        <is>
          <t>0</t>
        </is>
      </c>
      <c r="K1525" t="inlineStr">
        <is>
          <t>Henry, Robert Selph, 1889-1970.</t>
        </is>
      </c>
      <c r="L1525" t="inlineStr">
        <is>
          <t>New York : Peter Smith, 1951.</t>
        </is>
      </c>
      <c r="M1525" t="inlineStr">
        <is>
          <t>1951</t>
        </is>
      </c>
      <c r="N1525" t="inlineStr">
        <is>
          <t>"First edition."</t>
        </is>
      </c>
      <c r="O1525" t="inlineStr">
        <is>
          <t>eng</t>
        </is>
      </c>
      <c r="P1525" t="inlineStr">
        <is>
          <t>nyu</t>
        </is>
      </c>
      <c r="R1525" t="inlineStr">
        <is>
          <t xml:space="preserve">E  </t>
        </is>
      </c>
      <c r="S1525" t="n">
        <v>4</v>
      </c>
      <c r="T1525" t="n">
        <v>4</v>
      </c>
      <c r="U1525" t="inlineStr">
        <is>
          <t>1998-03-01</t>
        </is>
      </c>
      <c r="V1525" t="inlineStr">
        <is>
          <t>1998-03-01</t>
        </is>
      </c>
      <c r="W1525" t="inlineStr">
        <is>
          <t>1990-02-22</t>
        </is>
      </c>
      <c r="X1525" t="inlineStr">
        <is>
          <t>1990-02-22</t>
        </is>
      </c>
      <c r="Y1525" t="n">
        <v>93</v>
      </c>
      <c r="Z1525" t="n">
        <v>82</v>
      </c>
      <c r="AA1525" t="n">
        <v>847</v>
      </c>
      <c r="AB1525" t="n">
        <v>2</v>
      </c>
      <c r="AC1525" t="n">
        <v>4</v>
      </c>
      <c r="AD1525" t="n">
        <v>9</v>
      </c>
      <c r="AE1525" t="n">
        <v>33</v>
      </c>
      <c r="AF1525" t="n">
        <v>5</v>
      </c>
      <c r="AG1525" t="n">
        <v>15</v>
      </c>
      <c r="AH1525" t="n">
        <v>1</v>
      </c>
      <c r="AI1525" t="n">
        <v>6</v>
      </c>
      <c r="AJ1525" t="n">
        <v>5</v>
      </c>
      <c r="AK1525" t="n">
        <v>17</v>
      </c>
      <c r="AL1525" t="n">
        <v>1</v>
      </c>
      <c r="AM1525" t="n">
        <v>3</v>
      </c>
      <c r="AN1525" t="n">
        <v>0</v>
      </c>
      <c r="AO1525" t="n">
        <v>1</v>
      </c>
      <c r="AP1525" t="inlineStr">
        <is>
          <t>No</t>
        </is>
      </c>
      <c r="AQ1525" t="inlineStr">
        <is>
          <t>Yes</t>
        </is>
      </c>
      <c r="AR1525">
        <f>HYPERLINK("http://catalog.hathitrust.org/Record/000465080","HathiTrust Record")</f>
        <v/>
      </c>
      <c r="AS1525">
        <f>HYPERLINK("https://creighton-primo.hosted.exlibrisgroup.com/primo-explore/search?tab=default_tab&amp;search_scope=EVERYTHING&amp;vid=01CRU&amp;lang=en_US&amp;offset=0&amp;query=any,contains,991000053079702656","Catalog Record")</f>
        <v/>
      </c>
      <c r="AT1525">
        <f>HYPERLINK("http://www.worldcat.org/oclc/8690108","WorldCat Record")</f>
        <v/>
      </c>
      <c r="AU1525" t="inlineStr">
        <is>
          <t>1547166:eng</t>
        </is>
      </c>
      <c r="AV1525" t="inlineStr">
        <is>
          <t>8690108</t>
        </is>
      </c>
      <c r="AW1525" t="inlineStr">
        <is>
          <t>991000053079702656</t>
        </is>
      </c>
      <c r="AX1525" t="inlineStr">
        <is>
          <t>991000053079702656</t>
        </is>
      </c>
      <c r="AY1525" t="inlineStr">
        <is>
          <t>2265487780002656</t>
        </is>
      </c>
      <c r="AZ1525" t="inlineStr">
        <is>
          <t>BOOK</t>
        </is>
      </c>
      <c r="BC1525" t="inlineStr">
        <is>
          <t>32285000060136</t>
        </is>
      </c>
      <c r="BD1525" t="inlineStr">
        <is>
          <t>893333160</t>
        </is>
      </c>
    </row>
    <row r="1526">
      <c r="A1526" t="inlineStr">
        <is>
          <t>No</t>
        </is>
      </c>
      <c r="B1526" t="inlineStr">
        <is>
          <t>E668 .H985 1967</t>
        </is>
      </c>
      <c r="C1526" t="inlineStr">
        <is>
          <t>0                      E  0668000H  985         1967</t>
        </is>
      </c>
      <c r="D1526" t="inlineStr">
        <is>
          <t>The radical Republicans and Reconstruction, 1861-1870 / edited by Harold M. Hyman.</t>
        </is>
      </c>
      <c r="F1526" t="inlineStr">
        <is>
          <t>No</t>
        </is>
      </c>
      <c r="G1526" t="inlineStr">
        <is>
          <t>1</t>
        </is>
      </c>
      <c r="H1526" t="inlineStr">
        <is>
          <t>No</t>
        </is>
      </c>
      <c r="I1526" t="inlineStr">
        <is>
          <t>No</t>
        </is>
      </c>
      <c r="J1526" t="inlineStr">
        <is>
          <t>0</t>
        </is>
      </c>
      <c r="K1526" t="inlineStr">
        <is>
          <t>Hyman, Harold Melvin, 1924- compiler.</t>
        </is>
      </c>
      <c r="L1526" t="inlineStr">
        <is>
          <t>Indianapolis : Bobbs-Merrill, [1967]</t>
        </is>
      </c>
      <c r="M1526" t="inlineStr">
        <is>
          <t>1967</t>
        </is>
      </c>
      <c r="O1526" t="inlineStr">
        <is>
          <t>eng</t>
        </is>
      </c>
      <c r="P1526" t="inlineStr">
        <is>
          <t>inu</t>
        </is>
      </c>
      <c r="Q1526" t="inlineStr">
        <is>
          <t>The American heritage series, 47</t>
        </is>
      </c>
      <c r="R1526" t="inlineStr">
        <is>
          <t xml:space="preserve">E  </t>
        </is>
      </c>
      <c r="S1526" t="n">
        <v>3</v>
      </c>
      <c r="T1526" t="n">
        <v>3</v>
      </c>
      <c r="U1526" t="inlineStr">
        <is>
          <t>1992-12-10</t>
        </is>
      </c>
      <c r="V1526" t="inlineStr">
        <is>
          <t>1992-12-10</t>
        </is>
      </c>
      <c r="W1526" t="inlineStr">
        <is>
          <t>1990-05-08</t>
        </is>
      </c>
      <c r="X1526" t="inlineStr">
        <is>
          <t>1990-05-08</t>
        </is>
      </c>
      <c r="Y1526" t="n">
        <v>927</v>
      </c>
      <c r="Z1526" t="n">
        <v>839</v>
      </c>
      <c r="AA1526" t="n">
        <v>843</v>
      </c>
      <c r="AB1526" t="n">
        <v>6</v>
      </c>
      <c r="AC1526" t="n">
        <v>6</v>
      </c>
      <c r="AD1526" t="n">
        <v>31</v>
      </c>
      <c r="AE1526" t="n">
        <v>31</v>
      </c>
      <c r="AF1526" t="n">
        <v>14</v>
      </c>
      <c r="AG1526" t="n">
        <v>14</v>
      </c>
      <c r="AH1526" t="n">
        <v>7</v>
      </c>
      <c r="AI1526" t="n">
        <v>7</v>
      </c>
      <c r="AJ1526" t="n">
        <v>14</v>
      </c>
      <c r="AK1526" t="n">
        <v>14</v>
      </c>
      <c r="AL1526" t="n">
        <v>5</v>
      </c>
      <c r="AM1526" t="n">
        <v>5</v>
      </c>
      <c r="AN1526" t="n">
        <v>0</v>
      </c>
      <c r="AO1526" t="n">
        <v>0</v>
      </c>
      <c r="AP1526" t="inlineStr">
        <is>
          <t>No</t>
        </is>
      </c>
      <c r="AQ1526" t="inlineStr">
        <is>
          <t>Yes</t>
        </is>
      </c>
      <c r="AR1526">
        <f>HYPERLINK("http://catalog.hathitrust.org/Record/000901185","HathiTrust Record")</f>
        <v/>
      </c>
      <c r="AS1526">
        <f>HYPERLINK("https://creighton-primo.hosted.exlibrisgroup.com/primo-explore/search?tab=default_tab&amp;search_scope=EVERYTHING&amp;vid=01CRU&amp;lang=en_US&amp;offset=0&amp;query=any,contains,991002832539702656","Catalog Record")</f>
        <v/>
      </c>
      <c r="AT1526">
        <f>HYPERLINK("http://www.worldcat.org/oclc/478450","WorldCat Record")</f>
        <v/>
      </c>
      <c r="AU1526" t="inlineStr">
        <is>
          <t>1553763:eng</t>
        </is>
      </c>
      <c r="AV1526" t="inlineStr">
        <is>
          <t>478450</t>
        </is>
      </c>
      <c r="AW1526" t="inlineStr">
        <is>
          <t>991002832539702656</t>
        </is>
      </c>
      <c r="AX1526" t="inlineStr">
        <is>
          <t>991002832539702656</t>
        </is>
      </c>
      <c r="AY1526" t="inlineStr">
        <is>
          <t>2264222520002656</t>
        </is>
      </c>
      <c r="AZ1526" t="inlineStr">
        <is>
          <t>BOOK</t>
        </is>
      </c>
      <c r="BC1526" t="inlineStr">
        <is>
          <t>32285000150812</t>
        </is>
      </c>
      <c r="BD1526" t="inlineStr">
        <is>
          <t>893341904</t>
        </is>
      </c>
    </row>
    <row r="1527">
      <c r="A1527" t="inlineStr">
        <is>
          <t>No</t>
        </is>
      </c>
      <c r="B1527" t="inlineStr">
        <is>
          <t>E668 .K37 1986</t>
        </is>
      </c>
      <c r="C1527" t="inlineStr">
        <is>
          <t>0                      E  0668000K  37          1986</t>
        </is>
      </c>
      <c r="D1527" t="inlineStr">
        <is>
          <t>The Invisible Empire : the Ku Klux Klan impact on history / by William Loren Katz.</t>
        </is>
      </c>
      <c r="F1527" t="inlineStr">
        <is>
          <t>No</t>
        </is>
      </c>
      <c r="G1527" t="inlineStr">
        <is>
          <t>1</t>
        </is>
      </c>
      <c r="H1527" t="inlineStr">
        <is>
          <t>No</t>
        </is>
      </c>
      <c r="I1527" t="inlineStr">
        <is>
          <t>No</t>
        </is>
      </c>
      <c r="J1527" t="inlineStr">
        <is>
          <t>0</t>
        </is>
      </c>
      <c r="K1527" t="inlineStr">
        <is>
          <t>Katz, William Loren.</t>
        </is>
      </c>
      <c r="L1527" t="inlineStr">
        <is>
          <t>Washington, D.C. : Open Hand Publishing, c1986.</t>
        </is>
      </c>
      <c r="M1527" t="inlineStr">
        <is>
          <t>1986</t>
        </is>
      </c>
      <c r="O1527" t="inlineStr">
        <is>
          <t>eng</t>
        </is>
      </c>
      <c r="P1527" t="inlineStr">
        <is>
          <t>dcu</t>
        </is>
      </c>
      <c r="R1527" t="inlineStr">
        <is>
          <t xml:space="preserve">E  </t>
        </is>
      </c>
      <c r="S1527" t="n">
        <v>24</v>
      </c>
      <c r="T1527" t="n">
        <v>24</v>
      </c>
      <c r="U1527" t="inlineStr">
        <is>
          <t>2005-11-14</t>
        </is>
      </c>
      <c r="V1527" t="inlineStr">
        <is>
          <t>2005-11-14</t>
        </is>
      </c>
      <c r="W1527" t="inlineStr">
        <is>
          <t>1990-03-06</t>
        </is>
      </c>
      <c r="X1527" t="inlineStr">
        <is>
          <t>1990-03-06</t>
        </is>
      </c>
      <c r="Y1527" t="n">
        <v>582</v>
      </c>
      <c r="Z1527" t="n">
        <v>561</v>
      </c>
      <c r="AA1527" t="n">
        <v>603</v>
      </c>
      <c r="AB1527" t="n">
        <v>6</v>
      </c>
      <c r="AC1527" t="n">
        <v>7</v>
      </c>
      <c r="AD1527" t="n">
        <v>2</v>
      </c>
      <c r="AE1527" t="n">
        <v>2</v>
      </c>
      <c r="AF1527" t="n">
        <v>0</v>
      </c>
      <c r="AG1527" t="n">
        <v>0</v>
      </c>
      <c r="AH1527" t="n">
        <v>0</v>
      </c>
      <c r="AI1527" t="n">
        <v>0</v>
      </c>
      <c r="AJ1527" t="n">
        <v>0</v>
      </c>
      <c r="AK1527" t="n">
        <v>0</v>
      </c>
      <c r="AL1527" t="n">
        <v>2</v>
      </c>
      <c r="AM1527" t="n">
        <v>2</v>
      </c>
      <c r="AN1527" t="n">
        <v>0</v>
      </c>
      <c r="AO1527" t="n">
        <v>0</v>
      </c>
      <c r="AP1527" t="inlineStr">
        <is>
          <t>No</t>
        </is>
      </c>
      <c r="AQ1527" t="inlineStr">
        <is>
          <t>No</t>
        </is>
      </c>
      <c r="AS1527">
        <f>HYPERLINK("https://creighton-primo.hosted.exlibrisgroup.com/primo-explore/search?tab=default_tab&amp;search_scope=EVERYTHING&amp;vid=01CRU&amp;lang=en_US&amp;offset=0&amp;query=any,contains,991000852129702656","Catalog Record")</f>
        <v/>
      </c>
      <c r="AT1527">
        <f>HYPERLINK("http://www.worldcat.org/oclc/13592006","WorldCat Record")</f>
        <v/>
      </c>
      <c r="AU1527" t="inlineStr">
        <is>
          <t>7811929:eng</t>
        </is>
      </c>
      <c r="AV1527" t="inlineStr">
        <is>
          <t>13592006</t>
        </is>
      </c>
      <c r="AW1527" t="inlineStr">
        <is>
          <t>991000852129702656</t>
        </is>
      </c>
      <c r="AX1527" t="inlineStr">
        <is>
          <t>991000852129702656</t>
        </is>
      </c>
      <c r="AY1527" t="inlineStr">
        <is>
          <t>2267244700002656</t>
        </is>
      </c>
      <c r="AZ1527" t="inlineStr">
        <is>
          <t>BOOK</t>
        </is>
      </c>
      <c r="BB1527" t="inlineStr">
        <is>
          <t>9780940880153</t>
        </is>
      </c>
      <c r="BC1527" t="inlineStr">
        <is>
          <t>32285000078286</t>
        </is>
      </c>
      <c r="BD1527" t="inlineStr">
        <is>
          <t>893884819</t>
        </is>
      </c>
    </row>
    <row r="1528">
      <c r="A1528" t="inlineStr">
        <is>
          <t>No</t>
        </is>
      </c>
      <c r="B1528" t="inlineStr">
        <is>
          <t>E668 .L983</t>
        </is>
      </c>
      <c r="C1528" t="inlineStr">
        <is>
          <t>0                      E  0668000L  983</t>
        </is>
      </c>
      <c r="D1528" t="inlineStr">
        <is>
          <t>Reconstruction.</t>
        </is>
      </c>
      <c r="F1528" t="inlineStr">
        <is>
          <t>No</t>
        </is>
      </c>
      <c r="G1528" t="inlineStr">
        <is>
          <t>1</t>
        </is>
      </c>
      <c r="H1528" t="inlineStr">
        <is>
          <t>No</t>
        </is>
      </c>
      <c r="I1528" t="inlineStr">
        <is>
          <t>No</t>
        </is>
      </c>
      <c r="J1528" t="inlineStr">
        <is>
          <t>0</t>
        </is>
      </c>
      <c r="K1528" t="inlineStr">
        <is>
          <t>Lynd, Staughton, editor.</t>
        </is>
      </c>
      <c r="L1528" t="inlineStr">
        <is>
          <t>New York : Harper &amp; Row, [c1967]</t>
        </is>
      </c>
      <c r="M1528" t="inlineStr">
        <is>
          <t>1967</t>
        </is>
      </c>
      <c r="O1528" t="inlineStr">
        <is>
          <t>eng</t>
        </is>
      </c>
      <c r="P1528" t="inlineStr">
        <is>
          <t>nyu</t>
        </is>
      </c>
      <c r="Q1528" t="inlineStr">
        <is>
          <t>Interpretations of American history</t>
        </is>
      </c>
      <c r="R1528" t="inlineStr">
        <is>
          <t xml:space="preserve">E  </t>
        </is>
      </c>
      <c r="S1528" t="n">
        <v>6</v>
      </c>
      <c r="T1528" t="n">
        <v>6</v>
      </c>
      <c r="U1528" t="inlineStr">
        <is>
          <t>2003-07-02</t>
        </is>
      </c>
      <c r="V1528" t="inlineStr">
        <is>
          <t>2003-07-02</t>
        </is>
      </c>
      <c r="W1528" t="inlineStr">
        <is>
          <t>1993-12-15</t>
        </is>
      </c>
      <c r="X1528" t="inlineStr">
        <is>
          <t>1993-12-15</t>
        </is>
      </c>
      <c r="Y1528" t="n">
        <v>813</v>
      </c>
      <c r="Z1528" t="n">
        <v>737</v>
      </c>
      <c r="AA1528" t="n">
        <v>743</v>
      </c>
      <c r="AB1528" t="n">
        <v>7</v>
      </c>
      <c r="AC1528" t="n">
        <v>7</v>
      </c>
      <c r="AD1528" t="n">
        <v>32</v>
      </c>
      <c r="AE1528" t="n">
        <v>32</v>
      </c>
      <c r="AF1528" t="n">
        <v>15</v>
      </c>
      <c r="AG1528" t="n">
        <v>15</v>
      </c>
      <c r="AH1528" t="n">
        <v>6</v>
      </c>
      <c r="AI1528" t="n">
        <v>6</v>
      </c>
      <c r="AJ1528" t="n">
        <v>17</v>
      </c>
      <c r="AK1528" t="n">
        <v>17</v>
      </c>
      <c r="AL1528" t="n">
        <v>5</v>
      </c>
      <c r="AM1528" t="n">
        <v>5</v>
      </c>
      <c r="AN1528" t="n">
        <v>0</v>
      </c>
      <c r="AO1528" t="n">
        <v>0</v>
      </c>
      <c r="AP1528" t="inlineStr">
        <is>
          <t>No</t>
        </is>
      </c>
      <c r="AQ1528" t="inlineStr">
        <is>
          <t>Yes</t>
        </is>
      </c>
      <c r="AR1528">
        <f>HYPERLINK("http://catalog.hathitrust.org/Record/000464546","HathiTrust Record")</f>
        <v/>
      </c>
      <c r="AS1528">
        <f>HYPERLINK("https://creighton-primo.hosted.exlibrisgroup.com/primo-explore/search?tab=default_tab&amp;search_scope=EVERYTHING&amp;vid=01CRU&amp;lang=en_US&amp;offset=0&amp;query=any,contains,991002638019702656","Catalog Record")</f>
        <v/>
      </c>
      <c r="AT1528">
        <f>HYPERLINK("http://www.worldcat.org/oclc/383194","WorldCat Record")</f>
        <v/>
      </c>
      <c r="AU1528" t="inlineStr">
        <is>
          <t>1500005:eng</t>
        </is>
      </c>
      <c r="AV1528" t="inlineStr">
        <is>
          <t>383194</t>
        </is>
      </c>
      <c r="AW1528" t="inlineStr">
        <is>
          <t>991002638019702656</t>
        </is>
      </c>
      <c r="AX1528" t="inlineStr">
        <is>
          <t>991002638019702656</t>
        </is>
      </c>
      <c r="AY1528" t="inlineStr">
        <is>
          <t>2260403330002656</t>
        </is>
      </c>
      <c r="AZ1528" t="inlineStr">
        <is>
          <t>BOOK</t>
        </is>
      </c>
      <c r="BC1528" t="inlineStr">
        <is>
          <t>32285001817740</t>
        </is>
      </c>
      <c r="BD1528" t="inlineStr">
        <is>
          <t>893704301</t>
        </is>
      </c>
    </row>
    <row r="1529">
      <c r="A1529" t="inlineStr">
        <is>
          <t>No</t>
        </is>
      </c>
      <c r="B1529" t="inlineStr">
        <is>
          <t>E668 .R38</t>
        </is>
      </c>
      <c r="C1529" t="inlineStr">
        <is>
          <t>0                      E  0668000R  38</t>
        </is>
      </c>
      <c r="D1529" t="inlineStr">
        <is>
          <t>Reconstruction and redemption in the South : an assessment / edited by Otto H. Olsen.</t>
        </is>
      </c>
      <c r="F1529" t="inlineStr">
        <is>
          <t>No</t>
        </is>
      </c>
      <c r="G1529" t="inlineStr">
        <is>
          <t>1</t>
        </is>
      </c>
      <c r="H1529" t="inlineStr">
        <is>
          <t>No</t>
        </is>
      </c>
      <c r="I1529" t="inlineStr">
        <is>
          <t>No</t>
        </is>
      </c>
      <c r="J1529" t="inlineStr">
        <is>
          <t>0</t>
        </is>
      </c>
      <c r="L1529" t="inlineStr">
        <is>
          <t>Baton Rouge : Louisiana State University Press, c1979.</t>
        </is>
      </c>
      <c r="M1529" t="inlineStr">
        <is>
          <t>1979</t>
        </is>
      </c>
      <c r="O1529" t="inlineStr">
        <is>
          <t>eng</t>
        </is>
      </c>
      <c r="P1529" t="inlineStr">
        <is>
          <t>lau</t>
        </is>
      </c>
      <c r="R1529" t="inlineStr">
        <is>
          <t xml:space="preserve">E  </t>
        </is>
      </c>
      <c r="S1529" t="n">
        <v>2</v>
      </c>
      <c r="T1529" t="n">
        <v>2</v>
      </c>
      <c r="U1529" t="inlineStr">
        <is>
          <t>1992-11-27</t>
        </is>
      </c>
      <c r="V1529" t="inlineStr">
        <is>
          <t>1992-11-27</t>
        </is>
      </c>
      <c r="W1529" t="inlineStr">
        <is>
          <t>1991-05-16</t>
        </is>
      </c>
      <c r="X1529" t="inlineStr">
        <is>
          <t>1991-05-16</t>
        </is>
      </c>
      <c r="Y1529" t="n">
        <v>737</v>
      </c>
      <c r="Z1529" t="n">
        <v>670</v>
      </c>
      <c r="AA1529" t="n">
        <v>698</v>
      </c>
      <c r="AB1529" t="n">
        <v>6</v>
      </c>
      <c r="AC1529" t="n">
        <v>6</v>
      </c>
      <c r="AD1529" t="n">
        <v>31</v>
      </c>
      <c r="AE1529" t="n">
        <v>32</v>
      </c>
      <c r="AF1529" t="n">
        <v>14</v>
      </c>
      <c r="AG1529" t="n">
        <v>14</v>
      </c>
      <c r="AH1529" t="n">
        <v>9</v>
      </c>
      <c r="AI1529" t="n">
        <v>10</v>
      </c>
      <c r="AJ1529" t="n">
        <v>12</v>
      </c>
      <c r="AK1529" t="n">
        <v>13</v>
      </c>
      <c r="AL1529" t="n">
        <v>5</v>
      </c>
      <c r="AM1529" t="n">
        <v>5</v>
      </c>
      <c r="AN1529" t="n">
        <v>0</v>
      </c>
      <c r="AO1529" t="n">
        <v>0</v>
      </c>
      <c r="AP1529" t="inlineStr">
        <is>
          <t>No</t>
        </is>
      </c>
      <c r="AQ1529" t="inlineStr">
        <is>
          <t>No</t>
        </is>
      </c>
      <c r="AS1529">
        <f>HYPERLINK("https://creighton-primo.hosted.exlibrisgroup.com/primo-explore/search?tab=default_tab&amp;search_scope=EVERYTHING&amp;vid=01CRU&amp;lang=en_US&amp;offset=0&amp;query=any,contains,991004713419702656","Catalog Record")</f>
        <v/>
      </c>
      <c r="AT1529">
        <f>HYPERLINK("http://www.worldcat.org/oclc/4775204","WorldCat Record")</f>
        <v/>
      </c>
      <c r="AU1529" t="inlineStr">
        <is>
          <t>54281174:eng</t>
        </is>
      </c>
      <c r="AV1529" t="inlineStr">
        <is>
          <t>4775204</t>
        </is>
      </c>
      <c r="AW1529" t="inlineStr">
        <is>
          <t>991004713419702656</t>
        </is>
      </c>
      <c r="AX1529" t="inlineStr">
        <is>
          <t>991004713419702656</t>
        </is>
      </c>
      <c r="AY1529" t="inlineStr">
        <is>
          <t>2256455540002656</t>
        </is>
      </c>
      <c r="AZ1529" t="inlineStr">
        <is>
          <t>BOOK</t>
        </is>
      </c>
      <c r="BB1529" t="inlineStr">
        <is>
          <t>9780807104965</t>
        </is>
      </c>
      <c r="BC1529" t="inlineStr">
        <is>
          <t>32285000611524</t>
        </is>
      </c>
      <c r="BD1529" t="inlineStr">
        <is>
          <t>893706752</t>
        </is>
      </c>
    </row>
    <row r="1530">
      <c r="A1530" t="inlineStr">
        <is>
          <t>No</t>
        </is>
      </c>
      <c r="B1530" t="inlineStr">
        <is>
          <t>E668 .R49</t>
        </is>
      </c>
      <c r="C1530" t="inlineStr">
        <is>
          <t>0                      E  0668000R  49</t>
        </is>
      </c>
      <c r="D1530" t="inlineStr">
        <is>
          <t>1866, the critical year revisited / by Patrick W. Riddleberger.</t>
        </is>
      </c>
      <c r="F1530" t="inlineStr">
        <is>
          <t>No</t>
        </is>
      </c>
      <c r="G1530" t="inlineStr">
        <is>
          <t>1</t>
        </is>
      </c>
      <c r="H1530" t="inlineStr">
        <is>
          <t>No</t>
        </is>
      </c>
      <c r="I1530" t="inlineStr">
        <is>
          <t>No</t>
        </is>
      </c>
      <c r="J1530" t="inlineStr">
        <is>
          <t>0</t>
        </is>
      </c>
      <c r="K1530" t="inlineStr">
        <is>
          <t>Riddleberger, Patrick W.</t>
        </is>
      </c>
      <c r="L1530" t="inlineStr">
        <is>
          <t>Carbondale : Southern Illinois University Press, c1979.</t>
        </is>
      </c>
      <c r="M1530" t="inlineStr">
        <is>
          <t>1979</t>
        </is>
      </c>
      <c r="O1530" t="inlineStr">
        <is>
          <t>eng</t>
        </is>
      </c>
      <c r="P1530" t="inlineStr">
        <is>
          <t>ilu</t>
        </is>
      </c>
      <c r="R1530" t="inlineStr">
        <is>
          <t xml:space="preserve">E  </t>
        </is>
      </c>
      <c r="S1530" t="n">
        <v>3</v>
      </c>
      <c r="T1530" t="n">
        <v>3</v>
      </c>
      <c r="U1530" t="inlineStr">
        <is>
          <t>1993-11-26</t>
        </is>
      </c>
      <c r="V1530" t="inlineStr">
        <is>
          <t>1993-11-26</t>
        </is>
      </c>
      <c r="W1530" t="inlineStr">
        <is>
          <t>1991-05-16</t>
        </is>
      </c>
      <c r="X1530" t="inlineStr">
        <is>
          <t>1991-05-16</t>
        </is>
      </c>
      <c r="Y1530" t="n">
        <v>460</v>
      </c>
      <c r="Z1530" t="n">
        <v>400</v>
      </c>
      <c r="AA1530" t="n">
        <v>430</v>
      </c>
      <c r="AB1530" t="n">
        <v>4</v>
      </c>
      <c r="AC1530" t="n">
        <v>4</v>
      </c>
      <c r="AD1530" t="n">
        <v>18</v>
      </c>
      <c r="AE1530" t="n">
        <v>18</v>
      </c>
      <c r="AF1530" t="n">
        <v>7</v>
      </c>
      <c r="AG1530" t="n">
        <v>7</v>
      </c>
      <c r="AH1530" t="n">
        <v>2</v>
      </c>
      <c r="AI1530" t="n">
        <v>2</v>
      </c>
      <c r="AJ1530" t="n">
        <v>10</v>
      </c>
      <c r="AK1530" t="n">
        <v>10</v>
      </c>
      <c r="AL1530" t="n">
        <v>3</v>
      </c>
      <c r="AM1530" t="n">
        <v>3</v>
      </c>
      <c r="AN1530" t="n">
        <v>1</v>
      </c>
      <c r="AO1530" t="n">
        <v>1</v>
      </c>
      <c r="AP1530" t="inlineStr">
        <is>
          <t>No</t>
        </is>
      </c>
      <c r="AQ1530" t="inlineStr">
        <is>
          <t>Yes</t>
        </is>
      </c>
      <c r="AR1530">
        <f>HYPERLINK("http://catalog.hathitrust.org/Record/000258251","HathiTrust Record")</f>
        <v/>
      </c>
      <c r="AS1530">
        <f>HYPERLINK("https://creighton-primo.hosted.exlibrisgroup.com/primo-explore/search?tab=default_tab&amp;search_scope=EVERYTHING&amp;vid=01CRU&amp;lang=en_US&amp;offset=0&amp;query=any,contains,991004677539702656","Catalog Record")</f>
        <v/>
      </c>
      <c r="AT1530">
        <f>HYPERLINK("http://www.worldcat.org/oclc/4549437","WorldCat Record")</f>
        <v/>
      </c>
      <c r="AU1530" t="inlineStr">
        <is>
          <t>3888381:eng</t>
        </is>
      </c>
      <c r="AV1530" t="inlineStr">
        <is>
          <t>4549437</t>
        </is>
      </c>
      <c r="AW1530" t="inlineStr">
        <is>
          <t>991004677539702656</t>
        </is>
      </c>
      <c r="AX1530" t="inlineStr">
        <is>
          <t>991004677539702656</t>
        </is>
      </c>
      <c r="AY1530" t="inlineStr">
        <is>
          <t>2272571300002656</t>
        </is>
      </c>
      <c r="AZ1530" t="inlineStr">
        <is>
          <t>BOOK</t>
        </is>
      </c>
      <c r="BB1530" t="inlineStr">
        <is>
          <t>9780809309047</t>
        </is>
      </c>
      <c r="BC1530" t="inlineStr">
        <is>
          <t>32285000611532</t>
        </is>
      </c>
      <c r="BD1530" t="inlineStr">
        <is>
          <t>893606331</t>
        </is>
      </c>
    </row>
    <row r="1531">
      <c r="A1531" t="inlineStr">
        <is>
          <t>No</t>
        </is>
      </c>
      <c r="B1531" t="inlineStr">
        <is>
          <t>E668 .S792</t>
        </is>
      </c>
      <c r="C1531" t="inlineStr">
        <is>
          <t>0                      E  0668000S  792</t>
        </is>
      </c>
      <c r="D1531" t="inlineStr">
        <is>
          <t>Reconstruction : an anthology of revisionist writings / edited by Kenneth M. Stampp and Leon F. Litwack.</t>
        </is>
      </c>
      <c r="F1531" t="inlineStr">
        <is>
          <t>No</t>
        </is>
      </c>
      <c r="G1531" t="inlineStr">
        <is>
          <t>1</t>
        </is>
      </c>
      <c r="H1531" t="inlineStr">
        <is>
          <t>No</t>
        </is>
      </c>
      <c r="I1531" t="inlineStr">
        <is>
          <t>No</t>
        </is>
      </c>
      <c r="J1531" t="inlineStr">
        <is>
          <t>0</t>
        </is>
      </c>
      <c r="K1531" t="inlineStr">
        <is>
          <t>Stampp, Kenneth M. (Kenneth Milton) compiler.</t>
        </is>
      </c>
      <c r="L1531" t="inlineStr">
        <is>
          <t>Baton Rouge : Louisiana State University Press, c1969, 1976 printing.</t>
        </is>
      </c>
      <c r="M1531" t="inlineStr">
        <is>
          <t>1969</t>
        </is>
      </c>
      <c r="O1531" t="inlineStr">
        <is>
          <t>eng</t>
        </is>
      </c>
      <c r="P1531" t="inlineStr">
        <is>
          <t>lau</t>
        </is>
      </c>
      <c r="R1531" t="inlineStr">
        <is>
          <t xml:space="preserve">E  </t>
        </is>
      </c>
      <c r="S1531" t="n">
        <v>5</v>
      </c>
      <c r="T1531" t="n">
        <v>5</v>
      </c>
      <c r="U1531" t="inlineStr">
        <is>
          <t>1992-11-27</t>
        </is>
      </c>
      <c r="V1531" t="inlineStr">
        <is>
          <t>1992-11-27</t>
        </is>
      </c>
      <c r="W1531" t="inlineStr">
        <is>
          <t>1991-05-16</t>
        </is>
      </c>
      <c r="X1531" t="inlineStr">
        <is>
          <t>1991-05-16</t>
        </is>
      </c>
      <c r="Y1531" t="n">
        <v>1050</v>
      </c>
      <c r="Z1531" t="n">
        <v>971</v>
      </c>
      <c r="AA1531" t="n">
        <v>974</v>
      </c>
      <c r="AB1531" t="n">
        <v>7</v>
      </c>
      <c r="AC1531" t="n">
        <v>7</v>
      </c>
      <c r="AD1531" t="n">
        <v>35</v>
      </c>
      <c r="AE1531" t="n">
        <v>35</v>
      </c>
      <c r="AF1531" t="n">
        <v>14</v>
      </c>
      <c r="AG1531" t="n">
        <v>14</v>
      </c>
      <c r="AH1531" t="n">
        <v>7</v>
      </c>
      <c r="AI1531" t="n">
        <v>7</v>
      </c>
      <c r="AJ1531" t="n">
        <v>17</v>
      </c>
      <c r="AK1531" t="n">
        <v>17</v>
      </c>
      <c r="AL1531" t="n">
        <v>6</v>
      </c>
      <c r="AM1531" t="n">
        <v>6</v>
      </c>
      <c r="AN1531" t="n">
        <v>0</v>
      </c>
      <c r="AO1531" t="n">
        <v>0</v>
      </c>
      <c r="AP1531" t="inlineStr">
        <is>
          <t>No</t>
        </is>
      </c>
      <c r="AQ1531" t="inlineStr">
        <is>
          <t>Yes</t>
        </is>
      </c>
      <c r="AR1531">
        <f>HYPERLINK("http://catalog.hathitrust.org/Record/000465952","HathiTrust Record")</f>
        <v/>
      </c>
      <c r="AS1531">
        <f>HYPERLINK("https://creighton-primo.hosted.exlibrisgroup.com/primo-explore/search?tab=default_tab&amp;search_scope=EVERYTHING&amp;vid=01CRU&amp;lang=en_US&amp;offset=0&amp;query=any,contains,991005438199702656","Catalog Record")</f>
        <v/>
      </c>
      <c r="AT1531">
        <f>HYPERLINK("http://www.worldcat.org/oclc/5903","WorldCat Record")</f>
        <v/>
      </c>
      <c r="AU1531" t="inlineStr">
        <is>
          <t>890203325:eng</t>
        </is>
      </c>
      <c r="AV1531" t="inlineStr">
        <is>
          <t>5903</t>
        </is>
      </c>
      <c r="AW1531" t="inlineStr">
        <is>
          <t>991005438199702656</t>
        </is>
      </c>
      <c r="AX1531" t="inlineStr">
        <is>
          <t>991005438199702656</t>
        </is>
      </c>
      <c r="AY1531" t="inlineStr">
        <is>
          <t>2264707580002656</t>
        </is>
      </c>
      <c r="AZ1531" t="inlineStr">
        <is>
          <t>BOOK</t>
        </is>
      </c>
      <c r="BB1531" t="inlineStr">
        <is>
          <t>9780807103128</t>
        </is>
      </c>
      <c r="BC1531" t="inlineStr">
        <is>
          <t>32285000611540</t>
        </is>
      </c>
      <c r="BD1531" t="inlineStr">
        <is>
          <t>893536662</t>
        </is>
      </c>
    </row>
    <row r="1532">
      <c r="A1532" t="inlineStr">
        <is>
          <t>No</t>
        </is>
      </c>
      <c r="B1532" t="inlineStr">
        <is>
          <t>E668 .T7 1971</t>
        </is>
      </c>
      <c r="C1532" t="inlineStr">
        <is>
          <t>0                      E  0668000T  7           1971</t>
        </is>
      </c>
      <c r="D1532" t="inlineStr">
        <is>
          <t>White terror : the Ku Klux Klan conspiracy and Southern Reconstruction / by Allen W. Trelease.</t>
        </is>
      </c>
      <c r="F1532" t="inlineStr">
        <is>
          <t>No</t>
        </is>
      </c>
      <c r="G1532" t="inlineStr">
        <is>
          <t>1</t>
        </is>
      </c>
      <c r="H1532" t="inlineStr">
        <is>
          <t>No</t>
        </is>
      </c>
      <c r="I1532" t="inlineStr">
        <is>
          <t>No</t>
        </is>
      </c>
      <c r="J1532" t="inlineStr">
        <is>
          <t>0</t>
        </is>
      </c>
      <c r="K1532" t="inlineStr">
        <is>
          <t>Trelease, Allen W.</t>
        </is>
      </c>
      <c r="L1532" t="inlineStr">
        <is>
          <t>New York : Harper &amp; Row, [1971]</t>
        </is>
      </c>
      <c r="M1532" t="inlineStr">
        <is>
          <t>1971</t>
        </is>
      </c>
      <c r="N1532" t="inlineStr">
        <is>
          <t>[1st ed.]</t>
        </is>
      </c>
      <c r="O1532" t="inlineStr">
        <is>
          <t>eng</t>
        </is>
      </c>
      <c r="P1532" t="inlineStr">
        <is>
          <t>nyu</t>
        </is>
      </c>
      <c r="R1532" t="inlineStr">
        <is>
          <t xml:space="preserve">E  </t>
        </is>
      </c>
      <c r="S1532" t="n">
        <v>20</v>
      </c>
      <c r="T1532" t="n">
        <v>20</v>
      </c>
      <c r="U1532" t="inlineStr">
        <is>
          <t>2005-11-14</t>
        </is>
      </c>
      <c r="V1532" t="inlineStr">
        <is>
          <t>2005-11-14</t>
        </is>
      </c>
      <c r="W1532" t="inlineStr">
        <is>
          <t>1990-03-22</t>
        </is>
      </c>
      <c r="X1532" t="inlineStr">
        <is>
          <t>1990-03-22</t>
        </is>
      </c>
      <c r="Y1532" t="n">
        <v>1187</v>
      </c>
      <c r="Z1532" t="n">
        <v>1107</v>
      </c>
      <c r="AA1532" t="n">
        <v>1500</v>
      </c>
      <c r="AB1532" t="n">
        <v>10</v>
      </c>
      <c r="AC1532" t="n">
        <v>11</v>
      </c>
      <c r="AD1532" t="n">
        <v>43</v>
      </c>
      <c r="AE1532" t="n">
        <v>54</v>
      </c>
      <c r="AF1532" t="n">
        <v>19</v>
      </c>
      <c r="AG1532" t="n">
        <v>25</v>
      </c>
      <c r="AH1532" t="n">
        <v>7</v>
      </c>
      <c r="AI1532" t="n">
        <v>10</v>
      </c>
      <c r="AJ1532" t="n">
        <v>19</v>
      </c>
      <c r="AK1532" t="n">
        <v>22</v>
      </c>
      <c r="AL1532" t="n">
        <v>7</v>
      </c>
      <c r="AM1532" t="n">
        <v>8</v>
      </c>
      <c r="AN1532" t="n">
        <v>1</v>
      </c>
      <c r="AO1532" t="n">
        <v>1</v>
      </c>
      <c r="AP1532" t="inlineStr">
        <is>
          <t>No</t>
        </is>
      </c>
      <c r="AQ1532" t="inlineStr">
        <is>
          <t>No</t>
        </is>
      </c>
      <c r="AS1532">
        <f>HYPERLINK("https://creighton-primo.hosted.exlibrisgroup.com/primo-explore/search?tab=default_tab&amp;search_scope=EVERYTHING&amp;vid=01CRU&amp;lang=en_US&amp;offset=0&amp;query=any,contains,991000784909702656","Catalog Record")</f>
        <v/>
      </c>
      <c r="AT1532">
        <f>HYPERLINK("http://www.worldcat.org/oclc/136081","WorldCat Record")</f>
        <v/>
      </c>
      <c r="AU1532" t="inlineStr">
        <is>
          <t>445675:eng</t>
        </is>
      </c>
      <c r="AV1532" t="inlineStr">
        <is>
          <t>136081</t>
        </is>
      </c>
      <c r="AW1532" t="inlineStr">
        <is>
          <t>991000784909702656</t>
        </is>
      </c>
      <c r="AX1532" t="inlineStr">
        <is>
          <t>991000784909702656</t>
        </is>
      </c>
      <c r="AY1532" t="inlineStr">
        <is>
          <t>2264109230002656</t>
        </is>
      </c>
      <c r="AZ1532" t="inlineStr">
        <is>
          <t>BOOK</t>
        </is>
      </c>
      <c r="BC1532" t="inlineStr">
        <is>
          <t>32285000092253</t>
        </is>
      </c>
      <c r="BD1532" t="inlineStr">
        <is>
          <t>893891019</t>
        </is>
      </c>
    </row>
    <row r="1533">
      <c r="A1533" t="inlineStr">
        <is>
          <t>No</t>
        </is>
      </c>
      <c r="B1533" t="inlineStr">
        <is>
          <t>E668 .W78</t>
        </is>
      </c>
      <c r="C1533" t="inlineStr">
        <is>
          <t>0                      E  0668000W  78</t>
        </is>
      </c>
      <c r="D1533" t="inlineStr">
        <is>
          <t>Reconstruction in the South, 1865-1877 : first-hand accounts of the American southland after the Civil War / by northerners &amp; southerners.</t>
        </is>
      </c>
      <c r="F1533" t="inlineStr">
        <is>
          <t>No</t>
        </is>
      </c>
      <c r="G1533" t="inlineStr">
        <is>
          <t>1</t>
        </is>
      </c>
      <c r="H1533" t="inlineStr">
        <is>
          <t>No</t>
        </is>
      </c>
      <c r="I1533" t="inlineStr">
        <is>
          <t>No</t>
        </is>
      </c>
      <c r="J1533" t="inlineStr">
        <is>
          <t>0</t>
        </is>
      </c>
      <c r="K1533" t="inlineStr">
        <is>
          <t>Wish, Harvey, 1909-1968 editor.</t>
        </is>
      </c>
      <c r="L1533" t="inlineStr">
        <is>
          <t>New York : Farrar, Straus and Giroux, [1965]</t>
        </is>
      </c>
      <c r="M1533" t="inlineStr">
        <is>
          <t>1965</t>
        </is>
      </c>
      <c r="O1533" t="inlineStr">
        <is>
          <t>eng</t>
        </is>
      </c>
      <c r="P1533" t="inlineStr">
        <is>
          <t>nyu</t>
        </is>
      </c>
      <c r="Q1533" t="inlineStr">
        <is>
          <t>Materials of American history series</t>
        </is>
      </c>
      <c r="R1533" t="inlineStr">
        <is>
          <t xml:space="preserve">E  </t>
        </is>
      </c>
      <c r="S1533" t="n">
        <v>4</v>
      </c>
      <c r="T1533" t="n">
        <v>4</v>
      </c>
      <c r="U1533" t="inlineStr">
        <is>
          <t>1999-02-01</t>
        </is>
      </c>
      <c r="V1533" t="inlineStr">
        <is>
          <t>1999-02-01</t>
        </is>
      </c>
      <c r="W1533" t="inlineStr">
        <is>
          <t>1992-12-15</t>
        </is>
      </c>
      <c r="X1533" t="inlineStr">
        <is>
          <t>1992-12-15</t>
        </is>
      </c>
      <c r="Y1533" t="n">
        <v>582</v>
      </c>
      <c r="Z1533" t="n">
        <v>561</v>
      </c>
      <c r="AA1533" t="n">
        <v>608</v>
      </c>
      <c r="AB1533" t="n">
        <v>5</v>
      </c>
      <c r="AC1533" t="n">
        <v>6</v>
      </c>
      <c r="AD1533" t="n">
        <v>21</v>
      </c>
      <c r="AE1533" t="n">
        <v>24</v>
      </c>
      <c r="AF1533" t="n">
        <v>9</v>
      </c>
      <c r="AG1533" t="n">
        <v>9</v>
      </c>
      <c r="AH1533" t="n">
        <v>5</v>
      </c>
      <c r="AI1533" t="n">
        <v>6</v>
      </c>
      <c r="AJ1533" t="n">
        <v>8</v>
      </c>
      <c r="AK1533" t="n">
        <v>10</v>
      </c>
      <c r="AL1533" t="n">
        <v>4</v>
      </c>
      <c r="AM1533" t="n">
        <v>5</v>
      </c>
      <c r="AN1533" t="n">
        <v>0</v>
      </c>
      <c r="AO1533" t="n">
        <v>0</v>
      </c>
      <c r="AP1533" t="inlineStr">
        <is>
          <t>No</t>
        </is>
      </c>
      <c r="AQ1533" t="inlineStr">
        <is>
          <t>No</t>
        </is>
      </c>
      <c r="AS1533">
        <f>HYPERLINK("https://creighton-primo.hosted.exlibrisgroup.com/primo-explore/search?tab=default_tab&amp;search_scope=EVERYTHING&amp;vid=01CRU&amp;lang=en_US&amp;offset=0&amp;query=any,contains,991002845999702656","Catalog Record")</f>
        <v/>
      </c>
      <c r="AT1533">
        <f>HYPERLINK("http://www.worldcat.org/oclc/484479","WorldCat Record")</f>
        <v/>
      </c>
      <c r="AU1533" t="inlineStr">
        <is>
          <t>159024710:eng</t>
        </is>
      </c>
      <c r="AV1533" t="inlineStr">
        <is>
          <t>484479</t>
        </is>
      </c>
      <c r="AW1533" t="inlineStr">
        <is>
          <t>991002845999702656</t>
        </is>
      </c>
      <c r="AX1533" t="inlineStr">
        <is>
          <t>991002845999702656</t>
        </is>
      </c>
      <c r="AY1533" t="inlineStr">
        <is>
          <t>2258269480002656</t>
        </is>
      </c>
      <c r="AZ1533" t="inlineStr">
        <is>
          <t>BOOK</t>
        </is>
      </c>
      <c r="BC1533" t="inlineStr">
        <is>
          <t>32285001442499</t>
        </is>
      </c>
      <c r="BD1533" t="inlineStr">
        <is>
          <t>893251693</t>
        </is>
      </c>
    </row>
    <row r="1534">
      <c r="A1534" t="inlineStr">
        <is>
          <t>No</t>
        </is>
      </c>
      <c r="B1534" t="inlineStr">
        <is>
          <t>E668 .W875 1975</t>
        </is>
      </c>
      <c r="C1534" t="inlineStr">
        <is>
          <t>0                      E  0668000W  875         1975</t>
        </is>
      </c>
      <c r="D1534" t="inlineStr">
        <is>
          <t>The era of Reconstruction, 1863-1877 / [by] Forrest G. Wood.</t>
        </is>
      </c>
      <c r="F1534" t="inlineStr">
        <is>
          <t>No</t>
        </is>
      </c>
      <c r="G1534" t="inlineStr">
        <is>
          <t>1</t>
        </is>
      </c>
      <c r="H1534" t="inlineStr">
        <is>
          <t>No</t>
        </is>
      </c>
      <c r="I1534" t="inlineStr">
        <is>
          <t>No</t>
        </is>
      </c>
      <c r="J1534" t="inlineStr">
        <is>
          <t>0</t>
        </is>
      </c>
      <c r="K1534" t="inlineStr">
        <is>
          <t>Wood, Forrest G.</t>
        </is>
      </c>
      <c r="L1534" t="inlineStr">
        <is>
          <t>New York : Crowell, 1975.</t>
        </is>
      </c>
      <c r="M1534" t="inlineStr">
        <is>
          <t>1975</t>
        </is>
      </c>
      <c r="O1534" t="inlineStr">
        <is>
          <t>eng</t>
        </is>
      </c>
      <c r="P1534" t="inlineStr">
        <is>
          <t>nyu</t>
        </is>
      </c>
      <c r="Q1534" t="inlineStr">
        <is>
          <t>The Crowell American history series</t>
        </is>
      </c>
      <c r="R1534" t="inlineStr">
        <is>
          <t xml:space="preserve">E  </t>
        </is>
      </c>
      <c r="S1534" t="n">
        <v>8</v>
      </c>
      <c r="T1534" t="n">
        <v>8</v>
      </c>
      <c r="U1534" t="inlineStr">
        <is>
          <t>2005-12-04</t>
        </is>
      </c>
      <c r="V1534" t="inlineStr">
        <is>
          <t>2005-12-04</t>
        </is>
      </c>
      <c r="W1534" t="inlineStr">
        <is>
          <t>1991-05-16</t>
        </is>
      </c>
      <c r="X1534" t="inlineStr">
        <is>
          <t>1991-05-16</t>
        </is>
      </c>
      <c r="Y1534" t="n">
        <v>233</v>
      </c>
      <c r="Z1534" t="n">
        <v>206</v>
      </c>
      <c r="AA1534" t="n">
        <v>252</v>
      </c>
      <c r="AB1534" t="n">
        <v>3</v>
      </c>
      <c r="AC1534" t="n">
        <v>4</v>
      </c>
      <c r="AD1534" t="n">
        <v>8</v>
      </c>
      <c r="AE1534" t="n">
        <v>9</v>
      </c>
      <c r="AF1534" t="n">
        <v>2</v>
      </c>
      <c r="AG1534" t="n">
        <v>3</v>
      </c>
      <c r="AH1534" t="n">
        <v>2</v>
      </c>
      <c r="AI1534" t="n">
        <v>2</v>
      </c>
      <c r="AJ1534" t="n">
        <v>3</v>
      </c>
      <c r="AK1534" t="n">
        <v>4</v>
      </c>
      <c r="AL1534" t="n">
        <v>2</v>
      </c>
      <c r="AM1534" t="n">
        <v>2</v>
      </c>
      <c r="AN1534" t="n">
        <v>0</v>
      </c>
      <c r="AO1534" t="n">
        <v>0</v>
      </c>
      <c r="AP1534" t="inlineStr">
        <is>
          <t>No</t>
        </is>
      </c>
      <c r="AQ1534" t="inlineStr">
        <is>
          <t>No</t>
        </is>
      </c>
      <c r="AS1534">
        <f>HYPERLINK("https://creighton-primo.hosted.exlibrisgroup.com/primo-explore/search?tab=default_tab&amp;search_scope=EVERYTHING&amp;vid=01CRU&amp;lang=en_US&amp;offset=0&amp;query=any,contains,991003448369702656","Catalog Record")</f>
        <v/>
      </c>
      <c r="AT1534">
        <f>HYPERLINK("http://www.worldcat.org/oclc/984058","WorldCat Record")</f>
        <v/>
      </c>
      <c r="AU1534" t="inlineStr">
        <is>
          <t>1952653:eng</t>
        </is>
      </c>
      <c r="AV1534" t="inlineStr">
        <is>
          <t>984058</t>
        </is>
      </c>
      <c r="AW1534" t="inlineStr">
        <is>
          <t>991003448369702656</t>
        </is>
      </c>
      <c r="AX1534" t="inlineStr">
        <is>
          <t>991003448369702656</t>
        </is>
      </c>
      <c r="AY1534" t="inlineStr">
        <is>
          <t>2272761930002656</t>
        </is>
      </c>
      <c r="AZ1534" t="inlineStr">
        <is>
          <t>BOOK</t>
        </is>
      </c>
      <c r="BB1534" t="inlineStr">
        <is>
          <t>9780690007008</t>
        </is>
      </c>
      <c r="BC1534" t="inlineStr">
        <is>
          <t>32285000611573</t>
        </is>
      </c>
      <c r="BD1534" t="inlineStr">
        <is>
          <t>893617341</t>
        </is>
      </c>
    </row>
    <row r="1535">
      <c r="A1535" t="inlineStr">
        <is>
          <t>No</t>
        </is>
      </c>
      <c r="B1535" t="inlineStr">
        <is>
          <t>E668.C3 A2 1974</t>
        </is>
      </c>
      <c r="C1535" t="inlineStr">
        <is>
          <t>0                      E  0668000C  3                  A  2           1974</t>
        </is>
      </c>
      <c r="D1535" t="inlineStr">
        <is>
          <t>The angry scar : the story of reconstruction.</t>
        </is>
      </c>
      <c r="F1535" t="inlineStr">
        <is>
          <t>No</t>
        </is>
      </c>
      <c r="G1535" t="inlineStr">
        <is>
          <t>1</t>
        </is>
      </c>
      <c r="H1535" t="inlineStr">
        <is>
          <t>No</t>
        </is>
      </c>
      <c r="I1535" t="inlineStr">
        <is>
          <t>No</t>
        </is>
      </c>
      <c r="J1535" t="inlineStr">
        <is>
          <t>0</t>
        </is>
      </c>
      <c r="K1535" t="inlineStr">
        <is>
          <t>Carter, Hodding, 1907-1972.</t>
        </is>
      </c>
      <c r="L1535" t="inlineStr">
        <is>
          <t>Westport, Conn. : Greenwood Press, [1974, c1959]</t>
        </is>
      </c>
      <c r="M1535" t="inlineStr">
        <is>
          <t>1974</t>
        </is>
      </c>
      <c r="O1535" t="inlineStr">
        <is>
          <t>eng</t>
        </is>
      </c>
      <c r="P1535" t="inlineStr">
        <is>
          <t>ctu</t>
        </is>
      </c>
      <c r="R1535" t="inlineStr">
        <is>
          <t xml:space="preserve">E  </t>
        </is>
      </c>
      <c r="S1535" t="n">
        <v>2</v>
      </c>
      <c r="T1535" t="n">
        <v>2</v>
      </c>
      <c r="U1535" t="inlineStr">
        <is>
          <t>1993-11-26</t>
        </is>
      </c>
      <c r="V1535" t="inlineStr">
        <is>
          <t>1993-11-26</t>
        </is>
      </c>
      <c r="W1535" t="inlineStr">
        <is>
          <t>1992-12-15</t>
        </is>
      </c>
      <c r="X1535" t="inlineStr">
        <is>
          <t>1992-12-15</t>
        </is>
      </c>
      <c r="Y1535" t="n">
        <v>82</v>
      </c>
      <c r="Z1535" t="n">
        <v>80</v>
      </c>
      <c r="AA1535" t="n">
        <v>1630</v>
      </c>
      <c r="AB1535" t="n">
        <v>1</v>
      </c>
      <c r="AC1535" t="n">
        <v>12</v>
      </c>
      <c r="AD1535" t="n">
        <v>0</v>
      </c>
      <c r="AE1535" t="n">
        <v>46</v>
      </c>
      <c r="AF1535" t="n">
        <v>0</v>
      </c>
      <c r="AG1535" t="n">
        <v>19</v>
      </c>
      <c r="AH1535" t="n">
        <v>0</v>
      </c>
      <c r="AI1535" t="n">
        <v>9</v>
      </c>
      <c r="AJ1535" t="n">
        <v>0</v>
      </c>
      <c r="AK1535" t="n">
        <v>21</v>
      </c>
      <c r="AL1535" t="n">
        <v>0</v>
      </c>
      <c r="AM1535" t="n">
        <v>8</v>
      </c>
      <c r="AN1535" t="n">
        <v>0</v>
      </c>
      <c r="AO1535" t="n">
        <v>0</v>
      </c>
      <c r="AP1535" t="inlineStr">
        <is>
          <t>No</t>
        </is>
      </c>
      <c r="AQ1535" t="inlineStr">
        <is>
          <t>No</t>
        </is>
      </c>
      <c r="AS1535">
        <f>HYPERLINK("https://creighton-primo.hosted.exlibrisgroup.com/primo-explore/search?tab=default_tab&amp;search_scope=EVERYTHING&amp;vid=01CRU&amp;lang=en_US&amp;offset=0&amp;query=any,contains,991003188139702656","Catalog Record")</f>
        <v/>
      </c>
      <c r="AT1535">
        <f>HYPERLINK("http://www.worldcat.org/oclc/714150","WorldCat Record")</f>
        <v/>
      </c>
      <c r="AU1535" t="inlineStr">
        <is>
          <t>422819783:eng</t>
        </is>
      </c>
      <c r="AV1535" t="inlineStr">
        <is>
          <t>714150</t>
        </is>
      </c>
      <c r="AW1535" t="inlineStr">
        <is>
          <t>991003188139702656</t>
        </is>
      </c>
      <c r="AX1535" t="inlineStr">
        <is>
          <t>991003188139702656</t>
        </is>
      </c>
      <c r="AY1535" t="inlineStr">
        <is>
          <t>2255994960002656</t>
        </is>
      </c>
      <c r="AZ1535" t="inlineStr">
        <is>
          <t>BOOK</t>
        </is>
      </c>
      <c r="BB1535" t="inlineStr">
        <is>
          <t>9780837170220</t>
        </is>
      </c>
      <c r="BC1535" t="inlineStr">
        <is>
          <t>32285001442507</t>
        </is>
      </c>
      <c r="BD1535" t="inlineStr">
        <is>
          <t>893623234</t>
        </is>
      </c>
    </row>
    <row r="1536">
      <c r="A1536" t="inlineStr">
        <is>
          <t>No</t>
        </is>
      </c>
      <c r="B1536" t="inlineStr">
        <is>
          <t>E671 .B84</t>
        </is>
      </c>
      <c r="C1536" t="inlineStr">
        <is>
          <t>0                      E  0671000B  84</t>
        </is>
      </c>
      <c r="D1536" t="inlineStr">
        <is>
          <t>The year of the century: 1876 [by] Dee Brown.</t>
        </is>
      </c>
      <c r="F1536" t="inlineStr">
        <is>
          <t>No</t>
        </is>
      </c>
      <c r="G1536" t="inlineStr">
        <is>
          <t>1</t>
        </is>
      </c>
      <c r="H1536" t="inlineStr">
        <is>
          <t>No</t>
        </is>
      </c>
      <c r="I1536" t="inlineStr">
        <is>
          <t>No</t>
        </is>
      </c>
      <c r="J1536" t="inlineStr">
        <is>
          <t>0</t>
        </is>
      </c>
      <c r="K1536" t="inlineStr">
        <is>
          <t>Brown, Dee, 1908-2002.</t>
        </is>
      </c>
      <c r="L1536" t="inlineStr">
        <is>
          <t>New York, Scribner [1966]</t>
        </is>
      </c>
      <c r="M1536" t="inlineStr">
        <is>
          <t>1966</t>
        </is>
      </c>
      <c r="O1536" t="inlineStr">
        <is>
          <t>eng</t>
        </is>
      </c>
      <c r="P1536" t="inlineStr">
        <is>
          <t>nyu</t>
        </is>
      </c>
      <c r="R1536" t="inlineStr">
        <is>
          <t xml:space="preserve">E  </t>
        </is>
      </c>
      <c r="S1536" t="n">
        <v>1</v>
      </c>
      <c r="T1536" t="n">
        <v>1</v>
      </c>
      <c r="U1536" t="inlineStr">
        <is>
          <t>2000-04-20</t>
        </is>
      </c>
      <c r="V1536" t="inlineStr">
        <is>
          <t>2000-04-20</t>
        </is>
      </c>
      <c r="W1536" t="inlineStr">
        <is>
          <t>1997-04-22</t>
        </is>
      </c>
      <c r="X1536" t="inlineStr">
        <is>
          <t>1997-04-22</t>
        </is>
      </c>
      <c r="Y1536" t="n">
        <v>841</v>
      </c>
      <c r="Z1536" t="n">
        <v>808</v>
      </c>
      <c r="AA1536" t="n">
        <v>879</v>
      </c>
      <c r="AB1536" t="n">
        <v>5</v>
      </c>
      <c r="AC1536" t="n">
        <v>6</v>
      </c>
      <c r="AD1536" t="n">
        <v>25</v>
      </c>
      <c r="AE1536" t="n">
        <v>27</v>
      </c>
      <c r="AF1536" t="n">
        <v>8</v>
      </c>
      <c r="AG1536" t="n">
        <v>9</v>
      </c>
      <c r="AH1536" t="n">
        <v>7</v>
      </c>
      <c r="AI1536" t="n">
        <v>7</v>
      </c>
      <c r="AJ1536" t="n">
        <v>15</v>
      </c>
      <c r="AK1536" t="n">
        <v>15</v>
      </c>
      <c r="AL1536" t="n">
        <v>4</v>
      </c>
      <c r="AM1536" t="n">
        <v>5</v>
      </c>
      <c r="AN1536" t="n">
        <v>0</v>
      </c>
      <c r="AO1536" t="n">
        <v>0</v>
      </c>
      <c r="AP1536" t="inlineStr">
        <is>
          <t>No</t>
        </is>
      </c>
      <c r="AQ1536" t="inlineStr">
        <is>
          <t>Yes</t>
        </is>
      </c>
      <c r="AR1536">
        <f>HYPERLINK("http://catalog.hathitrust.org/Record/000464972","HathiTrust Record")</f>
        <v/>
      </c>
      <c r="AS1536">
        <f>HYPERLINK("https://creighton-primo.hosted.exlibrisgroup.com/primo-explore/search?tab=default_tab&amp;search_scope=EVERYTHING&amp;vid=01CRU&amp;lang=en_US&amp;offset=0&amp;query=any,contains,991003092179702656","Catalog Record")</f>
        <v/>
      </c>
      <c r="AT1536">
        <f>HYPERLINK("http://www.worldcat.org/oclc/642263","WorldCat Record")</f>
        <v/>
      </c>
      <c r="AU1536" t="inlineStr">
        <is>
          <t>1799843:eng</t>
        </is>
      </c>
      <c r="AV1536" t="inlineStr">
        <is>
          <t>642263</t>
        </is>
      </c>
      <c r="AW1536" t="inlineStr">
        <is>
          <t>991003092179702656</t>
        </is>
      </c>
      <c r="AX1536" t="inlineStr">
        <is>
          <t>991003092179702656</t>
        </is>
      </c>
      <c r="AY1536" t="inlineStr">
        <is>
          <t>2262287280002656</t>
        </is>
      </c>
      <c r="AZ1536" t="inlineStr">
        <is>
          <t>BOOK</t>
        </is>
      </c>
      <c r="BC1536" t="inlineStr">
        <is>
          <t>32285002560323</t>
        </is>
      </c>
      <c r="BD1536" t="inlineStr">
        <is>
          <t>893428435</t>
        </is>
      </c>
    </row>
    <row r="1537">
      <c r="A1537" t="inlineStr">
        <is>
          <t>No</t>
        </is>
      </c>
      <c r="B1537" t="inlineStr">
        <is>
          <t>E672 .B34 2005</t>
        </is>
      </c>
      <c r="C1537" t="inlineStr">
        <is>
          <t>0                      E  0672000B  34          2005</t>
        </is>
      </c>
      <c r="D1537" t="inlineStr">
        <is>
          <t>U.S. Grant : the making of a general, 1861-1863 / Michael B. Ballard.</t>
        </is>
      </c>
      <c r="F1537" t="inlineStr">
        <is>
          <t>No</t>
        </is>
      </c>
      <c r="G1537" t="inlineStr">
        <is>
          <t>1</t>
        </is>
      </c>
      <c r="H1537" t="inlineStr">
        <is>
          <t>No</t>
        </is>
      </c>
      <c r="I1537" t="inlineStr">
        <is>
          <t>No</t>
        </is>
      </c>
      <c r="J1537" t="inlineStr">
        <is>
          <t>0</t>
        </is>
      </c>
      <c r="K1537" t="inlineStr">
        <is>
          <t>Ballard, Michael B.</t>
        </is>
      </c>
      <c r="L1537" t="inlineStr">
        <is>
          <t>Lanham, Md. : Rowman &amp; Littlefield : Distributed by National Book Network, c2005.</t>
        </is>
      </c>
      <c r="M1537" t="inlineStr">
        <is>
          <t>2005</t>
        </is>
      </c>
      <c r="O1537" t="inlineStr">
        <is>
          <t>eng</t>
        </is>
      </c>
      <c r="P1537" t="inlineStr">
        <is>
          <t>deu</t>
        </is>
      </c>
      <c r="Q1537" t="inlineStr">
        <is>
          <t>The American crisis series ; no. 17</t>
        </is>
      </c>
      <c r="R1537" t="inlineStr">
        <is>
          <t xml:space="preserve">E  </t>
        </is>
      </c>
      <c r="S1537" t="n">
        <v>2</v>
      </c>
      <c r="T1537" t="n">
        <v>2</v>
      </c>
      <c r="U1537" t="inlineStr">
        <is>
          <t>2005-03-22</t>
        </is>
      </c>
      <c r="V1537" t="inlineStr">
        <is>
          <t>2005-03-22</t>
        </is>
      </c>
      <c r="W1537" t="inlineStr">
        <is>
          <t>2005-03-22</t>
        </is>
      </c>
      <c r="X1537" t="inlineStr">
        <is>
          <t>2005-03-22</t>
        </is>
      </c>
      <c r="Y1537" t="n">
        <v>271</v>
      </c>
      <c r="Z1537" t="n">
        <v>252</v>
      </c>
      <c r="AA1537" t="n">
        <v>252</v>
      </c>
      <c r="AB1537" t="n">
        <v>2</v>
      </c>
      <c r="AC1537" t="n">
        <v>2</v>
      </c>
      <c r="AD1537" t="n">
        <v>10</v>
      </c>
      <c r="AE1537" t="n">
        <v>10</v>
      </c>
      <c r="AF1537" t="n">
        <v>3</v>
      </c>
      <c r="AG1537" t="n">
        <v>3</v>
      </c>
      <c r="AH1537" t="n">
        <v>4</v>
      </c>
      <c r="AI1537" t="n">
        <v>4</v>
      </c>
      <c r="AJ1537" t="n">
        <v>7</v>
      </c>
      <c r="AK1537" t="n">
        <v>7</v>
      </c>
      <c r="AL1537" t="n">
        <v>1</v>
      </c>
      <c r="AM1537" t="n">
        <v>1</v>
      </c>
      <c r="AN1537" t="n">
        <v>0</v>
      </c>
      <c r="AO1537" t="n">
        <v>0</v>
      </c>
      <c r="AP1537" t="inlineStr">
        <is>
          <t>No</t>
        </is>
      </c>
      <c r="AQ1537" t="inlineStr">
        <is>
          <t>No</t>
        </is>
      </c>
      <c r="AS1537">
        <f>HYPERLINK("https://creighton-primo.hosted.exlibrisgroup.com/primo-explore/search?tab=default_tab&amp;search_scope=EVERYTHING&amp;vid=01CRU&amp;lang=en_US&amp;offset=0&amp;query=any,contains,991004476619702656","Catalog Record")</f>
        <v/>
      </c>
      <c r="AT1537">
        <f>HYPERLINK("http://www.worldcat.org/oclc/53434688","WorldCat Record")</f>
        <v/>
      </c>
      <c r="AU1537" t="inlineStr">
        <is>
          <t>908878144:eng</t>
        </is>
      </c>
      <c r="AV1537" t="inlineStr">
        <is>
          <t>53434688</t>
        </is>
      </c>
      <c r="AW1537" t="inlineStr">
        <is>
          <t>991004476619702656</t>
        </is>
      </c>
      <c r="AX1537" t="inlineStr">
        <is>
          <t>991004476619702656</t>
        </is>
      </c>
      <c r="AY1537" t="inlineStr">
        <is>
          <t>2269483830002656</t>
        </is>
      </c>
      <c r="AZ1537" t="inlineStr">
        <is>
          <t>BOOK</t>
        </is>
      </c>
      <c r="BB1537" t="inlineStr">
        <is>
          <t>9780742543089</t>
        </is>
      </c>
      <c r="BC1537" t="inlineStr">
        <is>
          <t>32285005043830</t>
        </is>
      </c>
      <c r="BD1537" t="inlineStr">
        <is>
          <t>893782281</t>
        </is>
      </c>
    </row>
    <row r="1538">
      <c r="A1538" t="inlineStr">
        <is>
          <t>No</t>
        </is>
      </c>
      <c r="B1538" t="inlineStr">
        <is>
          <t>E672 .B67 2004</t>
        </is>
      </c>
      <c r="C1538" t="inlineStr">
        <is>
          <t>0                      E  0672000B  67          2004</t>
        </is>
      </c>
      <c r="D1538" t="inlineStr">
        <is>
          <t>A victor, not a butcher : Ulysses S. Grant's overlooked military genius / Edward H. Bonekemper, III.</t>
        </is>
      </c>
      <c r="F1538" t="inlineStr">
        <is>
          <t>No</t>
        </is>
      </c>
      <c r="G1538" t="inlineStr">
        <is>
          <t>1</t>
        </is>
      </c>
      <c r="H1538" t="inlineStr">
        <is>
          <t>No</t>
        </is>
      </c>
      <c r="I1538" t="inlineStr">
        <is>
          <t>No</t>
        </is>
      </c>
      <c r="J1538" t="inlineStr">
        <is>
          <t>0</t>
        </is>
      </c>
      <c r="K1538" t="inlineStr">
        <is>
          <t>Bonekemper, Edward H.</t>
        </is>
      </c>
      <c r="L1538" t="inlineStr">
        <is>
          <t>Washington, DC : Regnery Pub. ; Lanham, MD : Distributed by National Book Network, c2004.</t>
        </is>
      </c>
      <c r="M1538" t="inlineStr">
        <is>
          <t>2004</t>
        </is>
      </c>
      <c r="O1538" t="inlineStr">
        <is>
          <t>eng</t>
        </is>
      </c>
      <c r="P1538" t="inlineStr">
        <is>
          <t>dcu</t>
        </is>
      </c>
      <c r="R1538" t="inlineStr">
        <is>
          <t xml:space="preserve">E  </t>
        </is>
      </c>
      <c r="S1538" t="n">
        <v>3</v>
      </c>
      <c r="T1538" t="n">
        <v>3</v>
      </c>
      <c r="U1538" t="inlineStr">
        <is>
          <t>2004-11-07</t>
        </is>
      </c>
      <c r="V1538" t="inlineStr">
        <is>
          <t>2004-11-07</t>
        </is>
      </c>
      <c r="W1538" t="inlineStr">
        <is>
          <t>2004-06-23</t>
        </is>
      </c>
      <c r="X1538" t="inlineStr">
        <is>
          <t>2004-06-23</t>
        </is>
      </c>
      <c r="Y1538" t="n">
        <v>669</v>
      </c>
      <c r="Z1538" t="n">
        <v>648</v>
      </c>
      <c r="AA1538" t="n">
        <v>656</v>
      </c>
      <c r="AB1538" t="n">
        <v>5</v>
      </c>
      <c r="AC1538" t="n">
        <v>5</v>
      </c>
      <c r="AD1538" t="n">
        <v>22</v>
      </c>
      <c r="AE1538" t="n">
        <v>22</v>
      </c>
      <c r="AF1538" t="n">
        <v>9</v>
      </c>
      <c r="AG1538" t="n">
        <v>9</v>
      </c>
      <c r="AH1538" t="n">
        <v>5</v>
      </c>
      <c r="AI1538" t="n">
        <v>5</v>
      </c>
      <c r="AJ1538" t="n">
        <v>12</v>
      </c>
      <c r="AK1538" t="n">
        <v>12</v>
      </c>
      <c r="AL1538" t="n">
        <v>3</v>
      </c>
      <c r="AM1538" t="n">
        <v>3</v>
      </c>
      <c r="AN1538" t="n">
        <v>0</v>
      </c>
      <c r="AO1538" t="n">
        <v>0</v>
      </c>
      <c r="AP1538" t="inlineStr">
        <is>
          <t>No</t>
        </is>
      </c>
      <c r="AQ1538" t="inlineStr">
        <is>
          <t>Yes</t>
        </is>
      </c>
      <c r="AR1538">
        <f>HYPERLINK("http://catalog.hathitrust.org/Record/004730333","HathiTrust Record")</f>
        <v/>
      </c>
      <c r="AS1538">
        <f>HYPERLINK("https://creighton-primo.hosted.exlibrisgroup.com/primo-explore/search?tab=default_tab&amp;search_scope=EVERYTHING&amp;vid=01CRU&amp;lang=en_US&amp;offset=0&amp;query=any,contains,991004307259702656","Catalog Record")</f>
        <v/>
      </c>
      <c r="AT1538">
        <f>HYPERLINK("http://www.worldcat.org/oclc/54865378","WorldCat Record")</f>
        <v/>
      </c>
      <c r="AU1538" t="inlineStr">
        <is>
          <t>1037500:eng</t>
        </is>
      </c>
      <c r="AV1538" t="inlineStr">
        <is>
          <t>54865378</t>
        </is>
      </c>
      <c r="AW1538" t="inlineStr">
        <is>
          <t>991004307259702656</t>
        </is>
      </c>
      <c r="AX1538" t="inlineStr">
        <is>
          <t>991004307259702656</t>
        </is>
      </c>
      <c r="AY1538" t="inlineStr">
        <is>
          <t>2258519560002656</t>
        </is>
      </c>
      <c r="AZ1538" t="inlineStr">
        <is>
          <t>BOOK</t>
        </is>
      </c>
      <c r="BB1538" t="inlineStr">
        <is>
          <t>9780895260628</t>
        </is>
      </c>
      <c r="BC1538" t="inlineStr">
        <is>
          <t>32285004920806</t>
        </is>
      </c>
      <c r="BD1538" t="inlineStr">
        <is>
          <t>893247418</t>
        </is>
      </c>
    </row>
    <row r="1539">
      <c r="A1539" t="inlineStr">
        <is>
          <t>No</t>
        </is>
      </c>
      <c r="B1539" t="inlineStr">
        <is>
          <t>E672 .B872 1971</t>
        </is>
      </c>
      <c r="C1539" t="inlineStr">
        <is>
          <t>0                      E  0672000B  872         1971</t>
        </is>
      </c>
      <c r="D1539" t="inlineStr">
        <is>
          <t>Grant of Appomattox : a study of the man / by William E. Brooks.</t>
        </is>
      </c>
      <c r="F1539" t="inlineStr">
        <is>
          <t>No</t>
        </is>
      </c>
      <c r="G1539" t="inlineStr">
        <is>
          <t>1</t>
        </is>
      </c>
      <c r="H1539" t="inlineStr">
        <is>
          <t>No</t>
        </is>
      </c>
      <c r="I1539" t="inlineStr">
        <is>
          <t>No</t>
        </is>
      </c>
      <c r="J1539" t="inlineStr">
        <is>
          <t>0</t>
        </is>
      </c>
      <c r="K1539" t="inlineStr">
        <is>
          <t>Brooks, William E. (William Elizabeth), 1875-1960.</t>
        </is>
      </c>
      <c r="L1539" t="inlineStr">
        <is>
          <t>Westport, Conn. : Greenwood Press, [1971, c1942]</t>
        </is>
      </c>
      <c r="M1539" t="inlineStr">
        <is>
          <t>1971</t>
        </is>
      </c>
      <c r="O1539" t="inlineStr">
        <is>
          <t>eng</t>
        </is>
      </c>
      <c r="P1539" t="inlineStr">
        <is>
          <t>ctu</t>
        </is>
      </c>
      <c r="R1539" t="inlineStr">
        <is>
          <t xml:space="preserve">E  </t>
        </is>
      </c>
      <c r="S1539" t="n">
        <v>2</v>
      </c>
      <c r="T1539" t="n">
        <v>2</v>
      </c>
      <c r="U1539" t="inlineStr">
        <is>
          <t>1994-01-29</t>
        </is>
      </c>
      <c r="V1539" t="inlineStr">
        <is>
          <t>1994-01-29</t>
        </is>
      </c>
      <c r="W1539" t="inlineStr">
        <is>
          <t>1994-01-04</t>
        </is>
      </c>
      <c r="X1539" t="inlineStr">
        <is>
          <t>1994-01-04</t>
        </is>
      </c>
      <c r="Y1539" t="n">
        <v>198</v>
      </c>
      <c r="Z1539" t="n">
        <v>176</v>
      </c>
      <c r="AA1539" t="n">
        <v>421</v>
      </c>
      <c r="AB1539" t="n">
        <v>4</v>
      </c>
      <c r="AC1539" t="n">
        <v>5</v>
      </c>
      <c r="AD1539" t="n">
        <v>6</v>
      </c>
      <c r="AE1539" t="n">
        <v>15</v>
      </c>
      <c r="AF1539" t="n">
        <v>0</v>
      </c>
      <c r="AG1539" t="n">
        <v>3</v>
      </c>
      <c r="AH1539" t="n">
        <v>3</v>
      </c>
      <c r="AI1539" t="n">
        <v>4</v>
      </c>
      <c r="AJ1539" t="n">
        <v>2</v>
      </c>
      <c r="AK1539" t="n">
        <v>8</v>
      </c>
      <c r="AL1539" t="n">
        <v>2</v>
      </c>
      <c r="AM1539" t="n">
        <v>3</v>
      </c>
      <c r="AN1539" t="n">
        <v>0</v>
      </c>
      <c r="AO1539" t="n">
        <v>0</v>
      </c>
      <c r="AP1539" t="inlineStr">
        <is>
          <t>No</t>
        </is>
      </c>
      <c r="AQ1539" t="inlineStr">
        <is>
          <t>No</t>
        </is>
      </c>
      <c r="AS1539">
        <f>HYPERLINK("https://creighton-primo.hosted.exlibrisgroup.com/primo-explore/search?tab=default_tab&amp;search_scope=EVERYTHING&amp;vid=01CRU&amp;lang=en_US&amp;offset=0&amp;query=any,contains,991000858349702656","Catalog Record")</f>
        <v/>
      </c>
      <c r="AT1539">
        <f>HYPERLINK("http://www.worldcat.org/oclc/150006","WorldCat Record")</f>
        <v/>
      </c>
      <c r="AU1539" t="inlineStr">
        <is>
          <t>999005767:eng</t>
        </is>
      </c>
      <c r="AV1539" t="inlineStr">
        <is>
          <t>150006</t>
        </is>
      </c>
      <c r="AW1539" t="inlineStr">
        <is>
          <t>991000858349702656</t>
        </is>
      </c>
      <c r="AX1539" t="inlineStr">
        <is>
          <t>991000858349702656</t>
        </is>
      </c>
      <c r="AY1539" t="inlineStr">
        <is>
          <t>2270989390002656</t>
        </is>
      </c>
      <c r="AZ1539" t="inlineStr">
        <is>
          <t>BOOK</t>
        </is>
      </c>
      <c r="BB1539" t="inlineStr">
        <is>
          <t>9780837157764</t>
        </is>
      </c>
      <c r="BC1539" t="inlineStr">
        <is>
          <t>32285001828010</t>
        </is>
      </c>
      <c r="BD1539" t="inlineStr">
        <is>
          <t>893784578</t>
        </is>
      </c>
    </row>
    <row r="1540">
      <c r="A1540" t="inlineStr">
        <is>
          <t>No</t>
        </is>
      </c>
      <c r="B1540" t="inlineStr">
        <is>
          <t>E672 .F962 1969</t>
        </is>
      </c>
      <c r="C1540" t="inlineStr">
        <is>
          <t>0                      E  0672000F  962         1969</t>
        </is>
      </c>
      <c r="D1540" t="inlineStr">
        <is>
          <t>The generalship of Ulysses S. Grant.</t>
        </is>
      </c>
      <c r="F1540" t="inlineStr">
        <is>
          <t>No</t>
        </is>
      </c>
      <c r="G1540" t="inlineStr">
        <is>
          <t>1</t>
        </is>
      </c>
      <c r="H1540" t="inlineStr">
        <is>
          <t>No</t>
        </is>
      </c>
      <c r="I1540" t="inlineStr">
        <is>
          <t>No</t>
        </is>
      </c>
      <c r="J1540" t="inlineStr">
        <is>
          <t>0</t>
        </is>
      </c>
      <c r="K1540" t="inlineStr">
        <is>
          <t>Fuller, J. F. C. (John Frederick Charles), 1878-1966.</t>
        </is>
      </c>
      <c r="L1540" t="inlineStr">
        <is>
          <t>Bloomington : Indiana University Press, [1958]</t>
        </is>
      </c>
      <c r="M1540" t="inlineStr">
        <is>
          <t>1958</t>
        </is>
      </c>
      <c r="N1540" t="inlineStr">
        <is>
          <t>[2d ed.]</t>
        </is>
      </c>
      <c r="O1540" t="inlineStr">
        <is>
          <t>eng</t>
        </is>
      </c>
      <c r="P1540" t="inlineStr">
        <is>
          <t>inu</t>
        </is>
      </c>
      <c r="Q1540" t="inlineStr">
        <is>
          <t>Civil War centennial series</t>
        </is>
      </c>
      <c r="R1540" t="inlineStr">
        <is>
          <t xml:space="preserve">E  </t>
        </is>
      </c>
      <c r="S1540" t="n">
        <v>4</v>
      </c>
      <c r="T1540" t="n">
        <v>4</v>
      </c>
      <c r="U1540" t="inlineStr">
        <is>
          <t>1996-05-02</t>
        </is>
      </c>
      <c r="V1540" t="inlineStr">
        <is>
          <t>1996-05-02</t>
        </is>
      </c>
      <c r="W1540" t="inlineStr">
        <is>
          <t>1992-01-31</t>
        </is>
      </c>
      <c r="X1540" t="inlineStr">
        <is>
          <t>1992-01-31</t>
        </is>
      </c>
      <c r="Y1540" t="n">
        <v>361</v>
      </c>
      <c r="Z1540" t="n">
        <v>349</v>
      </c>
      <c r="AA1540" t="n">
        <v>789</v>
      </c>
      <c r="AB1540" t="n">
        <v>5</v>
      </c>
      <c r="AC1540" t="n">
        <v>5</v>
      </c>
      <c r="AD1540" t="n">
        <v>14</v>
      </c>
      <c r="AE1540" t="n">
        <v>28</v>
      </c>
      <c r="AF1540" t="n">
        <v>4</v>
      </c>
      <c r="AG1540" t="n">
        <v>10</v>
      </c>
      <c r="AH1540" t="n">
        <v>4</v>
      </c>
      <c r="AI1540" t="n">
        <v>5</v>
      </c>
      <c r="AJ1540" t="n">
        <v>7</v>
      </c>
      <c r="AK1540" t="n">
        <v>16</v>
      </c>
      <c r="AL1540" t="n">
        <v>3</v>
      </c>
      <c r="AM1540" t="n">
        <v>3</v>
      </c>
      <c r="AN1540" t="n">
        <v>0</v>
      </c>
      <c r="AO1540" t="n">
        <v>0</v>
      </c>
      <c r="AP1540" t="inlineStr">
        <is>
          <t>No</t>
        </is>
      </c>
      <c r="AQ1540" t="inlineStr">
        <is>
          <t>No</t>
        </is>
      </c>
      <c r="AR1540">
        <f>HYPERLINK("http://catalog.hathitrust.org/Record/000466088","HathiTrust Record")</f>
        <v/>
      </c>
      <c r="AS1540">
        <f>HYPERLINK("https://creighton-primo.hosted.exlibrisgroup.com/primo-explore/search?tab=default_tab&amp;search_scope=EVERYTHING&amp;vid=01CRU&amp;lang=en_US&amp;offset=0&amp;query=any,contains,991003798469702656","Catalog Record")</f>
        <v/>
      </c>
      <c r="AT1540">
        <f>HYPERLINK("http://www.worldcat.org/oclc/1523705","WorldCat Record")</f>
        <v/>
      </c>
      <c r="AU1540" t="inlineStr">
        <is>
          <t>508205:eng</t>
        </is>
      </c>
      <c r="AV1540" t="inlineStr">
        <is>
          <t>1523705</t>
        </is>
      </c>
      <c r="AW1540" t="inlineStr">
        <is>
          <t>991003798469702656</t>
        </is>
      </c>
      <c r="AX1540" t="inlineStr">
        <is>
          <t>991003798469702656</t>
        </is>
      </c>
      <c r="AY1540" t="inlineStr">
        <is>
          <t>2267811060002656</t>
        </is>
      </c>
      <c r="AZ1540" t="inlineStr">
        <is>
          <t>BOOK</t>
        </is>
      </c>
      <c r="BC1540" t="inlineStr">
        <is>
          <t>32285000931807</t>
        </is>
      </c>
      <c r="BD1540" t="inlineStr">
        <is>
          <t>893611462</t>
        </is>
      </c>
    </row>
    <row r="1541">
      <c r="A1541" t="inlineStr">
        <is>
          <t>No</t>
        </is>
      </c>
      <c r="B1541" t="inlineStr">
        <is>
          <t>E672 .G64</t>
        </is>
      </c>
      <c r="C1541" t="inlineStr">
        <is>
          <t>0                      E  0672000G  64</t>
        </is>
      </c>
      <c r="D1541" t="inlineStr">
        <is>
          <t>Many are the hearts : the agony and the triumph of Ulysses S. Grant / Richard Goldhurst.</t>
        </is>
      </c>
      <c r="F1541" t="inlineStr">
        <is>
          <t>No</t>
        </is>
      </c>
      <c r="G1541" t="inlineStr">
        <is>
          <t>1</t>
        </is>
      </c>
      <c r="H1541" t="inlineStr">
        <is>
          <t>No</t>
        </is>
      </c>
      <c r="I1541" t="inlineStr">
        <is>
          <t>No</t>
        </is>
      </c>
      <c r="J1541" t="inlineStr">
        <is>
          <t>0</t>
        </is>
      </c>
      <c r="K1541" t="inlineStr">
        <is>
          <t>Goldhurst, Richard.</t>
        </is>
      </c>
      <c r="L1541" t="inlineStr">
        <is>
          <t>New York : Reader's Digest Press : distributed by Crowell, 1975.</t>
        </is>
      </c>
      <c r="M1541" t="inlineStr">
        <is>
          <t>1975</t>
        </is>
      </c>
      <c r="O1541" t="inlineStr">
        <is>
          <t>eng</t>
        </is>
      </c>
      <c r="P1541" t="inlineStr">
        <is>
          <t>nyu</t>
        </is>
      </c>
      <c r="R1541" t="inlineStr">
        <is>
          <t xml:space="preserve">E  </t>
        </is>
      </c>
      <c r="S1541" t="n">
        <v>4</v>
      </c>
      <c r="T1541" t="n">
        <v>4</v>
      </c>
      <c r="U1541" t="inlineStr">
        <is>
          <t>2002-11-10</t>
        </is>
      </c>
      <c r="V1541" t="inlineStr">
        <is>
          <t>2002-11-10</t>
        </is>
      </c>
      <c r="W1541" t="inlineStr">
        <is>
          <t>1997-04-22</t>
        </is>
      </c>
      <c r="X1541" t="inlineStr">
        <is>
          <t>1997-04-22</t>
        </is>
      </c>
      <c r="Y1541" t="n">
        <v>731</v>
      </c>
      <c r="Z1541" t="n">
        <v>719</v>
      </c>
      <c r="AA1541" t="n">
        <v>720</v>
      </c>
      <c r="AB1541" t="n">
        <v>7</v>
      </c>
      <c r="AC1541" t="n">
        <v>7</v>
      </c>
      <c r="AD1541" t="n">
        <v>16</v>
      </c>
      <c r="AE1541" t="n">
        <v>16</v>
      </c>
      <c r="AF1541" t="n">
        <v>6</v>
      </c>
      <c r="AG1541" t="n">
        <v>6</v>
      </c>
      <c r="AH1541" t="n">
        <v>4</v>
      </c>
      <c r="AI1541" t="n">
        <v>4</v>
      </c>
      <c r="AJ1541" t="n">
        <v>6</v>
      </c>
      <c r="AK1541" t="n">
        <v>6</v>
      </c>
      <c r="AL1541" t="n">
        <v>3</v>
      </c>
      <c r="AM1541" t="n">
        <v>3</v>
      </c>
      <c r="AN1541" t="n">
        <v>0</v>
      </c>
      <c r="AO1541" t="n">
        <v>0</v>
      </c>
      <c r="AP1541" t="inlineStr">
        <is>
          <t>No</t>
        </is>
      </c>
      <c r="AQ1541" t="inlineStr">
        <is>
          <t>No</t>
        </is>
      </c>
      <c r="AS1541">
        <f>HYPERLINK("https://creighton-primo.hosted.exlibrisgroup.com/primo-explore/search?tab=default_tab&amp;search_scope=EVERYTHING&amp;vid=01CRU&amp;lang=en_US&amp;offset=0&amp;query=any,contains,991003662419702656","Catalog Record")</f>
        <v/>
      </c>
      <c r="AT1541">
        <f>HYPERLINK("http://www.worldcat.org/oclc/1273394","WorldCat Record")</f>
        <v/>
      </c>
      <c r="AU1541" t="inlineStr">
        <is>
          <t>366732480:eng</t>
        </is>
      </c>
      <c r="AV1541" t="inlineStr">
        <is>
          <t>1273394</t>
        </is>
      </c>
      <c r="AW1541" t="inlineStr">
        <is>
          <t>991003662419702656</t>
        </is>
      </c>
      <c r="AX1541" t="inlineStr">
        <is>
          <t>991003662419702656</t>
        </is>
      </c>
      <c r="AY1541" t="inlineStr">
        <is>
          <t>2267754890002656</t>
        </is>
      </c>
      <c r="AZ1541" t="inlineStr">
        <is>
          <t>BOOK</t>
        </is>
      </c>
      <c r="BB1541" t="inlineStr">
        <is>
          <t>9780883490501</t>
        </is>
      </c>
      <c r="BC1541" t="inlineStr">
        <is>
          <t>32285002560406</t>
        </is>
      </c>
      <c r="BD1541" t="inlineStr">
        <is>
          <t>893611279</t>
        </is>
      </c>
    </row>
    <row r="1542">
      <c r="A1542" t="inlineStr">
        <is>
          <t>No</t>
        </is>
      </c>
      <c r="B1542" t="inlineStr">
        <is>
          <t>E672 .G758 1975</t>
        </is>
      </c>
      <c r="C1542" t="inlineStr">
        <is>
          <t>0                      E  0672000G  758         1975</t>
        </is>
      </c>
      <c r="D1542" t="inlineStr">
        <is>
          <t>The personal memoirs of Julia Dent Grant (Mrs. Ulysses S. Grant) / edited, with notes and foreword by John Y. Simon ; with introd. by Bruce Catton ; and The First Lady as an author, by Ralph G. Newman.</t>
        </is>
      </c>
      <c r="F1542" t="inlineStr">
        <is>
          <t>No</t>
        </is>
      </c>
      <c r="G1542" t="inlineStr">
        <is>
          <t>1</t>
        </is>
      </c>
      <c r="H1542" t="inlineStr">
        <is>
          <t>No</t>
        </is>
      </c>
      <c r="I1542" t="inlineStr">
        <is>
          <t>No</t>
        </is>
      </c>
      <c r="J1542" t="inlineStr">
        <is>
          <t>0</t>
        </is>
      </c>
      <c r="K1542" t="inlineStr">
        <is>
          <t>Grant, Julia Dent, 1826-1902.</t>
        </is>
      </c>
      <c r="L1542" t="inlineStr">
        <is>
          <t>New York : Putnam, [1975]</t>
        </is>
      </c>
      <c r="M1542" t="inlineStr">
        <is>
          <t>1975</t>
        </is>
      </c>
      <c r="N1542" t="inlineStr">
        <is>
          <t>1st ed.</t>
        </is>
      </c>
      <c r="O1542" t="inlineStr">
        <is>
          <t>eng</t>
        </is>
      </c>
      <c r="P1542" t="inlineStr">
        <is>
          <t>nyu</t>
        </is>
      </c>
      <c r="R1542" t="inlineStr">
        <is>
          <t xml:space="preserve">E  </t>
        </is>
      </c>
      <c r="S1542" t="n">
        <v>5</v>
      </c>
      <c r="T1542" t="n">
        <v>5</v>
      </c>
      <c r="U1542" t="inlineStr">
        <is>
          <t>2002-04-30</t>
        </is>
      </c>
      <c r="V1542" t="inlineStr">
        <is>
          <t>2002-04-30</t>
        </is>
      </c>
      <c r="W1542" t="inlineStr">
        <is>
          <t>1991-05-16</t>
        </is>
      </c>
      <c r="X1542" t="inlineStr">
        <is>
          <t>1991-05-16</t>
        </is>
      </c>
      <c r="Y1542" t="n">
        <v>1009</v>
      </c>
      <c r="Z1542" t="n">
        <v>976</v>
      </c>
      <c r="AA1542" t="n">
        <v>1258</v>
      </c>
      <c r="AB1542" t="n">
        <v>4</v>
      </c>
      <c r="AC1542" t="n">
        <v>8</v>
      </c>
      <c r="AD1542" t="n">
        <v>28</v>
      </c>
      <c r="AE1542" t="n">
        <v>31</v>
      </c>
      <c r="AF1542" t="n">
        <v>13</v>
      </c>
      <c r="AG1542" t="n">
        <v>14</v>
      </c>
      <c r="AH1542" t="n">
        <v>8</v>
      </c>
      <c r="AI1542" t="n">
        <v>8</v>
      </c>
      <c r="AJ1542" t="n">
        <v>14</v>
      </c>
      <c r="AK1542" t="n">
        <v>15</v>
      </c>
      <c r="AL1542" t="n">
        <v>2</v>
      </c>
      <c r="AM1542" t="n">
        <v>4</v>
      </c>
      <c r="AN1542" t="n">
        <v>0</v>
      </c>
      <c r="AO1542" t="n">
        <v>0</v>
      </c>
      <c r="AP1542" t="inlineStr">
        <is>
          <t>No</t>
        </is>
      </c>
      <c r="AQ1542" t="inlineStr">
        <is>
          <t>Yes</t>
        </is>
      </c>
      <c r="AR1542">
        <f>HYPERLINK("http://catalog.hathitrust.org/Record/000465249","HathiTrust Record")</f>
        <v/>
      </c>
      <c r="AS1542">
        <f>HYPERLINK("https://creighton-primo.hosted.exlibrisgroup.com/primo-explore/search?tab=default_tab&amp;search_scope=EVERYTHING&amp;vid=01CRU&amp;lang=en_US&amp;offset=0&amp;query=any,contains,991003717029702656","Catalog Record")</f>
        <v/>
      </c>
      <c r="AT1542">
        <f>HYPERLINK("http://www.worldcat.org/oclc/1362819","WorldCat Record")</f>
        <v/>
      </c>
      <c r="AU1542" t="inlineStr">
        <is>
          <t>2266574:eng</t>
        </is>
      </c>
      <c r="AV1542" t="inlineStr">
        <is>
          <t>1362819</t>
        </is>
      </c>
      <c r="AW1542" t="inlineStr">
        <is>
          <t>991003717029702656</t>
        </is>
      </c>
      <c r="AX1542" t="inlineStr">
        <is>
          <t>991003717029702656</t>
        </is>
      </c>
      <c r="AY1542" t="inlineStr">
        <is>
          <t>2258906440002656</t>
        </is>
      </c>
      <c r="AZ1542" t="inlineStr">
        <is>
          <t>BOOK</t>
        </is>
      </c>
      <c r="BB1542" t="inlineStr">
        <is>
          <t>9780399113864</t>
        </is>
      </c>
      <c r="BC1542" t="inlineStr">
        <is>
          <t>32285000611581</t>
        </is>
      </c>
      <c r="BD1542" t="inlineStr">
        <is>
          <t>893887797</t>
        </is>
      </c>
    </row>
    <row r="1543">
      <c r="A1543" t="inlineStr">
        <is>
          <t>No</t>
        </is>
      </c>
      <c r="B1543" t="inlineStr">
        <is>
          <t>E672 .K53</t>
        </is>
      </c>
      <c r="C1543" t="inlineStr">
        <is>
          <t>0                      E  0672000K  53</t>
        </is>
      </c>
      <c r="D1543" t="inlineStr">
        <is>
          <t>The true Ulysses S. Grant, by Charles King ... With twenty-eight illustrations.</t>
        </is>
      </c>
      <c r="F1543" t="inlineStr">
        <is>
          <t>No</t>
        </is>
      </c>
      <c r="G1543" t="inlineStr">
        <is>
          <t>1</t>
        </is>
      </c>
      <c r="H1543" t="inlineStr">
        <is>
          <t>No</t>
        </is>
      </c>
      <c r="I1543" t="inlineStr">
        <is>
          <t>No</t>
        </is>
      </c>
      <c r="J1543" t="inlineStr">
        <is>
          <t>0</t>
        </is>
      </c>
      <c r="K1543" t="inlineStr">
        <is>
          <t>King, Charles, 1844-1933.</t>
        </is>
      </c>
      <c r="L1543" t="inlineStr">
        <is>
          <t>Philadelphia, London, J.B. Lippincott Company, 1914.</t>
        </is>
      </c>
      <c r="M1543" t="inlineStr">
        <is>
          <t>1914</t>
        </is>
      </c>
      <c r="O1543" t="inlineStr">
        <is>
          <t>eng</t>
        </is>
      </c>
      <c r="P1543" t="inlineStr">
        <is>
          <t>pau</t>
        </is>
      </c>
      <c r="Q1543" t="inlineStr">
        <is>
          <t>The "true" biographies and histories</t>
        </is>
      </c>
      <c r="R1543" t="inlineStr">
        <is>
          <t xml:space="preserve">E  </t>
        </is>
      </c>
      <c r="S1543" t="n">
        <v>1</v>
      </c>
      <c r="T1543" t="n">
        <v>1</v>
      </c>
      <c r="U1543" t="inlineStr">
        <is>
          <t>2002-11-10</t>
        </is>
      </c>
      <c r="V1543" t="inlineStr">
        <is>
          <t>2002-11-10</t>
        </is>
      </c>
      <c r="W1543" t="inlineStr">
        <is>
          <t>1997-06-24</t>
        </is>
      </c>
      <c r="X1543" t="inlineStr">
        <is>
          <t>1997-06-24</t>
        </is>
      </c>
      <c r="Y1543" t="n">
        <v>196</v>
      </c>
      <c r="Z1543" t="n">
        <v>183</v>
      </c>
      <c r="AA1543" t="n">
        <v>200</v>
      </c>
      <c r="AB1543" t="n">
        <v>2</v>
      </c>
      <c r="AC1543" t="n">
        <v>2</v>
      </c>
      <c r="AD1543" t="n">
        <v>10</v>
      </c>
      <c r="AE1543" t="n">
        <v>11</v>
      </c>
      <c r="AF1543" t="n">
        <v>4</v>
      </c>
      <c r="AG1543" t="n">
        <v>4</v>
      </c>
      <c r="AH1543" t="n">
        <v>1</v>
      </c>
      <c r="AI1543" t="n">
        <v>2</v>
      </c>
      <c r="AJ1543" t="n">
        <v>4</v>
      </c>
      <c r="AK1543" t="n">
        <v>4</v>
      </c>
      <c r="AL1543" t="n">
        <v>1</v>
      </c>
      <c r="AM1543" t="n">
        <v>1</v>
      </c>
      <c r="AN1543" t="n">
        <v>1</v>
      </c>
      <c r="AO1543" t="n">
        <v>1</v>
      </c>
      <c r="AP1543" t="inlineStr">
        <is>
          <t>Yes</t>
        </is>
      </c>
      <c r="AQ1543" t="inlineStr">
        <is>
          <t>No</t>
        </is>
      </c>
      <c r="AR1543">
        <f>HYPERLINK("http://catalog.hathitrust.org/Record/000774565","HathiTrust Record")</f>
        <v/>
      </c>
      <c r="AS1543">
        <f>HYPERLINK("https://creighton-primo.hosted.exlibrisgroup.com/primo-explore/search?tab=default_tab&amp;search_scope=EVERYTHING&amp;vid=01CRU&amp;lang=en_US&amp;offset=0&amp;query=any,contains,991004117119702656","Catalog Record")</f>
        <v/>
      </c>
      <c r="AT1543">
        <f>HYPERLINK("http://www.worldcat.org/oclc/2417928","WorldCat Record")</f>
        <v/>
      </c>
      <c r="AU1543" t="inlineStr">
        <is>
          <t>4980984:eng</t>
        </is>
      </c>
      <c r="AV1543" t="inlineStr">
        <is>
          <t>2417928</t>
        </is>
      </c>
      <c r="AW1543" t="inlineStr">
        <is>
          <t>991004117119702656</t>
        </is>
      </c>
      <c r="AX1543" t="inlineStr">
        <is>
          <t>991004117119702656</t>
        </is>
      </c>
      <c r="AY1543" t="inlineStr">
        <is>
          <t>2269304810002656</t>
        </is>
      </c>
      <c r="AZ1543" t="inlineStr">
        <is>
          <t>BOOK</t>
        </is>
      </c>
      <c r="BC1543" t="inlineStr">
        <is>
          <t>32285002831419</t>
        </is>
      </c>
      <c r="BD1543" t="inlineStr">
        <is>
          <t>893241034</t>
        </is>
      </c>
    </row>
    <row r="1544">
      <c r="A1544" t="inlineStr">
        <is>
          <t>No</t>
        </is>
      </c>
      <c r="B1544" t="inlineStr">
        <is>
          <t>E672 .M155 2004</t>
        </is>
      </c>
      <c r="C1544" t="inlineStr">
        <is>
          <t>0                      E  0672000M  155         2004</t>
        </is>
      </c>
      <c r="D1544" t="inlineStr">
        <is>
          <t>Ulysses S. Grant : an album / William S. McFeely ; photographic research by Neil Giordano.</t>
        </is>
      </c>
      <c r="F1544" t="inlineStr">
        <is>
          <t>No</t>
        </is>
      </c>
      <c r="G1544" t="inlineStr">
        <is>
          <t>1</t>
        </is>
      </c>
      <c r="H1544" t="inlineStr">
        <is>
          <t>No</t>
        </is>
      </c>
      <c r="I1544" t="inlineStr">
        <is>
          <t>No</t>
        </is>
      </c>
      <c r="J1544" t="inlineStr">
        <is>
          <t>0</t>
        </is>
      </c>
      <c r="K1544" t="inlineStr">
        <is>
          <t>McFeely, William S.</t>
        </is>
      </c>
      <c r="L1544" t="inlineStr">
        <is>
          <t>New York ; London : W.W. Norton, c2004.</t>
        </is>
      </c>
      <c r="M1544" t="inlineStr">
        <is>
          <t>2004</t>
        </is>
      </c>
      <c r="N1544" t="inlineStr">
        <is>
          <t>1st ed.</t>
        </is>
      </c>
      <c r="O1544" t="inlineStr">
        <is>
          <t>eng</t>
        </is>
      </c>
      <c r="P1544" t="inlineStr">
        <is>
          <t>nyu</t>
        </is>
      </c>
      <c r="R1544" t="inlineStr">
        <is>
          <t xml:space="preserve">E  </t>
        </is>
      </c>
      <c r="S1544" t="n">
        <v>2</v>
      </c>
      <c r="T1544" t="n">
        <v>2</v>
      </c>
      <c r="U1544" t="inlineStr">
        <is>
          <t>2004-03-24</t>
        </is>
      </c>
      <c r="V1544" t="inlineStr">
        <is>
          <t>2004-03-24</t>
        </is>
      </c>
      <c r="W1544" t="inlineStr">
        <is>
          <t>2004-03-03</t>
        </is>
      </c>
      <c r="X1544" t="inlineStr">
        <is>
          <t>2004-03-03</t>
        </is>
      </c>
      <c r="Y1544" t="n">
        <v>356</v>
      </c>
      <c r="Z1544" t="n">
        <v>352</v>
      </c>
      <c r="AA1544" t="n">
        <v>452</v>
      </c>
      <c r="AB1544" t="n">
        <v>4</v>
      </c>
      <c r="AC1544" t="n">
        <v>4</v>
      </c>
      <c r="AD1544" t="n">
        <v>11</v>
      </c>
      <c r="AE1544" t="n">
        <v>12</v>
      </c>
      <c r="AF1544" t="n">
        <v>3</v>
      </c>
      <c r="AG1544" t="n">
        <v>4</v>
      </c>
      <c r="AH1544" t="n">
        <v>2</v>
      </c>
      <c r="AI1544" t="n">
        <v>2</v>
      </c>
      <c r="AJ1544" t="n">
        <v>7</v>
      </c>
      <c r="AK1544" t="n">
        <v>7</v>
      </c>
      <c r="AL1544" t="n">
        <v>2</v>
      </c>
      <c r="AM1544" t="n">
        <v>2</v>
      </c>
      <c r="AN1544" t="n">
        <v>0</v>
      </c>
      <c r="AO1544" t="n">
        <v>0</v>
      </c>
      <c r="AP1544" t="inlineStr">
        <is>
          <t>No</t>
        </is>
      </c>
      <c r="AQ1544" t="inlineStr">
        <is>
          <t>No</t>
        </is>
      </c>
      <c r="AS1544">
        <f>HYPERLINK("https://creighton-primo.hosted.exlibrisgroup.com/primo-explore/search?tab=default_tab&amp;search_scope=EVERYTHING&amp;vid=01CRU&amp;lang=en_US&amp;offset=0&amp;query=any,contains,991004237729702656","Catalog Record")</f>
        <v/>
      </c>
      <c r="AT1544">
        <f>HYPERLINK("http://www.worldcat.org/oclc/51755777","WorldCat Record")</f>
        <v/>
      </c>
      <c r="AU1544" t="inlineStr">
        <is>
          <t>690227:eng</t>
        </is>
      </c>
      <c r="AV1544" t="inlineStr">
        <is>
          <t>51755777</t>
        </is>
      </c>
      <c r="AW1544" t="inlineStr">
        <is>
          <t>991004237729702656</t>
        </is>
      </c>
      <c r="AX1544" t="inlineStr">
        <is>
          <t>991004237729702656</t>
        </is>
      </c>
      <c r="AY1544" t="inlineStr">
        <is>
          <t>2259908530002656</t>
        </is>
      </c>
      <c r="AZ1544" t="inlineStr">
        <is>
          <t>BOOK</t>
        </is>
      </c>
      <c r="BB1544" t="inlineStr">
        <is>
          <t>9780393020328</t>
        </is>
      </c>
      <c r="BC1544" t="inlineStr">
        <is>
          <t>32285004892187</t>
        </is>
      </c>
      <c r="BD1544" t="inlineStr">
        <is>
          <t>893229097</t>
        </is>
      </c>
    </row>
    <row r="1545">
      <c r="A1545" t="inlineStr">
        <is>
          <t>No</t>
        </is>
      </c>
      <c r="B1545" t="inlineStr">
        <is>
          <t>E672 .M3 1994</t>
        </is>
      </c>
      <c r="C1545" t="inlineStr">
        <is>
          <t>0                      E  0672000M  3           1994</t>
        </is>
      </c>
      <c r="D1545" t="inlineStr">
        <is>
          <t>Unconditional surrender : U.S. Grant and the Civil War / Albert Marrin.</t>
        </is>
      </c>
      <c r="F1545" t="inlineStr">
        <is>
          <t>No</t>
        </is>
      </c>
      <c r="G1545" t="inlineStr">
        <is>
          <t>1</t>
        </is>
      </c>
      <c r="H1545" t="inlineStr">
        <is>
          <t>No</t>
        </is>
      </c>
      <c r="I1545" t="inlineStr">
        <is>
          <t>No</t>
        </is>
      </c>
      <c r="J1545" t="inlineStr">
        <is>
          <t>0</t>
        </is>
      </c>
      <c r="K1545" t="inlineStr">
        <is>
          <t>Marrin, Albert.</t>
        </is>
      </c>
      <c r="L1545" t="inlineStr">
        <is>
          <t>New York : Atheneum ; Toronto : Maxwell Macmillan Canada ; New York : Maxwell Macmillan International, 1994.</t>
        </is>
      </c>
      <c r="M1545" t="inlineStr">
        <is>
          <t>1994</t>
        </is>
      </c>
      <c r="N1545" t="inlineStr">
        <is>
          <t>1st ed.</t>
        </is>
      </c>
      <c r="O1545" t="inlineStr">
        <is>
          <t>eng</t>
        </is>
      </c>
      <c r="P1545" t="inlineStr">
        <is>
          <t>nyu</t>
        </is>
      </c>
      <c r="R1545" t="inlineStr">
        <is>
          <t xml:space="preserve">E  </t>
        </is>
      </c>
      <c r="S1545" t="n">
        <v>1</v>
      </c>
      <c r="T1545" t="n">
        <v>1</v>
      </c>
      <c r="U1545" t="inlineStr">
        <is>
          <t>2001-09-26</t>
        </is>
      </c>
      <c r="V1545" t="inlineStr">
        <is>
          <t>2001-09-26</t>
        </is>
      </c>
      <c r="W1545" t="inlineStr">
        <is>
          <t>1995-11-09</t>
        </is>
      </c>
      <c r="X1545" t="inlineStr">
        <is>
          <t>1995-11-09</t>
        </is>
      </c>
      <c r="Y1545" t="n">
        <v>1143</v>
      </c>
      <c r="Z1545" t="n">
        <v>1132</v>
      </c>
      <c r="AA1545" t="n">
        <v>1139</v>
      </c>
      <c r="AB1545" t="n">
        <v>16</v>
      </c>
      <c r="AC1545" t="n">
        <v>16</v>
      </c>
      <c r="AD1545" t="n">
        <v>16</v>
      </c>
      <c r="AE1545" t="n">
        <v>16</v>
      </c>
      <c r="AF1545" t="n">
        <v>7</v>
      </c>
      <c r="AG1545" t="n">
        <v>7</v>
      </c>
      <c r="AH1545" t="n">
        <v>2</v>
      </c>
      <c r="AI1545" t="n">
        <v>2</v>
      </c>
      <c r="AJ1545" t="n">
        <v>4</v>
      </c>
      <c r="AK1545" t="n">
        <v>4</v>
      </c>
      <c r="AL1545" t="n">
        <v>5</v>
      </c>
      <c r="AM1545" t="n">
        <v>5</v>
      </c>
      <c r="AN1545" t="n">
        <v>0</v>
      </c>
      <c r="AO1545" t="n">
        <v>0</v>
      </c>
      <c r="AP1545" t="inlineStr">
        <is>
          <t>No</t>
        </is>
      </c>
      <c r="AQ1545" t="inlineStr">
        <is>
          <t>Yes</t>
        </is>
      </c>
      <c r="AR1545">
        <f>HYPERLINK("http://catalog.hathitrust.org/Record/002868723","HathiTrust Record")</f>
        <v/>
      </c>
      <c r="AS1545">
        <f>HYPERLINK("https://creighton-primo.hosted.exlibrisgroup.com/primo-explore/search?tab=default_tab&amp;search_scope=EVERYTHING&amp;vid=01CRU&amp;lang=en_US&amp;offset=0&amp;query=any,contains,991004569539702656","Catalog Record")</f>
        <v/>
      </c>
      <c r="AT1545">
        <f>HYPERLINK("http://www.worldcat.org/oclc/27975528","WorldCat Record")</f>
        <v/>
      </c>
      <c r="AU1545" t="inlineStr">
        <is>
          <t>347670:eng</t>
        </is>
      </c>
      <c r="AV1545" t="inlineStr">
        <is>
          <t>27975528</t>
        </is>
      </c>
      <c r="AW1545" t="inlineStr">
        <is>
          <t>991004569539702656</t>
        </is>
      </c>
      <c r="AX1545" t="inlineStr">
        <is>
          <t>991004569539702656</t>
        </is>
      </c>
      <c r="AY1545" t="inlineStr">
        <is>
          <t>2262298530002656</t>
        </is>
      </c>
      <c r="AZ1545" t="inlineStr">
        <is>
          <t>BOOK</t>
        </is>
      </c>
      <c r="BB1545" t="inlineStr">
        <is>
          <t>9780689318375</t>
        </is>
      </c>
      <c r="BC1545" t="inlineStr">
        <is>
          <t>32285002102225</t>
        </is>
      </c>
      <c r="BD1545" t="inlineStr">
        <is>
          <t>893585481</t>
        </is>
      </c>
    </row>
    <row r="1546">
      <c r="A1546" t="inlineStr">
        <is>
          <t>No</t>
        </is>
      </c>
      <c r="B1546" t="inlineStr">
        <is>
          <t>E692 .R43 1975</t>
        </is>
      </c>
      <c r="C1546" t="inlineStr">
        <is>
          <t>0                      E  0692000R  43          1975</t>
        </is>
      </c>
      <c r="D1546" t="inlineStr">
        <is>
          <t>Gentleman boss: the life of Chester Alan Arthur [by] Thomas C. Reeves.</t>
        </is>
      </c>
      <c r="F1546" t="inlineStr">
        <is>
          <t>No</t>
        </is>
      </c>
      <c r="G1546" t="inlineStr">
        <is>
          <t>1</t>
        </is>
      </c>
      <c r="H1546" t="inlineStr">
        <is>
          <t>No</t>
        </is>
      </c>
      <c r="I1546" t="inlineStr">
        <is>
          <t>No</t>
        </is>
      </c>
      <c r="J1546" t="inlineStr">
        <is>
          <t>0</t>
        </is>
      </c>
      <c r="K1546" t="inlineStr">
        <is>
          <t>Reeves, Thomas C., 1936-</t>
        </is>
      </c>
      <c r="L1546" t="inlineStr">
        <is>
          <t>New York, Knopf; [distributed by Random House] 1975.</t>
        </is>
      </c>
      <c r="M1546" t="inlineStr">
        <is>
          <t>1975</t>
        </is>
      </c>
      <c r="N1546" t="inlineStr">
        <is>
          <t>[1st ed.]</t>
        </is>
      </c>
      <c r="O1546" t="inlineStr">
        <is>
          <t>eng</t>
        </is>
      </c>
      <c r="P1546" t="inlineStr">
        <is>
          <t>nyu</t>
        </is>
      </c>
      <c r="R1546" t="inlineStr">
        <is>
          <t xml:space="preserve">E  </t>
        </is>
      </c>
      <c r="S1546" t="n">
        <v>1</v>
      </c>
      <c r="T1546" t="n">
        <v>1</v>
      </c>
      <c r="U1546" t="inlineStr">
        <is>
          <t>2004-10-22</t>
        </is>
      </c>
      <c r="V1546" t="inlineStr">
        <is>
          <t>2004-10-22</t>
        </is>
      </c>
      <c r="W1546" t="inlineStr">
        <is>
          <t>1997-04-22</t>
        </is>
      </c>
      <c r="X1546" t="inlineStr">
        <is>
          <t>1997-04-22</t>
        </is>
      </c>
      <c r="Y1546" t="n">
        <v>1156</v>
      </c>
      <c r="Z1546" t="n">
        <v>1098</v>
      </c>
      <c r="AA1546" t="n">
        <v>1208</v>
      </c>
      <c r="AB1546" t="n">
        <v>8</v>
      </c>
      <c r="AC1546" t="n">
        <v>9</v>
      </c>
      <c r="AD1546" t="n">
        <v>44</v>
      </c>
      <c r="AE1546" t="n">
        <v>46</v>
      </c>
      <c r="AF1546" t="n">
        <v>20</v>
      </c>
      <c r="AG1546" t="n">
        <v>21</v>
      </c>
      <c r="AH1546" t="n">
        <v>10</v>
      </c>
      <c r="AI1546" t="n">
        <v>10</v>
      </c>
      <c r="AJ1546" t="n">
        <v>20</v>
      </c>
      <c r="AK1546" t="n">
        <v>20</v>
      </c>
      <c r="AL1546" t="n">
        <v>7</v>
      </c>
      <c r="AM1546" t="n">
        <v>8</v>
      </c>
      <c r="AN1546" t="n">
        <v>0</v>
      </c>
      <c r="AO1546" t="n">
        <v>0</v>
      </c>
      <c r="AP1546" t="inlineStr">
        <is>
          <t>No</t>
        </is>
      </c>
      <c r="AQ1546" t="inlineStr">
        <is>
          <t>Yes</t>
        </is>
      </c>
      <c r="AR1546">
        <f>HYPERLINK("http://catalog.hathitrust.org/Record/000466890","HathiTrust Record")</f>
        <v/>
      </c>
      <c r="AS1546">
        <f>HYPERLINK("https://creighton-primo.hosted.exlibrisgroup.com/primo-explore/search?tab=default_tab&amp;search_scope=EVERYTHING&amp;vid=01CRU&amp;lang=en_US&amp;offset=0&amp;query=any,contains,991003467729702656","Catalog Record")</f>
        <v/>
      </c>
      <c r="AT1546">
        <f>HYPERLINK("http://www.worldcat.org/oclc/1009320","WorldCat Record")</f>
        <v/>
      </c>
      <c r="AU1546" t="inlineStr">
        <is>
          <t>462069:eng</t>
        </is>
      </c>
      <c r="AV1546" t="inlineStr">
        <is>
          <t>1009320</t>
        </is>
      </c>
      <c r="AW1546" t="inlineStr">
        <is>
          <t>991003467729702656</t>
        </is>
      </c>
      <c r="AX1546" t="inlineStr">
        <is>
          <t>991003467729702656</t>
        </is>
      </c>
      <c r="AY1546" t="inlineStr">
        <is>
          <t>2263610190002656</t>
        </is>
      </c>
      <c r="AZ1546" t="inlineStr">
        <is>
          <t>BOOK</t>
        </is>
      </c>
      <c r="BB1546" t="inlineStr">
        <is>
          <t>9780394460956</t>
        </is>
      </c>
      <c r="BC1546" t="inlineStr">
        <is>
          <t>32285002560646</t>
        </is>
      </c>
      <c r="BD1546" t="inlineStr">
        <is>
          <t>893445670</t>
        </is>
      </c>
    </row>
    <row r="1547">
      <c r="A1547" t="inlineStr">
        <is>
          <t>No</t>
        </is>
      </c>
      <c r="B1547" t="inlineStr">
        <is>
          <t>E702 .S54</t>
        </is>
      </c>
      <c r="C1547" t="inlineStr">
        <is>
          <t>0                      E  0702000S  54</t>
        </is>
      </c>
      <c r="D1547" t="inlineStr">
        <is>
          <t>Benjamin Harrison : Hoosier warrior, 1833-1865 / Harry J. Sievers ; introduction by Hilton U. Brown.</t>
        </is>
      </c>
      <c r="E1547" t="inlineStr">
        <is>
          <t>V.2</t>
        </is>
      </c>
      <c r="F1547" t="inlineStr">
        <is>
          <t>Yes</t>
        </is>
      </c>
      <c r="G1547" t="inlineStr">
        <is>
          <t>1</t>
        </is>
      </c>
      <c r="H1547" t="inlineStr">
        <is>
          <t>No</t>
        </is>
      </c>
      <c r="I1547" t="inlineStr">
        <is>
          <t>No</t>
        </is>
      </c>
      <c r="J1547" t="inlineStr">
        <is>
          <t>0</t>
        </is>
      </c>
      <c r="K1547" t="inlineStr">
        <is>
          <t>Sievers, Harry Joseph, 1920-</t>
        </is>
      </c>
      <c r="L1547" t="inlineStr">
        <is>
          <t>Chicago : H. Regnery, c1952.</t>
        </is>
      </c>
      <c r="M1547" t="inlineStr">
        <is>
          <t>1952</t>
        </is>
      </c>
      <c r="O1547" t="inlineStr">
        <is>
          <t>eng</t>
        </is>
      </c>
      <c r="P1547" t="inlineStr">
        <is>
          <t>ilu</t>
        </is>
      </c>
      <c r="R1547" t="inlineStr">
        <is>
          <t xml:space="preserve">E  </t>
        </is>
      </c>
      <c r="S1547" t="n">
        <v>1</v>
      </c>
      <c r="T1547" t="n">
        <v>2</v>
      </c>
      <c r="U1547" t="inlineStr">
        <is>
          <t>1998-02-20</t>
        </is>
      </c>
      <c r="V1547" t="inlineStr">
        <is>
          <t>1998-02-20</t>
        </is>
      </c>
      <c r="W1547" t="inlineStr">
        <is>
          <t>1997-04-22</t>
        </is>
      </c>
      <c r="X1547" t="inlineStr">
        <is>
          <t>1997-04-22</t>
        </is>
      </c>
      <c r="Y1547" t="n">
        <v>54</v>
      </c>
      <c r="Z1547" t="n">
        <v>53</v>
      </c>
      <c r="AA1547" t="n">
        <v>54</v>
      </c>
      <c r="AB1547" t="n">
        <v>1</v>
      </c>
      <c r="AC1547" t="n">
        <v>1</v>
      </c>
      <c r="AD1547" t="n">
        <v>3</v>
      </c>
      <c r="AE1547" t="n">
        <v>3</v>
      </c>
      <c r="AF1547" t="n">
        <v>2</v>
      </c>
      <c r="AG1547" t="n">
        <v>2</v>
      </c>
      <c r="AH1547" t="n">
        <v>1</v>
      </c>
      <c r="AI1547" t="n">
        <v>1</v>
      </c>
      <c r="AJ1547" t="n">
        <v>0</v>
      </c>
      <c r="AK1547" t="n">
        <v>0</v>
      </c>
      <c r="AL1547" t="n">
        <v>0</v>
      </c>
      <c r="AM1547" t="n">
        <v>0</v>
      </c>
      <c r="AN1547" t="n">
        <v>0</v>
      </c>
      <c r="AO1547" t="n">
        <v>0</v>
      </c>
      <c r="AP1547" t="inlineStr">
        <is>
          <t>No</t>
        </is>
      </c>
      <c r="AQ1547" t="inlineStr">
        <is>
          <t>No</t>
        </is>
      </c>
      <c r="AS1547">
        <f>HYPERLINK("https://creighton-primo.hosted.exlibrisgroup.com/primo-explore/search?tab=default_tab&amp;search_scope=EVERYTHING&amp;vid=01CRU&amp;lang=en_US&amp;offset=0&amp;query=any,contains,991000556049702656","Catalog Record")</f>
        <v/>
      </c>
      <c r="AT1547">
        <f>HYPERLINK("http://www.worldcat.org/oclc/11557531","WorldCat Record")</f>
        <v/>
      </c>
      <c r="AU1547" t="inlineStr">
        <is>
          <t>1580222:eng</t>
        </is>
      </c>
      <c r="AV1547" t="inlineStr">
        <is>
          <t>11557531</t>
        </is>
      </c>
      <c r="AW1547" t="inlineStr">
        <is>
          <t>991000556049702656</t>
        </is>
      </c>
      <c r="AX1547" t="inlineStr">
        <is>
          <t>991000556049702656</t>
        </is>
      </c>
      <c r="AY1547" t="inlineStr">
        <is>
          <t>2256594430002656</t>
        </is>
      </c>
      <c r="AZ1547" t="inlineStr">
        <is>
          <t>BOOK</t>
        </is>
      </c>
      <c r="BC1547" t="inlineStr">
        <is>
          <t>32285002560711</t>
        </is>
      </c>
      <c r="BD1547" t="inlineStr">
        <is>
          <t>893444372</t>
        </is>
      </c>
    </row>
    <row r="1548">
      <c r="A1548" t="inlineStr">
        <is>
          <t>No</t>
        </is>
      </c>
      <c r="B1548" t="inlineStr">
        <is>
          <t>E702 .S54</t>
        </is>
      </c>
      <c r="C1548" t="inlineStr">
        <is>
          <t>0                      E  0702000S  54</t>
        </is>
      </c>
      <c r="D1548" t="inlineStr">
        <is>
          <t>Benjamin Harrison : Hoosier warrior, 1833-1865 / Harry J. Sievers ; introduction by Hilton U. Brown.</t>
        </is>
      </c>
      <c r="E1548" t="inlineStr">
        <is>
          <t>V.1</t>
        </is>
      </c>
      <c r="F1548" t="inlineStr">
        <is>
          <t>Yes</t>
        </is>
      </c>
      <c r="G1548" t="inlineStr">
        <is>
          <t>1</t>
        </is>
      </c>
      <c r="H1548" t="inlineStr">
        <is>
          <t>No</t>
        </is>
      </c>
      <c r="I1548" t="inlineStr">
        <is>
          <t>No</t>
        </is>
      </c>
      <c r="J1548" t="inlineStr">
        <is>
          <t>0</t>
        </is>
      </c>
      <c r="K1548" t="inlineStr">
        <is>
          <t>Sievers, Harry Joseph, 1920-</t>
        </is>
      </c>
      <c r="L1548" t="inlineStr">
        <is>
          <t>Chicago : H. Regnery, c1952.</t>
        </is>
      </c>
      <c r="M1548" t="inlineStr">
        <is>
          <t>1952</t>
        </is>
      </c>
      <c r="O1548" t="inlineStr">
        <is>
          <t>eng</t>
        </is>
      </c>
      <c r="P1548" t="inlineStr">
        <is>
          <t>ilu</t>
        </is>
      </c>
      <c r="R1548" t="inlineStr">
        <is>
          <t xml:space="preserve">E  </t>
        </is>
      </c>
      <c r="S1548" t="n">
        <v>1</v>
      </c>
      <c r="T1548" t="n">
        <v>2</v>
      </c>
      <c r="U1548" t="inlineStr">
        <is>
          <t>1998-02-20</t>
        </is>
      </c>
      <c r="V1548" t="inlineStr">
        <is>
          <t>1998-02-20</t>
        </is>
      </c>
      <c r="W1548" t="inlineStr">
        <is>
          <t>1997-04-22</t>
        </is>
      </c>
      <c r="X1548" t="inlineStr">
        <is>
          <t>1997-04-22</t>
        </is>
      </c>
      <c r="Y1548" t="n">
        <v>54</v>
      </c>
      <c r="Z1548" t="n">
        <v>53</v>
      </c>
      <c r="AA1548" t="n">
        <v>54</v>
      </c>
      <c r="AB1548" t="n">
        <v>1</v>
      </c>
      <c r="AC1548" t="n">
        <v>1</v>
      </c>
      <c r="AD1548" t="n">
        <v>3</v>
      </c>
      <c r="AE1548" t="n">
        <v>3</v>
      </c>
      <c r="AF1548" t="n">
        <v>2</v>
      </c>
      <c r="AG1548" t="n">
        <v>2</v>
      </c>
      <c r="AH1548" t="n">
        <v>1</v>
      </c>
      <c r="AI1548" t="n">
        <v>1</v>
      </c>
      <c r="AJ1548" t="n">
        <v>0</v>
      </c>
      <c r="AK1548" t="n">
        <v>0</v>
      </c>
      <c r="AL1548" t="n">
        <v>0</v>
      </c>
      <c r="AM1548" t="n">
        <v>0</v>
      </c>
      <c r="AN1548" t="n">
        <v>0</v>
      </c>
      <c r="AO1548" t="n">
        <v>0</v>
      </c>
      <c r="AP1548" t="inlineStr">
        <is>
          <t>No</t>
        </is>
      </c>
      <c r="AQ1548" t="inlineStr">
        <is>
          <t>No</t>
        </is>
      </c>
      <c r="AS1548">
        <f>HYPERLINK("https://creighton-primo.hosted.exlibrisgroup.com/primo-explore/search?tab=default_tab&amp;search_scope=EVERYTHING&amp;vid=01CRU&amp;lang=en_US&amp;offset=0&amp;query=any,contains,991000556049702656","Catalog Record")</f>
        <v/>
      </c>
      <c r="AT1548">
        <f>HYPERLINK("http://www.worldcat.org/oclc/11557531","WorldCat Record")</f>
        <v/>
      </c>
      <c r="AU1548" t="inlineStr">
        <is>
          <t>1580222:eng</t>
        </is>
      </c>
      <c r="AV1548" t="inlineStr">
        <is>
          <t>11557531</t>
        </is>
      </c>
      <c r="AW1548" t="inlineStr">
        <is>
          <t>991000556049702656</t>
        </is>
      </c>
      <c r="AX1548" t="inlineStr">
        <is>
          <t>991000556049702656</t>
        </is>
      </c>
      <c r="AY1548" t="inlineStr">
        <is>
          <t>2256594430002656</t>
        </is>
      </c>
      <c r="AZ1548" t="inlineStr">
        <is>
          <t>BOOK</t>
        </is>
      </c>
      <c r="BC1548" t="inlineStr">
        <is>
          <t>32285002560703</t>
        </is>
      </c>
      <c r="BD1548" t="inlineStr">
        <is>
          <t>893419568</t>
        </is>
      </c>
    </row>
    <row r="1549">
      <c r="A1549" t="inlineStr">
        <is>
          <t>No</t>
        </is>
      </c>
      <c r="B1549" t="inlineStr">
        <is>
          <t>E711 .C75 1998</t>
        </is>
      </c>
      <c r="C1549" t="inlineStr">
        <is>
          <t>0                      E  0711000C  75          1998</t>
        </is>
      </c>
      <c r="D1549" t="inlineStr">
        <is>
          <t>America 1900 : the turning point / Judy Crichton.</t>
        </is>
      </c>
      <c r="F1549" t="inlineStr">
        <is>
          <t>No</t>
        </is>
      </c>
      <c r="G1549" t="inlineStr">
        <is>
          <t>1</t>
        </is>
      </c>
      <c r="H1549" t="inlineStr">
        <is>
          <t>No</t>
        </is>
      </c>
      <c r="I1549" t="inlineStr">
        <is>
          <t>No</t>
        </is>
      </c>
      <c r="J1549" t="inlineStr">
        <is>
          <t>0</t>
        </is>
      </c>
      <c r="K1549" t="inlineStr">
        <is>
          <t>Crichton, Judy.</t>
        </is>
      </c>
      <c r="L1549" t="inlineStr">
        <is>
          <t>New York : Henry Holt and Co., 1998.</t>
        </is>
      </c>
      <c r="M1549" t="inlineStr">
        <is>
          <t>1998</t>
        </is>
      </c>
      <c r="N1549" t="inlineStr">
        <is>
          <t>1st ed.</t>
        </is>
      </c>
      <c r="O1549" t="inlineStr">
        <is>
          <t>eng</t>
        </is>
      </c>
      <c r="P1549" t="inlineStr">
        <is>
          <t>nyu</t>
        </is>
      </c>
      <c r="R1549" t="inlineStr">
        <is>
          <t xml:space="preserve">E  </t>
        </is>
      </c>
      <c r="S1549" t="n">
        <v>2</v>
      </c>
      <c r="T1549" t="n">
        <v>2</v>
      </c>
      <c r="U1549" t="inlineStr">
        <is>
          <t>2000-09-13</t>
        </is>
      </c>
      <c r="V1549" t="inlineStr">
        <is>
          <t>2000-09-13</t>
        </is>
      </c>
      <c r="W1549" t="inlineStr">
        <is>
          <t>2000-09-13</t>
        </is>
      </c>
      <c r="X1549" t="inlineStr">
        <is>
          <t>2000-09-13</t>
        </is>
      </c>
      <c r="Y1549" t="n">
        <v>994</v>
      </c>
      <c r="Z1549" t="n">
        <v>968</v>
      </c>
      <c r="AA1549" t="n">
        <v>1058</v>
      </c>
      <c r="AB1549" t="n">
        <v>8</v>
      </c>
      <c r="AC1549" t="n">
        <v>11</v>
      </c>
      <c r="AD1549" t="n">
        <v>24</v>
      </c>
      <c r="AE1549" t="n">
        <v>24</v>
      </c>
      <c r="AF1549" t="n">
        <v>9</v>
      </c>
      <c r="AG1549" t="n">
        <v>9</v>
      </c>
      <c r="AH1549" t="n">
        <v>3</v>
      </c>
      <c r="AI1549" t="n">
        <v>3</v>
      </c>
      <c r="AJ1549" t="n">
        <v>11</v>
      </c>
      <c r="AK1549" t="n">
        <v>11</v>
      </c>
      <c r="AL1549" t="n">
        <v>6</v>
      </c>
      <c r="AM1549" t="n">
        <v>6</v>
      </c>
      <c r="AN1549" t="n">
        <v>0</v>
      </c>
      <c r="AO1549" t="n">
        <v>0</v>
      </c>
      <c r="AP1549" t="inlineStr">
        <is>
          <t>No</t>
        </is>
      </c>
      <c r="AQ1549" t="inlineStr">
        <is>
          <t>No</t>
        </is>
      </c>
      <c r="AS1549">
        <f>HYPERLINK("https://creighton-primo.hosted.exlibrisgroup.com/primo-explore/search?tab=default_tab&amp;search_scope=EVERYTHING&amp;vid=01CRU&amp;lang=en_US&amp;offset=0&amp;query=any,contains,991003238419702656","Catalog Record")</f>
        <v/>
      </c>
      <c r="AT1549">
        <f>HYPERLINK("http://www.worldcat.org/oclc/38936735","WorldCat Record")</f>
        <v/>
      </c>
      <c r="AU1549" t="inlineStr">
        <is>
          <t>34345633:eng</t>
        </is>
      </c>
      <c r="AV1549" t="inlineStr">
        <is>
          <t>38936735</t>
        </is>
      </c>
      <c r="AW1549" t="inlineStr">
        <is>
          <t>991003238419702656</t>
        </is>
      </c>
      <c r="AX1549" t="inlineStr">
        <is>
          <t>991003238419702656</t>
        </is>
      </c>
      <c r="AY1549" t="inlineStr">
        <is>
          <t>2266675530002656</t>
        </is>
      </c>
      <c r="AZ1549" t="inlineStr">
        <is>
          <t>BOOK</t>
        </is>
      </c>
      <c r="BB1549" t="inlineStr">
        <is>
          <t>9780805053654</t>
        </is>
      </c>
      <c r="BC1549" t="inlineStr">
        <is>
          <t>32285003761805</t>
        </is>
      </c>
      <c r="BD1549" t="inlineStr">
        <is>
          <t>893434792</t>
        </is>
      </c>
    </row>
    <row r="1550">
      <c r="A1550" t="inlineStr">
        <is>
          <t>No</t>
        </is>
      </c>
      <c r="B1550" t="inlineStr">
        <is>
          <t>E711.9 .R38 2003</t>
        </is>
      </c>
      <c r="C1550" t="inlineStr">
        <is>
          <t>0                      E  0711900R  38          2003</t>
        </is>
      </c>
      <c r="D1550" t="inlineStr">
        <is>
          <t>Murdering McKinley : the making of Theodore Roosevelt's America / Eric Rauchway.</t>
        </is>
      </c>
      <c r="F1550" t="inlineStr">
        <is>
          <t>No</t>
        </is>
      </c>
      <c r="G1550" t="inlineStr">
        <is>
          <t>1</t>
        </is>
      </c>
      <c r="H1550" t="inlineStr">
        <is>
          <t>No</t>
        </is>
      </c>
      <c r="I1550" t="inlineStr">
        <is>
          <t>No</t>
        </is>
      </c>
      <c r="J1550" t="inlineStr">
        <is>
          <t>0</t>
        </is>
      </c>
      <c r="K1550" t="inlineStr">
        <is>
          <t>Rauchway, Eric.</t>
        </is>
      </c>
      <c r="L1550" t="inlineStr">
        <is>
          <t>New York : Hill and Wang, 2003.</t>
        </is>
      </c>
      <c r="M1550" t="inlineStr">
        <is>
          <t>2003</t>
        </is>
      </c>
      <c r="N1550" t="inlineStr">
        <is>
          <t>1st ed.</t>
        </is>
      </c>
      <c r="O1550" t="inlineStr">
        <is>
          <t>eng</t>
        </is>
      </c>
      <c r="P1550" t="inlineStr">
        <is>
          <t>nyu</t>
        </is>
      </c>
      <c r="R1550" t="inlineStr">
        <is>
          <t xml:space="preserve">E  </t>
        </is>
      </c>
      <c r="S1550" t="n">
        <v>2</v>
      </c>
      <c r="T1550" t="n">
        <v>2</v>
      </c>
      <c r="U1550" t="inlineStr">
        <is>
          <t>2003-10-07</t>
        </is>
      </c>
      <c r="V1550" t="inlineStr">
        <is>
          <t>2003-10-07</t>
        </is>
      </c>
      <c r="W1550" t="inlineStr">
        <is>
          <t>2003-09-22</t>
        </is>
      </c>
      <c r="X1550" t="inlineStr">
        <is>
          <t>2003-09-22</t>
        </is>
      </c>
      <c r="Y1550" t="n">
        <v>1079</v>
      </c>
      <c r="Z1550" t="n">
        <v>1031</v>
      </c>
      <c r="AA1550" t="n">
        <v>1119</v>
      </c>
      <c r="AB1550" t="n">
        <v>11</v>
      </c>
      <c r="AC1550" t="n">
        <v>14</v>
      </c>
      <c r="AD1550" t="n">
        <v>37</v>
      </c>
      <c r="AE1550" t="n">
        <v>41</v>
      </c>
      <c r="AF1550" t="n">
        <v>16</v>
      </c>
      <c r="AG1550" t="n">
        <v>17</v>
      </c>
      <c r="AH1550" t="n">
        <v>7</v>
      </c>
      <c r="AI1550" t="n">
        <v>7</v>
      </c>
      <c r="AJ1550" t="n">
        <v>16</v>
      </c>
      <c r="AK1550" t="n">
        <v>16</v>
      </c>
      <c r="AL1550" t="n">
        <v>8</v>
      </c>
      <c r="AM1550" t="n">
        <v>11</v>
      </c>
      <c r="AN1550" t="n">
        <v>0</v>
      </c>
      <c r="AO1550" t="n">
        <v>0</v>
      </c>
      <c r="AP1550" t="inlineStr">
        <is>
          <t>No</t>
        </is>
      </c>
      <c r="AQ1550" t="inlineStr">
        <is>
          <t>No</t>
        </is>
      </c>
      <c r="AS1550">
        <f>HYPERLINK("https://creighton-primo.hosted.exlibrisgroup.com/primo-explore/search?tab=default_tab&amp;search_scope=EVERYTHING&amp;vid=01CRU&amp;lang=en_US&amp;offset=0&amp;query=any,contains,991004112099702656","Catalog Record")</f>
        <v/>
      </c>
      <c r="AT1550">
        <f>HYPERLINK("http://www.worldcat.org/oclc/51518599","WorldCat Record")</f>
        <v/>
      </c>
      <c r="AU1550" t="inlineStr">
        <is>
          <t>704104:eng</t>
        </is>
      </c>
      <c r="AV1550" t="inlineStr">
        <is>
          <t>51518599</t>
        </is>
      </c>
      <c r="AW1550" t="inlineStr">
        <is>
          <t>991004112099702656</t>
        </is>
      </c>
      <c r="AX1550" t="inlineStr">
        <is>
          <t>991004112099702656</t>
        </is>
      </c>
      <c r="AY1550" t="inlineStr">
        <is>
          <t>2259887910002656</t>
        </is>
      </c>
      <c r="AZ1550" t="inlineStr">
        <is>
          <t>BOOK</t>
        </is>
      </c>
      <c r="BB1550" t="inlineStr">
        <is>
          <t>9780809071708</t>
        </is>
      </c>
      <c r="BC1550" t="inlineStr">
        <is>
          <t>32285004783717</t>
        </is>
      </c>
      <c r="BD1550" t="inlineStr">
        <is>
          <t>893593282</t>
        </is>
      </c>
    </row>
    <row r="1551">
      <c r="A1551" t="inlineStr">
        <is>
          <t>No</t>
        </is>
      </c>
      <c r="B1551" t="inlineStr">
        <is>
          <t>E713 .M63</t>
        </is>
      </c>
      <c r="C1551" t="inlineStr">
        <is>
          <t>0                      E  0713000M  63</t>
        </is>
      </c>
      <c r="D1551" t="inlineStr">
        <is>
          <t>American imperialism in 1898 : the quest for national fulfillment / edited by Richard H. Miller.</t>
        </is>
      </c>
      <c r="F1551" t="inlineStr">
        <is>
          <t>No</t>
        </is>
      </c>
      <c r="G1551" t="inlineStr">
        <is>
          <t>1</t>
        </is>
      </c>
      <c r="H1551" t="inlineStr">
        <is>
          <t>No</t>
        </is>
      </c>
      <c r="I1551" t="inlineStr">
        <is>
          <t>No</t>
        </is>
      </c>
      <c r="J1551" t="inlineStr">
        <is>
          <t>0</t>
        </is>
      </c>
      <c r="K1551" t="inlineStr">
        <is>
          <t>Miller, Richard H. (Richard Hayes) compiler.</t>
        </is>
      </c>
      <c r="L1551" t="inlineStr">
        <is>
          <t>New York : Wiley, [1970]</t>
        </is>
      </c>
      <c r="M1551" t="inlineStr">
        <is>
          <t>1970</t>
        </is>
      </c>
      <c r="O1551" t="inlineStr">
        <is>
          <t>eng</t>
        </is>
      </c>
      <c r="P1551" t="inlineStr">
        <is>
          <t>nyu</t>
        </is>
      </c>
      <c r="Q1551" t="inlineStr">
        <is>
          <t>Problems in American history</t>
        </is>
      </c>
      <c r="R1551" t="inlineStr">
        <is>
          <t xml:space="preserve">E  </t>
        </is>
      </c>
      <c r="S1551" t="n">
        <v>10</v>
      </c>
      <c r="T1551" t="n">
        <v>10</v>
      </c>
      <c r="U1551" t="inlineStr">
        <is>
          <t>1997-02-10</t>
        </is>
      </c>
      <c r="V1551" t="inlineStr">
        <is>
          <t>1997-02-10</t>
        </is>
      </c>
      <c r="W1551" t="inlineStr">
        <is>
          <t>1990-02-26</t>
        </is>
      </c>
      <c r="X1551" t="inlineStr">
        <is>
          <t>1990-02-26</t>
        </is>
      </c>
      <c r="Y1551" t="n">
        <v>447</v>
      </c>
      <c r="Z1551" t="n">
        <v>368</v>
      </c>
      <c r="AA1551" t="n">
        <v>370</v>
      </c>
      <c r="AB1551" t="n">
        <v>4</v>
      </c>
      <c r="AC1551" t="n">
        <v>4</v>
      </c>
      <c r="AD1551" t="n">
        <v>13</v>
      </c>
      <c r="AE1551" t="n">
        <v>13</v>
      </c>
      <c r="AF1551" t="n">
        <v>5</v>
      </c>
      <c r="AG1551" t="n">
        <v>5</v>
      </c>
      <c r="AH1551" t="n">
        <v>2</v>
      </c>
      <c r="AI1551" t="n">
        <v>2</v>
      </c>
      <c r="AJ1551" t="n">
        <v>6</v>
      </c>
      <c r="AK1551" t="n">
        <v>6</v>
      </c>
      <c r="AL1551" t="n">
        <v>2</v>
      </c>
      <c r="AM1551" t="n">
        <v>2</v>
      </c>
      <c r="AN1551" t="n">
        <v>0</v>
      </c>
      <c r="AO1551" t="n">
        <v>0</v>
      </c>
      <c r="AP1551" t="inlineStr">
        <is>
          <t>No</t>
        </is>
      </c>
      <c r="AQ1551" t="inlineStr">
        <is>
          <t>Yes</t>
        </is>
      </c>
      <c r="AR1551">
        <f>HYPERLINK("http://catalog.hathitrust.org/Record/000466975","HathiTrust Record")</f>
        <v/>
      </c>
      <c r="AS1551">
        <f>HYPERLINK("https://creighton-primo.hosted.exlibrisgroup.com/primo-explore/search?tab=default_tab&amp;search_scope=EVERYTHING&amp;vid=01CRU&amp;lang=en_US&amp;offset=0&amp;query=any,contains,991000210149702656","Catalog Record")</f>
        <v/>
      </c>
      <c r="AT1551">
        <f>HYPERLINK("http://www.worldcat.org/oclc/66318","WorldCat Record")</f>
        <v/>
      </c>
      <c r="AU1551" t="inlineStr">
        <is>
          <t>119137743:eng</t>
        </is>
      </c>
      <c r="AV1551" t="inlineStr">
        <is>
          <t>66318</t>
        </is>
      </c>
      <c r="AW1551" t="inlineStr">
        <is>
          <t>991000210149702656</t>
        </is>
      </c>
      <c r="AX1551" t="inlineStr">
        <is>
          <t>991000210149702656</t>
        </is>
      </c>
      <c r="AY1551" t="inlineStr">
        <is>
          <t>2258722880002656</t>
        </is>
      </c>
      <c r="AZ1551" t="inlineStr">
        <is>
          <t>BOOK</t>
        </is>
      </c>
      <c r="BB1551" t="inlineStr">
        <is>
          <t>9780471605102</t>
        </is>
      </c>
      <c r="BC1551" t="inlineStr">
        <is>
          <t>32285000062041</t>
        </is>
      </c>
      <c r="BD1551" t="inlineStr">
        <is>
          <t>893419292</t>
        </is>
      </c>
    </row>
    <row r="1552">
      <c r="A1552" t="inlineStr">
        <is>
          <t>No</t>
        </is>
      </c>
      <c r="B1552" t="inlineStr">
        <is>
          <t>E713 .R69 1970</t>
        </is>
      </c>
      <c r="C1552" t="inlineStr">
        <is>
          <t>0                      E  0713000R  69          1970</t>
        </is>
      </c>
      <c r="D1552" t="inlineStr">
        <is>
          <t>Colonial policies of the United States.</t>
        </is>
      </c>
      <c r="F1552" t="inlineStr">
        <is>
          <t>No</t>
        </is>
      </c>
      <c r="G1552" t="inlineStr">
        <is>
          <t>1</t>
        </is>
      </c>
      <c r="H1552" t="inlineStr">
        <is>
          <t>No</t>
        </is>
      </c>
      <c r="I1552" t="inlineStr">
        <is>
          <t>No</t>
        </is>
      </c>
      <c r="J1552" t="inlineStr">
        <is>
          <t>0</t>
        </is>
      </c>
      <c r="K1552" t="inlineStr">
        <is>
          <t>Roosevelt, Theodore, 1887-1944.</t>
        </is>
      </c>
      <c r="L1552" t="inlineStr">
        <is>
          <t>New York : Arno Press, 1970 [c1937]</t>
        </is>
      </c>
      <c r="M1552" t="inlineStr">
        <is>
          <t>1970</t>
        </is>
      </c>
      <c r="O1552" t="inlineStr">
        <is>
          <t>eng</t>
        </is>
      </c>
      <c r="P1552" t="inlineStr">
        <is>
          <t>nyu</t>
        </is>
      </c>
      <c r="Q1552" t="inlineStr">
        <is>
          <t>American imperialism</t>
        </is>
      </c>
      <c r="R1552" t="inlineStr">
        <is>
          <t xml:space="preserve">E  </t>
        </is>
      </c>
      <c r="S1552" t="n">
        <v>3</v>
      </c>
      <c r="T1552" t="n">
        <v>3</v>
      </c>
      <c r="U1552" t="inlineStr">
        <is>
          <t>1998-11-22</t>
        </is>
      </c>
      <c r="V1552" t="inlineStr">
        <is>
          <t>1998-11-22</t>
        </is>
      </c>
      <c r="W1552" t="inlineStr">
        <is>
          <t>1990-02-16</t>
        </is>
      </c>
      <c r="X1552" t="inlineStr">
        <is>
          <t>1990-02-16</t>
        </is>
      </c>
      <c r="Y1552" t="n">
        <v>226</v>
      </c>
      <c r="Z1552" t="n">
        <v>206</v>
      </c>
      <c r="AA1552" t="n">
        <v>399</v>
      </c>
      <c r="AB1552" t="n">
        <v>4</v>
      </c>
      <c r="AC1552" t="n">
        <v>4</v>
      </c>
      <c r="AD1552" t="n">
        <v>14</v>
      </c>
      <c r="AE1552" t="n">
        <v>22</v>
      </c>
      <c r="AF1552" t="n">
        <v>5</v>
      </c>
      <c r="AG1552" t="n">
        <v>8</v>
      </c>
      <c r="AH1552" t="n">
        <v>5</v>
      </c>
      <c r="AI1552" t="n">
        <v>6</v>
      </c>
      <c r="AJ1552" t="n">
        <v>5</v>
      </c>
      <c r="AK1552" t="n">
        <v>10</v>
      </c>
      <c r="AL1552" t="n">
        <v>3</v>
      </c>
      <c r="AM1552" t="n">
        <v>3</v>
      </c>
      <c r="AN1552" t="n">
        <v>0</v>
      </c>
      <c r="AO1552" t="n">
        <v>0</v>
      </c>
      <c r="AP1552" t="inlineStr">
        <is>
          <t>No</t>
        </is>
      </c>
      <c r="AQ1552" t="inlineStr">
        <is>
          <t>No</t>
        </is>
      </c>
      <c r="AS1552">
        <f>HYPERLINK("https://creighton-primo.hosted.exlibrisgroup.com/primo-explore/search?tab=default_tab&amp;search_scope=EVERYTHING&amp;vid=01CRU&amp;lang=en_US&amp;offset=0&amp;query=any,contains,991000607159702656","Catalog Record")</f>
        <v/>
      </c>
      <c r="AT1552">
        <f>HYPERLINK("http://www.worldcat.org/oclc/99505","WorldCat Record")</f>
        <v/>
      </c>
      <c r="AU1552" t="inlineStr">
        <is>
          <t>476359:eng</t>
        </is>
      </c>
      <c r="AV1552" t="inlineStr">
        <is>
          <t>99505</t>
        </is>
      </c>
      <c r="AW1552" t="inlineStr">
        <is>
          <t>991000607159702656</t>
        </is>
      </c>
      <c r="AX1552" t="inlineStr">
        <is>
          <t>991000607159702656</t>
        </is>
      </c>
      <c r="AY1552" t="inlineStr">
        <is>
          <t>2269182880002656</t>
        </is>
      </c>
      <c r="AZ1552" t="inlineStr">
        <is>
          <t>BOOK</t>
        </is>
      </c>
      <c r="BB1552" t="inlineStr">
        <is>
          <t>9780405020483</t>
        </is>
      </c>
      <c r="BC1552" t="inlineStr">
        <is>
          <t>32285000042282</t>
        </is>
      </c>
      <c r="BD1552" t="inlineStr">
        <is>
          <t>893243417</t>
        </is>
      </c>
    </row>
    <row r="1553">
      <c r="A1553" t="inlineStr">
        <is>
          <t>No</t>
        </is>
      </c>
      <c r="B1553" t="inlineStr">
        <is>
          <t>E715 .L833</t>
        </is>
      </c>
      <c r="C1553" t="inlineStr">
        <is>
          <t>0                      E  0715000L  833</t>
        </is>
      </c>
      <c r="D1553" t="inlineStr">
        <is>
          <t>The war with Spain.</t>
        </is>
      </c>
      <c r="F1553" t="inlineStr">
        <is>
          <t>No</t>
        </is>
      </c>
      <c r="G1553" t="inlineStr">
        <is>
          <t>1</t>
        </is>
      </c>
      <c r="H1553" t="inlineStr">
        <is>
          <t>No</t>
        </is>
      </c>
      <c r="I1553" t="inlineStr">
        <is>
          <t>No</t>
        </is>
      </c>
      <c r="J1553" t="inlineStr">
        <is>
          <t>0</t>
        </is>
      </c>
      <c r="K1553" t="inlineStr">
        <is>
          <t>Lodge, Henry Cabot, 1850-1924.</t>
        </is>
      </c>
      <c r="L1553" t="inlineStr">
        <is>
          <t>New York, Arno Press, 1970 [c1899]</t>
        </is>
      </c>
      <c r="M1553" t="inlineStr">
        <is>
          <t>1970</t>
        </is>
      </c>
      <c r="O1553" t="inlineStr">
        <is>
          <t>eng</t>
        </is>
      </c>
      <c r="P1553" t="inlineStr">
        <is>
          <t>nyu</t>
        </is>
      </c>
      <c r="Q1553" t="inlineStr">
        <is>
          <t>American imperialism</t>
        </is>
      </c>
      <c r="R1553" t="inlineStr">
        <is>
          <t xml:space="preserve">E  </t>
        </is>
      </c>
      <c r="S1553" t="n">
        <v>7</v>
      </c>
      <c r="T1553" t="n">
        <v>7</v>
      </c>
      <c r="U1553" t="inlineStr">
        <is>
          <t>2004-02-18</t>
        </is>
      </c>
      <c r="V1553" t="inlineStr">
        <is>
          <t>2004-02-18</t>
        </is>
      </c>
      <c r="W1553" t="inlineStr">
        <is>
          <t>1997-04-22</t>
        </is>
      </c>
      <c r="X1553" t="inlineStr">
        <is>
          <t>1997-04-22</t>
        </is>
      </c>
      <c r="Y1553" t="n">
        <v>181</v>
      </c>
      <c r="Z1553" t="n">
        <v>158</v>
      </c>
      <c r="AA1553" t="n">
        <v>627</v>
      </c>
      <c r="AB1553" t="n">
        <v>2</v>
      </c>
      <c r="AC1553" t="n">
        <v>8</v>
      </c>
      <c r="AD1553" t="n">
        <v>5</v>
      </c>
      <c r="AE1553" t="n">
        <v>31</v>
      </c>
      <c r="AF1553" t="n">
        <v>2</v>
      </c>
      <c r="AG1553" t="n">
        <v>6</v>
      </c>
      <c r="AH1553" t="n">
        <v>1</v>
      </c>
      <c r="AI1553" t="n">
        <v>4</v>
      </c>
      <c r="AJ1553" t="n">
        <v>2</v>
      </c>
      <c r="AK1553" t="n">
        <v>5</v>
      </c>
      <c r="AL1553" t="n">
        <v>1</v>
      </c>
      <c r="AM1553" t="n">
        <v>6</v>
      </c>
      <c r="AN1553" t="n">
        <v>0</v>
      </c>
      <c r="AO1553" t="n">
        <v>11</v>
      </c>
      <c r="AP1553" t="inlineStr">
        <is>
          <t>No</t>
        </is>
      </c>
      <c r="AQ1553" t="inlineStr">
        <is>
          <t>Yes</t>
        </is>
      </c>
      <c r="AR1553">
        <f>HYPERLINK("http://catalog.hathitrust.org/Record/009629542","HathiTrust Record")</f>
        <v/>
      </c>
      <c r="AS1553">
        <f>HYPERLINK("https://creighton-primo.hosted.exlibrisgroup.com/primo-explore/search?tab=default_tab&amp;search_scope=EVERYTHING&amp;vid=01CRU&amp;lang=en_US&amp;offset=0&amp;query=any,contains,991000609169702656","Catalog Record")</f>
        <v/>
      </c>
      <c r="AT1553">
        <f>HYPERLINK("http://www.worldcat.org/oclc/100131","WorldCat Record")</f>
        <v/>
      </c>
      <c r="AU1553" t="inlineStr">
        <is>
          <t>1166748:eng</t>
        </is>
      </c>
      <c r="AV1553" t="inlineStr">
        <is>
          <t>100131</t>
        </is>
      </c>
      <c r="AW1553" t="inlineStr">
        <is>
          <t>991000609169702656</t>
        </is>
      </c>
      <c r="AX1553" t="inlineStr">
        <is>
          <t>991000609169702656</t>
        </is>
      </c>
      <c r="AY1553" t="inlineStr">
        <is>
          <t>2258327290002656</t>
        </is>
      </c>
      <c r="AZ1553" t="inlineStr">
        <is>
          <t>BOOK</t>
        </is>
      </c>
      <c r="BB1553" t="inlineStr">
        <is>
          <t>9780405020353</t>
        </is>
      </c>
      <c r="BC1553" t="inlineStr">
        <is>
          <t>32285002560869</t>
        </is>
      </c>
      <c r="BD1553" t="inlineStr">
        <is>
          <t>893884573</t>
        </is>
      </c>
    </row>
    <row r="1554">
      <c r="A1554" t="inlineStr">
        <is>
          <t>No</t>
        </is>
      </c>
      <c r="B1554" t="inlineStr">
        <is>
          <t>E715 .M3 1970</t>
        </is>
      </c>
      <c r="C1554" t="inlineStr">
        <is>
          <t>0                      E  0715000M  3           1970</t>
        </is>
      </c>
      <c r="D1554" t="inlineStr">
        <is>
          <t>The history and conquest of the Philippines and our other island possessions.</t>
        </is>
      </c>
      <c r="F1554" t="inlineStr">
        <is>
          <t>No</t>
        </is>
      </c>
      <c r="G1554" t="inlineStr">
        <is>
          <t>1</t>
        </is>
      </c>
      <c r="H1554" t="inlineStr">
        <is>
          <t>No</t>
        </is>
      </c>
      <c r="I1554" t="inlineStr">
        <is>
          <t>No</t>
        </is>
      </c>
      <c r="J1554" t="inlineStr">
        <is>
          <t>0</t>
        </is>
      </c>
      <c r="K1554" t="inlineStr">
        <is>
          <t>March, Alden, 1869-1942.</t>
        </is>
      </c>
      <c r="L1554" t="inlineStr">
        <is>
          <t>New York, Arno Press, 1970 [c1899]</t>
        </is>
      </c>
      <c r="M1554" t="inlineStr">
        <is>
          <t>1970</t>
        </is>
      </c>
      <c r="O1554" t="inlineStr">
        <is>
          <t>eng</t>
        </is>
      </c>
      <c r="P1554" t="inlineStr">
        <is>
          <t>nyu</t>
        </is>
      </c>
      <c r="Q1554" t="inlineStr">
        <is>
          <t>American imperialism</t>
        </is>
      </c>
      <c r="R1554" t="inlineStr">
        <is>
          <t xml:space="preserve">E  </t>
        </is>
      </c>
      <c r="S1554" t="n">
        <v>5</v>
      </c>
      <c r="T1554" t="n">
        <v>5</v>
      </c>
      <c r="U1554" t="inlineStr">
        <is>
          <t>2005-03-23</t>
        </is>
      </c>
      <c r="V1554" t="inlineStr">
        <is>
          <t>2005-03-23</t>
        </is>
      </c>
      <c r="W1554" t="inlineStr">
        <is>
          <t>1997-04-22</t>
        </is>
      </c>
      <c r="X1554" t="inlineStr">
        <is>
          <t>1997-04-22</t>
        </is>
      </c>
      <c r="Y1554" t="n">
        <v>204</v>
      </c>
      <c r="Z1554" t="n">
        <v>184</v>
      </c>
      <c r="AA1554" t="n">
        <v>402</v>
      </c>
      <c r="AB1554" t="n">
        <v>3</v>
      </c>
      <c r="AC1554" t="n">
        <v>5</v>
      </c>
      <c r="AD1554" t="n">
        <v>9</v>
      </c>
      <c r="AE1554" t="n">
        <v>15</v>
      </c>
      <c r="AF1554" t="n">
        <v>2</v>
      </c>
      <c r="AG1554" t="n">
        <v>3</v>
      </c>
      <c r="AH1554" t="n">
        <v>2</v>
      </c>
      <c r="AI1554" t="n">
        <v>4</v>
      </c>
      <c r="AJ1554" t="n">
        <v>3</v>
      </c>
      <c r="AK1554" t="n">
        <v>5</v>
      </c>
      <c r="AL1554" t="n">
        <v>2</v>
      </c>
      <c r="AM1554" t="n">
        <v>4</v>
      </c>
      <c r="AN1554" t="n">
        <v>0</v>
      </c>
      <c r="AO1554" t="n">
        <v>0</v>
      </c>
      <c r="AP1554" t="inlineStr">
        <is>
          <t>No</t>
        </is>
      </c>
      <c r="AQ1554" t="inlineStr">
        <is>
          <t>No</t>
        </is>
      </c>
      <c r="AS1554">
        <f>HYPERLINK("https://creighton-primo.hosted.exlibrisgroup.com/primo-explore/search?tab=default_tab&amp;search_scope=EVERYTHING&amp;vid=01CRU&amp;lang=en_US&amp;offset=0&amp;query=any,contains,991000608319702656","Catalog Record")</f>
        <v/>
      </c>
      <c r="AT1554">
        <f>HYPERLINK("http://www.worldcat.org/oclc/99890","WorldCat Record")</f>
        <v/>
      </c>
      <c r="AU1554" t="inlineStr">
        <is>
          <t>476350:eng</t>
        </is>
      </c>
      <c r="AV1554" t="inlineStr">
        <is>
          <t>99890</t>
        </is>
      </c>
      <c r="AW1554" t="inlineStr">
        <is>
          <t>991000608319702656</t>
        </is>
      </c>
      <c r="AX1554" t="inlineStr">
        <is>
          <t>991000608319702656</t>
        </is>
      </c>
      <c r="AY1554" t="inlineStr">
        <is>
          <t>2270581790002656</t>
        </is>
      </c>
      <c r="AZ1554" t="inlineStr">
        <is>
          <t>BOOK</t>
        </is>
      </c>
      <c r="BB1554" t="inlineStr">
        <is>
          <t>9780405020384</t>
        </is>
      </c>
      <c r="BC1554" t="inlineStr">
        <is>
          <t>32285002560877</t>
        </is>
      </c>
      <c r="BD1554" t="inlineStr">
        <is>
          <t>893521838</t>
        </is>
      </c>
    </row>
    <row r="1555">
      <c r="A1555" t="inlineStr">
        <is>
          <t>No</t>
        </is>
      </c>
      <c r="B1555" t="inlineStr">
        <is>
          <t>E715 .M85</t>
        </is>
      </c>
      <c r="C1555" t="inlineStr">
        <is>
          <t>0                      E  0715000M  85</t>
        </is>
      </c>
      <c r="D1555" t="inlineStr">
        <is>
          <t>America's road to empire : the war with Spain and overseas expansion / [by] H. Wayne Morgan.</t>
        </is>
      </c>
      <c r="F1555" t="inlineStr">
        <is>
          <t>No</t>
        </is>
      </c>
      <c r="G1555" t="inlineStr">
        <is>
          <t>1</t>
        </is>
      </c>
      <c r="H1555" t="inlineStr">
        <is>
          <t>No</t>
        </is>
      </c>
      <c r="I1555" t="inlineStr">
        <is>
          <t>No</t>
        </is>
      </c>
      <c r="J1555" t="inlineStr">
        <is>
          <t>0</t>
        </is>
      </c>
      <c r="K1555" t="inlineStr">
        <is>
          <t>Morgan, H. Wayne (Howard Wayne)</t>
        </is>
      </c>
      <c r="L1555" t="inlineStr">
        <is>
          <t>New York : Wiley, [1965]</t>
        </is>
      </c>
      <c r="M1555" t="inlineStr">
        <is>
          <t>1965</t>
        </is>
      </c>
      <c r="O1555" t="inlineStr">
        <is>
          <t>eng</t>
        </is>
      </c>
      <c r="P1555" t="inlineStr">
        <is>
          <t>nyu</t>
        </is>
      </c>
      <c r="Q1555" t="inlineStr">
        <is>
          <t>America in crisis</t>
        </is>
      </c>
      <c r="R1555" t="inlineStr">
        <is>
          <t xml:space="preserve">E  </t>
        </is>
      </c>
      <c r="S1555" t="n">
        <v>6</v>
      </c>
      <c r="T1555" t="n">
        <v>6</v>
      </c>
      <c r="U1555" t="inlineStr">
        <is>
          <t>1999-03-27</t>
        </is>
      </c>
      <c r="V1555" t="inlineStr">
        <is>
          <t>1999-03-27</t>
        </is>
      </c>
      <c r="W1555" t="inlineStr">
        <is>
          <t>1990-02-26</t>
        </is>
      </c>
      <c r="X1555" t="inlineStr">
        <is>
          <t>1990-02-26</t>
        </is>
      </c>
      <c r="Y1555" t="n">
        <v>1267</v>
      </c>
      <c r="Z1555" t="n">
        <v>1142</v>
      </c>
      <c r="AA1555" t="n">
        <v>1186</v>
      </c>
      <c r="AB1555" t="n">
        <v>9</v>
      </c>
      <c r="AC1555" t="n">
        <v>9</v>
      </c>
      <c r="AD1555" t="n">
        <v>40</v>
      </c>
      <c r="AE1555" t="n">
        <v>42</v>
      </c>
      <c r="AF1555" t="n">
        <v>18</v>
      </c>
      <c r="AG1555" t="n">
        <v>18</v>
      </c>
      <c r="AH1555" t="n">
        <v>9</v>
      </c>
      <c r="AI1555" t="n">
        <v>9</v>
      </c>
      <c r="AJ1555" t="n">
        <v>13</v>
      </c>
      <c r="AK1555" t="n">
        <v>15</v>
      </c>
      <c r="AL1555" t="n">
        <v>8</v>
      </c>
      <c r="AM1555" t="n">
        <v>8</v>
      </c>
      <c r="AN1555" t="n">
        <v>1</v>
      </c>
      <c r="AO1555" t="n">
        <v>1</v>
      </c>
      <c r="AP1555" t="inlineStr">
        <is>
          <t>No</t>
        </is>
      </c>
      <c r="AQ1555" t="inlineStr">
        <is>
          <t>Yes</t>
        </is>
      </c>
      <c r="AR1555">
        <f>HYPERLINK("http://catalog.hathitrust.org/Record/000465809","HathiTrust Record")</f>
        <v/>
      </c>
      <c r="AS1555">
        <f>HYPERLINK("https://creighton-primo.hosted.exlibrisgroup.com/primo-explore/search?tab=default_tab&amp;search_scope=EVERYTHING&amp;vid=01CRU&amp;lang=en_US&amp;offset=0&amp;query=any,contains,991002814039702656","Catalog Record")</f>
        <v/>
      </c>
      <c r="AT1555">
        <f>HYPERLINK("http://www.worldcat.org/oclc/457101","WorldCat Record")</f>
        <v/>
      </c>
      <c r="AU1555" t="inlineStr">
        <is>
          <t>295529:eng</t>
        </is>
      </c>
      <c r="AV1555" t="inlineStr">
        <is>
          <t>457101</t>
        </is>
      </c>
      <c r="AW1555" t="inlineStr">
        <is>
          <t>991002814039702656</t>
        </is>
      </c>
      <c r="AX1555" t="inlineStr">
        <is>
          <t>991002814039702656</t>
        </is>
      </c>
      <c r="AY1555" t="inlineStr">
        <is>
          <t>2262848510002656</t>
        </is>
      </c>
      <c r="AZ1555" t="inlineStr">
        <is>
          <t>BOOK</t>
        </is>
      </c>
      <c r="BC1555" t="inlineStr">
        <is>
          <t>32285000062033</t>
        </is>
      </c>
      <c r="BD1555" t="inlineStr">
        <is>
          <t>893874038</t>
        </is>
      </c>
    </row>
    <row r="1556">
      <c r="A1556" t="inlineStr">
        <is>
          <t>No</t>
        </is>
      </c>
      <c r="B1556" t="inlineStr">
        <is>
          <t>E715 .S36 2003</t>
        </is>
      </c>
      <c r="C1556" t="inlineStr">
        <is>
          <t>0                      E  0715000S  36          2003</t>
        </is>
      </c>
      <c r="D1556" t="inlineStr">
        <is>
          <t>Uncle Sam's War of 1898 and the origins of globalization / Thomas Schoonover ; foreword by Walter LaFeber.</t>
        </is>
      </c>
      <c r="F1556" t="inlineStr">
        <is>
          <t>No</t>
        </is>
      </c>
      <c r="G1556" t="inlineStr">
        <is>
          <t>1</t>
        </is>
      </c>
      <c r="H1556" t="inlineStr">
        <is>
          <t>No</t>
        </is>
      </c>
      <c r="I1556" t="inlineStr">
        <is>
          <t>No</t>
        </is>
      </c>
      <c r="J1556" t="inlineStr">
        <is>
          <t>0</t>
        </is>
      </c>
      <c r="K1556" t="inlineStr">
        <is>
          <t>Schoonover, Thomas David, 1936-</t>
        </is>
      </c>
      <c r="L1556" t="inlineStr">
        <is>
          <t>Lexington : University Press of Kentucky, c2003.</t>
        </is>
      </c>
      <c r="M1556" t="inlineStr">
        <is>
          <t>2003</t>
        </is>
      </c>
      <c r="O1556" t="inlineStr">
        <is>
          <t>eng</t>
        </is>
      </c>
      <c r="P1556" t="inlineStr">
        <is>
          <t>kyu</t>
        </is>
      </c>
      <c r="R1556" t="inlineStr">
        <is>
          <t xml:space="preserve">E  </t>
        </is>
      </c>
      <c r="S1556" t="n">
        <v>2</v>
      </c>
      <c r="T1556" t="n">
        <v>2</v>
      </c>
      <c r="U1556" t="inlineStr">
        <is>
          <t>2005-12-05</t>
        </is>
      </c>
      <c r="V1556" t="inlineStr">
        <is>
          <t>2005-12-05</t>
        </is>
      </c>
      <c r="W1556" t="inlineStr">
        <is>
          <t>2005-03-16</t>
        </is>
      </c>
      <c r="X1556" t="inlineStr">
        <is>
          <t>2005-03-16</t>
        </is>
      </c>
      <c r="Y1556" t="n">
        <v>782</v>
      </c>
      <c r="Z1556" t="n">
        <v>707</v>
      </c>
      <c r="AA1556" t="n">
        <v>1186</v>
      </c>
      <c r="AB1556" t="n">
        <v>5</v>
      </c>
      <c r="AC1556" t="n">
        <v>7</v>
      </c>
      <c r="AD1556" t="n">
        <v>34</v>
      </c>
      <c r="AE1556" t="n">
        <v>44</v>
      </c>
      <c r="AF1556" t="n">
        <v>15</v>
      </c>
      <c r="AG1556" t="n">
        <v>21</v>
      </c>
      <c r="AH1556" t="n">
        <v>7</v>
      </c>
      <c r="AI1556" t="n">
        <v>9</v>
      </c>
      <c r="AJ1556" t="n">
        <v>18</v>
      </c>
      <c r="AK1556" t="n">
        <v>20</v>
      </c>
      <c r="AL1556" t="n">
        <v>4</v>
      </c>
      <c r="AM1556" t="n">
        <v>6</v>
      </c>
      <c r="AN1556" t="n">
        <v>0</v>
      </c>
      <c r="AO1556" t="n">
        <v>0</v>
      </c>
      <c r="AP1556" t="inlineStr">
        <is>
          <t>No</t>
        </is>
      </c>
      <c r="AQ1556" t="inlineStr">
        <is>
          <t>Yes</t>
        </is>
      </c>
      <c r="AR1556">
        <f>HYPERLINK("http://catalog.hathitrust.org/Record/004350846","HathiTrust Record")</f>
        <v/>
      </c>
      <c r="AS1556">
        <f>HYPERLINK("https://creighton-primo.hosted.exlibrisgroup.com/primo-explore/search?tab=default_tab&amp;search_scope=EVERYTHING&amp;vid=01CRU&amp;lang=en_US&amp;offset=0&amp;query=any,contains,991004457039702656","Catalog Record")</f>
        <v/>
      </c>
      <c r="AT1556">
        <f>HYPERLINK("http://www.worldcat.org/oclc/52312083","WorldCat Record")</f>
        <v/>
      </c>
      <c r="AU1556" t="inlineStr">
        <is>
          <t>706797:eng</t>
        </is>
      </c>
      <c r="AV1556" t="inlineStr">
        <is>
          <t>52312083</t>
        </is>
      </c>
      <c r="AW1556" t="inlineStr">
        <is>
          <t>991004457039702656</t>
        </is>
      </c>
      <c r="AX1556" t="inlineStr">
        <is>
          <t>991004457039702656</t>
        </is>
      </c>
      <c r="AY1556" t="inlineStr">
        <is>
          <t>2256044210002656</t>
        </is>
      </c>
      <c r="AZ1556" t="inlineStr">
        <is>
          <t>BOOK</t>
        </is>
      </c>
      <c r="BB1556" t="inlineStr">
        <is>
          <t>9780813122823</t>
        </is>
      </c>
      <c r="BC1556" t="inlineStr">
        <is>
          <t>32285005041966</t>
        </is>
      </c>
      <c r="BD1556" t="inlineStr">
        <is>
          <t>893882488</t>
        </is>
      </c>
    </row>
    <row r="1557">
      <c r="A1557" t="inlineStr">
        <is>
          <t>No</t>
        </is>
      </c>
      <c r="B1557" t="inlineStr">
        <is>
          <t>E715 .S79 1998</t>
        </is>
      </c>
      <c r="C1557" t="inlineStr">
        <is>
          <t>0                      E  0715000S  79          1998</t>
        </is>
      </c>
      <c r="D1557" t="inlineStr">
        <is>
          <t>The Spanish-American War : the story and photographs / by Donald M. Goldstein ... [et al.].</t>
        </is>
      </c>
      <c r="F1557" t="inlineStr">
        <is>
          <t>No</t>
        </is>
      </c>
      <c r="G1557" t="inlineStr">
        <is>
          <t>1</t>
        </is>
      </c>
      <c r="H1557" t="inlineStr">
        <is>
          <t>No</t>
        </is>
      </c>
      <c r="I1557" t="inlineStr">
        <is>
          <t>No</t>
        </is>
      </c>
      <c r="J1557" t="inlineStr">
        <is>
          <t>0</t>
        </is>
      </c>
      <c r="L1557" t="inlineStr">
        <is>
          <t>Washington [D.C.] : Brassey's, c1998.</t>
        </is>
      </c>
      <c r="M1557" t="inlineStr">
        <is>
          <t>1998</t>
        </is>
      </c>
      <c r="N1557" t="inlineStr">
        <is>
          <t>1st ed.</t>
        </is>
      </c>
      <c r="O1557" t="inlineStr">
        <is>
          <t>eng</t>
        </is>
      </c>
      <c r="P1557" t="inlineStr">
        <is>
          <t>dcu</t>
        </is>
      </c>
      <c r="Q1557" t="inlineStr">
        <is>
          <t>An AUSA Institute of Land Warfare book</t>
        </is>
      </c>
      <c r="R1557" t="inlineStr">
        <is>
          <t xml:space="preserve">E  </t>
        </is>
      </c>
      <c r="S1557" t="n">
        <v>6</v>
      </c>
      <c r="T1557" t="n">
        <v>6</v>
      </c>
      <c r="U1557" t="inlineStr">
        <is>
          <t>2004-05-06</t>
        </is>
      </c>
      <c r="V1557" t="inlineStr">
        <is>
          <t>2004-05-06</t>
        </is>
      </c>
      <c r="W1557" t="inlineStr">
        <is>
          <t>1998-10-20</t>
        </is>
      </c>
      <c r="X1557" t="inlineStr">
        <is>
          <t>1998-10-20</t>
        </is>
      </c>
      <c r="Y1557" t="n">
        <v>240</v>
      </c>
      <c r="Z1557" t="n">
        <v>222</v>
      </c>
      <c r="AA1557" t="n">
        <v>260</v>
      </c>
      <c r="AB1557" t="n">
        <v>5</v>
      </c>
      <c r="AC1557" t="n">
        <v>6</v>
      </c>
      <c r="AD1557" t="n">
        <v>5</v>
      </c>
      <c r="AE1557" t="n">
        <v>6</v>
      </c>
      <c r="AF1557" t="n">
        <v>0</v>
      </c>
      <c r="AG1557" t="n">
        <v>0</v>
      </c>
      <c r="AH1557" t="n">
        <v>0</v>
      </c>
      <c r="AI1557" t="n">
        <v>0</v>
      </c>
      <c r="AJ1557" t="n">
        <v>2</v>
      </c>
      <c r="AK1557" t="n">
        <v>2</v>
      </c>
      <c r="AL1557" t="n">
        <v>3</v>
      </c>
      <c r="AM1557" t="n">
        <v>4</v>
      </c>
      <c r="AN1557" t="n">
        <v>0</v>
      </c>
      <c r="AO1557" t="n">
        <v>0</v>
      </c>
      <c r="AP1557" t="inlineStr">
        <is>
          <t>No</t>
        </is>
      </c>
      <c r="AQ1557" t="inlineStr">
        <is>
          <t>Yes</t>
        </is>
      </c>
      <c r="AR1557">
        <f>HYPERLINK("http://catalog.hathitrust.org/Record/004195547","HathiTrust Record")</f>
        <v/>
      </c>
      <c r="AS1557">
        <f>HYPERLINK("https://creighton-primo.hosted.exlibrisgroup.com/primo-explore/search?tab=default_tab&amp;search_scope=EVERYTHING&amp;vid=01CRU&amp;lang=en_US&amp;offset=0&amp;query=any,contains,991002920579702656","Catalog Record")</f>
        <v/>
      </c>
      <c r="AT1557">
        <f>HYPERLINK("http://www.worldcat.org/oclc/38747361","WorldCat Record")</f>
        <v/>
      </c>
      <c r="AU1557" t="inlineStr">
        <is>
          <t>837070011:eng</t>
        </is>
      </c>
      <c r="AV1557" t="inlineStr">
        <is>
          <t>38747361</t>
        </is>
      </c>
      <c r="AW1557" t="inlineStr">
        <is>
          <t>991002920579702656</t>
        </is>
      </c>
      <c r="AX1557" t="inlineStr">
        <is>
          <t>991002920579702656</t>
        </is>
      </c>
      <c r="AY1557" t="inlineStr">
        <is>
          <t>2269664260002656</t>
        </is>
      </c>
      <c r="AZ1557" t="inlineStr">
        <is>
          <t>BOOK</t>
        </is>
      </c>
      <c r="BB1557" t="inlineStr">
        <is>
          <t>9781574880762</t>
        </is>
      </c>
      <c r="BC1557" t="inlineStr">
        <is>
          <t>32285003474987</t>
        </is>
      </c>
      <c r="BD1557" t="inlineStr">
        <is>
          <t>893904152</t>
        </is>
      </c>
    </row>
    <row r="1558">
      <c r="A1558" t="inlineStr">
        <is>
          <t>No</t>
        </is>
      </c>
      <c r="B1558" t="inlineStr">
        <is>
          <t>E715 .T7</t>
        </is>
      </c>
      <c r="C1558" t="inlineStr">
        <is>
          <t>0                      E  0715000T  7</t>
        </is>
      </c>
      <c r="D1558" t="inlineStr">
        <is>
          <t>The war with Spain in 1898 / David F. Trask.</t>
        </is>
      </c>
      <c r="F1558" t="inlineStr">
        <is>
          <t>No</t>
        </is>
      </c>
      <c r="G1558" t="inlineStr">
        <is>
          <t>1</t>
        </is>
      </c>
      <c r="H1558" t="inlineStr">
        <is>
          <t>No</t>
        </is>
      </c>
      <c r="I1558" t="inlineStr">
        <is>
          <t>No</t>
        </is>
      </c>
      <c r="J1558" t="inlineStr">
        <is>
          <t>0</t>
        </is>
      </c>
      <c r="K1558" t="inlineStr">
        <is>
          <t>Trask, David F.</t>
        </is>
      </c>
      <c r="L1558" t="inlineStr">
        <is>
          <t>New York : Macmillan ; London : Collier Macmillan, c1981.</t>
        </is>
      </c>
      <c r="M1558" t="inlineStr">
        <is>
          <t>1981</t>
        </is>
      </c>
      <c r="O1558" t="inlineStr">
        <is>
          <t>eng</t>
        </is>
      </c>
      <c r="P1558" t="inlineStr">
        <is>
          <t>nyu</t>
        </is>
      </c>
      <c r="Q1558" t="inlineStr">
        <is>
          <t>The Macmillan wars of the United States</t>
        </is>
      </c>
      <c r="R1558" t="inlineStr">
        <is>
          <t xml:space="preserve">E  </t>
        </is>
      </c>
      <c r="S1558" t="n">
        <v>6</v>
      </c>
      <c r="T1558" t="n">
        <v>6</v>
      </c>
      <c r="U1558" t="inlineStr">
        <is>
          <t>1999-04-14</t>
        </is>
      </c>
      <c r="V1558" t="inlineStr">
        <is>
          <t>1999-04-14</t>
        </is>
      </c>
      <c r="W1558" t="inlineStr">
        <is>
          <t>1990-03-06</t>
        </is>
      </c>
      <c r="X1558" t="inlineStr">
        <is>
          <t>1990-03-06</t>
        </is>
      </c>
      <c r="Y1558" t="n">
        <v>1124</v>
      </c>
      <c r="Z1558" t="n">
        <v>1013</v>
      </c>
      <c r="AA1558" t="n">
        <v>1155</v>
      </c>
      <c r="AB1558" t="n">
        <v>7</v>
      </c>
      <c r="AC1558" t="n">
        <v>10</v>
      </c>
      <c r="AD1558" t="n">
        <v>37</v>
      </c>
      <c r="AE1558" t="n">
        <v>44</v>
      </c>
      <c r="AF1558" t="n">
        <v>17</v>
      </c>
      <c r="AG1558" t="n">
        <v>21</v>
      </c>
      <c r="AH1558" t="n">
        <v>8</v>
      </c>
      <c r="AI1558" t="n">
        <v>9</v>
      </c>
      <c r="AJ1558" t="n">
        <v>19</v>
      </c>
      <c r="AK1558" t="n">
        <v>20</v>
      </c>
      <c r="AL1558" t="n">
        <v>6</v>
      </c>
      <c r="AM1558" t="n">
        <v>8</v>
      </c>
      <c r="AN1558" t="n">
        <v>0</v>
      </c>
      <c r="AO1558" t="n">
        <v>0</v>
      </c>
      <c r="AP1558" t="inlineStr">
        <is>
          <t>No</t>
        </is>
      </c>
      <c r="AQ1558" t="inlineStr">
        <is>
          <t>Yes</t>
        </is>
      </c>
      <c r="AR1558">
        <f>HYPERLINK("http://catalog.hathitrust.org/Record/000099112","HathiTrust Record")</f>
        <v/>
      </c>
      <c r="AS1558">
        <f>HYPERLINK("https://creighton-primo.hosted.exlibrisgroup.com/primo-explore/search?tab=default_tab&amp;search_scope=EVERYTHING&amp;vid=01CRU&amp;lang=en_US&amp;offset=0&amp;query=any,contains,991005082749702656","Catalog Record")</f>
        <v/>
      </c>
      <c r="AT1558">
        <f>HYPERLINK("http://www.worldcat.org/oclc/7175093","WorldCat Record")</f>
        <v/>
      </c>
      <c r="AU1558" t="inlineStr">
        <is>
          <t>400848:eng</t>
        </is>
      </c>
      <c r="AV1558" t="inlineStr">
        <is>
          <t>7175093</t>
        </is>
      </c>
      <c r="AW1558" t="inlineStr">
        <is>
          <t>991005082749702656</t>
        </is>
      </c>
      <c r="AX1558" t="inlineStr">
        <is>
          <t>991005082749702656</t>
        </is>
      </c>
      <c r="AY1558" t="inlineStr">
        <is>
          <t>2272206610002656</t>
        </is>
      </c>
      <c r="AZ1558" t="inlineStr">
        <is>
          <t>BOOK</t>
        </is>
      </c>
      <c r="BB1558" t="inlineStr">
        <is>
          <t>9780029329504</t>
        </is>
      </c>
      <c r="BC1558" t="inlineStr">
        <is>
          <t>32285000078260</t>
        </is>
      </c>
      <c r="BD1558" t="inlineStr">
        <is>
          <t>893437117</t>
        </is>
      </c>
    </row>
    <row r="1559">
      <c r="A1559" t="inlineStr">
        <is>
          <t>No</t>
        </is>
      </c>
      <c r="B1559" t="inlineStr">
        <is>
          <t>E715 .V45 1990</t>
        </is>
      </c>
      <c r="C1559" t="inlineStr">
        <is>
          <t>0                      E  0715000V  45          1990</t>
        </is>
      </c>
      <c r="D1559" t="inlineStr">
        <is>
          <t>The Spanish-American War : an annotated bibliography / Anne Cipriano Venzon.</t>
        </is>
      </c>
      <c r="F1559" t="inlineStr">
        <is>
          <t>No</t>
        </is>
      </c>
      <c r="G1559" t="inlineStr">
        <is>
          <t>1</t>
        </is>
      </c>
      <c r="H1559" t="inlineStr">
        <is>
          <t>No</t>
        </is>
      </c>
      <c r="I1559" t="inlineStr">
        <is>
          <t>No</t>
        </is>
      </c>
      <c r="J1559" t="inlineStr">
        <is>
          <t>0</t>
        </is>
      </c>
      <c r="K1559" t="inlineStr">
        <is>
          <t>Venzon, Anne Cipriano, 1951-</t>
        </is>
      </c>
      <c r="L1559" t="inlineStr">
        <is>
          <t>New York : Garland, 1990.</t>
        </is>
      </c>
      <c r="M1559" t="inlineStr">
        <is>
          <t>1990</t>
        </is>
      </c>
      <c r="O1559" t="inlineStr">
        <is>
          <t>eng</t>
        </is>
      </c>
      <c r="P1559" t="inlineStr">
        <is>
          <t>nyu</t>
        </is>
      </c>
      <c r="Q1559" t="inlineStr">
        <is>
          <t>Wars of the United States ; v. 11</t>
        </is>
      </c>
      <c r="R1559" t="inlineStr">
        <is>
          <t xml:space="preserve">E  </t>
        </is>
      </c>
      <c r="S1559" t="n">
        <v>10</v>
      </c>
      <c r="T1559" t="n">
        <v>10</v>
      </c>
      <c r="U1559" t="inlineStr">
        <is>
          <t>1999-03-15</t>
        </is>
      </c>
      <c r="V1559" t="inlineStr">
        <is>
          <t>1999-03-15</t>
        </is>
      </c>
      <c r="W1559" t="inlineStr">
        <is>
          <t>1990-10-17</t>
        </is>
      </c>
      <c r="X1559" t="inlineStr">
        <is>
          <t>1990-10-17</t>
        </is>
      </c>
      <c r="Y1559" t="n">
        <v>254</v>
      </c>
      <c r="Z1559" t="n">
        <v>221</v>
      </c>
      <c r="AA1559" t="n">
        <v>222</v>
      </c>
      <c r="AB1559" t="n">
        <v>3</v>
      </c>
      <c r="AC1559" t="n">
        <v>3</v>
      </c>
      <c r="AD1559" t="n">
        <v>8</v>
      </c>
      <c r="AE1559" t="n">
        <v>8</v>
      </c>
      <c r="AF1559" t="n">
        <v>0</v>
      </c>
      <c r="AG1559" t="n">
        <v>0</v>
      </c>
      <c r="AH1559" t="n">
        <v>1</v>
      </c>
      <c r="AI1559" t="n">
        <v>1</v>
      </c>
      <c r="AJ1559" t="n">
        <v>6</v>
      </c>
      <c r="AK1559" t="n">
        <v>6</v>
      </c>
      <c r="AL1559" t="n">
        <v>2</v>
      </c>
      <c r="AM1559" t="n">
        <v>2</v>
      </c>
      <c r="AN1559" t="n">
        <v>0</v>
      </c>
      <c r="AO1559" t="n">
        <v>0</v>
      </c>
      <c r="AP1559" t="inlineStr">
        <is>
          <t>No</t>
        </is>
      </c>
      <c r="AQ1559" t="inlineStr">
        <is>
          <t>No</t>
        </is>
      </c>
      <c r="AS1559">
        <f>HYPERLINK("https://creighton-primo.hosted.exlibrisgroup.com/primo-explore/search?tab=default_tab&amp;search_scope=EVERYTHING&amp;vid=01CRU&amp;lang=en_US&amp;offset=0&amp;query=any,contains,991001633399702656","Catalog Record")</f>
        <v/>
      </c>
      <c r="AT1559">
        <f>HYPERLINK("http://www.worldcat.org/oclc/20932946","WorldCat Record")</f>
        <v/>
      </c>
      <c r="AU1559" t="inlineStr">
        <is>
          <t>10567206796:eng</t>
        </is>
      </c>
      <c r="AV1559" t="inlineStr">
        <is>
          <t>20932946</t>
        </is>
      </c>
      <c r="AW1559" t="inlineStr">
        <is>
          <t>991001633399702656</t>
        </is>
      </c>
      <c r="AX1559" t="inlineStr">
        <is>
          <t>991001633399702656</t>
        </is>
      </c>
      <c r="AY1559" t="inlineStr">
        <is>
          <t>2262984560002656</t>
        </is>
      </c>
      <c r="AZ1559" t="inlineStr">
        <is>
          <t>BOOK</t>
        </is>
      </c>
      <c r="BB1559" t="inlineStr">
        <is>
          <t>9780824079741</t>
        </is>
      </c>
      <c r="BC1559" t="inlineStr">
        <is>
          <t>32285000311166</t>
        </is>
      </c>
      <c r="BD1559" t="inlineStr">
        <is>
          <t>893872644</t>
        </is>
      </c>
    </row>
    <row r="1560">
      <c r="A1560" t="inlineStr">
        <is>
          <t>No</t>
        </is>
      </c>
      <c r="B1560" t="inlineStr">
        <is>
          <t>E715 .W34</t>
        </is>
      </c>
      <c r="C1560" t="inlineStr">
        <is>
          <t>0                      E  0715000W  34</t>
        </is>
      </c>
      <c r="D1560" t="inlineStr">
        <is>
          <t>History of the Spanish-American war; embracing a complete review of our relations with Spain, by Henry Watterson; illustrated with numerous original engravings and colored plates, accurately portraying the scenes described.</t>
        </is>
      </c>
      <c r="F1560" t="inlineStr">
        <is>
          <t>No</t>
        </is>
      </c>
      <c r="G1560" t="inlineStr">
        <is>
          <t>1</t>
        </is>
      </c>
      <c r="H1560" t="inlineStr">
        <is>
          <t>No</t>
        </is>
      </c>
      <c r="I1560" t="inlineStr">
        <is>
          <t>No</t>
        </is>
      </c>
      <c r="J1560" t="inlineStr">
        <is>
          <t>0</t>
        </is>
      </c>
      <c r="K1560" t="inlineStr">
        <is>
          <t>Watterson, Henry, 1840-1921.</t>
        </is>
      </c>
      <c r="L1560" t="inlineStr">
        <is>
          <t>New York, Akron, O. [etc] The Werner company [c1898]</t>
        </is>
      </c>
      <c r="M1560" t="inlineStr">
        <is>
          <t>1898</t>
        </is>
      </c>
      <c r="O1560" t="inlineStr">
        <is>
          <t>eng</t>
        </is>
      </c>
      <c r="P1560" t="inlineStr">
        <is>
          <t>nyu</t>
        </is>
      </c>
      <c r="R1560" t="inlineStr">
        <is>
          <t xml:space="preserve">E  </t>
        </is>
      </c>
      <c r="S1560" t="n">
        <v>6</v>
      </c>
      <c r="T1560" t="n">
        <v>6</v>
      </c>
      <c r="U1560" t="inlineStr">
        <is>
          <t>1998-02-11</t>
        </is>
      </c>
      <c r="V1560" t="inlineStr">
        <is>
          <t>1998-02-11</t>
        </is>
      </c>
      <c r="W1560" t="inlineStr">
        <is>
          <t>1993-01-06</t>
        </is>
      </c>
      <c r="X1560" t="inlineStr">
        <is>
          <t>1993-01-06</t>
        </is>
      </c>
      <c r="Y1560" t="n">
        <v>109</v>
      </c>
      <c r="Z1560" t="n">
        <v>103</v>
      </c>
      <c r="AA1560" t="n">
        <v>357</v>
      </c>
      <c r="AB1560" t="n">
        <v>1</v>
      </c>
      <c r="AC1560" t="n">
        <v>3</v>
      </c>
      <c r="AD1560" t="n">
        <v>4</v>
      </c>
      <c r="AE1560" t="n">
        <v>17</v>
      </c>
      <c r="AF1560" t="n">
        <v>2</v>
      </c>
      <c r="AG1560" t="n">
        <v>7</v>
      </c>
      <c r="AH1560" t="n">
        <v>2</v>
      </c>
      <c r="AI1560" t="n">
        <v>4</v>
      </c>
      <c r="AJ1560" t="n">
        <v>1</v>
      </c>
      <c r="AK1560" t="n">
        <v>6</v>
      </c>
      <c r="AL1560" t="n">
        <v>0</v>
      </c>
      <c r="AM1560" t="n">
        <v>2</v>
      </c>
      <c r="AN1560" t="n">
        <v>0</v>
      </c>
      <c r="AO1560" t="n">
        <v>0</v>
      </c>
      <c r="AP1560" t="inlineStr">
        <is>
          <t>Yes</t>
        </is>
      </c>
      <c r="AQ1560" t="inlineStr">
        <is>
          <t>No</t>
        </is>
      </c>
      <c r="AR1560">
        <f>HYPERLINK("http://catalog.hathitrust.org/Record/009259705","HathiTrust Record")</f>
        <v/>
      </c>
      <c r="AS1560">
        <f>HYPERLINK("https://creighton-primo.hosted.exlibrisgroup.com/primo-explore/search?tab=default_tab&amp;search_scope=EVERYTHING&amp;vid=01CRU&amp;lang=en_US&amp;offset=0&amp;query=any,contains,991004057809702656","Catalog Record")</f>
        <v/>
      </c>
      <c r="AT1560">
        <f>HYPERLINK("http://www.worldcat.org/oclc/2231044","WorldCat Record")</f>
        <v/>
      </c>
      <c r="AU1560" t="inlineStr">
        <is>
          <t>1659022:eng</t>
        </is>
      </c>
      <c r="AV1560" t="inlineStr">
        <is>
          <t>2231044</t>
        </is>
      </c>
      <c r="AW1560" t="inlineStr">
        <is>
          <t>991004057809702656</t>
        </is>
      </c>
      <c r="AX1560" t="inlineStr">
        <is>
          <t>991004057809702656</t>
        </is>
      </c>
      <c r="AY1560" t="inlineStr">
        <is>
          <t>2254933100002656</t>
        </is>
      </c>
      <c r="AZ1560" t="inlineStr">
        <is>
          <t>BOOK</t>
        </is>
      </c>
      <c r="BC1560" t="inlineStr">
        <is>
          <t>32285001485555</t>
        </is>
      </c>
      <c r="BD1560" t="inlineStr">
        <is>
          <t>893875630</t>
        </is>
      </c>
    </row>
    <row r="1561">
      <c r="A1561" t="inlineStr">
        <is>
          <t>No</t>
        </is>
      </c>
      <c r="B1561" t="inlineStr">
        <is>
          <t>E717 .B7</t>
        </is>
      </c>
      <c r="C1561" t="inlineStr">
        <is>
          <t>0                      E  0717000B  7</t>
        </is>
      </c>
      <c r="D1561" t="inlineStr">
        <is>
          <t>The correspondents' war; journalists in the Spanish-American War [by] Charles H. Brown.</t>
        </is>
      </c>
      <c r="F1561" t="inlineStr">
        <is>
          <t>No</t>
        </is>
      </c>
      <c r="G1561" t="inlineStr">
        <is>
          <t>1</t>
        </is>
      </c>
      <c r="H1561" t="inlineStr">
        <is>
          <t>No</t>
        </is>
      </c>
      <c r="I1561" t="inlineStr">
        <is>
          <t>No</t>
        </is>
      </c>
      <c r="J1561" t="inlineStr">
        <is>
          <t>0</t>
        </is>
      </c>
      <c r="K1561" t="inlineStr">
        <is>
          <t>Brown, Charles H. (Charles Henry), 1910-1993.</t>
        </is>
      </c>
      <c r="L1561" t="inlineStr">
        <is>
          <t>New York, Scribner [1967]</t>
        </is>
      </c>
      <c r="M1561" t="inlineStr">
        <is>
          <t>1967</t>
        </is>
      </c>
      <c r="O1561" t="inlineStr">
        <is>
          <t>eng</t>
        </is>
      </c>
      <c r="P1561" t="inlineStr">
        <is>
          <t>nyu</t>
        </is>
      </c>
      <c r="R1561" t="inlineStr">
        <is>
          <t xml:space="preserve">E  </t>
        </is>
      </c>
      <c r="S1561" t="n">
        <v>3</v>
      </c>
      <c r="T1561" t="n">
        <v>3</v>
      </c>
      <c r="U1561" t="inlineStr">
        <is>
          <t>1999-02-20</t>
        </is>
      </c>
      <c r="V1561" t="inlineStr">
        <is>
          <t>1999-02-20</t>
        </is>
      </c>
      <c r="W1561" t="inlineStr">
        <is>
          <t>1997-04-22</t>
        </is>
      </c>
      <c r="X1561" t="inlineStr">
        <is>
          <t>1997-04-22</t>
        </is>
      </c>
      <c r="Y1561" t="n">
        <v>1053</v>
      </c>
      <c r="Z1561" t="n">
        <v>1001</v>
      </c>
      <c r="AA1561" t="n">
        <v>1009</v>
      </c>
      <c r="AB1561" t="n">
        <v>10</v>
      </c>
      <c r="AC1561" t="n">
        <v>10</v>
      </c>
      <c r="AD1561" t="n">
        <v>43</v>
      </c>
      <c r="AE1561" t="n">
        <v>43</v>
      </c>
      <c r="AF1561" t="n">
        <v>20</v>
      </c>
      <c r="AG1561" t="n">
        <v>20</v>
      </c>
      <c r="AH1561" t="n">
        <v>7</v>
      </c>
      <c r="AI1561" t="n">
        <v>7</v>
      </c>
      <c r="AJ1561" t="n">
        <v>19</v>
      </c>
      <c r="AK1561" t="n">
        <v>19</v>
      </c>
      <c r="AL1561" t="n">
        <v>9</v>
      </c>
      <c r="AM1561" t="n">
        <v>9</v>
      </c>
      <c r="AN1561" t="n">
        <v>0</v>
      </c>
      <c r="AO1561" t="n">
        <v>0</v>
      </c>
      <c r="AP1561" t="inlineStr">
        <is>
          <t>No</t>
        </is>
      </c>
      <c r="AQ1561" t="inlineStr">
        <is>
          <t>Yes</t>
        </is>
      </c>
      <c r="AR1561">
        <f>HYPERLINK("http://catalog.hathitrust.org/Record/000466331","HathiTrust Record")</f>
        <v/>
      </c>
      <c r="AS1561">
        <f>HYPERLINK("https://creighton-primo.hosted.exlibrisgroup.com/primo-explore/search?tab=default_tab&amp;search_scope=EVERYTHING&amp;vid=01CRU&amp;lang=en_US&amp;offset=0&amp;query=any,contains,991001931299702656","Catalog Record")</f>
        <v/>
      </c>
      <c r="AT1561">
        <f>HYPERLINK("http://www.worldcat.org/oclc/248921","WorldCat Record")</f>
        <v/>
      </c>
      <c r="AU1561" t="inlineStr">
        <is>
          <t>147527786:eng</t>
        </is>
      </c>
      <c r="AV1561" t="inlineStr">
        <is>
          <t>248921</t>
        </is>
      </c>
      <c r="AW1561" t="inlineStr">
        <is>
          <t>991001931299702656</t>
        </is>
      </c>
      <c r="AX1561" t="inlineStr">
        <is>
          <t>991001931299702656</t>
        </is>
      </c>
      <c r="AY1561" t="inlineStr">
        <is>
          <t>2258619140002656</t>
        </is>
      </c>
      <c r="AZ1561" t="inlineStr">
        <is>
          <t>BOOK</t>
        </is>
      </c>
      <c r="BC1561" t="inlineStr">
        <is>
          <t>32285002560885</t>
        </is>
      </c>
      <c r="BD1561" t="inlineStr">
        <is>
          <t>893891950</t>
        </is>
      </c>
    </row>
    <row r="1562">
      <c r="A1562" t="inlineStr">
        <is>
          <t>No</t>
        </is>
      </c>
      <c r="B1562" t="inlineStr">
        <is>
          <t>E717.7 .S7</t>
        </is>
      </c>
      <c r="C1562" t="inlineStr">
        <is>
          <t>0                      E  0717700S  7</t>
        </is>
      </c>
      <c r="D1562" t="inlineStr">
        <is>
          <t>War in the Philippines : and Life and glorious deeds of Admiral Dewey. A thrilling account of our conflicts with the Spaniards and Filipinos in the Orient... / By Joseph L. Stickney.</t>
        </is>
      </c>
      <c r="F1562" t="inlineStr">
        <is>
          <t>No</t>
        </is>
      </c>
      <c r="G1562" t="inlineStr">
        <is>
          <t>1</t>
        </is>
      </c>
      <c r="H1562" t="inlineStr">
        <is>
          <t>No</t>
        </is>
      </c>
      <c r="I1562" t="inlineStr">
        <is>
          <t>No</t>
        </is>
      </c>
      <c r="J1562" t="inlineStr">
        <is>
          <t>0</t>
        </is>
      </c>
      <c r="K1562" t="inlineStr">
        <is>
          <t>Stickney, Joseph L., 1848-1907.</t>
        </is>
      </c>
      <c r="L1562" t="inlineStr">
        <is>
          <t>[s.l. : s.n.], c1899.</t>
        </is>
      </c>
      <c r="M1562" t="inlineStr">
        <is>
          <t>1899</t>
        </is>
      </c>
      <c r="O1562" t="inlineStr">
        <is>
          <t>eng</t>
        </is>
      </c>
      <c r="P1562" t="inlineStr">
        <is>
          <t xml:space="preserve">xx </t>
        </is>
      </c>
      <c r="R1562" t="inlineStr">
        <is>
          <t xml:space="preserve">E  </t>
        </is>
      </c>
      <c r="S1562" t="n">
        <v>2</v>
      </c>
      <c r="T1562" t="n">
        <v>2</v>
      </c>
      <c r="U1562" t="inlineStr">
        <is>
          <t>2004-11-29</t>
        </is>
      </c>
      <c r="V1562" t="inlineStr">
        <is>
          <t>2004-11-29</t>
        </is>
      </c>
      <c r="W1562" t="inlineStr">
        <is>
          <t>1997-04-22</t>
        </is>
      </c>
      <c r="X1562" t="inlineStr">
        <is>
          <t>1997-04-22</t>
        </is>
      </c>
      <c r="Y1562" t="n">
        <v>66</v>
      </c>
      <c r="Z1562" t="n">
        <v>66</v>
      </c>
      <c r="AA1562" t="n">
        <v>97</v>
      </c>
      <c r="AB1562" t="n">
        <v>2</v>
      </c>
      <c r="AC1562" t="n">
        <v>2</v>
      </c>
      <c r="AD1562" t="n">
        <v>1</v>
      </c>
      <c r="AE1562" t="n">
        <v>1</v>
      </c>
      <c r="AF1562" t="n">
        <v>0</v>
      </c>
      <c r="AG1562" t="n">
        <v>0</v>
      </c>
      <c r="AH1562" t="n">
        <v>0</v>
      </c>
      <c r="AI1562" t="n">
        <v>0</v>
      </c>
      <c r="AJ1562" t="n">
        <v>0</v>
      </c>
      <c r="AK1562" t="n">
        <v>0</v>
      </c>
      <c r="AL1562" t="n">
        <v>1</v>
      </c>
      <c r="AM1562" t="n">
        <v>1</v>
      </c>
      <c r="AN1562" t="n">
        <v>0</v>
      </c>
      <c r="AO1562" t="n">
        <v>0</v>
      </c>
      <c r="AP1562" t="inlineStr">
        <is>
          <t>Yes</t>
        </is>
      </c>
      <c r="AQ1562" t="inlineStr">
        <is>
          <t>No</t>
        </is>
      </c>
      <c r="AR1562">
        <f>HYPERLINK("http://catalog.hathitrust.org/Record/000776552","HathiTrust Record")</f>
        <v/>
      </c>
      <c r="AS1562">
        <f>HYPERLINK("https://creighton-primo.hosted.exlibrisgroup.com/primo-explore/search?tab=default_tab&amp;search_scope=EVERYTHING&amp;vid=01CRU&amp;lang=en_US&amp;offset=0&amp;query=any,contains,991004900859702656","Catalog Record")</f>
        <v/>
      </c>
      <c r="AT1562">
        <f>HYPERLINK("http://www.worldcat.org/oclc/5935487","WorldCat Record")</f>
        <v/>
      </c>
      <c r="AU1562" t="inlineStr">
        <is>
          <t>3855985597:eng</t>
        </is>
      </c>
      <c r="AV1562" t="inlineStr">
        <is>
          <t>5935487</t>
        </is>
      </c>
      <c r="AW1562" t="inlineStr">
        <is>
          <t>991004900859702656</t>
        </is>
      </c>
      <c r="AX1562" t="inlineStr">
        <is>
          <t>991004900859702656</t>
        </is>
      </c>
      <c r="AY1562" t="inlineStr">
        <is>
          <t>2262331970002656</t>
        </is>
      </c>
      <c r="AZ1562" t="inlineStr">
        <is>
          <t>BOOK</t>
        </is>
      </c>
      <c r="BC1562" t="inlineStr">
        <is>
          <t>32285002560893</t>
        </is>
      </c>
      <c r="BD1562" t="inlineStr">
        <is>
          <t>893532903</t>
        </is>
      </c>
    </row>
    <row r="1563">
      <c r="A1563" t="inlineStr">
        <is>
          <t>No</t>
        </is>
      </c>
      <c r="B1563" t="inlineStr">
        <is>
          <t>E721 .S3</t>
        </is>
      </c>
      <c r="C1563" t="inlineStr">
        <is>
          <t>0                      E  0721000S  3</t>
        </is>
      </c>
      <c r="D1563" t="inlineStr">
        <is>
          <t>Republic or empire ; American resistance to the Philippine war / by Daniel B. Schirmer ; pref. by Howard Zinn.</t>
        </is>
      </c>
      <c r="F1563" t="inlineStr">
        <is>
          <t>No</t>
        </is>
      </c>
      <c r="G1563" t="inlineStr">
        <is>
          <t>1</t>
        </is>
      </c>
      <c r="H1563" t="inlineStr">
        <is>
          <t>No</t>
        </is>
      </c>
      <c r="I1563" t="inlineStr">
        <is>
          <t>No</t>
        </is>
      </c>
      <c r="J1563" t="inlineStr">
        <is>
          <t>0</t>
        </is>
      </c>
      <c r="K1563" t="inlineStr">
        <is>
          <t>Schirmer, Daniel B.</t>
        </is>
      </c>
      <c r="L1563" t="inlineStr">
        <is>
          <t>Cambridge, Mass. : Schenkman Pub. Co. ; distributed by General Learning Press, [Morristown, N.J., 1972]</t>
        </is>
      </c>
      <c r="M1563" t="inlineStr">
        <is>
          <t>1972</t>
        </is>
      </c>
      <c r="O1563" t="inlineStr">
        <is>
          <t>eng</t>
        </is>
      </c>
      <c r="P1563" t="inlineStr">
        <is>
          <t>mau</t>
        </is>
      </c>
      <c r="R1563" t="inlineStr">
        <is>
          <t xml:space="preserve">E  </t>
        </is>
      </c>
      <c r="S1563" t="n">
        <v>4</v>
      </c>
      <c r="T1563" t="n">
        <v>4</v>
      </c>
      <c r="U1563" t="inlineStr">
        <is>
          <t>2004-11-29</t>
        </is>
      </c>
      <c r="V1563" t="inlineStr">
        <is>
          <t>2004-11-29</t>
        </is>
      </c>
      <c r="W1563" t="inlineStr">
        <is>
          <t>1991-05-16</t>
        </is>
      </c>
      <c r="X1563" t="inlineStr">
        <is>
          <t>1991-05-16</t>
        </is>
      </c>
      <c r="Y1563" t="n">
        <v>660</v>
      </c>
      <c r="Z1563" t="n">
        <v>576</v>
      </c>
      <c r="AA1563" t="n">
        <v>585</v>
      </c>
      <c r="AB1563" t="n">
        <v>3</v>
      </c>
      <c r="AC1563" t="n">
        <v>3</v>
      </c>
      <c r="AD1563" t="n">
        <v>24</v>
      </c>
      <c r="AE1563" t="n">
        <v>24</v>
      </c>
      <c r="AF1563" t="n">
        <v>10</v>
      </c>
      <c r="AG1563" t="n">
        <v>10</v>
      </c>
      <c r="AH1563" t="n">
        <v>6</v>
      </c>
      <c r="AI1563" t="n">
        <v>6</v>
      </c>
      <c r="AJ1563" t="n">
        <v>14</v>
      </c>
      <c r="AK1563" t="n">
        <v>14</v>
      </c>
      <c r="AL1563" t="n">
        <v>2</v>
      </c>
      <c r="AM1563" t="n">
        <v>2</v>
      </c>
      <c r="AN1563" t="n">
        <v>0</v>
      </c>
      <c r="AO1563" t="n">
        <v>0</v>
      </c>
      <c r="AP1563" t="inlineStr">
        <is>
          <t>No</t>
        </is>
      </c>
      <c r="AQ1563" t="inlineStr">
        <is>
          <t>Yes</t>
        </is>
      </c>
      <c r="AR1563">
        <f>HYPERLINK("http://catalog.hathitrust.org/Record/000466544","HathiTrust Record")</f>
        <v/>
      </c>
      <c r="AS1563">
        <f>HYPERLINK("https://creighton-primo.hosted.exlibrisgroup.com/primo-explore/search?tab=default_tab&amp;search_scope=EVERYTHING&amp;vid=01CRU&amp;lang=en_US&amp;offset=0&amp;query=any,contains,991002552329702656","Catalog Record")</f>
        <v/>
      </c>
      <c r="AT1563">
        <f>HYPERLINK("http://www.worldcat.org/oclc/370268","WorldCat Record")</f>
        <v/>
      </c>
      <c r="AU1563" t="inlineStr">
        <is>
          <t>516129:eng</t>
        </is>
      </c>
      <c r="AV1563" t="inlineStr">
        <is>
          <t>370268</t>
        </is>
      </c>
      <c r="AW1563" t="inlineStr">
        <is>
          <t>991002552329702656</t>
        </is>
      </c>
      <c r="AX1563" t="inlineStr">
        <is>
          <t>991002552329702656</t>
        </is>
      </c>
      <c r="AY1563" t="inlineStr">
        <is>
          <t>2260403880002656</t>
        </is>
      </c>
      <c r="AZ1563" t="inlineStr">
        <is>
          <t>BOOK</t>
        </is>
      </c>
      <c r="BC1563" t="inlineStr">
        <is>
          <t>32285000611672</t>
        </is>
      </c>
      <c r="BD1563" t="inlineStr">
        <is>
          <t>893530150</t>
        </is>
      </c>
    </row>
    <row r="1564">
      <c r="A1564" t="inlineStr">
        <is>
          <t>No</t>
        </is>
      </c>
      <c r="B1564" t="inlineStr">
        <is>
          <t>E725.3 .C6 1998</t>
        </is>
      </c>
      <c r="C1564" t="inlineStr">
        <is>
          <t>0                      E  0725300C  6           1998</t>
        </is>
      </c>
      <c r="D1564" t="inlineStr">
        <is>
          <t>An army for empire : the United States Army in the Spanish-American War / Graham A. Cosmas.</t>
        </is>
      </c>
      <c r="F1564" t="inlineStr">
        <is>
          <t>No</t>
        </is>
      </c>
      <c r="G1564" t="inlineStr">
        <is>
          <t>1</t>
        </is>
      </c>
      <c r="H1564" t="inlineStr">
        <is>
          <t>No</t>
        </is>
      </c>
      <c r="I1564" t="inlineStr">
        <is>
          <t>No</t>
        </is>
      </c>
      <c r="J1564" t="inlineStr">
        <is>
          <t>0</t>
        </is>
      </c>
      <c r="K1564" t="inlineStr">
        <is>
          <t>Cosmas, Graham A.</t>
        </is>
      </c>
      <c r="L1564" t="inlineStr">
        <is>
          <t>College Station : Texas A&amp;M University Press, 1998.</t>
        </is>
      </c>
      <c r="M1564" t="inlineStr">
        <is>
          <t>1998</t>
        </is>
      </c>
      <c r="N1564" t="inlineStr">
        <is>
          <t>1st Texas A&amp;M University ed.</t>
        </is>
      </c>
      <c r="O1564" t="inlineStr">
        <is>
          <t>eng</t>
        </is>
      </c>
      <c r="P1564" t="inlineStr">
        <is>
          <t>txu</t>
        </is>
      </c>
      <c r="Q1564" t="inlineStr">
        <is>
          <t>Texas A &amp; M University military history series ; 59</t>
        </is>
      </c>
      <c r="R1564" t="inlineStr">
        <is>
          <t xml:space="preserve">E  </t>
        </is>
      </c>
      <c r="S1564" t="n">
        <v>6</v>
      </c>
      <c r="T1564" t="n">
        <v>6</v>
      </c>
      <c r="U1564" t="inlineStr">
        <is>
          <t>2003-03-27</t>
        </is>
      </c>
      <c r="V1564" t="inlineStr">
        <is>
          <t>2003-03-27</t>
        </is>
      </c>
      <c r="W1564" t="inlineStr">
        <is>
          <t>1999-07-13</t>
        </is>
      </c>
      <c r="X1564" t="inlineStr">
        <is>
          <t>1999-07-13</t>
        </is>
      </c>
      <c r="Y1564" t="n">
        <v>116</v>
      </c>
      <c r="Z1564" t="n">
        <v>108</v>
      </c>
      <c r="AA1564" t="n">
        <v>1410</v>
      </c>
      <c r="AB1564" t="n">
        <v>1</v>
      </c>
      <c r="AC1564" t="n">
        <v>11</v>
      </c>
      <c r="AD1564" t="n">
        <v>2</v>
      </c>
      <c r="AE1564" t="n">
        <v>43</v>
      </c>
      <c r="AF1564" t="n">
        <v>0</v>
      </c>
      <c r="AG1564" t="n">
        <v>18</v>
      </c>
      <c r="AH1564" t="n">
        <v>1</v>
      </c>
      <c r="AI1564" t="n">
        <v>8</v>
      </c>
      <c r="AJ1564" t="n">
        <v>1</v>
      </c>
      <c r="AK1564" t="n">
        <v>18</v>
      </c>
      <c r="AL1564" t="n">
        <v>0</v>
      </c>
      <c r="AM1564" t="n">
        <v>9</v>
      </c>
      <c r="AN1564" t="n">
        <v>0</v>
      </c>
      <c r="AO1564" t="n">
        <v>0</v>
      </c>
      <c r="AP1564" t="inlineStr">
        <is>
          <t>No</t>
        </is>
      </c>
      <c r="AQ1564" t="inlineStr">
        <is>
          <t>No</t>
        </is>
      </c>
      <c r="AS1564">
        <f>HYPERLINK("https://creighton-primo.hosted.exlibrisgroup.com/primo-explore/search?tab=default_tab&amp;search_scope=EVERYTHING&amp;vid=01CRU&amp;lang=en_US&amp;offset=0&amp;query=any,contains,991002862419702656","Catalog Record")</f>
        <v/>
      </c>
      <c r="AT1564">
        <f>HYPERLINK("http://www.worldcat.org/oclc/37725500","WorldCat Record")</f>
        <v/>
      </c>
      <c r="AU1564" t="inlineStr">
        <is>
          <t>383727:eng</t>
        </is>
      </c>
      <c r="AV1564" t="inlineStr">
        <is>
          <t>37725500</t>
        </is>
      </c>
      <c r="AW1564" t="inlineStr">
        <is>
          <t>991002862419702656</t>
        </is>
      </c>
      <c r="AX1564" t="inlineStr">
        <is>
          <t>991002862419702656</t>
        </is>
      </c>
      <c r="AY1564" t="inlineStr">
        <is>
          <t>2255746260002656</t>
        </is>
      </c>
      <c r="AZ1564" t="inlineStr">
        <is>
          <t>BOOK</t>
        </is>
      </c>
      <c r="BB1564" t="inlineStr">
        <is>
          <t>9780890968161</t>
        </is>
      </c>
      <c r="BC1564" t="inlineStr">
        <is>
          <t>32285003578290</t>
        </is>
      </c>
      <c r="BD1564" t="inlineStr">
        <is>
          <t>893799102</t>
        </is>
      </c>
    </row>
    <row r="1565">
      <c r="A1565" t="inlineStr">
        <is>
          <t>No</t>
        </is>
      </c>
      <c r="B1565" t="inlineStr">
        <is>
          <t>E729 .A64 1971</t>
        </is>
      </c>
      <c r="C1565" t="inlineStr">
        <is>
          <t>0                      E  0729000A  64          1971</t>
        </is>
      </c>
      <c r="D1565" t="inlineStr">
        <is>
          <t>Frederic Remington and the Spanish-American War.</t>
        </is>
      </c>
      <c r="F1565" t="inlineStr">
        <is>
          <t>No</t>
        </is>
      </c>
      <c r="G1565" t="inlineStr">
        <is>
          <t>1</t>
        </is>
      </c>
      <c r="H1565" t="inlineStr">
        <is>
          <t>No</t>
        </is>
      </c>
      <c r="I1565" t="inlineStr">
        <is>
          <t>No</t>
        </is>
      </c>
      <c r="J1565" t="inlineStr">
        <is>
          <t>0</t>
        </is>
      </c>
      <c r="K1565" t="inlineStr">
        <is>
          <t>Allen, Douglas, Jr., 1935-</t>
        </is>
      </c>
      <c r="L1565" t="inlineStr">
        <is>
          <t>New York : Crown, [1971]</t>
        </is>
      </c>
      <c r="M1565" t="inlineStr">
        <is>
          <t>1971</t>
        </is>
      </c>
      <c r="O1565" t="inlineStr">
        <is>
          <t>eng</t>
        </is>
      </c>
      <c r="P1565" t="inlineStr">
        <is>
          <t>nyu</t>
        </is>
      </c>
      <c r="R1565" t="inlineStr">
        <is>
          <t xml:space="preserve">E  </t>
        </is>
      </c>
      <c r="S1565" t="n">
        <v>1</v>
      </c>
      <c r="T1565" t="n">
        <v>1</v>
      </c>
      <c r="U1565" t="inlineStr">
        <is>
          <t>1997-11-18</t>
        </is>
      </c>
      <c r="V1565" t="inlineStr">
        <is>
          <t>1997-11-18</t>
        </is>
      </c>
      <c r="W1565" t="inlineStr">
        <is>
          <t>1997-04-22</t>
        </is>
      </c>
      <c r="X1565" t="inlineStr">
        <is>
          <t>1997-04-22</t>
        </is>
      </c>
      <c r="Y1565" t="n">
        <v>618</v>
      </c>
      <c r="Z1565" t="n">
        <v>589</v>
      </c>
      <c r="AA1565" t="n">
        <v>598</v>
      </c>
      <c r="AB1565" t="n">
        <v>3</v>
      </c>
      <c r="AC1565" t="n">
        <v>3</v>
      </c>
      <c r="AD1565" t="n">
        <v>15</v>
      </c>
      <c r="AE1565" t="n">
        <v>15</v>
      </c>
      <c r="AF1565" t="n">
        <v>7</v>
      </c>
      <c r="AG1565" t="n">
        <v>7</v>
      </c>
      <c r="AH1565" t="n">
        <v>3</v>
      </c>
      <c r="AI1565" t="n">
        <v>3</v>
      </c>
      <c r="AJ1565" t="n">
        <v>5</v>
      </c>
      <c r="AK1565" t="n">
        <v>5</v>
      </c>
      <c r="AL1565" t="n">
        <v>2</v>
      </c>
      <c r="AM1565" t="n">
        <v>2</v>
      </c>
      <c r="AN1565" t="n">
        <v>0</v>
      </c>
      <c r="AO1565" t="n">
        <v>0</v>
      </c>
      <c r="AP1565" t="inlineStr">
        <is>
          <t>No</t>
        </is>
      </c>
      <c r="AQ1565" t="inlineStr">
        <is>
          <t>Yes</t>
        </is>
      </c>
      <c r="AR1565">
        <f>HYPERLINK("http://catalog.hathitrust.org/Record/000465597","HathiTrust Record")</f>
        <v/>
      </c>
      <c r="AS1565">
        <f>HYPERLINK("https://creighton-primo.hosted.exlibrisgroup.com/primo-explore/search?tab=default_tab&amp;search_scope=EVERYTHING&amp;vid=01CRU&amp;lang=en_US&amp;offset=0&amp;query=any,contains,991000783529702656","Catalog Record")</f>
        <v/>
      </c>
      <c r="AT1565">
        <f>HYPERLINK("http://www.worldcat.org/oclc/135769","WorldCat Record")</f>
        <v/>
      </c>
      <c r="AU1565" t="inlineStr">
        <is>
          <t>1284139:eng</t>
        </is>
      </c>
      <c r="AV1565" t="inlineStr">
        <is>
          <t>135769</t>
        </is>
      </c>
      <c r="AW1565" t="inlineStr">
        <is>
          <t>991000783529702656</t>
        </is>
      </c>
      <c r="AX1565" t="inlineStr">
        <is>
          <t>991000783529702656</t>
        </is>
      </c>
      <c r="AY1565" t="inlineStr">
        <is>
          <t>2263341830002656</t>
        </is>
      </c>
      <c r="AZ1565" t="inlineStr">
        <is>
          <t>BOOK</t>
        </is>
      </c>
      <c r="BC1565" t="inlineStr">
        <is>
          <t>32285002560968</t>
        </is>
      </c>
      <c r="BD1565" t="inlineStr">
        <is>
          <t>893419769</t>
        </is>
      </c>
    </row>
    <row r="1566">
      <c r="A1566" t="inlineStr">
        <is>
          <t>No</t>
        </is>
      </c>
      <c r="B1566" t="inlineStr">
        <is>
          <t>E741 .A64</t>
        </is>
      </c>
      <c r="C1566" t="inlineStr">
        <is>
          <t>0                      E  0741000A  64</t>
        </is>
      </c>
      <c r="D1566" t="inlineStr">
        <is>
          <t>Only yesterday : an informal history of the nineteen-twenties / by Frederick Lewis Allen.</t>
        </is>
      </c>
      <c r="F1566" t="inlineStr">
        <is>
          <t>No</t>
        </is>
      </c>
      <c r="G1566" t="inlineStr">
        <is>
          <t>1</t>
        </is>
      </c>
      <c r="H1566" t="inlineStr">
        <is>
          <t>No</t>
        </is>
      </c>
      <c r="I1566" t="inlineStr">
        <is>
          <t>No</t>
        </is>
      </c>
      <c r="J1566" t="inlineStr">
        <is>
          <t>0</t>
        </is>
      </c>
      <c r="K1566" t="inlineStr">
        <is>
          <t>Allen, Frederick Lewis, 1890-1954.</t>
        </is>
      </c>
      <c r="L1566" t="inlineStr">
        <is>
          <t>New York : London, Harper &amp; Brothers, 1931.</t>
        </is>
      </c>
      <c r="M1566" t="inlineStr">
        <is>
          <t>1931</t>
        </is>
      </c>
      <c r="O1566" t="inlineStr">
        <is>
          <t>eng</t>
        </is>
      </c>
      <c r="P1566" t="inlineStr">
        <is>
          <t>nyu</t>
        </is>
      </c>
      <c r="R1566" t="inlineStr">
        <is>
          <t xml:space="preserve">E  </t>
        </is>
      </c>
      <c r="S1566" t="n">
        <v>9</v>
      </c>
      <c r="T1566" t="n">
        <v>9</v>
      </c>
      <c r="U1566" t="inlineStr">
        <is>
          <t>2002-09-30</t>
        </is>
      </c>
      <c r="V1566" t="inlineStr">
        <is>
          <t>2002-09-30</t>
        </is>
      </c>
      <c r="W1566" t="inlineStr">
        <is>
          <t>1990-03-21</t>
        </is>
      </c>
      <c r="X1566" t="inlineStr">
        <is>
          <t>1990-03-21</t>
        </is>
      </c>
      <c r="Y1566" t="n">
        <v>1240</v>
      </c>
      <c r="Z1566" t="n">
        <v>1148</v>
      </c>
      <c r="AA1566" t="n">
        <v>2171</v>
      </c>
      <c r="AB1566" t="n">
        <v>13</v>
      </c>
      <c r="AC1566" t="n">
        <v>18</v>
      </c>
      <c r="AD1566" t="n">
        <v>40</v>
      </c>
      <c r="AE1566" t="n">
        <v>51</v>
      </c>
      <c r="AF1566" t="n">
        <v>20</v>
      </c>
      <c r="AG1566" t="n">
        <v>24</v>
      </c>
      <c r="AH1566" t="n">
        <v>5</v>
      </c>
      <c r="AI1566" t="n">
        <v>8</v>
      </c>
      <c r="AJ1566" t="n">
        <v>15</v>
      </c>
      <c r="AK1566" t="n">
        <v>21</v>
      </c>
      <c r="AL1566" t="n">
        <v>9</v>
      </c>
      <c r="AM1566" t="n">
        <v>9</v>
      </c>
      <c r="AN1566" t="n">
        <v>0</v>
      </c>
      <c r="AO1566" t="n">
        <v>0</v>
      </c>
      <c r="AP1566" t="inlineStr">
        <is>
          <t>No</t>
        </is>
      </c>
      <c r="AQ1566" t="inlineStr">
        <is>
          <t>Yes</t>
        </is>
      </c>
      <c r="AR1566">
        <f>HYPERLINK("http://catalog.hathitrust.org/Record/000326882","HathiTrust Record")</f>
        <v/>
      </c>
      <c r="AS1566">
        <f>HYPERLINK("https://creighton-primo.hosted.exlibrisgroup.com/primo-explore/search?tab=default_tab&amp;search_scope=EVERYTHING&amp;vid=01CRU&amp;lang=en_US&amp;offset=0&amp;query=any,contains,991004225919702656","Catalog Record")</f>
        <v/>
      </c>
      <c r="AT1566">
        <f>HYPERLINK("http://www.worldcat.org/oclc/2730160","WorldCat Record")</f>
        <v/>
      </c>
      <c r="AU1566" t="inlineStr">
        <is>
          <t>5534204059:eng</t>
        </is>
      </c>
      <c r="AV1566" t="inlineStr">
        <is>
          <t>2730160</t>
        </is>
      </c>
      <c r="AW1566" t="inlineStr">
        <is>
          <t>991004225919702656</t>
        </is>
      </c>
      <c r="AX1566" t="inlineStr">
        <is>
          <t>991004225919702656</t>
        </is>
      </c>
      <c r="AY1566" t="inlineStr">
        <is>
          <t>2263316540002656</t>
        </is>
      </c>
      <c r="AZ1566" t="inlineStr">
        <is>
          <t>BOOK</t>
        </is>
      </c>
      <c r="BC1566" t="inlineStr">
        <is>
          <t>32285000091792</t>
        </is>
      </c>
      <c r="BD1566" t="inlineStr">
        <is>
          <t>893532149</t>
        </is>
      </c>
    </row>
    <row r="1567">
      <c r="A1567" t="inlineStr">
        <is>
          <t>No</t>
        </is>
      </c>
      <c r="B1567" t="inlineStr">
        <is>
          <t>E741 .A66 1943</t>
        </is>
      </c>
      <c r="C1567" t="inlineStr">
        <is>
          <t>0                      E  0741000A  66          1943</t>
        </is>
      </c>
      <c r="D1567" t="inlineStr">
        <is>
          <t>Since yesterday : the nineteen-thirties in America, September 3, 1929-September 3, 1939 / by Frederick Lewis Allen.</t>
        </is>
      </c>
      <c r="F1567" t="inlineStr">
        <is>
          <t>No</t>
        </is>
      </c>
      <c r="G1567" t="inlineStr">
        <is>
          <t>1</t>
        </is>
      </c>
      <c r="H1567" t="inlineStr">
        <is>
          <t>No</t>
        </is>
      </c>
      <c r="I1567" t="inlineStr">
        <is>
          <t>No</t>
        </is>
      </c>
      <c r="J1567" t="inlineStr">
        <is>
          <t>0</t>
        </is>
      </c>
      <c r="K1567" t="inlineStr">
        <is>
          <t>Allen, Frederick Lewis, 1890-1954.</t>
        </is>
      </c>
      <c r="L1567" t="inlineStr">
        <is>
          <t>Garden City, N.Y. : Blue Ribbon books, [1943]</t>
        </is>
      </c>
      <c r="M1567" t="inlineStr">
        <is>
          <t>1943</t>
        </is>
      </c>
      <c r="O1567" t="inlineStr">
        <is>
          <t>eng</t>
        </is>
      </c>
      <c r="P1567" t="inlineStr">
        <is>
          <t>___</t>
        </is>
      </c>
      <c r="R1567" t="inlineStr">
        <is>
          <t xml:space="preserve">E  </t>
        </is>
      </c>
      <c r="S1567" t="n">
        <v>1</v>
      </c>
      <c r="T1567" t="n">
        <v>1</v>
      </c>
      <c r="U1567" t="inlineStr">
        <is>
          <t>1992-02-20</t>
        </is>
      </c>
      <c r="V1567" t="inlineStr">
        <is>
          <t>1992-02-20</t>
        </is>
      </c>
      <c r="W1567" t="inlineStr">
        <is>
          <t>1991-05-16</t>
        </is>
      </c>
      <c r="X1567" t="inlineStr">
        <is>
          <t>1991-05-16</t>
        </is>
      </c>
      <c r="Y1567" t="n">
        <v>62</v>
      </c>
      <c r="Z1567" t="n">
        <v>58</v>
      </c>
      <c r="AA1567" t="n">
        <v>1828</v>
      </c>
      <c r="AB1567" t="n">
        <v>1</v>
      </c>
      <c r="AC1567" t="n">
        <v>16</v>
      </c>
      <c r="AD1567" t="n">
        <v>1</v>
      </c>
      <c r="AE1567" t="n">
        <v>56</v>
      </c>
      <c r="AF1567" t="n">
        <v>1</v>
      </c>
      <c r="AG1567" t="n">
        <v>25</v>
      </c>
      <c r="AH1567" t="n">
        <v>0</v>
      </c>
      <c r="AI1567" t="n">
        <v>9</v>
      </c>
      <c r="AJ1567" t="n">
        <v>0</v>
      </c>
      <c r="AK1567" t="n">
        <v>23</v>
      </c>
      <c r="AL1567" t="n">
        <v>0</v>
      </c>
      <c r="AM1567" t="n">
        <v>10</v>
      </c>
      <c r="AN1567" t="n">
        <v>0</v>
      </c>
      <c r="AO1567" t="n">
        <v>1</v>
      </c>
      <c r="AP1567" t="inlineStr">
        <is>
          <t>No</t>
        </is>
      </c>
      <c r="AQ1567" t="inlineStr">
        <is>
          <t>Yes</t>
        </is>
      </c>
      <c r="AR1567">
        <f>HYPERLINK("http://catalog.hathitrust.org/Record/009915559","HathiTrust Record")</f>
        <v/>
      </c>
      <c r="AS1567">
        <f>HYPERLINK("https://creighton-primo.hosted.exlibrisgroup.com/primo-explore/search?tab=default_tab&amp;search_scope=EVERYTHING&amp;vid=01CRU&amp;lang=en_US&amp;offset=0&amp;query=any,contains,991003093599702656","Catalog Record")</f>
        <v/>
      </c>
      <c r="AT1567">
        <f>HYPERLINK("http://www.worldcat.org/oclc/643790","WorldCat Record")</f>
        <v/>
      </c>
      <c r="AU1567" t="inlineStr">
        <is>
          <t>2192316:eng</t>
        </is>
      </c>
      <c r="AV1567" t="inlineStr">
        <is>
          <t>643790</t>
        </is>
      </c>
      <c r="AW1567" t="inlineStr">
        <is>
          <t>991003093599702656</t>
        </is>
      </c>
      <c r="AX1567" t="inlineStr">
        <is>
          <t>991003093599702656</t>
        </is>
      </c>
      <c r="AY1567" t="inlineStr">
        <is>
          <t>2258446030002656</t>
        </is>
      </c>
      <c r="AZ1567" t="inlineStr">
        <is>
          <t>BOOK</t>
        </is>
      </c>
      <c r="BC1567" t="inlineStr">
        <is>
          <t>32285000611714</t>
        </is>
      </c>
      <c r="BD1567" t="inlineStr">
        <is>
          <t>893899619</t>
        </is>
      </c>
    </row>
    <row r="1568">
      <c r="A1568" t="inlineStr">
        <is>
          <t>No</t>
        </is>
      </c>
      <c r="B1568" t="inlineStr">
        <is>
          <t>E741 .B4</t>
        </is>
      </c>
      <c r="C1568" t="inlineStr">
        <is>
          <t>0                      E  0741000B  4</t>
        </is>
      </c>
      <c r="D1568" t="inlineStr">
        <is>
          <t>Twentieth-century America : recent interpretations / edited by Barton J. Bernstein and Allen J. Matusow.</t>
        </is>
      </c>
      <c r="F1568" t="inlineStr">
        <is>
          <t>No</t>
        </is>
      </c>
      <c r="G1568" t="inlineStr">
        <is>
          <t>1</t>
        </is>
      </c>
      <c r="H1568" t="inlineStr">
        <is>
          <t>No</t>
        </is>
      </c>
      <c r="I1568" t="inlineStr">
        <is>
          <t>No</t>
        </is>
      </c>
      <c r="J1568" t="inlineStr">
        <is>
          <t>0</t>
        </is>
      </c>
      <c r="K1568" t="inlineStr">
        <is>
          <t>Bernstein, Barton J. compiler.</t>
        </is>
      </c>
      <c r="L1568" t="inlineStr">
        <is>
          <t>New York : Harcourt, Brace &amp; World, [1969]</t>
        </is>
      </c>
      <c r="M1568" t="inlineStr">
        <is>
          <t>1969</t>
        </is>
      </c>
      <c r="O1568" t="inlineStr">
        <is>
          <t>eng</t>
        </is>
      </c>
      <c r="P1568" t="inlineStr">
        <is>
          <t>nyu</t>
        </is>
      </c>
      <c r="R1568" t="inlineStr">
        <is>
          <t xml:space="preserve">E  </t>
        </is>
      </c>
      <c r="S1568" t="n">
        <v>2</v>
      </c>
      <c r="T1568" t="n">
        <v>2</v>
      </c>
      <c r="U1568" t="inlineStr">
        <is>
          <t>1995-12-04</t>
        </is>
      </c>
      <c r="V1568" t="inlineStr">
        <is>
          <t>1995-12-04</t>
        </is>
      </c>
      <c r="W1568" t="inlineStr">
        <is>
          <t>1990-02-23</t>
        </is>
      </c>
      <c r="X1568" t="inlineStr">
        <is>
          <t>1990-02-23</t>
        </is>
      </c>
      <c r="Y1568" t="n">
        <v>455</v>
      </c>
      <c r="Z1568" t="n">
        <v>365</v>
      </c>
      <c r="AA1568" t="n">
        <v>616</v>
      </c>
      <c r="AB1568" t="n">
        <v>3</v>
      </c>
      <c r="AC1568" t="n">
        <v>5</v>
      </c>
      <c r="AD1568" t="n">
        <v>14</v>
      </c>
      <c r="AE1568" t="n">
        <v>27</v>
      </c>
      <c r="AF1568" t="n">
        <v>2</v>
      </c>
      <c r="AG1568" t="n">
        <v>10</v>
      </c>
      <c r="AH1568" t="n">
        <v>4</v>
      </c>
      <c r="AI1568" t="n">
        <v>7</v>
      </c>
      <c r="AJ1568" t="n">
        <v>8</v>
      </c>
      <c r="AK1568" t="n">
        <v>13</v>
      </c>
      <c r="AL1568" t="n">
        <v>2</v>
      </c>
      <c r="AM1568" t="n">
        <v>3</v>
      </c>
      <c r="AN1568" t="n">
        <v>0</v>
      </c>
      <c r="AO1568" t="n">
        <v>0</v>
      </c>
      <c r="AP1568" t="inlineStr">
        <is>
          <t>No</t>
        </is>
      </c>
      <c r="AQ1568" t="inlineStr">
        <is>
          <t>Yes</t>
        </is>
      </c>
      <c r="AR1568">
        <f>HYPERLINK("http://catalog.hathitrust.org/Record/007480623","HathiTrust Record")</f>
        <v/>
      </c>
      <c r="AS1568">
        <f>HYPERLINK("https://creighton-primo.hosted.exlibrisgroup.com/primo-explore/search?tab=default_tab&amp;search_scope=EVERYTHING&amp;vid=01CRU&amp;lang=en_US&amp;offset=0&amp;query=any,contains,991000000599702656","Catalog Record")</f>
        <v/>
      </c>
      <c r="AT1568">
        <f>HYPERLINK("http://www.worldcat.org/oclc/8540","WorldCat Record")</f>
        <v/>
      </c>
      <c r="AU1568" t="inlineStr">
        <is>
          <t>413919:eng</t>
        </is>
      </c>
      <c r="AV1568" t="inlineStr">
        <is>
          <t>8540</t>
        </is>
      </c>
      <c r="AW1568" t="inlineStr">
        <is>
          <t>991000000599702656</t>
        </is>
      </c>
      <c r="AX1568" t="inlineStr">
        <is>
          <t>991000000599702656</t>
        </is>
      </c>
      <c r="AY1568" t="inlineStr">
        <is>
          <t>2268081880002656</t>
        </is>
      </c>
      <c r="AZ1568" t="inlineStr">
        <is>
          <t>BOOK</t>
        </is>
      </c>
      <c r="BC1568" t="inlineStr">
        <is>
          <t>32285000060771</t>
        </is>
      </c>
      <c r="BD1568" t="inlineStr">
        <is>
          <t>893607529</t>
        </is>
      </c>
    </row>
    <row r="1569">
      <c r="A1569" t="inlineStr">
        <is>
          <t>No</t>
        </is>
      </c>
      <c r="B1569" t="inlineStr">
        <is>
          <t>E741 .C53</t>
        </is>
      </c>
      <c r="C1569" t="inlineStr">
        <is>
          <t>0                      E  0741000C  53</t>
        </is>
      </c>
      <c r="D1569" t="inlineStr">
        <is>
          <t>The tyranny of change : America in the Progressive Era, 1900-1917 / John Whiteclay Chambers II ; under the general editorship of Vincent P. Carosso.</t>
        </is>
      </c>
      <c r="F1569" t="inlineStr">
        <is>
          <t>No</t>
        </is>
      </c>
      <c r="G1569" t="inlineStr">
        <is>
          <t>1</t>
        </is>
      </c>
      <c r="H1569" t="inlineStr">
        <is>
          <t>No</t>
        </is>
      </c>
      <c r="I1569" t="inlineStr">
        <is>
          <t>No</t>
        </is>
      </c>
      <c r="J1569" t="inlineStr">
        <is>
          <t>0</t>
        </is>
      </c>
      <c r="K1569" t="inlineStr">
        <is>
          <t>Chambers, John Whiteclay, II, 1936-</t>
        </is>
      </c>
      <c r="L1569" t="inlineStr">
        <is>
          <t>New York : St. Martin's Press, c1980.</t>
        </is>
      </c>
      <c r="M1569" t="inlineStr">
        <is>
          <t>1980</t>
        </is>
      </c>
      <c r="O1569" t="inlineStr">
        <is>
          <t>eng</t>
        </is>
      </c>
      <c r="P1569" t="inlineStr">
        <is>
          <t xml:space="preserve">xx </t>
        </is>
      </c>
      <c r="Q1569" t="inlineStr">
        <is>
          <t>The St. Martin's series in twentieth century United States history</t>
        </is>
      </c>
      <c r="R1569" t="inlineStr">
        <is>
          <t xml:space="preserve">E  </t>
        </is>
      </c>
      <c r="S1569" t="n">
        <v>3</v>
      </c>
      <c r="T1569" t="n">
        <v>3</v>
      </c>
      <c r="U1569" t="inlineStr">
        <is>
          <t>1997-05-22</t>
        </is>
      </c>
      <c r="V1569" t="inlineStr">
        <is>
          <t>1997-05-22</t>
        </is>
      </c>
      <c r="W1569" t="inlineStr">
        <is>
          <t>1991-05-16</t>
        </is>
      </c>
      <c r="X1569" t="inlineStr">
        <is>
          <t>1991-05-16</t>
        </is>
      </c>
      <c r="Y1569" t="n">
        <v>646</v>
      </c>
      <c r="Z1569" t="n">
        <v>581</v>
      </c>
      <c r="AA1569" t="n">
        <v>813</v>
      </c>
      <c r="AB1569" t="n">
        <v>5</v>
      </c>
      <c r="AC1569" t="n">
        <v>6</v>
      </c>
      <c r="AD1569" t="n">
        <v>27</v>
      </c>
      <c r="AE1569" t="n">
        <v>35</v>
      </c>
      <c r="AF1569" t="n">
        <v>10</v>
      </c>
      <c r="AG1569" t="n">
        <v>14</v>
      </c>
      <c r="AH1569" t="n">
        <v>8</v>
      </c>
      <c r="AI1569" t="n">
        <v>8</v>
      </c>
      <c r="AJ1569" t="n">
        <v>9</v>
      </c>
      <c r="AK1569" t="n">
        <v>14</v>
      </c>
      <c r="AL1569" t="n">
        <v>4</v>
      </c>
      <c r="AM1569" t="n">
        <v>5</v>
      </c>
      <c r="AN1569" t="n">
        <v>0</v>
      </c>
      <c r="AO1569" t="n">
        <v>0</v>
      </c>
      <c r="AP1569" t="inlineStr">
        <is>
          <t>No</t>
        </is>
      </c>
      <c r="AQ1569" t="inlineStr">
        <is>
          <t>No</t>
        </is>
      </c>
      <c r="AS1569">
        <f>HYPERLINK("https://creighton-primo.hosted.exlibrisgroup.com/primo-explore/search?tab=default_tab&amp;search_scope=EVERYTHING&amp;vid=01CRU&amp;lang=en_US&amp;offset=0&amp;query=any,contains,991004999879702656","Catalog Record")</f>
        <v/>
      </c>
      <c r="AT1569">
        <f>HYPERLINK("http://www.worldcat.org/oclc/6534947","WorldCat Record")</f>
        <v/>
      </c>
      <c r="AU1569" t="inlineStr">
        <is>
          <t>27527823:eng</t>
        </is>
      </c>
      <c r="AV1569" t="inlineStr">
        <is>
          <t>6534947</t>
        </is>
      </c>
      <c r="AW1569" t="inlineStr">
        <is>
          <t>991004999879702656</t>
        </is>
      </c>
      <c r="AX1569" t="inlineStr">
        <is>
          <t>991004999879702656</t>
        </is>
      </c>
      <c r="AY1569" t="inlineStr">
        <is>
          <t>2263371120002656</t>
        </is>
      </c>
      <c r="AZ1569" t="inlineStr">
        <is>
          <t>BOOK</t>
        </is>
      </c>
      <c r="BB1569" t="inlineStr">
        <is>
          <t>9780312827571</t>
        </is>
      </c>
      <c r="BC1569" t="inlineStr">
        <is>
          <t>32285000611722</t>
        </is>
      </c>
      <c r="BD1569" t="inlineStr">
        <is>
          <t>893338357</t>
        </is>
      </c>
    </row>
    <row r="1570">
      <c r="A1570" t="inlineStr">
        <is>
          <t>No</t>
        </is>
      </c>
      <c r="B1570" t="inlineStr">
        <is>
          <t>E741 .G475 2001</t>
        </is>
      </c>
      <c r="C1570" t="inlineStr">
        <is>
          <t>0                      E  0741000G  475         2001</t>
        </is>
      </c>
      <c r="D1570" t="inlineStr">
        <is>
          <t>American crucible : race and nation in the twentieth century / Gary Gerstle.</t>
        </is>
      </c>
      <c r="F1570" t="inlineStr">
        <is>
          <t>No</t>
        </is>
      </c>
      <c r="G1570" t="inlineStr">
        <is>
          <t>1</t>
        </is>
      </c>
      <c r="H1570" t="inlineStr">
        <is>
          <t>No</t>
        </is>
      </c>
      <c r="I1570" t="inlineStr">
        <is>
          <t>No</t>
        </is>
      </c>
      <c r="J1570" t="inlineStr">
        <is>
          <t>0</t>
        </is>
      </c>
      <c r="K1570" t="inlineStr">
        <is>
          <t>Gerstle, Gary, 1954-</t>
        </is>
      </c>
      <c r="L1570" t="inlineStr">
        <is>
          <t>Princeton : Princeton University Press, c2001.</t>
        </is>
      </c>
      <c r="M1570" t="inlineStr">
        <is>
          <t>2001</t>
        </is>
      </c>
      <c r="O1570" t="inlineStr">
        <is>
          <t>eng</t>
        </is>
      </c>
      <c r="P1570" t="inlineStr">
        <is>
          <t>nju</t>
        </is>
      </c>
      <c r="R1570" t="inlineStr">
        <is>
          <t xml:space="preserve">E  </t>
        </is>
      </c>
      <c r="S1570" t="n">
        <v>1</v>
      </c>
      <c r="T1570" t="n">
        <v>1</v>
      </c>
      <c r="U1570" t="inlineStr">
        <is>
          <t>2002-01-08</t>
        </is>
      </c>
      <c r="V1570" t="inlineStr">
        <is>
          <t>2002-01-08</t>
        </is>
      </c>
      <c r="W1570" t="inlineStr">
        <is>
          <t>2002-01-08</t>
        </is>
      </c>
      <c r="X1570" t="inlineStr">
        <is>
          <t>2002-01-08</t>
        </is>
      </c>
      <c r="Y1570" t="n">
        <v>1131</v>
      </c>
      <c r="Z1570" t="n">
        <v>988</v>
      </c>
      <c r="AA1570" t="n">
        <v>1238</v>
      </c>
      <c r="AB1570" t="n">
        <v>7</v>
      </c>
      <c r="AC1570" t="n">
        <v>9</v>
      </c>
      <c r="AD1570" t="n">
        <v>46</v>
      </c>
      <c r="AE1570" t="n">
        <v>55</v>
      </c>
      <c r="AF1570" t="n">
        <v>19</v>
      </c>
      <c r="AG1570" t="n">
        <v>25</v>
      </c>
      <c r="AH1570" t="n">
        <v>9</v>
      </c>
      <c r="AI1570" t="n">
        <v>10</v>
      </c>
      <c r="AJ1570" t="n">
        <v>20</v>
      </c>
      <c r="AK1570" t="n">
        <v>21</v>
      </c>
      <c r="AL1570" t="n">
        <v>5</v>
      </c>
      <c r="AM1570" t="n">
        <v>7</v>
      </c>
      <c r="AN1570" t="n">
        <v>4</v>
      </c>
      <c r="AO1570" t="n">
        <v>4</v>
      </c>
      <c r="AP1570" t="inlineStr">
        <is>
          <t>No</t>
        </is>
      </c>
      <c r="AQ1570" t="inlineStr">
        <is>
          <t>No</t>
        </is>
      </c>
      <c r="AS1570">
        <f>HYPERLINK("https://creighton-primo.hosted.exlibrisgroup.com/primo-explore/search?tab=default_tab&amp;search_scope=EVERYTHING&amp;vid=01CRU&amp;lang=en_US&amp;offset=0&amp;query=any,contains,991003698289702656","Catalog Record")</f>
        <v/>
      </c>
      <c r="AT1570">
        <f>HYPERLINK("http://www.worldcat.org/oclc/45223578","WorldCat Record")</f>
        <v/>
      </c>
      <c r="AU1570" t="inlineStr">
        <is>
          <t>795321750:eng</t>
        </is>
      </c>
      <c r="AV1570" t="inlineStr">
        <is>
          <t>45223578</t>
        </is>
      </c>
      <c r="AW1570" t="inlineStr">
        <is>
          <t>991003698289702656</t>
        </is>
      </c>
      <c r="AX1570" t="inlineStr">
        <is>
          <t>991003698289702656</t>
        </is>
      </c>
      <c r="AY1570" t="inlineStr">
        <is>
          <t>2264844700002656</t>
        </is>
      </c>
      <c r="AZ1570" t="inlineStr">
        <is>
          <t>BOOK</t>
        </is>
      </c>
      <c r="BB1570" t="inlineStr">
        <is>
          <t>9780691049847</t>
        </is>
      </c>
      <c r="BC1570" t="inlineStr">
        <is>
          <t>32285004446661</t>
        </is>
      </c>
      <c r="BD1570" t="inlineStr">
        <is>
          <t>893435317</t>
        </is>
      </c>
    </row>
    <row r="1571">
      <c r="A1571" t="inlineStr">
        <is>
          <t>No</t>
        </is>
      </c>
      <c r="B1571" t="inlineStr">
        <is>
          <t>E741 .L55</t>
        </is>
      </c>
      <c r="C1571" t="inlineStr">
        <is>
          <t>0                      E  0741000L  55</t>
        </is>
      </c>
      <c r="D1571" t="inlineStr">
        <is>
          <t>American epoch; a history of the United States since the 1890's.</t>
        </is>
      </c>
      <c r="F1571" t="inlineStr">
        <is>
          <t>No</t>
        </is>
      </c>
      <c r="G1571" t="inlineStr">
        <is>
          <t>1</t>
        </is>
      </c>
      <c r="H1571" t="inlineStr">
        <is>
          <t>No</t>
        </is>
      </c>
      <c r="I1571" t="inlineStr">
        <is>
          <t>No</t>
        </is>
      </c>
      <c r="J1571" t="inlineStr">
        <is>
          <t>0</t>
        </is>
      </c>
      <c r="K1571" t="inlineStr">
        <is>
          <t>Link, Arthur S. (Arthur Stanley), 1920-1998.</t>
        </is>
      </c>
      <c r="L1571" t="inlineStr">
        <is>
          <t>New York, Knopf, 1955.</t>
        </is>
      </c>
      <c r="M1571" t="inlineStr">
        <is>
          <t>1955</t>
        </is>
      </c>
      <c r="N1571" t="inlineStr">
        <is>
          <t>[1st ed.]</t>
        </is>
      </c>
      <c r="O1571" t="inlineStr">
        <is>
          <t>eng</t>
        </is>
      </c>
      <c r="P1571" t="inlineStr">
        <is>
          <t>nyu</t>
        </is>
      </c>
      <c r="R1571" t="inlineStr">
        <is>
          <t xml:space="preserve">E  </t>
        </is>
      </c>
      <c r="S1571" t="n">
        <v>1</v>
      </c>
      <c r="T1571" t="n">
        <v>1</v>
      </c>
      <c r="U1571" t="inlineStr">
        <is>
          <t>1997-05-22</t>
        </is>
      </c>
      <c r="V1571" t="inlineStr">
        <is>
          <t>1997-05-22</t>
        </is>
      </c>
      <c r="W1571" t="inlineStr">
        <is>
          <t>1997-04-23</t>
        </is>
      </c>
      <c r="X1571" t="inlineStr">
        <is>
          <t>1997-04-23</t>
        </is>
      </c>
      <c r="Y1571" t="n">
        <v>581</v>
      </c>
      <c r="Z1571" t="n">
        <v>525</v>
      </c>
      <c r="AA1571" t="n">
        <v>1434</v>
      </c>
      <c r="AB1571" t="n">
        <v>4</v>
      </c>
      <c r="AC1571" t="n">
        <v>10</v>
      </c>
      <c r="AD1571" t="n">
        <v>20</v>
      </c>
      <c r="AE1571" t="n">
        <v>51</v>
      </c>
      <c r="AF1571" t="n">
        <v>9</v>
      </c>
      <c r="AG1571" t="n">
        <v>22</v>
      </c>
      <c r="AH1571" t="n">
        <v>4</v>
      </c>
      <c r="AI1571" t="n">
        <v>9</v>
      </c>
      <c r="AJ1571" t="n">
        <v>8</v>
      </c>
      <c r="AK1571" t="n">
        <v>21</v>
      </c>
      <c r="AL1571" t="n">
        <v>3</v>
      </c>
      <c r="AM1571" t="n">
        <v>9</v>
      </c>
      <c r="AN1571" t="n">
        <v>1</v>
      </c>
      <c r="AO1571" t="n">
        <v>1</v>
      </c>
      <c r="AP1571" t="inlineStr">
        <is>
          <t>No</t>
        </is>
      </c>
      <c r="AQ1571" t="inlineStr">
        <is>
          <t>Yes</t>
        </is>
      </c>
      <c r="AR1571">
        <f>HYPERLINK("http://catalog.hathitrust.org/Record/102449670","HathiTrust Record")</f>
        <v/>
      </c>
      <c r="AS1571">
        <f>HYPERLINK("https://creighton-primo.hosted.exlibrisgroup.com/primo-explore/search?tab=default_tab&amp;search_scope=EVERYTHING&amp;vid=01CRU&amp;lang=en_US&amp;offset=0&amp;query=any,contains,991002291489702656","Catalog Record")</f>
        <v/>
      </c>
      <c r="AT1571">
        <f>HYPERLINK("http://www.worldcat.org/oclc/313271","WorldCat Record")</f>
        <v/>
      </c>
      <c r="AU1571" t="inlineStr">
        <is>
          <t>1377410:eng</t>
        </is>
      </c>
      <c r="AV1571" t="inlineStr">
        <is>
          <t>313271</t>
        </is>
      </c>
      <c r="AW1571" t="inlineStr">
        <is>
          <t>991002291489702656</t>
        </is>
      </c>
      <c r="AX1571" t="inlineStr">
        <is>
          <t>991002291489702656</t>
        </is>
      </c>
      <c r="AY1571" t="inlineStr">
        <is>
          <t>2269812040002656</t>
        </is>
      </c>
      <c r="AZ1571" t="inlineStr">
        <is>
          <t>BOOK</t>
        </is>
      </c>
      <c r="BC1571" t="inlineStr">
        <is>
          <t>32285002561131</t>
        </is>
      </c>
      <c r="BD1571" t="inlineStr">
        <is>
          <t>893615942</t>
        </is>
      </c>
    </row>
    <row r="1572">
      <c r="A1572" t="inlineStr">
        <is>
          <t>No</t>
        </is>
      </c>
      <c r="B1572" t="inlineStr">
        <is>
          <t>E741 .R34 1957</t>
        </is>
      </c>
      <c r="C1572" t="inlineStr">
        <is>
          <t>0                      E  0741000R  34          1957</t>
        </is>
      </c>
      <c r="D1572" t="inlineStr">
        <is>
          <t>The era of the muckrakers, by C. C. Regier.</t>
        </is>
      </c>
      <c r="F1572" t="inlineStr">
        <is>
          <t>No</t>
        </is>
      </c>
      <c r="G1572" t="inlineStr">
        <is>
          <t>1</t>
        </is>
      </c>
      <c r="H1572" t="inlineStr">
        <is>
          <t>No</t>
        </is>
      </c>
      <c r="I1572" t="inlineStr">
        <is>
          <t>No</t>
        </is>
      </c>
      <c r="J1572" t="inlineStr">
        <is>
          <t>0</t>
        </is>
      </c>
      <c r="K1572" t="inlineStr">
        <is>
          <t>Regier, C. C. (Cornelius C.), 1884-1950.</t>
        </is>
      </c>
      <c r="L1572" t="inlineStr">
        <is>
          <t>Gloucester, Mass., Peter Smith, 1957.</t>
        </is>
      </c>
      <c r="M1572" t="inlineStr">
        <is>
          <t>1957</t>
        </is>
      </c>
      <c r="O1572" t="inlineStr">
        <is>
          <t>eng</t>
        </is>
      </c>
      <c r="P1572" t="inlineStr">
        <is>
          <t>___</t>
        </is>
      </c>
      <c r="R1572" t="inlineStr">
        <is>
          <t xml:space="preserve">E  </t>
        </is>
      </c>
      <c r="S1572" t="n">
        <v>1</v>
      </c>
      <c r="T1572" t="n">
        <v>1</v>
      </c>
      <c r="U1572" t="inlineStr">
        <is>
          <t>1997-05-22</t>
        </is>
      </c>
      <c r="V1572" t="inlineStr">
        <is>
          <t>1997-05-22</t>
        </is>
      </c>
      <c r="W1572" t="inlineStr">
        <is>
          <t>1991-05-16</t>
        </is>
      </c>
      <c r="X1572" t="inlineStr">
        <is>
          <t>1991-05-16</t>
        </is>
      </c>
      <c r="Y1572" t="n">
        <v>559</v>
      </c>
      <c r="Z1572" t="n">
        <v>524</v>
      </c>
      <c r="AA1572" t="n">
        <v>1030</v>
      </c>
      <c r="AB1572" t="n">
        <v>2</v>
      </c>
      <c r="AC1572" t="n">
        <v>5</v>
      </c>
      <c r="AD1572" t="n">
        <v>21</v>
      </c>
      <c r="AE1572" t="n">
        <v>40</v>
      </c>
      <c r="AF1572" t="n">
        <v>9</v>
      </c>
      <c r="AG1572" t="n">
        <v>19</v>
      </c>
      <c r="AH1572" t="n">
        <v>7</v>
      </c>
      <c r="AI1572" t="n">
        <v>9</v>
      </c>
      <c r="AJ1572" t="n">
        <v>9</v>
      </c>
      <c r="AK1572" t="n">
        <v>20</v>
      </c>
      <c r="AL1572" t="n">
        <v>1</v>
      </c>
      <c r="AM1572" t="n">
        <v>4</v>
      </c>
      <c r="AN1572" t="n">
        <v>0</v>
      </c>
      <c r="AO1572" t="n">
        <v>0</v>
      </c>
      <c r="AP1572" t="inlineStr">
        <is>
          <t>No</t>
        </is>
      </c>
      <c r="AQ1572" t="inlineStr">
        <is>
          <t>No</t>
        </is>
      </c>
      <c r="AS1572">
        <f>HYPERLINK("https://creighton-primo.hosted.exlibrisgroup.com/primo-explore/search?tab=default_tab&amp;search_scope=EVERYTHING&amp;vid=01CRU&amp;lang=en_US&amp;offset=0&amp;query=any,contains,991003117549702656","Catalog Record")</f>
        <v/>
      </c>
      <c r="AT1572">
        <f>HYPERLINK("http://www.worldcat.org/oclc/16673620","WorldCat Record")</f>
        <v/>
      </c>
      <c r="AU1572" t="inlineStr">
        <is>
          <t>1470329:eng</t>
        </is>
      </c>
      <c r="AV1572" t="inlineStr">
        <is>
          <t>16673620</t>
        </is>
      </c>
      <c r="AW1572" t="inlineStr">
        <is>
          <t>991003117549702656</t>
        </is>
      </c>
      <c r="AX1572" t="inlineStr">
        <is>
          <t>991003117549702656</t>
        </is>
      </c>
      <c r="AY1572" t="inlineStr">
        <is>
          <t>2269899530002656</t>
        </is>
      </c>
      <c r="AZ1572" t="inlineStr">
        <is>
          <t>BOOK</t>
        </is>
      </c>
      <c r="BC1572" t="inlineStr">
        <is>
          <t>32285000611748</t>
        </is>
      </c>
      <c r="BD1572" t="inlineStr">
        <is>
          <t>893342247</t>
        </is>
      </c>
    </row>
    <row r="1573">
      <c r="A1573" t="inlineStr">
        <is>
          <t>No</t>
        </is>
      </c>
      <c r="B1573" t="inlineStr">
        <is>
          <t>E741 .R66 1963</t>
        </is>
      </c>
      <c r="C1573" t="inlineStr">
        <is>
          <t>0                      E  0741000R  66          1963</t>
        </is>
      </c>
      <c r="D1573" t="inlineStr">
        <is>
          <t>Tomorrow is now.</t>
        </is>
      </c>
      <c r="F1573" t="inlineStr">
        <is>
          <t>No</t>
        </is>
      </c>
      <c r="G1573" t="inlineStr">
        <is>
          <t>1</t>
        </is>
      </c>
      <c r="H1573" t="inlineStr">
        <is>
          <t>No</t>
        </is>
      </c>
      <c r="I1573" t="inlineStr">
        <is>
          <t>No</t>
        </is>
      </c>
      <c r="J1573" t="inlineStr">
        <is>
          <t>0</t>
        </is>
      </c>
      <c r="K1573" t="inlineStr">
        <is>
          <t>Roosevelt, Eleanor, 1884-1962.</t>
        </is>
      </c>
      <c r="L1573" t="inlineStr">
        <is>
          <t>New York, Harper &amp; Row [1963]</t>
        </is>
      </c>
      <c r="M1573" t="inlineStr">
        <is>
          <t>1963</t>
        </is>
      </c>
      <c r="N1573" t="inlineStr">
        <is>
          <t>[1st ed.]</t>
        </is>
      </c>
      <c r="O1573" t="inlineStr">
        <is>
          <t>eng</t>
        </is>
      </c>
      <c r="P1573" t="inlineStr">
        <is>
          <t>nyu</t>
        </is>
      </c>
      <c r="R1573" t="inlineStr">
        <is>
          <t xml:space="preserve">E  </t>
        </is>
      </c>
      <c r="S1573" t="n">
        <v>3</v>
      </c>
      <c r="T1573" t="n">
        <v>3</v>
      </c>
      <c r="U1573" t="inlineStr">
        <is>
          <t>2005-04-27</t>
        </is>
      </c>
      <c r="V1573" t="inlineStr">
        <is>
          <t>2005-04-27</t>
        </is>
      </c>
      <c r="W1573" t="inlineStr">
        <is>
          <t>1997-04-23</t>
        </is>
      </c>
      <c r="X1573" t="inlineStr">
        <is>
          <t>1997-04-23</t>
        </is>
      </c>
      <c r="Y1573" t="n">
        <v>1066</v>
      </c>
      <c r="Z1573" t="n">
        <v>1030</v>
      </c>
      <c r="AA1573" t="n">
        <v>1229</v>
      </c>
      <c r="AB1573" t="n">
        <v>10</v>
      </c>
      <c r="AC1573" t="n">
        <v>13</v>
      </c>
      <c r="AD1573" t="n">
        <v>29</v>
      </c>
      <c r="AE1573" t="n">
        <v>29</v>
      </c>
      <c r="AF1573" t="n">
        <v>10</v>
      </c>
      <c r="AG1573" t="n">
        <v>10</v>
      </c>
      <c r="AH1573" t="n">
        <v>4</v>
      </c>
      <c r="AI1573" t="n">
        <v>4</v>
      </c>
      <c r="AJ1573" t="n">
        <v>14</v>
      </c>
      <c r="AK1573" t="n">
        <v>14</v>
      </c>
      <c r="AL1573" t="n">
        <v>4</v>
      </c>
      <c r="AM1573" t="n">
        <v>4</v>
      </c>
      <c r="AN1573" t="n">
        <v>0</v>
      </c>
      <c r="AO1573" t="n">
        <v>0</v>
      </c>
      <c r="AP1573" t="inlineStr">
        <is>
          <t>No</t>
        </is>
      </c>
      <c r="AQ1573" t="inlineStr">
        <is>
          <t>No</t>
        </is>
      </c>
      <c r="AR1573">
        <f>HYPERLINK("http://catalog.hathitrust.org/Record/000466636","HathiTrust Record")</f>
        <v/>
      </c>
      <c r="AS1573">
        <f>HYPERLINK("https://creighton-primo.hosted.exlibrisgroup.com/primo-explore/search?tab=default_tab&amp;search_scope=EVERYTHING&amp;vid=01CRU&amp;lang=en_US&amp;offset=0&amp;query=any,contains,991002867259702656","Catalog Record")</f>
        <v/>
      </c>
      <c r="AT1573">
        <f>HYPERLINK("http://www.worldcat.org/oclc/497156","WorldCat Record")</f>
        <v/>
      </c>
      <c r="AU1573" t="inlineStr">
        <is>
          <t>1533301:eng</t>
        </is>
      </c>
      <c r="AV1573" t="inlineStr">
        <is>
          <t>497156</t>
        </is>
      </c>
      <c r="AW1573" t="inlineStr">
        <is>
          <t>991002867259702656</t>
        </is>
      </c>
      <c r="AX1573" t="inlineStr">
        <is>
          <t>991002867259702656</t>
        </is>
      </c>
      <c r="AY1573" t="inlineStr">
        <is>
          <t>2271847020002656</t>
        </is>
      </c>
      <c r="AZ1573" t="inlineStr">
        <is>
          <t>BOOK</t>
        </is>
      </c>
      <c r="BC1573" t="inlineStr">
        <is>
          <t>32285002561164</t>
        </is>
      </c>
      <c r="BD1573" t="inlineStr">
        <is>
          <t>893597989</t>
        </is>
      </c>
    </row>
    <row r="1574">
      <c r="A1574" t="inlineStr">
        <is>
          <t>No</t>
        </is>
      </c>
      <c r="B1574" t="inlineStr">
        <is>
          <t>E741 .S78</t>
        </is>
      </c>
      <c r="C1574" t="inlineStr">
        <is>
          <t>0                      E  0741000S  78</t>
        </is>
      </c>
      <c r="D1574" t="inlineStr">
        <is>
          <t>Men and decisions.</t>
        </is>
      </c>
      <c r="F1574" t="inlineStr">
        <is>
          <t>No</t>
        </is>
      </c>
      <c r="G1574" t="inlineStr">
        <is>
          <t>1</t>
        </is>
      </c>
      <c r="H1574" t="inlineStr">
        <is>
          <t>No</t>
        </is>
      </c>
      <c r="I1574" t="inlineStr">
        <is>
          <t>No</t>
        </is>
      </c>
      <c r="J1574" t="inlineStr">
        <is>
          <t>0</t>
        </is>
      </c>
      <c r="K1574" t="inlineStr">
        <is>
          <t>Strauss, Lewis L.</t>
        </is>
      </c>
      <c r="L1574" t="inlineStr">
        <is>
          <t>Garden City, N.Y., Doubleday, 1962.</t>
        </is>
      </c>
      <c r="M1574" t="inlineStr">
        <is>
          <t>1962</t>
        </is>
      </c>
      <c r="N1574" t="inlineStr">
        <is>
          <t>[1st ed.]</t>
        </is>
      </c>
      <c r="O1574" t="inlineStr">
        <is>
          <t>eng</t>
        </is>
      </c>
      <c r="P1574" t="inlineStr">
        <is>
          <t>nyu</t>
        </is>
      </c>
      <c r="R1574" t="inlineStr">
        <is>
          <t xml:space="preserve">E  </t>
        </is>
      </c>
      <c r="S1574" t="n">
        <v>2</v>
      </c>
      <c r="T1574" t="n">
        <v>2</v>
      </c>
      <c r="U1574" t="inlineStr">
        <is>
          <t>2000-02-25</t>
        </is>
      </c>
      <c r="V1574" t="inlineStr">
        <is>
          <t>2000-02-25</t>
        </is>
      </c>
      <c r="W1574" t="inlineStr">
        <is>
          <t>1997-04-23</t>
        </is>
      </c>
      <c r="X1574" t="inlineStr">
        <is>
          <t>1997-04-23</t>
        </is>
      </c>
      <c r="Y1574" t="n">
        <v>886</v>
      </c>
      <c r="Z1574" t="n">
        <v>826</v>
      </c>
      <c r="AA1574" t="n">
        <v>903</v>
      </c>
      <c r="AB1574" t="n">
        <v>7</v>
      </c>
      <c r="AC1574" t="n">
        <v>7</v>
      </c>
      <c r="AD1574" t="n">
        <v>34</v>
      </c>
      <c r="AE1574" t="n">
        <v>36</v>
      </c>
      <c r="AF1574" t="n">
        <v>11</v>
      </c>
      <c r="AG1574" t="n">
        <v>12</v>
      </c>
      <c r="AH1574" t="n">
        <v>7</v>
      </c>
      <c r="AI1574" t="n">
        <v>7</v>
      </c>
      <c r="AJ1574" t="n">
        <v>16</v>
      </c>
      <c r="AK1574" t="n">
        <v>18</v>
      </c>
      <c r="AL1574" t="n">
        <v>5</v>
      </c>
      <c r="AM1574" t="n">
        <v>5</v>
      </c>
      <c r="AN1574" t="n">
        <v>3</v>
      </c>
      <c r="AO1574" t="n">
        <v>3</v>
      </c>
      <c r="AP1574" t="inlineStr">
        <is>
          <t>No</t>
        </is>
      </c>
      <c r="AQ1574" t="inlineStr">
        <is>
          <t>No</t>
        </is>
      </c>
      <c r="AR1574">
        <f>HYPERLINK("http://catalog.hathitrust.org/Record/000466641","HathiTrust Record")</f>
        <v/>
      </c>
      <c r="AS1574">
        <f>HYPERLINK("https://creighton-primo.hosted.exlibrisgroup.com/primo-explore/search?tab=default_tab&amp;search_scope=EVERYTHING&amp;vid=01CRU&amp;lang=en_US&amp;offset=0&amp;query=any,contains,991002813229702656","Catalog Record")</f>
        <v/>
      </c>
      <c r="AT1574">
        <f>HYPERLINK("http://www.worldcat.org/oclc/456825","WorldCat Record")</f>
        <v/>
      </c>
      <c r="AU1574" t="inlineStr">
        <is>
          <t>1354202:eng</t>
        </is>
      </c>
      <c r="AV1574" t="inlineStr">
        <is>
          <t>456825</t>
        </is>
      </c>
      <c r="AW1574" t="inlineStr">
        <is>
          <t>991002813229702656</t>
        </is>
      </c>
      <c r="AX1574" t="inlineStr">
        <is>
          <t>991002813229702656</t>
        </is>
      </c>
      <c r="AY1574" t="inlineStr">
        <is>
          <t>2263063630002656</t>
        </is>
      </c>
      <c r="AZ1574" t="inlineStr">
        <is>
          <t>BOOK</t>
        </is>
      </c>
      <c r="BC1574" t="inlineStr">
        <is>
          <t>32285002561206</t>
        </is>
      </c>
      <c r="BD1574" t="inlineStr">
        <is>
          <t>893517788</t>
        </is>
      </c>
    </row>
    <row r="1575">
      <c r="A1575" t="inlineStr">
        <is>
          <t>No</t>
        </is>
      </c>
      <c r="B1575" t="inlineStr">
        <is>
          <t>E742 .E84 1996</t>
        </is>
      </c>
      <c r="C1575" t="inlineStr">
        <is>
          <t>0                      E  0742000E  84          1996</t>
        </is>
      </c>
      <c r="D1575" t="inlineStr">
        <is>
          <t>Events that changed America in the twentieth century / edited by John E. Findling &amp; Frank W. Thackeray.</t>
        </is>
      </c>
      <c r="F1575" t="inlineStr">
        <is>
          <t>No</t>
        </is>
      </c>
      <c r="G1575" t="inlineStr">
        <is>
          <t>1</t>
        </is>
      </c>
      <c r="H1575" t="inlineStr">
        <is>
          <t>No</t>
        </is>
      </c>
      <c r="I1575" t="inlineStr">
        <is>
          <t>No</t>
        </is>
      </c>
      <c r="J1575" t="inlineStr">
        <is>
          <t>0</t>
        </is>
      </c>
      <c r="L1575" t="inlineStr">
        <is>
          <t>Westport, Conn. : Greenwood Press, 1996.</t>
        </is>
      </c>
      <c r="M1575" t="inlineStr">
        <is>
          <t>1996</t>
        </is>
      </c>
      <c r="O1575" t="inlineStr">
        <is>
          <t>eng</t>
        </is>
      </c>
      <c r="P1575" t="inlineStr">
        <is>
          <t>ctu</t>
        </is>
      </c>
      <c r="Q1575" t="inlineStr">
        <is>
          <t>The Greenwood Press "Events that changed America" series</t>
        </is>
      </c>
      <c r="R1575" t="inlineStr">
        <is>
          <t xml:space="preserve">E  </t>
        </is>
      </c>
      <c r="S1575" t="n">
        <v>4</v>
      </c>
      <c r="T1575" t="n">
        <v>4</v>
      </c>
      <c r="U1575" t="inlineStr">
        <is>
          <t>1999-02-15</t>
        </is>
      </c>
      <c r="V1575" t="inlineStr">
        <is>
          <t>1999-02-15</t>
        </is>
      </c>
      <c r="W1575" t="inlineStr">
        <is>
          <t>1998-11-10</t>
        </is>
      </c>
      <c r="X1575" t="inlineStr">
        <is>
          <t>1998-11-10</t>
        </is>
      </c>
      <c r="Y1575" t="n">
        <v>626</v>
      </c>
      <c r="Z1575" t="n">
        <v>585</v>
      </c>
      <c r="AA1575" t="n">
        <v>592</v>
      </c>
      <c r="AB1575" t="n">
        <v>3</v>
      </c>
      <c r="AC1575" t="n">
        <v>3</v>
      </c>
      <c r="AD1575" t="n">
        <v>17</v>
      </c>
      <c r="AE1575" t="n">
        <v>17</v>
      </c>
      <c r="AF1575" t="n">
        <v>7</v>
      </c>
      <c r="AG1575" t="n">
        <v>7</v>
      </c>
      <c r="AH1575" t="n">
        <v>4</v>
      </c>
      <c r="AI1575" t="n">
        <v>4</v>
      </c>
      <c r="AJ1575" t="n">
        <v>7</v>
      </c>
      <c r="AK1575" t="n">
        <v>7</v>
      </c>
      <c r="AL1575" t="n">
        <v>2</v>
      </c>
      <c r="AM1575" t="n">
        <v>2</v>
      </c>
      <c r="AN1575" t="n">
        <v>0</v>
      </c>
      <c r="AO1575" t="n">
        <v>0</v>
      </c>
      <c r="AP1575" t="inlineStr">
        <is>
          <t>No</t>
        </is>
      </c>
      <c r="AQ1575" t="inlineStr">
        <is>
          <t>Yes</t>
        </is>
      </c>
      <c r="AR1575">
        <f>HYPERLINK("http://catalog.hathitrust.org/Record/003083348","HathiTrust Record")</f>
        <v/>
      </c>
      <c r="AS1575">
        <f>HYPERLINK("https://creighton-primo.hosted.exlibrisgroup.com/primo-explore/search?tab=default_tab&amp;search_scope=EVERYTHING&amp;vid=01CRU&amp;lang=en_US&amp;offset=0&amp;query=any,contains,991002557139702656","Catalog Record")</f>
        <v/>
      </c>
      <c r="AT1575">
        <f>HYPERLINK("http://www.worldcat.org/oclc/33243925","WorldCat Record")</f>
        <v/>
      </c>
      <c r="AU1575" t="inlineStr">
        <is>
          <t>38339850:eng</t>
        </is>
      </c>
      <c r="AV1575" t="inlineStr">
        <is>
          <t>33243925</t>
        </is>
      </c>
      <c r="AW1575" t="inlineStr">
        <is>
          <t>991002557139702656</t>
        </is>
      </c>
      <c r="AX1575" t="inlineStr">
        <is>
          <t>991002557139702656</t>
        </is>
      </c>
      <c r="AY1575" t="inlineStr">
        <is>
          <t>2255767280002656</t>
        </is>
      </c>
      <c r="AZ1575" t="inlineStr">
        <is>
          <t>BOOK</t>
        </is>
      </c>
      <c r="BB1575" t="inlineStr">
        <is>
          <t>9780313290800</t>
        </is>
      </c>
      <c r="BC1575" t="inlineStr">
        <is>
          <t>32285003487179</t>
        </is>
      </c>
      <c r="BD1575" t="inlineStr">
        <is>
          <t>893329240</t>
        </is>
      </c>
    </row>
    <row r="1576">
      <c r="A1576" t="inlineStr">
        <is>
          <t>No</t>
        </is>
      </c>
      <c r="B1576" t="inlineStr">
        <is>
          <t>E742 .H57 1995</t>
        </is>
      </c>
      <c r="C1576" t="inlineStr">
        <is>
          <t>0                      E  0742000H  57          1995</t>
        </is>
      </c>
      <c r="D1576" t="inlineStr">
        <is>
          <t>A History of our time : readings on postwar America / edited by William H. Chafe, Harvard Sitkoff.</t>
        </is>
      </c>
      <c r="F1576" t="inlineStr">
        <is>
          <t>No</t>
        </is>
      </c>
      <c r="G1576" t="inlineStr">
        <is>
          <t>1</t>
        </is>
      </c>
      <c r="H1576" t="inlineStr">
        <is>
          <t>No</t>
        </is>
      </c>
      <c r="I1576" t="inlineStr">
        <is>
          <t>No</t>
        </is>
      </c>
      <c r="J1576" t="inlineStr">
        <is>
          <t>0</t>
        </is>
      </c>
      <c r="L1576" t="inlineStr">
        <is>
          <t>New York : Oxford University Press, 1995.</t>
        </is>
      </c>
      <c r="M1576" t="inlineStr">
        <is>
          <t>1995</t>
        </is>
      </c>
      <c r="N1576" t="inlineStr">
        <is>
          <t>4th ed.</t>
        </is>
      </c>
      <c r="O1576" t="inlineStr">
        <is>
          <t>eng</t>
        </is>
      </c>
      <c r="P1576" t="inlineStr">
        <is>
          <t>nyu</t>
        </is>
      </c>
      <c r="R1576" t="inlineStr">
        <is>
          <t xml:space="preserve">E  </t>
        </is>
      </c>
      <c r="S1576" t="n">
        <v>6</v>
      </c>
      <c r="T1576" t="n">
        <v>6</v>
      </c>
      <c r="U1576" t="inlineStr">
        <is>
          <t>2002-02-18</t>
        </is>
      </c>
      <c r="V1576" t="inlineStr">
        <is>
          <t>2002-02-18</t>
        </is>
      </c>
      <c r="W1576" t="inlineStr">
        <is>
          <t>1995-04-17</t>
        </is>
      </c>
      <c r="X1576" t="inlineStr">
        <is>
          <t>1995-04-17</t>
        </is>
      </c>
      <c r="Y1576" t="n">
        <v>305</v>
      </c>
      <c r="Z1576" t="n">
        <v>242</v>
      </c>
      <c r="AA1576" t="n">
        <v>898</v>
      </c>
      <c r="AB1576" t="n">
        <v>3</v>
      </c>
      <c r="AC1576" t="n">
        <v>6</v>
      </c>
      <c r="AD1576" t="n">
        <v>14</v>
      </c>
      <c r="AE1576" t="n">
        <v>31</v>
      </c>
      <c r="AF1576" t="n">
        <v>4</v>
      </c>
      <c r="AG1576" t="n">
        <v>13</v>
      </c>
      <c r="AH1576" t="n">
        <v>4</v>
      </c>
      <c r="AI1576" t="n">
        <v>6</v>
      </c>
      <c r="AJ1576" t="n">
        <v>8</v>
      </c>
      <c r="AK1576" t="n">
        <v>14</v>
      </c>
      <c r="AL1576" t="n">
        <v>2</v>
      </c>
      <c r="AM1576" t="n">
        <v>5</v>
      </c>
      <c r="AN1576" t="n">
        <v>0</v>
      </c>
      <c r="AO1576" t="n">
        <v>0</v>
      </c>
      <c r="AP1576" t="inlineStr">
        <is>
          <t>No</t>
        </is>
      </c>
      <c r="AQ1576" t="inlineStr">
        <is>
          <t>Yes</t>
        </is>
      </c>
      <c r="AR1576">
        <f>HYPERLINK("http://catalog.hathitrust.org/Record/002973173","HathiTrust Record")</f>
        <v/>
      </c>
      <c r="AS1576">
        <f>HYPERLINK("https://creighton-primo.hosted.exlibrisgroup.com/primo-explore/search?tab=default_tab&amp;search_scope=EVERYTHING&amp;vid=01CRU&amp;lang=en_US&amp;offset=0&amp;query=any,contains,991002405509702656","Catalog Record")</f>
        <v/>
      </c>
      <c r="AT1576">
        <f>HYPERLINK("http://www.worldcat.org/oclc/31290508","WorldCat Record")</f>
        <v/>
      </c>
      <c r="AU1576" t="inlineStr">
        <is>
          <t>195025275:eng</t>
        </is>
      </c>
      <c r="AV1576" t="inlineStr">
        <is>
          <t>31290508</t>
        </is>
      </c>
      <c r="AW1576" t="inlineStr">
        <is>
          <t>991002405509702656</t>
        </is>
      </c>
      <c r="AX1576" t="inlineStr">
        <is>
          <t>991002405509702656</t>
        </is>
      </c>
      <c r="AY1576" t="inlineStr">
        <is>
          <t>2265877520002656</t>
        </is>
      </c>
      <c r="AZ1576" t="inlineStr">
        <is>
          <t>BOOK</t>
        </is>
      </c>
      <c r="BB1576" t="inlineStr">
        <is>
          <t>9780195082777</t>
        </is>
      </c>
      <c r="BC1576" t="inlineStr">
        <is>
          <t>32285002018496</t>
        </is>
      </c>
      <c r="BD1576" t="inlineStr">
        <is>
          <t>893347462</t>
        </is>
      </c>
    </row>
    <row r="1577">
      <c r="A1577" t="inlineStr">
        <is>
          <t>No</t>
        </is>
      </c>
      <c r="B1577" t="inlineStr">
        <is>
          <t>E743 .B735 2000</t>
        </is>
      </c>
      <c r="C1577" t="inlineStr">
        <is>
          <t>0                      E  0743000B  735         2000</t>
        </is>
      </c>
      <c r="D1577" t="inlineStr">
        <is>
          <t>Us vs. them : American political and cultural conflict from WW II to Watergate / by Robert J. Bresler ; with documents and readings.</t>
        </is>
      </c>
      <c r="F1577" t="inlineStr">
        <is>
          <t>No</t>
        </is>
      </c>
      <c r="G1577" t="inlineStr">
        <is>
          <t>1</t>
        </is>
      </c>
      <c r="H1577" t="inlineStr">
        <is>
          <t>No</t>
        </is>
      </c>
      <c r="I1577" t="inlineStr">
        <is>
          <t>No</t>
        </is>
      </c>
      <c r="J1577" t="inlineStr">
        <is>
          <t>0</t>
        </is>
      </c>
      <c r="K1577" t="inlineStr">
        <is>
          <t>Bresler, Robert J., 1937-</t>
        </is>
      </c>
      <c r="L1577" t="inlineStr">
        <is>
          <t>Wilmington, Del. : SR Books, 2000</t>
        </is>
      </c>
      <c r="M1577" t="inlineStr">
        <is>
          <t>2000</t>
        </is>
      </c>
      <c r="O1577" t="inlineStr">
        <is>
          <t>eng</t>
        </is>
      </c>
      <c r="P1577" t="inlineStr">
        <is>
          <t>deu</t>
        </is>
      </c>
      <c r="Q1577" t="inlineStr">
        <is>
          <t>American visions ; no. 2</t>
        </is>
      </c>
      <c r="R1577" t="inlineStr">
        <is>
          <t xml:space="preserve">E  </t>
        </is>
      </c>
      <c r="S1577" t="n">
        <v>3</v>
      </c>
      <c r="T1577" t="n">
        <v>3</v>
      </c>
      <c r="U1577" t="inlineStr">
        <is>
          <t>2001-02-14</t>
        </is>
      </c>
      <c r="V1577" t="inlineStr">
        <is>
          <t>2001-02-14</t>
        </is>
      </c>
      <c r="W1577" t="inlineStr">
        <is>
          <t>2001-02-14</t>
        </is>
      </c>
      <c r="X1577" t="inlineStr">
        <is>
          <t>2001-02-14</t>
        </is>
      </c>
      <c r="Y1577" t="n">
        <v>261</v>
      </c>
      <c r="Z1577" t="n">
        <v>230</v>
      </c>
      <c r="AA1577" t="n">
        <v>237</v>
      </c>
      <c r="AB1577" t="n">
        <v>3</v>
      </c>
      <c r="AC1577" t="n">
        <v>3</v>
      </c>
      <c r="AD1577" t="n">
        <v>14</v>
      </c>
      <c r="AE1577" t="n">
        <v>14</v>
      </c>
      <c r="AF1577" t="n">
        <v>5</v>
      </c>
      <c r="AG1577" t="n">
        <v>5</v>
      </c>
      <c r="AH1577" t="n">
        <v>4</v>
      </c>
      <c r="AI1577" t="n">
        <v>4</v>
      </c>
      <c r="AJ1577" t="n">
        <v>6</v>
      </c>
      <c r="AK1577" t="n">
        <v>6</v>
      </c>
      <c r="AL1577" t="n">
        <v>2</v>
      </c>
      <c r="AM1577" t="n">
        <v>2</v>
      </c>
      <c r="AN1577" t="n">
        <v>0</v>
      </c>
      <c r="AO1577" t="n">
        <v>0</v>
      </c>
      <c r="AP1577" t="inlineStr">
        <is>
          <t>No</t>
        </is>
      </c>
      <c r="AQ1577" t="inlineStr">
        <is>
          <t>Yes</t>
        </is>
      </c>
      <c r="AR1577">
        <f>HYPERLINK("http://catalog.hathitrust.org/Record/004104894","HathiTrust Record")</f>
        <v/>
      </c>
      <c r="AS1577">
        <f>HYPERLINK("https://creighton-primo.hosted.exlibrisgroup.com/primo-explore/search?tab=default_tab&amp;search_scope=EVERYTHING&amp;vid=01CRU&amp;lang=en_US&amp;offset=0&amp;query=any,contains,991003479429702656","Catalog Record")</f>
        <v/>
      </c>
      <c r="AT1577">
        <f>HYPERLINK("http://www.worldcat.org/oclc/41592976","WorldCat Record")</f>
        <v/>
      </c>
      <c r="AU1577" t="inlineStr">
        <is>
          <t>44489678:eng</t>
        </is>
      </c>
      <c r="AV1577" t="inlineStr">
        <is>
          <t>41592976</t>
        </is>
      </c>
      <c r="AW1577" t="inlineStr">
        <is>
          <t>991003479429702656</t>
        </is>
      </c>
      <c r="AX1577" t="inlineStr">
        <is>
          <t>991003479429702656</t>
        </is>
      </c>
      <c r="AY1577" t="inlineStr">
        <is>
          <t>2265668700002656</t>
        </is>
      </c>
      <c r="AZ1577" t="inlineStr">
        <is>
          <t>BOOK</t>
        </is>
      </c>
      <c r="BB1577" t="inlineStr">
        <is>
          <t>9780842026895</t>
        </is>
      </c>
      <c r="BC1577" t="inlineStr">
        <is>
          <t>32285004294962</t>
        </is>
      </c>
      <c r="BD1577" t="inlineStr">
        <is>
          <t>893604835</t>
        </is>
      </c>
    </row>
    <row r="1578">
      <c r="A1578" t="inlineStr">
        <is>
          <t>No</t>
        </is>
      </c>
      <c r="B1578" t="inlineStr">
        <is>
          <t>E743 .B777 1988</t>
        </is>
      </c>
      <c r="C1578" t="inlineStr">
        <is>
          <t>0                      E  0743000B  777         1988</t>
        </is>
      </c>
      <c r="D1578" t="inlineStr">
        <is>
          <t>Keeping the tablets : modern American conservative thought / edited by William F. Buckley, Jr. and Charles R. Kesler.</t>
        </is>
      </c>
      <c r="F1578" t="inlineStr">
        <is>
          <t>No</t>
        </is>
      </c>
      <c r="G1578" t="inlineStr">
        <is>
          <t>1</t>
        </is>
      </c>
      <c r="H1578" t="inlineStr">
        <is>
          <t>No</t>
        </is>
      </c>
      <c r="I1578" t="inlineStr">
        <is>
          <t>No</t>
        </is>
      </c>
      <c r="J1578" t="inlineStr">
        <is>
          <t>0</t>
        </is>
      </c>
      <c r="K1578" t="inlineStr">
        <is>
          <t>Buckley, William F., Jr., 1925-2008.</t>
        </is>
      </c>
      <c r="L1578" t="inlineStr">
        <is>
          <t>New York : Harper &amp; Row, c1988.</t>
        </is>
      </c>
      <c r="M1578" t="inlineStr">
        <is>
          <t>1988</t>
        </is>
      </c>
      <c r="O1578" t="inlineStr">
        <is>
          <t>eng</t>
        </is>
      </c>
      <c r="P1578" t="inlineStr">
        <is>
          <t>nyu</t>
        </is>
      </c>
      <c r="R1578" t="inlineStr">
        <is>
          <t xml:space="preserve">E  </t>
        </is>
      </c>
      <c r="S1578" t="n">
        <v>1</v>
      </c>
      <c r="T1578" t="n">
        <v>1</v>
      </c>
      <c r="U1578" t="inlineStr">
        <is>
          <t>1992-02-13</t>
        </is>
      </c>
      <c r="V1578" t="inlineStr">
        <is>
          <t>1992-02-13</t>
        </is>
      </c>
      <c r="W1578" t="inlineStr">
        <is>
          <t>1991-05-28</t>
        </is>
      </c>
      <c r="X1578" t="inlineStr">
        <is>
          <t>1991-05-28</t>
        </is>
      </c>
      <c r="Y1578" t="n">
        <v>530</v>
      </c>
      <c r="Z1578" t="n">
        <v>506</v>
      </c>
      <c r="AA1578" t="n">
        <v>537</v>
      </c>
      <c r="AB1578" t="n">
        <v>3</v>
      </c>
      <c r="AC1578" t="n">
        <v>3</v>
      </c>
      <c r="AD1578" t="n">
        <v>21</v>
      </c>
      <c r="AE1578" t="n">
        <v>21</v>
      </c>
      <c r="AF1578" t="n">
        <v>9</v>
      </c>
      <c r="AG1578" t="n">
        <v>9</v>
      </c>
      <c r="AH1578" t="n">
        <v>4</v>
      </c>
      <c r="AI1578" t="n">
        <v>4</v>
      </c>
      <c r="AJ1578" t="n">
        <v>10</v>
      </c>
      <c r="AK1578" t="n">
        <v>10</v>
      </c>
      <c r="AL1578" t="n">
        <v>2</v>
      </c>
      <c r="AM1578" t="n">
        <v>2</v>
      </c>
      <c r="AN1578" t="n">
        <v>1</v>
      </c>
      <c r="AO1578" t="n">
        <v>1</v>
      </c>
      <c r="AP1578" t="inlineStr">
        <is>
          <t>No</t>
        </is>
      </c>
      <c r="AQ1578" t="inlineStr">
        <is>
          <t>Yes</t>
        </is>
      </c>
      <c r="AR1578">
        <f>HYPERLINK("http://catalog.hathitrust.org/Record/000915671","HathiTrust Record")</f>
        <v/>
      </c>
      <c r="AS1578">
        <f>HYPERLINK("https://creighton-primo.hosted.exlibrisgroup.com/primo-explore/search?tab=default_tab&amp;search_scope=EVERYTHING&amp;vid=01CRU&amp;lang=en_US&amp;offset=0&amp;query=any,contains,991001200409702656","Catalog Record")</f>
        <v/>
      </c>
      <c r="AT1578">
        <f>HYPERLINK("http://www.worldcat.org/oclc/17300812","WorldCat Record")</f>
        <v/>
      </c>
      <c r="AU1578" t="inlineStr">
        <is>
          <t>763551407:eng</t>
        </is>
      </c>
      <c r="AV1578" t="inlineStr">
        <is>
          <t>17300812</t>
        </is>
      </c>
      <c r="AW1578" t="inlineStr">
        <is>
          <t>991001200409702656</t>
        </is>
      </c>
      <c r="AX1578" t="inlineStr">
        <is>
          <t>991001200409702656</t>
        </is>
      </c>
      <c r="AY1578" t="inlineStr">
        <is>
          <t>2267644290002656</t>
        </is>
      </c>
      <c r="AZ1578" t="inlineStr">
        <is>
          <t>BOOK</t>
        </is>
      </c>
      <c r="BB1578" t="inlineStr">
        <is>
          <t>9780060962852</t>
        </is>
      </c>
      <c r="BC1578" t="inlineStr">
        <is>
          <t>32285000611979</t>
        </is>
      </c>
      <c r="BD1578" t="inlineStr">
        <is>
          <t>893684142</t>
        </is>
      </c>
    </row>
    <row r="1579">
      <c r="A1579" t="inlineStr">
        <is>
          <t>No</t>
        </is>
      </c>
      <c r="B1579" t="inlineStr">
        <is>
          <t>E743 .C248</t>
        </is>
      </c>
      <c r="C1579" t="inlineStr">
        <is>
          <t>0                      E  0743000C  248</t>
        </is>
      </c>
      <c r="D1579" t="inlineStr">
        <is>
          <t>The Korean War and American politics; the Republican Party as a case study, by Ronald J. Caridi.</t>
        </is>
      </c>
      <c r="F1579" t="inlineStr">
        <is>
          <t>No</t>
        </is>
      </c>
      <c r="G1579" t="inlineStr">
        <is>
          <t>1</t>
        </is>
      </c>
      <c r="H1579" t="inlineStr">
        <is>
          <t>No</t>
        </is>
      </c>
      <c r="I1579" t="inlineStr">
        <is>
          <t>No</t>
        </is>
      </c>
      <c r="J1579" t="inlineStr">
        <is>
          <t>0</t>
        </is>
      </c>
      <c r="K1579" t="inlineStr">
        <is>
          <t>Caridi, Ronald J. (Ronald James), 1941-</t>
        </is>
      </c>
      <c r="L1579" t="inlineStr">
        <is>
          <t>Philadelphia, University of Pennsylvania Press [1969, c1968]</t>
        </is>
      </c>
      <c r="M1579" t="inlineStr">
        <is>
          <t>1969</t>
        </is>
      </c>
      <c r="O1579" t="inlineStr">
        <is>
          <t>eng</t>
        </is>
      </c>
      <c r="P1579" t="inlineStr">
        <is>
          <t>pau</t>
        </is>
      </c>
      <c r="R1579" t="inlineStr">
        <is>
          <t xml:space="preserve">E  </t>
        </is>
      </c>
      <c r="S1579" t="n">
        <v>2</v>
      </c>
      <c r="T1579" t="n">
        <v>2</v>
      </c>
      <c r="U1579" t="inlineStr">
        <is>
          <t>1997-11-12</t>
        </is>
      </c>
      <c r="V1579" t="inlineStr">
        <is>
          <t>1997-11-12</t>
        </is>
      </c>
      <c r="W1579" t="inlineStr">
        <is>
          <t>1997-04-23</t>
        </is>
      </c>
      <c r="X1579" t="inlineStr">
        <is>
          <t>1997-04-23</t>
        </is>
      </c>
      <c r="Y1579" t="n">
        <v>755</v>
      </c>
      <c r="Z1579" t="n">
        <v>706</v>
      </c>
      <c r="AA1579" t="n">
        <v>884</v>
      </c>
      <c r="AB1579" t="n">
        <v>6</v>
      </c>
      <c r="AC1579" t="n">
        <v>6</v>
      </c>
      <c r="AD1579" t="n">
        <v>40</v>
      </c>
      <c r="AE1579" t="n">
        <v>41</v>
      </c>
      <c r="AF1579" t="n">
        <v>16</v>
      </c>
      <c r="AG1579" t="n">
        <v>17</v>
      </c>
      <c r="AH1579" t="n">
        <v>10</v>
      </c>
      <c r="AI1579" t="n">
        <v>10</v>
      </c>
      <c r="AJ1579" t="n">
        <v>18</v>
      </c>
      <c r="AK1579" t="n">
        <v>18</v>
      </c>
      <c r="AL1579" t="n">
        <v>5</v>
      </c>
      <c r="AM1579" t="n">
        <v>5</v>
      </c>
      <c r="AN1579" t="n">
        <v>0</v>
      </c>
      <c r="AO1579" t="n">
        <v>0</v>
      </c>
      <c r="AP1579" t="inlineStr">
        <is>
          <t>No</t>
        </is>
      </c>
      <c r="AQ1579" t="inlineStr">
        <is>
          <t>Yes</t>
        </is>
      </c>
      <c r="AR1579">
        <f>HYPERLINK("http://catalog.hathitrust.org/Record/000466996","HathiTrust Record")</f>
        <v/>
      </c>
      <c r="AS1579">
        <f>HYPERLINK("https://creighton-primo.hosted.exlibrisgroup.com/primo-explore/search?tab=default_tab&amp;search_scope=EVERYTHING&amp;vid=01CRU&amp;lang=en_US&amp;offset=0&amp;query=any,contains,991000001199702656","Catalog Record")</f>
        <v/>
      </c>
      <c r="AT1579">
        <f>HYPERLINK("http://www.worldcat.org/oclc/10231","WorldCat Record")</f>
        <v/>
      </c>
      <c r="AU1579" t="inlineStr">
        <is>
          <t>1133407:eng</t>
        </is>
      </c>
      <c r="AV1579" t="inlineStr">
        <is>
          <t>10231</t>
        </is>
      </c>
      <c r="AW1579" t="inlineStr">
        <is>
          <t>991000001199702656</t>
        </is>
      </c>
      <c r="AX1579" t="inlineStr">
        <is>
          <t>991000001199702656</t>
        </is>
      </c>
      <c r="AY1579" t="inlineStr">
        <is>
          <t>2268206600002656</t>
        </is>
      </c>
      <c r="AZ1579" t="inlineStr">
        <is>
          <t>BOOK</t>
        </is>
      </c>
      <c r="BB1579" t="inlineStr">
        <is>
          <t>9780812275810</t>
        </is>
      </c>
      <c r="BC1579" t="inlineStr">
        <is>
          <t>32285002561354</t>
        </is>
      </c>
      <c r="BD1579" t="inlineStr">
        <is>
          <t>893437908</t>
        </is>
      </c>
    </row>
    <row r="1580">
      <c r="A1580" t="inlineStr">
        <is>
          <t>No</t>
        </is>
      </c>
      <c r="B1580" t="inlineStr">
        <is>
          <t>E743 .C43 1986</t>
        </is>
      </c>
      <c r="C1580" t="inlineStr">
        <is>
          <t>0                      E  0743000C  43          1986</t>
        </is>
      </c>
      <c r="D1580" t="inlineStr">
        <is>
          <t>The unfinished journey : America since World War II / William H. Chafe.</t>
        </is>
      </c>
      <c r="F1580" t="inlineStr">
        <is>
          <t>No</t>
        </is>
      </c>
      <c r="G1580" t="inlineStr">
        <is>
          <t>1</t>
        </is>
      </c>
      <c r="H1580" t="inlineStr">
        <is>
          <t>No</t>
        </is>
      </c>
      <c r="I1580" t="inlineStr">
        <is>
          <t>No</t>
        </is>
      </c>
      <c r="J1580" t="inlineStr">
        <is>
          <t>0</t>
        </is>
      </c>
      <c r="K1580" t="inlineStr">
        <is>
          <t>Chafe, William H., 1942-</t>
        </is>
      </c>
      <c r="L1580" t="inlineStr">
        <is>
          <t>New York : Oxford University Press, 1986.</t>
        </is>
      </c>
      <c r="M1580" t="inlineStr">
        <is>
          <t>1986</t>
        </is>
      </c>
      <c r="O1580" t="inlineStr">
        <is>
          <t>eng</t>
        </is>
      </c>
      <c r="P1580" t="inlineStr">
        <is>
          <t>nyu</t>
        </is>
      </c>
      <c r="R1580" t="inlineStr">
        <is>
          <t xml:space="preserve">E  </t>
        </is>
      </c>
      <c r="S1580" t="n">
        <v>7</v>
      </c>
      <c r="T1580" t="n">
        <v>7</v>
      </c>
      <c r="U1580" t="inlineStr">
        <is>
          <t>1999-02-01</t>
        </is>
      </c>
      <c r="V1580" t="inlineStr">
        <is>
          <t>1999-02-01</t>
        </is>
      </c>
      <c r="W1580" t="inlineStr">
        <is>
          <t>1991-05-28</t>
        </is>
      </c>
      <c r="X1580" t="inlineStr">
        <is>
          <t>1991-05-28</t>
        </is>
      </c>
      <c r="Y1580" t="n">
        <v>1190</v>
      </c>
      <c r="Z1580" t="n">
        <v>1029</v>
      </c>
      <c r="AA1580" t="n">
        <v>1035</v>
      </c>
      <c r="AB1580" t="n">
        <v>5</v>
      </c>
      <c r="AC1580" t="n">
        <v>5</v>
      </c>
      <c r="AD1580" t="n">
        <v>33</v>
      </c>
      <c r="AE1580" t="n">
        <v>33</v>
      </c>
      <c r="AF1580" t="n">
        <v>12</v>
      </c>
      <c r="AG1580" t="n">
        <v>12</v>
      </c>
      <c r="AH1580" t="n">
        <v>10</v>
      </c>
      <c r="AI1580" t="n">
        <v>10</v>
      </c>
      <c r="AJ1580" t="n">
        <v>17</v>
      </c>
      <c r="AK1580" t="n">
        <v>17</v>
      </c>
      <c r="AL1580" t="n">
        <v>3</v>
      </c>
      <c r="AM1580" t="n">
        <v>3</v>
      </c>
      <c r="AN1580" t="n">
        <v>0</v>
      </c>
      <c r="AO1580" t="n">
        <v>0</v>
      </c>
      <c r="AP1580" t="inlineStr">
        <is>
          <t>No</t>
        </is>
      </c>
      <c r="AQ1580" t="inlineStr">
        <is>
          <t>Yes</t>
        </is>
      </c>
      <c r="AR1580">
        <f>HYPERLINK("http://catalog.hathitrust.org/Record/000352125","HathiTrust Record")</f>
        <v/>
      </c>
      <c r="AS1580">
        <f>HYPERLINK("https://creighton-primo.hosted.exlibrisgroup.com/primo-explore/search?tab=default_tab&amp;search_scope=EVERYTHING&amp;vid=01CRU&amp;lang=en_US&amp;offset=0&amp;query=any,contains,991000652639702656","Catalog Record")</f>
        <v/>
      </c>
      <c r="AT1580">
        <f>HYPERLINK("http://www.worldcat.org/oclc/12188524","WorldCat Record")</f>
        <v/>
      </c>
      <c r="AU1580" t="inlineStr">
        <is>
          <t>9463329549:eng</t>
        </is>
      </c>
      <c r="AV1580" t="inlineStr">
        <is>
          <t>12188524</t>
        </is>
      </c>
      <c r="AW1580" t="inlineStr">
        <is>
          <t>991000652639702656</t>
        </is>
      </c>
      <c r="AX1580" t="inlineStr">
        <is>
          <t>991000652639702656</t>
        </is>
      </c>
      <c r="AY1580" t="inlineStr">
        <is>
          <t>2254701310002656</t>
        </is>
      </c>
      <c r="AZ1580" t="inlineStr">
        <is>
          <t>BOOK</t>
        </is>
      </c>
      <c r="BB1580" t="inlineStr">
        <is>
          <t>9780195036404</t>
        </is>
      </c>
      <c r="BC1580" t="inlineStr">
        <is>
          <t>32285000612001</t>
        </is>
      </c>
      <c r="BD1580" t="inlineStr">
        <is>
          <t>893237492</t>
        </is>
      </c>
    </row>
    <row r="1581">
      <c r="A1581" t="inlineStr">
        <is>
          <t>No</t>
        </is>
      </c>
      <c r="B1581" t="inlineStr">
        <is>
          <t>E743 .C43 1995</t>
        </is>
      </c>
      <c r="C1581" t="inlineStr">
        <is>
          <t>0                      E  0743000C  43          1995</t>
        </is>
      </c>
      <c r="D1581" t="inlineStr">
        <is>
          <t>The unfinished journey : America since World War II / William H. Chafe.</t>
        </is>
      </c>
      <c r="F1581" t="inlineStr">
        <is>
          <t>No</t>
        </is>
      </c>
      <c r="G1581" t="inlineStr">
        <is>
          <t>1</t>
        </is>
      </c>
      <c r="H1581" t="inlineStr">
        <is>
          <t>No</t>
        </is>
      </c>
      <c r="I1581" t="inlineStr">
        <is>
          <t>No</t>
        </is>
      </c>
      <c r="J1581" t="inlineStr">
        <is>
          <t>0</t>
        </is>
      </c>
      <c r="K1581" t="inlineStr">
        <is>
          <t>Chafe, William H., 1942-</t>
        </is>
      </c>
      <c r="L1581" t="inlineStr">
        <is>
          <t>New York : Oxford University Press, 1995.</t>
        </is>
      </c>
      <c r="M1581" t="inlineStr">
        <is>
          <t>1995</t>
        </is>
      </c>
      <c r="N1581" t="inlineStr">
        <is>
          <t>3rd ed.</t>
        </is>
      </c>
      <c r="O1581" t="inlineStr">
        <is>
          <t>eng</t>
        </is>
      </c>
      <c r="P1581" t="inlineStr">
        <is>
          <t>nyu</t>
        </is>
      </c>
      <c r="R1581" t="inlineStr">
        <is>
          <t xml:space="preserve">E  </t>
        </is>
      </c>
      <c r="S1581" t="n">
        <v>6</v>
      </c>
      <c r="T1581" t="n">
        <v>6</v>
      </c>
      <c r="U1581" t="inlineStr">
        <is>
          <t>2003-03-21</t>
        </is>
      </c>
      <c r="V1581" t="inlineStr">
        <is>
          <t>2003-03-21</t>
        </is>
      </c>
      <c r="W1581" t="inlineStr">
        <is>
          <t>1997-06-16</t>
        </is>
      </c>
      <c r="X1581" t="inlineStr">
        <is>
          <t>1997-06-16</t>
        </is>
      </c>
      <c r="Y1581" t="n">
        <v>403</v>
      </c>
      <c r="Z1581" t="n">
        <v>309</v>
      </c>
      <c r="AA1581" t="n">
        <v>314</v>
      </c>
      <c r="AB1581" t="n">
        <v>2</v>
      </c>
      <c r="AC1581" t="n">
        <v>2</v>
      </c>
      <c r="AD1581" t="n">
        <v>13</v>
      </c>
      <c r="AE1581" t="n">
        <v>13</v>
      </c>
      <c r="AF1581" t="n">
        <v>5</v>
      </c>
      <c r="AG1581" t="n">
        <v>5</v>
      </c>
      <c r="AH1581" t="n">
        <v>3</v>
      </c>
      <c r="AI1581" t="n">
        <v>3</v>
      </c>
      <c r="AJ1581" t="n">
        <v>9</v>
      </c>
      <c r="AK1581" t="n">
        <v>9</v>
      </c>
      <c r="AL1581" t="n">
        <v>1</v>
      </c>
      <c r="AM1581" t="n">
        <v>1</v>
      </c>
      <c r="AN1581" t="n">
        <v>0</v>
      </c>
      <c r="AO1581" t="n">
        <v>0</v>
      </c>
      <c r="AP1581" t="inlineStr">
        <is>
          <t>No</t>
        </is>
      </c>
      <c r="AQ1581" t="inlineStr">
        <is>
          <t>No</t>
        </is>
      </c>
      <c r="AS1581">
        <f>HYPERLINK("https://creighton-primo.hosted.exlibrisgroup.com/primo-explore/search?tab=default_tab&amp;search_scope=EVERYTHING&amp;vid=01CRU&amp;lang=en_US&amp;offset=0&amp;query=any,contains,991002351459702656","Catalog Record")</f>
        <v/>
      </c>
      <c r="AT1581">
        <f>HYPERLINK("http://www.worldcat.org/oclc/30623878","WorldCat Record")</f>
        <v/>
      </c>
      <c r="AU1581" t="inlineStr">
        <is>
          <t>9462980863:eng</t>
        </is>
      </c>
      <c r="AV1581" t="inlineStr">
        <is>
          <t>30623878</t>
        </is>
      </c>
      <c r="AW1581" t="inlineStr">
        <is>
          <t>991002351459702656</t>
        </is>
      </c>
      <c r="AX1581" t="inlineStr">
        <is>
          <t>991002351459702656</t>
        </is>
      </c>
      <c r="AY1581" t="inlineStr">
        <is>
          <t>2259847050002656</t>
        </is>
      </c>
      <c r="AZ1581" t="inlineStr">
        <is>
          <t>BOOK</t>
        </is>
      </c>
      <c r="BB1581" t="inlineStr">
        <is>
          <t>9780195082784</t>
        </is>
      </c>
      <c r="BC1581" t="inlineStr">
        <is>
          <t>32285002751575</t>
        </is>
      </c>
      <c r="BD1581" t="inlineStr">
        <is>
          <t>893716335</t>
        </is>
      </c>
    </row>
    <row r="1582">
      <c r="A1582" t="inlineStr">
        <is>
          <t>No</t>
        </is>
      </c>
      <c r="B1582" t="inlineStr">
        <is>
          <t>E743 .C45</t>
        </is>
      </c>
      <c r="C1582" t="inlineStr">
        <is>
          <t>0                      E  0743000C  45</t>
        </is>
      </c>
      <c r="D1582" t="inlineStr">
        <is>
          <t>The social and political ideas of the muckrakers.</t>
        </is>
      </c>
      <c r="F1582" t="inlineStr">
        <is>
          <t>No</t>
        </is>
      </c>
      <c r="G1582" t="inlineStr">
        <is>
          <t>1</t>
        </is>
      </c>
      <c r="H1582" t="inlineStr">
        <is>
          <t>No</t>
        </is>
      </c>
      <c r="I1582" t="inlineStr">
        <is>
          <t>No</t>
        </is>
      </c>
      <c r="J1582" t="inlineStr">
        <is>
          <t>0</t>
        </is>
      </c>
      <c r="K1582" t="inlineStr">
        <is>
          <t>Chalmers, David Mark.</t>
        </is>
      </c>
      <c r="L1582" t="inlineStr">
        <is>
          <t>New York, Citadel Press [1964]</t>
        </is>
      </c>
      <c r="M1582" t="inlineStr">
        <is>
          <t>1964</t>
        </is>
      </c>
      <c r="N1582" t="inlineStr">
        <is>
          <t>[1st ed.]</t>
        </is>
      </c>
      <c r="O1582" t="inlineStr">
        <is>
          <t>eng</t>
        </is>
      </c>
      <c r="P1582" t="inlineStr">
        <is>
          <t>nyu</t>
        </is>
      </c>
      <c r="R1582" t="inlineStr">
        <is>
          <t xml:space="preserve">E  </t>
        </is>
      </c>
      <c r="S1582" t="n">
        <v>1</v>
      </c>
      <c r="T1582" t="n">
        <v>1</v>
      </c>
      <c r="U1582" t="inlineStr">
        <is>
          <t>1997-05-27</t>
        </is>
      </c>
      <c r="V1582" t="inlineStr">
        <is>
          <t>1997-05-27</t>
        </is>
      </c>
      <c r="W1582" t="inlineStr">
        <is>
          <t>1997-04-23</t>
        </is>
      </c>
      <c r="X1582" t="inlineStr">
        <is>
          <t>1997-04-23</t>
        </is>
      </c>
      <c r="Y1582" t="n">
        <v>755</v>
      </c>
      <c r="Z1582" t="n">
        <v>688</v>
      </c>
      <c r="AA1582" t="n">
        <v>909</v>
      </c>
      <c r="AB1582" t="n">
        <v>5</v>
      </c>
      <c r="AC1582" t="n">
        <v>6</v>
      </c>
      <c r="AD1582" t="n">
        <v>29</v>
      </c>
      <c r="AE1582" t="n">
        <v>43</v>
      </c>
      <c r="AF1582" t="n">
        <v>10</v>
      </c>
      <c r="AG1582" t="n">
        <v>21</v>
      </c>
      <c r="AH1582" t="n">
        <v>7</v>
      </c>
      <c r="AI1582" t="n">
        <v>8</v>
      </c>
      <c r="AJ1582" t="n">
        <v>14</v>
      </c>
      <c r="AK1582" t="n">
        <v>21</v>
      </c>
      <c r="AL1582" t="n">
        <v>4</v>
      </c>
      <c r="AM1582" t="n">
        <v>5</v>
      </c>
      <c r="AN1582" t="n">
        <v>0</v>
      </c>
      <c r="AO1582" t="n">
        <v>0</v>
      </c>
      <c r="AP1582" t="inlineStr">
        <is>
          <t>No</t>
        </is>
      </c>
      <c r="AQ1582" t="inlineStr">
        <is>
          <t>Yes</t>
        </is>
      </c>
      <c r="AR1582">
        <f>HYPERLINK("http://catalog.hathitrust.org/Record/000467440","HathiTrust Record")</f>
        <v/>
      </c>
      <c r="AS1582">
        <f>HYPERLINK("https://creighton-primo.hosted.exlibrisgroup.com/primo-explore/search?tab=default_tab&amp;search_scope=EVERYTHING&amp;vid=01CRU&amp;lang=en_US&amp;offset=0&amp;query=any,contains,991002812259702656","Catalog Record")</f>
        <v/>
      </c>
      <c r="AT1582">
        <f>HYPERLINK("http://www.worldcat.org/oclc/456579","WorldCat Record")</f>
        <v/>
      </c>
      <c r="AU1582" t="inlineStr">
        <is>
          <t>498323:eng</t>
        </is>
      </c>
      <c r="AV1582" t="inlineStr">
        <is>
          <t>456579</t>
        </is>
      </c>
      <c r="AW1582" t="inlineStr">
        <is>
          <t>991002812259702656</t>
        </is>
      </c>
      <c r="AX1582" t="inlineStr">
        <is>
          <t>991002812259702656</t>
        </is>
      </c>
      <c r="AY1582" t="inlineStr">
        <is>
          <t>2260858990002656</t>
        </is>
      </c>
      <c r="AZ1582" t="inlineStr">
        <is>
          <t>BOOK</t>
        </is>
      </c>
      <c r="BC1582" t="inlineStr">
        <is>
          <t>32285002561362</t>
        </is>
      </c>
      <c r="BD1582" t="inlineStr">
        <is>
          <t>893597907</t>
        </is>
      </c>
    </row>
    <row r="1583">
      <c r="A1583" t="inlineStr">
        <is>
          <t>No</t>
        </is>
      </c>
      <c r="B1583" t="inlineStr">
        <is>
          <t>E743 .C56 1973</t>
        </is>
      </c>
      <c r="C1583" t="inlineStr">
        <is>
          <t>0                      E  0743000C  56          1973</t>
        </is>
      </c>
      <c r="D1583" t="inlineStr">
        <is>
          <t>Reform, war, and reaction: 1912-1932.</t>
        </is>
      </c>
      <c r="F1583" t="inlineStr">
        <is>
          <t>No</t>
        </is>
      </c>
      <c r="G1583" t="inlineStr">
        <is>
          <t>1</t>
        </is>
      </c>
      <c r="H1583" t="inlineStr">
        <is>
          <t>No</t>
        </is>
      </c>
      <c r="I1583" t="inlineStr">
        <is>
          <t>No</t>
        </is>
      </c>
      <c r="J1583" t="inlineStr">
        <is>
          <t>0</t>
        </is>
      </c>
      <c r="K1583" t="inlineStr">
        <is>
          <t>Coben, Stanley compiler.</t>
        </is>
      </c>
      <c r="L1583" t="inlineStr">
        <is>
          <t>Columbia, University of South Carolina Press [1973, c1972]</t>
        </is>
      </c>
      <c r="M1583" t="inlineStr">
        <is>
          <t>1973</t>
        </is>
      </c>
      <c r="O1583" t="inlineStr">
        <is>
          <t>eng</t>
        </is>
      </c>
      <c r="P1583" t="inlineStr">
        <is>
          <t>scu</t>
        </is>
      </c>
      <c r="Q1583" t="inlineStr">
        <is>
          <t>Documentary history of the United States</t>
        </is>
      </c>
      <c r="R1583" t="inlineStr">
        <is>
          <t xml:space="preserve">E  </t>
        </is>
      </c>
      <c r="S1583" t="n">
        <v>2</v>
      </c>
      <c r="T1583" t="n">
        <v>2</v>
      </c>
      <c r="U1583" t="inlineStr">
        <is>
          <t>1998-11-10</t>
        </is>
      </c>
      <c r="V1583" t="inlineStr">
        <is>
          <t>1998-11-10</t>
        </is>
      </c>
      <c r="W1583" t="inlineStr">
        <is>
          <t>1997-04-23</t>
        </is>
      </c>
      <c r="X1583" t="inlineStr">
        <is>
          <t>1997-04-23</t>
        </is>
      </c>
      <c r="Y1583" t="n">
        <v>402</v>
      </c>
      <c r="Z1583" t="n">
        <v>372</v>
      </c>
      <c r="AA1583" t="n">
        <v>489</v>
      </c>
      <c r="AB1583" t="n">
        <v>5</v>
      </c>
      <c r="AC1583" t="n">
        <v>5</v>
      </c>
      <c r="AD1583" t="n">
        <v>24</v>
      </c>
      <c r="AE1583" t="n">
        <v>28</v>
      </c>
      <c r="AF1583" t="n">
        <v>12</v>
      </c>
      <c r="AG1583" t="n">
        <v>13</v>
      </c>
      <c r="AH1583" t="n">
        <v>4</v>
      </c>
      <c r="AI1583" t="n">
        <v>6</v>
      </c>
      <c r="AJ1583" t="n">
        <v>12</v>
      </c>
      <c r="AK1583" t="n">
        <v>14</v>
      </c>
      <c r="AL1583" t="n">
        <v>3</v>
      </c>
      <c r="AM1583" t="n">
        <v>3</v>
      </c>
      <c r="AN1583" t="n">
        <v>0</v>
      </c>
      <c r="AO1583" t="n">
        <v>0</v>
      </c>
      <c r="AP1583" t="inlineStr">
        <is>
          <t>No</t>
        </is>
      </c>
      <c r="AQ1583" t="inlineStr">
        <is>
          <t>Yes</t>
        </is>
      </c>
      <c r="AR1583">
        <f>HYPERLINK("http://catalog.hathitrust.org/Record/000466998","HathiTrust Record")</f>
        <v/>
      </c>
      <c r="AS1583">
        <f>HYPERLINK("https://creighton-primo.hosted.exlibrisgroup.com/primo-explore/search?tab=default_tab&amp;search_scope=EVERYTHING&amp;vid=01CRU&amp;lang=en_US&amp;offset=0&amp;query=any,contains,991002909029702656","Catalog Record")</f>
        <v/>
      </c>
      <c r="AT1583">
        <f>HYPERLINK("http://www.worldcat.org/oclc/520764","WorldCat Record")</f>
        <v/>
      </c>
      <c r="AU1583" t="inlineStr">
        <is>
          <t>519832:eng</t>
        </is>
      </c>
      <c r="AV1583" t="inlineStr">
        <is>
          <t>520764</t>
        </is>
      </c>
      <c r="AW1583" t="inlineStr">
        <is>
          <t>991002909029702656</t>
        </is>
      </c>
      <c r="AX1583" t="inlineStr">
        <is>
          <t>991002909029702656</t>
        </is>
      </c>
      <c r="AY1583" t="inlineStr">
        <is>
          <t>2267935920002656</t>
        </is>
      </c>
      <c r="AZ1583" t="inlineStr">
        <is>
          <t>BOOK</t>
        </is>
      </c>
      <c r="BB1583" t="inlineStr">
        <is>
          <t>9780872492776</t>
        </is>
      </c>
      <c r="BC1583" t="inlineStr">
        <is>
          <t>32285002561388</t>
        </is>
      </c>
      <c r="BD1583" t="inlineStr">
        <is>
          <t>893352592</t>
        </is>
      </c>
    </row>
    <row r="1584">
      <c r="A1584" t="inlineStr">
        <is>
          <t>No</t>
        </is>
      </c>
      <c r="B1584" t="inlineStr">
        <is>
          <t>E743 .C64 1988</t>
        </is>
      </c>
      <c r="C1584" t="inlineStr">
        <is>
          <t>0                      E  0743000C  64          1988</t>
        </is>
      </c>
      <c r="D1584" t="inlineStr">
        <is>
          <t>America observed : from the 1940s to the 1980s / Alistair Cooke ; selected and introduced by Ronald A. Wells.</t>
        </is>
      </c>
      <c r="F1584" t="inlineStr">
        <is>
          <t>No</t>
        </is>
      </c>
      <c r="G1584" t="inlineStr">
        <is>
          <t>1</t>
        </is>
      </c>
      <c r="H1584" t="inlineStr">
        <is>
          <t>No</t>
        </is>
      </c>
      <c r="I1584" t="inlineStr">
        <is>
          <t>No</t>
        </is>
      </c>
      <c r="J1584" t="inlineStr">
        <is>
          <t>0</t>
        </is>
      </c>
      <c r="K1584" t="inlineStr">
        <is>
          <t>Cooke, Alistair, 1908-2004.</t>
        </is>
      </c>
      <c r="L1584" t="inlineStr">
        <is>
          <t>New York : Knopf, 1988.</t>
        </is>
      </c>
      <c r="M1584" t="inlineStr">
        <is>
          <t>1988</t>
        </is>
      </c>
      <c r="N1584" t="inlineStr">
        <is>
          <t>1st American ed.</t>
        </is>
      </c>
      <c r="O1584" t="inlineStr">
        <is>
          <t>eng</t>
        </is>
      </c>
      <c r="P1584" t="inlineStr">
        <is>
          <t>nyu</t>
        </is>
      </c>
      <c r="R1584" t="inlineStr">
        <is>
          <t xml:space="preserve">E  </t>
        </is>
      </c>
      <c r="S1584" t="n">
        <v>3</v>
      </c>
      <c r="T1584" t="n">
        <v>3</v>
      </c>
      <c r="U1584" t="inlineStr">
        <is>
          <t>1999-02-01</t>
        </is>
      </c>
      <c r="V1584" t="inlineStr">
        <is>
          <t>1999-02-01</t>
        </is>
      </c>
      <c r="W1584" t="inlineStr">
        <is>
          <t>1991-05-28</t>
        </is>
      </c>
      <c r="X1584" t="inlineStr">
        <is>
          <t>1991-05-28</t>
        </is>
      </c>
      <c r="Y1584" t="n">
        <v>952</v>
      </c>
      <c r="Z1584" t="n">
        <v>913</v>
      </c>
      <c r="AA1584" t="n">
        <v>1283</v>
      </c>
      <c r="AB1584" t="n">
        <v>6</v>
      </c>
      <c r="AC1584" t="n">
        <v>9</v>
      </c>
      <c r="AD1584" t="n">
        <v>14</v>
      </c>
      <c r="AE1584" t="n">
        <v>24</v>
      </c>
      <c r="AF1584" t="n">
        <v>3</v>
      </c>
      <c r="AG1584" t="n">
        <v>7</v>
      </c>
      <c r="AH1584" t="n">
        <v>3</v>
      </c>
      <c r="AI1584" t="n">
        <v>6</v>
      </c>
      <c r="AJ1584" t="n">
        <v>8</v>
      </c>
      <c r="AK1584" t="n">
        <v>12</v>
      </c>
      <c r="AL1584" t="n">
        <v>1</v>
      </c>
      <c r="AM1584" t="n">
        <v>3</v>
      </c>
      <c r="AN1584" t="n">
        <v>0</v>
      </c>
      <c r="AO1584" t="n">
        <v>0</v>
      </c>
      <c r="AP1584" t="inlineStr">
        <is>
          <t>No</t>
        </is>
      </c>
      <c r="AQ1584" t="inlineStr">
        <is>
          <t>Yes</t>
        </is>
      </c>
      <c r="AR1584">
        <f>HYPERLINK("http://catalog.hathitrust.org/Record/009517117","HathiTrust Record")</f>
        <v/>
      </c>
      <c r="AS1584">
        <f>HYPERLINK("https://creighton-primo.hosted.exlibrisgroup.com/primo-explore/search?tab=default_tab&amp;search_scope=EVERYTHING&amp;vid=01CRU&amp;lang=en_US&amp;offset=0&amp;query=any,contains,991001313919702656","Catalog Record")</f>
        <v/>
      </c>
      <c r="AT1584">
        <f>HYPERLINK("http://www.worldcat.org/oclc/18164776","WorldCat Record")</f>
        <v/>
      </c>
      <c r="AU1584" t="inlineStr">
        <is>
          <t>50849423:eng</t>
        </is>
      </c>
      <c r="AV1584" t="inlineStr">
        <is>
          <t>18164776</t>
        </is>
      </c>
      <c r="AW1584" t="inlineStr">
        <is>
          <t>991001313919702656</t>
        </is>
      </c>
      <c r="AX1584" t="inlineStr">
        <is>
          <t>991001313919702656</t>
        </is>
      </c>
      <c r="AY1584" t="inlineStr">
        <is>
          <t>2261215440002656</t>
        </is>
      </c>
      <c r="AZ1584" t="inlineStr">
        <is>
          <t>BOOK</t>
        </is>
      </c>
      <c r="BB1584" t="inlineStr">
        <is>
          <t>9780394573427</t>
        </is>
      </c>
      <c r="BC1584" t="inlineStr">
        <is>
          <t>32285000612019</t>
        </is>
      </c>
      <c r="BD1584" t="inlineStr">
        <is>
          <t>893614971</t>
        </is>
      </c>
    </row>
    <row r="1585">
      <c r="A1585" t="inlineStr">
        <is>
          <t>No</t>
        </is>
      </c>
      <c r="B1585" t="inlineStr">
        <is>
          <t>E743 .C68 2003</t>
        </is>
      </c>
      <c r="C1585" t="inlineStr">
        <is>
          <t>0                      E  0743000C  68          2003</t>
        </is>
      </c>
      <c r="D1585" t="inlineStr">
        <is>
          <t>Treason : liberal treachery from the cold war to the war on terrorism / Ann Coulter.</t>
        </is>
      </c>
      <c r="F1585" t="inlineStr">
        <is>
          <t>No</t>
        </is>
      </c>
      <c r="G1585" t="inlineStr">
        <is>
          <t>1</t>
        </is>
      </c>
      <c r="H1585" t="inlineStr">
        <is>
          <t>No</t>
        </is>
      </c>
      <c r="I1585" t="inlineStr">
        <is>
          <t>No</t>
        </is>
      </c>
      <c r="J1585" t="inlineStr">
        <is>
          <t>0</t>
        </is>
      </c>
      <c r="K1585" t="inlineStr">
        <is>
          <t>Coulter, Ann H.</t>
        </is>
      </c>
      <c r="L1585" t="inlineStr">
        <is>
          <t>New York : Crown Forum, c2003.</t>
        </is>
      </c>
      <c r="M1585" t="inlineStr">
        <is>
          <t>2003</t>
        </is>
      </c>
      <c r="O1585" t="inlineStr">
        <is>
          <t>eng</t>
        </is>
      </c>
      <c r="P1585" t="inlineStr">
        <is>
          <t>nyu</t>
        </is>
      </c>
      <c r="R1585" t="inlineStr">
        <is>
          <t xml:space="preserve">E  </t>
        </is>
      </c>
      <c r="S1585" t="n">
        <v>3</v>
      </c>
      <c r="T1585" t="n">
        <v>3</v>
      </c>
      <c r="U1585" t="inlineStr">
        <is>
          <t>2005-10-06</t>
        </is>
      </c>
      <c r="V1585" t="inlineStr">
        <is>
          <t>2005-10-06</t>
        </is>
      </c>
      <c r="W1585" t="inlineStr">
        <is>
          <t>2003-09-10</t>
        </is>
      </c>
      <c r="X1585" t="inlineStr">
        <is>
          <t>2003-09-10</t>
        </is>
      </c>
      <c r="Y1585" t="n">
        <v>1864</v>
      </c>
      <c r="Z1585" t="n">
        <v>1802</v>
      </c>
      <c r="AA1585" t="n">
        <v>1869</v>
      </c>
      <c r="AB1585" t="n">
        <v>18</v>
      </c>
      <c r="AC1585" t="n">
        <v>18</v>
      </c>
      <c r="AD1585" t="n">
        <v>26</v>
      </c>
      <c r="AE1585" t="n">
        <v>27</v>
      </c>
      <c r="AF1585" t="n">
        <v>10</v>
      </c>
      <c r="AG1585" t="n">
        <v>11</v>
      </c>
      <c r="AH1585" t="n">
        <v>4</v>
      </c>
      <c r="AI1585" t="n">
        <v>4</v>
      </c>
      <c r="AJ1585" t="n">
        <v>14</v>
      </c>
      <c r="AK1585" t="n">
        <v>14</v>
      </c>
      <c r="AL1585" t="n">
        <v>4</v>
      </c>
      <c r="AM1585" t="n">
        <v>4</v>
      </c>
      <c r="AN1585" t="n">
        <v>1</v>
      </c>
      <c r="AO1585" t="n">
        <v>1</v>
      </c>
      <c r="AP1585" t="inlineStr">
        <is>
          <t>No</t>
        </is>
      </c>
      <c r="AQ1585" t="inlineStr">
        <is>
          <t>Yes</t>
        </is>
      </c>
      <c r="AR1585">
        <f>HYPERLINK("http://catalog.hathitrust.org/Record/004329806","HathiTrust Record")</f>
        <v/>
      </c>
      <c r="AS1585">
        <f>HYPERLINK("https://creighton-primo.hosted.exlibrisgroup.com/primo-explore/search?tab=default_tab&amp;search_scope=EVERYTHING&amp;vid=01CRU&amp;lang=en_US&amp;offset=0&amp;query=any,contains,991004111279702656","Catalog Record")</f>
        <v/>
      </c>
      <c r="AT1585">
        <f>HYPERLINK("http://www.worldcat.org/oclc/52133318","WorldCat Record")</f>
        <v/>
      </c>
      <c r="AU1585" t="inlineStr">
        <is>
          <t>734034:eng</t>
        </is>
      </c>
      <c r="AV1585" t="inlineStr">
        <is>
          <t>52133318</t>
        </is>
      </c>
      <c r="AW1585" t="inlineStr">
        <is>
          <t>991004111279702656</t>
        </is>
      </c>
      <c r="AX1585" t="inlineStr">
        <is>
          <t>991004111279702656</t>
        </is>
      </c>
      <c r="AY1585" t="inlineStr">
        <is>
          <t>2256724710002656</t>
        </is>
      </c>
      <c r="AZ1585" t="inlineStr">
        <is>
          <t>BOOK</t>
        </is>
      </c>
      <c r="BB1585" t="inlineStr">
        <is>
          <t>9781400050307</t>
        </is>
      </c>
      <c r="BC1585" t="inlineStr">
        <is>
          <t>32285004782636</t>
        </is>
      </c>
      <c r="BD1585" t="inlineStr">
        <is>
          <t>893241022</t>
        </is>
      </c>
    </row>
    <row r="1586">
      <c r="A1586" t="inlineStr">
        <is>
          <t>No</t>
        </is>
      </c>
      <c r="B1586" t="inlineStr">
        <is>
          <t>E743 .E29 1974</t>
        </is>
      </c>
      <c r="C1586" t="inlineStr">
        <is>
          <t>0                      E  0743000E  29          1974</t>
        </is>
      </c>
      <c r="D1586" t="inlineStr">
        <is>
          <t>Progressivism in America : a study of the era from Theodore Roosevelt to Woodrow Wilson / [by] Arthur A. Ekirch, Jr.</t>
        </is>
      </c>
      <c r="F1586" t="inlineStr">
        <is>
          <t>No</t>
        </is>
      </c>
      <c r="G1586" t="inlineStr">
        <is>
          <t>1</t>
        </is>
      </c>
      <c r="H1586" t="inlineStr">
        <is>
          <t>No</t>
        </is>
      </c>
      <c r="I1586" t="inlineStr">
        <is>
          <t>No</t>
        </is>
      </c>
      <c r="J1586" t="inlineStr">
        <is>
          <t>0</t>
        </is>
      </c>
      <c r="K1586" t="inlineStr">
        <is>
          <t>Ekirch, Arthur Alphonse, 1915-2000.</t>
        </is>
      </c>
      <c r="L1586" t="inlineStr">
        <is>
          <t>New York : New Viewpoints, 1974.</t>
        </is>
      </c>
      <c r="M1586" t="inlineStr">
        <is>
          <t>1974</t>
        </is>
      </c>
      <c r="O1586" t="inlineStr">
        <is>
          <t>eng</t>
        </is>
      </c>
      <c r="P1586" t="inlineStr">
        <is>
          <t>nyu</t>
        </is>
      </c>
      <c r="R1586" t="inlineStr">
        <is>
          <t xml:space="preserve">E  </t>
        </is>
      </c>
      <c r="S1586" t="n">
        <v>4</v>
      </c>
      <c r="T1586" t="n">
        <v>4</v>
      </c>
      <c r="U1586" t="inlineStr">
        <is>
          <t>1997-05-22</t>
        </is>
      </c>
      <c r="V1586" t="inlineStr">
        <is>
          <t>1997-05-22</t>
        </is>
      </c>
      <c r="W1586" t="inlineStr">
        <is>
          <t>1990-03-08</t>
        </is>
      </c>
      <c r="X1586" t="inlineStr">
        <is>
          <t>1990-03-08</t>
        </is>
      </c>
      <c r="Y1586" t="n">
        <v>624</v>
      </c>
      <c r="Z1586" t="n">
        <v>528</v>
      </c>
      <c r="AA1586" t="n">
        <v>534</v>
      </c>
      <c r="AB1586" t="n">
        <v>3</v>
      </c>
      <c r="AC1586" t="n">
        <v>3</v>
      </c>
      <c r="AD1586" t="n">
        <v>20</v>
      </c>
      <c r="AE1586" t="n">
        <v>20</v>
      </c>
      <c r="AF1586" t="n">
        <v>7</v>
      </c>
      <c r="AG1586" t="n">
        <v>7</v>
      </c>
      <c r="AH1586" t="n">
        <v>5</v>
      </c>
      <c r="AI1586" t="n">
        <v>5</v>
      </c>
      <c r="AJ1586" t="n">
        <v>10</v>
      </c>
      <c r="AK1586" t="n">
        <v>10</v>
      </c>
      <c r="AL1586" t="n">
        <v>2</v>
      </c>
      <c r="AM1586" t="n">
        <v>2</v>
      </c>
      <c r="AN1586" t="n">
        <v>1</v>
      </c>
      <c r="AO1586" t="n">
        <v>1</v>
      </c>
      <c r="AP1586" t="inlineStr">
        <is>
          <t>No</t>
        </is>
      </c>
      <c r="AQ1586" t="inlineStr">
        <is>
          <t>Yes</t>
        </is>
      </c>
      <c r="AR1586">
        <f>HYPERLINK("http://catalog.hathitrust.org/Record/000467001","HathiTrust Record")</f>
        <v/>
      </c>
      <c r="AS1586">
        <f>HYPERLINK("https://creighton-primo.hosted.exlibrisgroup.com/primo-explore/search?tab=default_tab&amp;search_scope=EVERYTHING&amp;vid=01CRU&amp;lang=en_US&amp;offset=0&amp;query=any,contains,991003305439702656","Catalog Record")</f>
        <v/>
      </c>
      <c r="AT1586">
        <f>HYPERLINK("http://www.worldcat.org/oclc/828319","WorldCat Record")</f>
        <v/>
      </c>
      <c r="AU1586" t="inlineStr">
        <is>
          <t>499965039:eng</t>
        </is>
      </c>
      <c r="AV1586" t="inlineStr">
        <is>
          <t>828319</t>
        </is>
      </c>
      <c r="AW1586" t="inlineStr">
        <is>
          <t>991003305439702656</t>
        </is>
      </c>
      <c r="AX1586" t="inlineStr">
        <is>
          <t>991003305439702656</t>
        </is>
      </c>
      <c r="AY1586" t="inlineStr">
        <is>
          <t>2269277590002656</t>
        </is>
      </c>
      <c r="AZ1586" t="inlineStr">
        <is>
          <t>BOOK</t>
        </is>
      </c>
      <c r="BB1586" t="inlineStr">
        <is>
          <t>9780531053591</t>
        </is>
      </c>
      <c r="BC1586" t="inlineStr">
        <is>
          <t>32285000080811</t>
        </is>
      </c>
      <c r="BD1586" t="inlineStr">
        <is>
          <t>893511808</t>
        </is>
      </c>
    </row>
    <row r="1587">
      <c r="A1587" t="inlineStr">
        <is>
          <t>No</t>
        </is>
      </c>
      <c r="B1587" t="inlineStr">
        <is>
          <t>E743 .F65</t>
        </is>
      </c>
      <c r="C1587" t="inlineStr">
        <is>
          <t>0                      E  0743000F  65</t>
        </is>
      </c>
      <c r="D1587" t="inlineStr">
        <is>
          <t>The crossroads of liberalism : Croly, Weyl, Lippmann, and the progressive era, 1900-1925.</t>
        </is>
      </c>
      <c r="F1587" t="inlineStr">
        <is>
          <t>No</t>
        </is>
      </c>
      <c r="G1587" t="inlineStr">
        <is>
          <t>1</t>
        </is>
      </c>
      <c r="H1587" t="inlineStr">
        <is>
          <t>No</t>
        </is>
      </c>
      <c r="I1587" t="inlineStr">
        <is>
          <t>No</t>
        </is>
      </c>
      <c r="J1587" t="inlineStr">
        <is>
          <t>0</t>
        </is>
      </c>
      <c r="K1587" t="inlineStr">
        <is>
          <t>Forcey, Charles, 1925-2008.</t>
        </is>
      </c>
      <c r="L1587" t="inlineStr">
        <is>
          <t>New York : Oxford University Press, 1961.</t>
        </is>
      </c>
      <c r="M1587" t="inlineStr">
        <is>
          <t>1961</t>
        </is>
      </c>
      <c r="O1587" t="inlineStr">
        <is>
          <t>eng</t>
        </is>
      </c>
      <c r="P1587" t="inlineStr">
        <is>
          <t>nyu</t>
        </is>
      </c>
      <c r="R1587" t="inlineStr">
        <is>
          <t xml:space="preserve">E  </t>
        </is>
      </c>
      <c r="S1587" t="n">
        <v>2</v>
      </c>
      <c r="T1587" t="n">
        <v>2</v>
      </c>
      <c r="U1587" t="inlineStr">
        <is>
          <t>1997-05-22</t>
        </is>
      </c>
      <c r="V1587" t="inlineStr">
        <is>
          <t>1997-05-22</t>
        </is>
      </c>
      <c r="W1587" t="inlineStr">
        <is>
          <t>1990-02-23</t>
        </is>
      </c>
      <c r="X1587" t="inlineStr">
        <is>
          <t>1990-02-23</t>
        </is>
      </c>
      <c r="Y1587" t="n">
        <v>1101</v>
      </c>
      <c r="Z1587" t="n">
        <v>991</v>
      </c>
      <c r="AA1587" t="n">
        <v>1053</v>
      </c>
      <c r="AB1587" t="n">
        <v>6</v>
      </c>
      <c r="AC1587" t="n">
        <v>7</v>
      </c>
      <c r="AD1587" t="n">
        <v>43</v>
      </c>
      <c r="AE1587" t="n">
        <v>44</v>
      </c>
      <c r="AF1587" t="n">
        <v>18</v>
      </c>
      <c r="AG1587" t="n">
        <v>18</v>
      </c>
      <c r="AH1587" t="n">
        <v>8</v>
      </c>
      <c r="AI1587" t="n">
        <v>8</v>
      </c>
      <c r="AJ1587" t="n">
        <v>22</v>
      </c>
      <c r="AK1587" t="n">
        <v>22</v>
      </c>
      <c r="AL1587" t="n">
        <v>5</v>
      </c>
      <c r="AM1587" t="n">
        <v>6</v>
      </c>
      <c r="AN1587" t="n">
        <v>0</v>
      </c>
      <c r="AO1587" t="n">
        <v>0</v>
      </c>
      <c r="AP1587" t="inlineStr">
        <is>
          <t>No</t>
        </is>
      </c>
      <c r="AQ1587" t="inlineStr">
        <is>
          <t>No</t>
        </is>
      </c>
      <c r="AR1587">
        <f>HYPERLINK("http://catalog.hathitrust.org/Record/000466895","HathiTrust Record")</f>
        <v/>
      </c>
      <c r="AS1587">
        <f>HYPERLINK("https://creighton-primo.hosted.exlibrisgroup.com/primo-explore/search?tab=default_tab&amp;search_scope=EVERYTHING&amp;vid=01CRU&amp;lang=en_US&amp;offset=0&amp;query=any,contains,991002797339702656","Catalog Record")</f>
        <v/>
      </c>
      <c r="AT1587">
        <f>HYPERLINK("http://www.worldcat.org/oclc/445667","WorldCat Record")</f>
        <v/>
      </c>
      <c r="AU1587" t="inlineStr">
        <is>
          <t>1580181:eng</t>
        </is>
      </c>
      <c r="AV1587" t="inlineStr">
        <is>
          <t>445667</t>
        </is>
      </c>
      <c r="AW1587" t="inlineStr">
        <is>
          <t>991002797339702656</t>
        </is>
      </c>
      <c r="AX1587" t="inlineStr">
        <is>
          <t>991002797339702656</t>
        </is>
      </c>
      <c r="AY1587" t="inlineStr">
        <is>
          <t>2262990290002656</t>
        </is>
      </c>
      <c r="AZ1587" t="inlineStr">
        <is>
          <t>BOOK</t>
        </is>
      </c>
      <c r="BC1587" t="inlineStr">
        <is>
          <t>32285000060755</t>
        </is>
      </c>
      <c r="BD1587" t="inlineStr">
        <is>
          <t>893535195</t>
        </is>
      </c>
    </row>
    <row r="1588">
      <c r="A1588" t="inlineStr">
        <is>
          <t>No</t>
        </is>
      </c>
      <c r="B1588" t="inlineStr">
        <is>
          <t>E743 .F73 1982</t>
        </is>
      </c>
      <c r="C1588" t="inlineStr">
        <is>
          <t>0                      E  0743000F  73          1982</t>
        </is>
      </c>
      <c r="D1588" t="inlineStr">
        <is>
          <t>The presidential press conference : its history and role in the American political system / Blaire Atherton French.</t>
        </is>
      </c>
      <c r="F1588" t="inlineStr">
        <is>
          <t>No</t>
        </is>
      </c>
      <c r="G1588" t="inlineStr">
        <is>
          <t>1</t>
        </is>
      </c>
      <c r="H1588" t="inlineStr">
        <is>
          <t>No</t>
        </is>
      </c>
      <c r="I1588" t="inlineStr">
        <is>
          <t>No</t>
        </is>
      </c>
      <c r="J1588" t="inlineStr">
        <is>
          <t>0</t>
        </is>
      </c>
      <c r="K1588" t="inlineStr">
        <is>
          <t>French, Blaire Atherton.</t>
        </is>
      </c>
      <c r="L1588" t="inlineStr">
        <is>
          <t>Washington, D.C. : University Press of America, 1982.</t>
        </is>
      </c>
      <c r="M1588" t="inlineStr">
        <is>
          <t>1982</t>
        </is>
      </c>
      <c r="O1588" t="inlineStr">
        <is>
          <t>eng</t>
        </is>
      </c>
      <c r="P1588" t="inlineStr">
        <is>
          <t>dcu</t>
        </is>
      </c>
      <c r="R1588" t="inlineStr">
        <is>
          <t xml:space="preserve">E  </t>
        </is>
      </c>
      <c r="S1588" t="n">
        <v>1</v>
      </c>
      <c r="T1588" t="n">
        <v>1</v>
      </c>
      <c r="U1588" t="inlineStr">
        <is>
          <t>1993-02-16</t>
        </is>
      </c>
      <c r="V1588" t="inlineStr">
        <is>
          <t>1993-02-16</t>
        </is>
      </c>
      <c r="W1588" t="inlineStr">
        <is>
          <t>1991-05-28</t>
        </is>
      </c>
      <c r="X1588" t="inlineStr">
        <is>
          <t>1991-05-28</t>
        </is>
      </c>
      <c r="Y1588" t="n">
        <v>389</v>
      </c>
      <c r="Z1588" t="n">
        <v>355</v>
      </c>
      <c r="AA1588" t="n">
        <v>363</v>
      </c>
      <c r="AB1588" t="n">
        <v>3</v>
      </c>
      <c r="AC1588" t="n">
        <v>3</v>
      </c>
      <c r="AD1588" t="n">
        <v>21</v>
      </c>
      <c r="AE1588" t="n">
        <v>21</v>
      </c>
      <c r="AF1588" t="n">
        <v>11</v>
      </c>
      <c r="AG1588" t="n">
        <v>11</v>
      </c>
      <c r="AH1588" t="n">
        <v>3</v>
      </c>
      <c r="AI1588" t="n">
        <v>3</v>
      </c>
      <c r="AJ1588" t="n">
        <v>11</v>
      </c>
      <c r="AK1588" t="n">
        <v>11</v>
      </c>
      <c r="AL1588" t="n">
        <v>2</v>
      </c>
      <c r="AM1588" t="n">
        <v>2</v>
      </c>
      <c r="AN1588" t="n">
        <v>0</v>
      </c>
      <c r="AO1588" t="n">
        <v>0</v>
      </c>
      <c r="AP1588" t="inlineStr">
        <is>
          <t>No</t>
        </is>
      </c>
      <c r="AQ1588" t="inlineStr">
        <is>
          <t>Yes</t>
        </is>
      </c>
      <c r="AR1588">
        <f>HYPERLINK("http://catalog.hathitrust.org/Record/000431062","HathiTrust Record")</f>
        <v/>
      </c>
      <c r="AS1588">
        <f>HYPERLINK("https://creighton-primo.hosted.exlibrisgroup.com/primo-explore/search?tab=default_tab&amp;search_scope=EVERYTHING&amp;vid=01CRU&amp;lang=en_US&amp;offset=0&amp;query=any,contains,991005185319702656","Catalog Record")</f>
        <v/>
      </c>
      <c r="AT1588">
        <f>HYPERLINK("http://www.worldcat.org/oclc/7975436","WorldCat Record")</f>
        <v/>
      </c>
      <c r="AU1588" t="inlineStr">
        <is>
          <t>483387:eng</t>
        </is>
      </c>
      <c r="AV1588" t="inlineStr">
        <is>
          <t>7975436</t>
        </is>
      </c>
      <c r="AW1588" t="inlineStr">
        <is>
          <t>991005185319702656</t>
        </is>
      </c>
      <c r="AX1588" t="inlineStr">
        <is>
          <t>991005185319702656</t>
        </is>
      </c>
      <c r="AY1588" t="inlineStr">
        <is>
          <t>2264004380002656</t>
        </is>
      </c>
      <c r="AZ1588" t="inlineStr">
        <is>
          <t>BOOK</t>
        </is>
      </c>
      <c r="BB1588" t="inlineStr">
        <is>
          <t>9780819120649</t>
        </is>
      </c>
      <c r="BC1588" t="inlineStr">
        <is>
          <t>32285000612050</t>
        </is>
      </c>
      <c r="BD1588" t="inlineStr">
        <is>
          <t>893338669</t>
        </is>
      </c>
    </row>
    <row r="1589">
      <c r="A1589" t="inlineStr">
        <is>
          <t>No</t>
        </is>
      </c>
      <c r="B1589" t="inlineStr">
        <is>
          <t>E743 .G67 1974</t>
        </is>
      </c>
      <c r="C1589" t="inlineStr">
        <is>
          <t>0                      E  0743000G  67          1974</t>
        </is>
      </c>
      <c r="D1589" t="inlineStr">
        <is>
          <t>The progressive era / Lewis L. Gould, editor.</t>
        </is>
      </c>
      <c r="F1589" t="inlineStr">
        <is>
          <t>No</t>
        </is>
      </c>
      <c r="G1589" t="inlineStr">
        <is>
          <t>1</t>
        </is>
      </c>
      <c r="H1589" t="inlineStr">
        <is>
          <t>No</t>
        </is>
      </c>
      <c r="I1589" t="inlineStr">
        <is>
          <t>No</t>
        </is>
      </c>
      <c r="J1589" t="inlineStr">
        <is>
          <t>0</t>
        </is>
      </c>
      <c r="K1589" t="inlineStr">
        <is>
          <t>Gould, Lewis L.</t>
        </is>
      </c>
      <c r="L1589" t="inlineStr">
        <is>
          <t>[Syracuse, N.Y.] : Syracuse University Press, 1974.</t>
        </is>
      </c>
      <c r="M1589" t="inlineStr">
        <is>
          <t>1974</t>
        </is>
      </c>
      <c r="N1589" t="inlineStr">
        <is>
          <t>[1st ed.]</t>
        </is>
      </c>
      <c r="O1589" t="inlineStr">
        <is>
          <t>eng</t>
        </is>
      </c>
      <c r="P1589" t="inlineStr">
        <is>
          <t>nyu</t>
        </is>
      </c>
      <c r="R1589" t="inlineStr">
        <is>
          <t xml:space="preserve">E  </t>
        </is>
      </c>
      <c r="S1589" t="n">
        <v>1</v>
      </c>
      <c r="T1589" t="n">
        <v>1</v>
      </c>
      <c r="U1589" t="inlineStr">
        <is>
          <t>1997-05-22</t>
        </is>
      </c>
      <c r="V1589" t="inlineStr">
        <is>
          <t>1997-05-22</t>
        </is>
      </c>
      <c r="W1589" t="inlineStr">
        <is>
          <t>1990-03-08</t>
        </is>
      </c>
      <c r="X1589" t="inlineStr">
        <is>
          <t>1990-03-08</t>
        </is>
      </c>
      <c r="Y1589" t="n">
        <v>969</v>
      </c>
      <c r="Z1589" t="n">
        <v>854</v>
      </c>
      <c r="AA1589" t="n">
        <v>866</v>
      </c>
      <c r="AB1589" t="n">
        <v>7</v>
      </c>
      <c r="AC1589" t="n">
        <v>7</v>
      </c>
      <c r="AD1589" t="n">
        <v>32</v>
      </c>
      <c r="AE1589" t="n">
        <v>32</v>
      </c>
      <c r="AF1589" t="n">
        <v>13</v>
      </c>
      <c r="AG1589" t="n">
        <v>13</v>
      </c>
      <c r="AH1589" t="n">
        <v>6</v>
      </c>
      <c r="AI1589" t="n">
        <v>6</v>
      </c>
      <c r="AJ1589" t="n">
        <v>13</v>
      </c>
      <c r="AK1589" t="n">
        <v>13</v>
      </c>
      <c r="AL1589" t="n">
        <v>6</v>
      </c>
      <c r="AM1589" t="n">
        <v>6</v>
      </c>
      <c r="AN1589" t="n">
        <v>0</v>
      </c>
      <c r="AO1589" t="n">
        <v>0</v>
      </c>
      <c r="AP1589" t="inlineStr">
        <is>
          <t>No</t>
        </is>
      </c>
      <c r="AQ1589" t="inlineStr">
        <is>
          <t>Yes</t>
        </is>
      </c>
      <c r="AR1589">
        <f>HYPERLINK("http://catalog.hathitrust.org/Record/000466912","HathiTrust Record")</f>
        <v/>
      </c>
      <c r="AS1589">
        <f>HYPERLINK("https://creighton-primo.hosted.exlibrisgroup.com/primo-explore/search?tab=default_tab&amp;search_scope=EVERYTHING&amp;vid=01CRU&amp;lang=en_US&amp;offset=0&amp;query=any,contains,991003334359702656","Catalog Record")</f>
        <v/>
      </c>
      <c r="AT1589">
        <f>HYPERLINK("http://www.worldcat.org/oclc/865992","WorldCat Record")</f>
        <v/>
      </c>
      <c r="AU1589" t="inlineStr">
        <is>
          <t>356762977:eng</t>
        </is>
      </c>
      <c r="AV1589" t="inlineStr">
        <is>
          <t>865992</t>
        </is>
      </c>
      <c r="AW1589" t="inlineStr">
        <is>
          <t>991003334359702656</t>
        </is>
      </c>
      <c r="AX1589" t="inlineStr">
        <is>
          <t>991003334359702656</t>
        </is>
      </c>
      <c r="AY1589" t="inlineStr">
        <is>
          <t>2264733050002656</t>
        </is>
      </c>
      <c r="AZ1589" t="inlineStr">
        <is>
          <t>BOOK</t>
        </is>
      </c>
      <c r="BB1589" t="inlineStr">
        <is>
          <t>9780815621638</t>
        </is>
      </c>
      <c r="BC1589" t="inlineStr">
        <is>
          <t>32285000080829</t>
        </is>
      </c>
      <c r="BD1589" t="inlineStr">
        <is>
          <t>893698918</t>
        </is>
      </c>
    </row>
    <row r="1590">
      <c r="A1590" t="inlineStr">
        <is>
          <t>No</t>
        </is>
      </c>
      <c r="B1590" t="inlineStr">
        <is>
          <t>E743 .H24 1985</t>
        </is>
      </c>
      <c r="C1590" t="inlineStr">
        <is>
          <t>0                      E  0743000H  24          1985</t>
        </is>
      </c>
      <c r="D1590" t="inlineStr">
        <is>
          <t>Liberalism and its challengers : FDR to Reagan / Alonzo L. Hamby.</t>
        </is>
      </c>
      <c r="F1590" t="inlineStr">
        <is>
          <t>No</t>
        </is>
      </c>
      <c r="G1590" t="inlineStr">
        <is>
          <t>1</t>
        </is>
      </c>
      <c r="H1590" t="inlineStr">
        <is>
          <t>No</t>
        </is>
      </c>
      <c r="I1590" t="inlineStr">
        <is>
          <t>No</t>
        </is>
      </c>
      <c r="J1590" t="inlineStr">
        <is>
          <t>0</t>
        </is>
      </c>
      <c r="K1590" t="inlineStr">
        <is>
          <t>Hamby, Alonzo L.</t>
        </is>
      </c>
      <c r="L1590" t="inlineStr">
        <is>
          <t>New York : Oxford University Press, 1985.</t>
        </is>
      </c>
      <c r="M1590" t="inlineStr">
        <is>
          <t>1985</t>
        </is>
      </c>
      <c r="O1590" t="inlineStr">
        <is>
          <t>eng</t>
        </is>
      </c>
      <c r="P1590" t="inlineStr">
        <is>
          <t>nyu</t>
        </is>
      </c>
      <c r="R1590" t="inlineStr">
        <is>
          <t xml:space="preserve">E  </t>
        </is>
      </c>
      <c r="S1590" t="n">
        <v>7</v>
      </c>
      <c r="T1590" t="n">
        <v>7</v>
      </c>
      <c r="U1590" t="inlineStr">
        <is>
          <t>1994-05-16</t>
        </is>
      </c>
      <c r="V1590" t="inlineStr">
        <is>
          <t>1994-05-16</t>
        </is>
      </c>
      <c r="W1590" t="inlineStr">
        <is>
          <t>1991-05-28</t>
        </is>
      </c>
      <c r="X1590" t="inlineStr">
        <is>
          <t>1991-05-28</t>
        </is>
      </c>
      <c r="Y1590" t="n">
        <v>889</v>
      </c>
      <c r="Z1590" t="n">
        <v>778</v>
      </c>
      <c r="AA1590" t="n">
        <v>786</v>
      </c>
      <c r="AB1590" t="n">
        <v>4</v>
      </c>
      <c r="AC1590" t="n">
        <v>4</v>
      </c>
      <c r="AD1590" t="n">
        <v>35</v>
      </c>
      <c r="AE1590" t="n">
        <v>35</v>
      </c>
      <c r="AF1590" t="n">
        <v>14</v>
      </c>
      <c r="AG1590" t="n">
        <v>14</v>
      </c>
      <c r="AH1590" t="n">
        <v>8</v>
      </c>
      <c r="AI1590" t="n">
        <v>8</v>
      </c>
      <c r="AJ1590" t="n">
        <v>18</v>
      </c>
      <c r="AK1590" t="n">
        <v>18</v>
      </c>
      <c r="AL1590" t="n">
        <v>3</v>
      </c>
      <c r="AM1590" t="n">
        <v>3</v>
      </c>
      <c r="AN1590" t="n">
        <v>1</v>
      </c>
      <c r="AO1590" t="n">
        <v>1</v>
      </c>
      <c r="AP1590" t="inlineStr">
        <is>
          <t>No</t>
        </is>
      </c>
      <c r="AQ1590" t="inlineStr">
        <is>
          <t>Yes</t>
        </is>
      </c>
      <c r="AR1590">
        <f>HYPERLINK("http://catalog.hathitrust.org/Record/000561245","HathiTrust Record")</f>
        <v/>
      </c>
      <c r="AS1590">
        <f>HYPERLINK("https://creighton-primo.hosted.exlibrisgroup.com/primo-explore/search?tab=default_tab&amp;search_scope=EVERYTHING&amp;vid=01CRU&amp;lang=en_US&amp;offset=0&amp;query=any,contains,991000257149702656","Catalog Record")</f>
        <v/>
      </c>
      <c r="AT1590">
        <f>HYPERLINK("http://www.worldcat.org/oclc/9783891","WorldCat Record")</f>
        <v/>
      </c>
      <c r="AU1590" t="inlineStr">
        <is>
          <t>918753470:eng</t>
        </is>
      </c>
      <c r="AV1590" t="inlineStr">
        <is>
          <t>9783891</t>
        </is>
      </c>
      <c r="AW1590" t="inlineStr">
        <is>
          <t>991000257149702656</t>
        </is>
      </c>
      <c r="AX1590" t="inlineStr">
        <is>
          <t>991000257149702656</t>
        </is>
      </c>
      <c r="AY1590" t="inlineStr">
        <is>
          <t>2266909790002656</t>
        </is>
      </c>
      <c r="AZ1590" t="inlineStr">
        <is>
          <t>BOOK</t>
        </is>
      </c>
      <c r="BB1590" t="inlineStr">
        <is>
          <t>9780195034196</t>
        </is>
      </c>
      <c r="BC1590" t="inlineStr">
        <is>
          <t>32285000612092</t>
        </is>
      </c>
      <c r="BD1590" t="inlineStr">
        <is>
          <t>893527927</t>
        </is>
      </c>
    </row>
    <row r="1591">
      <c r="A1591" t="inlineStr">
        <is>
          <t>No</t>
        </is>
      </c>
      <c r="B1591" t="inlineStr">
        <is>
          <t>E743 .H35</t>
        </is>
      </c>
      <c r="C1591" t="inlineStr">
        <is>
          <t>0                      E  0743000H  35</t>
        </is>
      </c>
      <c r="D1591" t="inlineStr">
        <is>
          <t>American political history as social analysis / essays by Samuel P. Hays.</t>
        </is>
      </c>
      <c r="F1591" t="inlineStr">
        <is>
          <t>No</t>
        </is>
      </c>
      <c r="G1591" t="inlineStr">
        <is>
          <t>1</t>
        </is>
      </c>
      <c r="H1591" t="inlineStr">
        <is>
          <t>No</t>
        </is>
      </c>
      <c r="I1591" t="inlineStr">
        <is>
          <t>No</t>
        </is>
      </c>
      <c r="J1591" t="inlineStr">
        <is>
          <t>0</t>
        </is>
      </c>
      <c r="K1591" t="inlineStr">
        <is>
          <t>Hays, Samuel P.</t>
        </is>
      </c>
      <c r="L1591" t="inlineStr">
        <is>
          <t>Knoxville : University of Tennessee Press, c1980.</t>
        </is>
      </c>
      <c r="M1591" t="inlineStr">
        <is>
          <t>1979</t>
        </is>
      </c>
      <c r="N1591" t="inlineStr">
        <is>
          <t>1st ed.</t>
        </is>
      </c>
      <c r="O1591" t="inlineStr">
        <is>
          <t>eng</t>
        </is>
      </c>
      <c r="P1591" t="inlineStr">
        <is>
          <t>tnu</t>
        </is>
      </c>
      <c r="Q1591" t="inlineStr">
        <is>
          <t>Twentieth-century America series</t>
        </is>
      </c>
      <c r="R1591" t="inlineStr">
        <is>
          <t xml:space="preserve">E  </t>
        </is>
      </c>
      <c r="S1591" t="n">
        <v>2</v>
      </c>
      <c r="T1591" t="n">
        <v>2</v>
      </c>
      <c r="U1591" t="inlineStr">
        <is>
          <t>1998-10-15</t>
        </is>
      </c>
      <c r="V1591" t="inlineStr">
        <is>
          <t>1998-10-15</t>
        </is>
      </c>
      <c r="W1591" t="inlineStr">
        <is>
          <t>1990-02-21</t>
        </is>
      </c>
      <c r="X1591" t="inlineStr">
        <is>
          <t>1990-02-21</t>
        </is>
      </c>
      <c r="Y1591" t="n">
        <v>567</v>
      </c>
      <c r="Z1591" t="n">
        <v>507</v>
      </c>
      <c r="AA1591" t="n">
        <v>512</v>
      </c>
      <c r="AB1591" t="n">
        <v>3</v>
      </c>
      <c r="AC1591" t="n">
        <v>3</v>
      </c>
      <c r="AD1591" t="n">
        <v>28</v>
      </c>
      <c r="AE1591" t="n">
        <v>29</v>
      </c>
      <c r="AF1591" t="n">
        <v>13</v>
      </c>
      <c r="AG1591" t="n">
        <v>13</v>
      </c>
      <c r="AH1591" t="n">
        <v>5</v>
      </c>
      <c r="AI1591" t="n">
        <v>6</v>
      </c>
      <c r="AJ1591" t="n">
        <v>14</v>
      </c>
      <c r="AK1591" t="n">
        <v>15</v>
      </c>
      <c r="AL1591" t="n">
        <v>2</v>
      </c>
      <c r="AM1591" t="n">
        <v>2</v>
      </c>
      <c r="AN1591" t="n">
        <v>1</v>
      </c>
      <c r="AO1591" t="n">
        <v>1</v>
      </c>
      <c r="AP1591" t="inlineStr">
        <is>
          <t>No</t>
        </is>
      </c>
      <c r="AQ1591" t="inlineStr">
        <is>
          <t>No</t>
        </is>
      </c>
      <c r="AS1591">
        <f>HYPERLINK("https://creighton-primo.hosted.exlibrisgroup.com/primo-explore/search?tab=default_tab&amp;search_scope=EVERYTHING&amp;vid=01CRU&amp;lang=en_US&amp;offset=0&amp;query=any,contains,991004802089702656","Catalog Record")</f>
        <v/>
      </c>
      <c r="AT1591">
        <f>HYPERLINK("http://www.worldcat.org/oclc/5219413","WorldCat Record")</f>
        <v/>
      </c>
      <c r="AU1591" t="inlineStr">
        <is>
          <t>515444:eng</t>
        </is>
      </c>
      <c r="AV1591" t="inlineStr">
        <is>
          <t>5219413</t>
        </is>
      </c>
      <c r="AW1591" t="inlineStr">
        <is>
          <t>991004802089702656</t>
        </is>
      </c>
      <c r="AX1591" t="inlineStr">
        <is>
          <t>991004802089702656</t>
        </is>
      </c>
      <c r="AY1591" t="inlineStr">
        <is>
          <t>2268429370002656</t>
        </is>
      </c>
      <c r="AZ1591" t="inlineStr">
        <is>
          <t>BOOK</t>
        </is>
      </c>
      <c r="BB1591" t="inlineStr">
        <is>
          <t>9780870492761</t>
        </is>
      </c>
      <c r="BC1591" t="inlineStr">
        <is>
          <t>32285000058411</t>
        </is>
      </c>
      <c r="BD1591" t="inlineStr">
        <is>
          <t>893513690</t>
        </is>
      </c>
    </row>
    <row r="1592">
      <c r="A1592" t="inlineStr">
        <is>
          <t>No</t>
        </is>
      </c>
      <c r="B1592" t="inlineStr">
        <is>
          <t>E743 .H4</t>
        </is>
      </c>
      <c r="C1592" t="inlineStr">
        <is>
          <t>0                      E  0743000H  4</t>
        </is>
      </c>
      <c r="D1592" t="inlineStr">
        <is>
          <t>Presidential transitions / Laurin L. Henry.</t>
        </is>
      </c>
      <c r="F1592" t="inlineStr">
        <is>
          <t>No</t>
        </is>
      </c>
      <c r="G1592" t="inlineStr">
        <is>
          <t>1</t>
        </is>
      </c>
      <c r="H1592" t="inlineStr">
        <is>
          <t>No</t>
        </is>
      </c>
      <c r="I1592" t="inlineStr">
        <is>
          <t>No</t>
        </is>
      </c>
      <c r="J1592" t="inlineStr">
        <is>
          <t>0</t>
        </is>
      </c>
      <c r="K1592" t="inlineStr">
        <is>
          <t>Henry, Laurin L. (Laurin Luther), 1921-</t>
        </is>
      </c>
      <c r="L1592" t="inlineStr">
        <is>
          <t>Washington : Brookings Institution, [1960]</t>
        </is>
      </c>
      <c r="M1592" t="inlineStr">
        <is>
          <t>1960</t>
        </is>
      </c>
      <c r="O1592" t="inlineStr">
        <is>
          <t>eng</t>
        </is>
      </c>
      <c r="P1592" t="inlineStr">
        <is>
          <t>dcu</t>
        </is>
      </c>
      <c r="R1592" t="inlineStr">
        <is>
          <t xml:space="preserve">E  </t>
        </is>
      </c>
      <c r="S1592" t="n">
        <v>2</v>
      </c>
      <c r="T1592" t="n">
        <v>2</v>
      </c>
      <c r="U1592" t="inlineStr">
        <is>
          <t>1998-10-15</t>
        </is>
      </c>
      <c r="V1592" t="inlineStr">
        <is>
          <t>1998-10-15</t>
        </is>
      </c>
      <c r="W1592" t="inlineStr">
        <is>
          <t>1991-05-28</t>
        </is>
      </c>
      <c r="X1592" t="inlineStr">
        <is>
          <t>1991-05-28</t>
        </is>
      </c>
      <c r="Y1592" t="n">
        <v>891</v>
      </c>
      <c r="Z1592" t="n">
        <v>810</v>
      </c>
      <c r="AA1592" t="n">
        <v>821</v>
      </c>
      <c r="AB1592" t="n">
        <v>5</v>
      </c>
      <c r="AC1592" t="n">
        <v>5</v>
      </c>
      <c r="AD1592" t="n">
        <v>34</v>
      </c>
      <c r="AE1592" t="n">
        <v>34</v>
      </c>
      <c r="AF1592" t="n">
        <v>11</v>
      </c>
      <c r="AG1592" t="n">
        <v>11</v>
      </c>
      <c r="AH1592" t="n">
        <v>5</v>
      </c>
      <c r="AI1592" t="n">
        <v>5</v>
      </c>
      <c r="AJ1592" t="n">
        <v>19</v>
      </c>
      <c r="AK1592" t="n">
        <v>19</v>
      </c>
      <c r="AL1592" t="n">
        <v>4</v>
      </c>
      <c r="AM1592" t="n">
        <v>4</v>
      </c>
      <c r="AN1592" t="n">
        <v>3</v>
      </c>
      <c r="AO1592" t="n">
        <v>3</v>
      </c>
      <c r="AP1592" t="inlineStr">
        <is>
          <t>No</t>
        </is>
      </c>
      <c r="AQ1592" t="inlineStr">
        <is>
          <t>Yes</t>
        </is>
      </c>
      <c r="AR1592">
        <f>HYPERLINK("http://catalog.hathitrust.org/Record/000466915","HathiTrust Record")</f>
        <v/>
      </c>
      <c r="AS1592">
        <f>HYPERLINK("https://creighton-primo.hosted.exlibrisgroup.com/primo-explore/search?tab=default_tab&amp;search_scope=EVERYTHING&amp;vid=01CRU&amp;lang=en_US&amp;offset=0&amp;query=any,contains,991002797309702656","Catalog Record")</f>
        <v/>
      </c>
      <c r="AT1592">
        <f>HYPERLINK("http://www.worldcat.org/oclc/445666","WorldCat Record")</f>
        <v/>
      </c>
      <c r="AU1592" t="inlineStr">
        <is>
          <t>1580177:eng</t>
        </is>
      </c>
      <c r="AV1592" t="inlineStr">
        <is>
          <t>445666</t>
        </is>
      </c>
      <c r="AW1592" t="inlineStr">
        <is>
          <t>991002797309702656</t>
        </is>
      </c>
      <c r="AX1592" t="inlineStr">
        <is>
          <t>991002797309702656</t>
        </is>
      </c>
      <c r="AY1592" t="inlineStr">
        <is>
          <t>2262990080002656</t>
        </is>
      </c>
      <c r="AZ1592" t="inlineStr">
        <is>
          <t>BOOK</t>
        </is>
      </c>
      <c r="BC1592" t="inlineStr">
        <is>
          <t>32285000612100</t>
        </is>
      </c>
      <c r="BD1592" t="inlineStr">
        <is>
          <t>893799034</t>
        </is>
      </c>
    </row>
    <row r="1593">
      <c r="A1593" t="inlineStr">
        <is>
          <t>No</t>
        </is>
      </c>
      <c r="B1593" t="inlineStr">
        <is>
          <t>E743 .J6 1963</t>
        </is>
      </c>
      <c r="C1593" t="inlineStr">
        <is>
          <t>0                      E  0743000J  6           1963</t>
        </is>
      </c>
      <c r="D1593" t="inlineStr">
        <is>
          <t>1600 Pennsylvania Avenue : Presidents and the people since 1929 / by Walter Johnson.</t>
        </is>
      </c>
      <c r="F1593" t="inlineStr">
        <is>
          <t>No</t>
        </is>
      </c>
      <c r="G1593" t="inlineStr">
        <is>
          <t>1</t>
        </is>
      </c>
      <c r="H1593" t="inlineStr">
        <is>
          <t>No</t>
        </is>
      </c>
      <c r="I1593" t="inlineStr">
        <is>
          <t>No</t>
        </is>
      </c>
      <c r="J1593" t="inlineStr">
        <is>
          <t>0</t>
        </is>
      </c>
      <c r="K1593" t="inlineStr">
        <is>
          <t>Johnson, Walter, 1915-1985.</t>
        </is>
      </c>
      <c r="L1593" t="inlineStr">
        <is>
          <t>Boston : Little, Brown, [1963]</t>
        </is>
      </c>
      <c r="M1593" t="inlineStr">
        <is>
          <t>1963</t>
        </is>
      </c>
      <c r="O1593" t="inlineStr">
        <is>
          <t>eng</t>
        </is>
      </c>
      <c r="P1593" t="inlineStr">
        <is>
          <t>mau</t>
        </is>
      </c>
      <c r="R1593" t="inlineStr">
        <is>
          <t xml:space="preserve">E  </t>
        </is>
      </c>
      <c r="S1593" t="n">
        <v>2</v>
      </c>
      <c r="T1593" t="n">
        <v>2</v>
      </c>
      <c r="U1593" t="inlineStr">
        <is>
          <t>1996-02-24</t>
        </is>
      </c>
      <c r="V1593" t="inlineStr">
        <is>
          <t>1996-02-24</t>
        </is>
      </c>
      <c r="W1593" t="inlineStr">
        <is>
          <t>1991-05-28</t>
        </is>
      </c>
      <c r="X1593" t="inlineStr">
        <is>
          <t>1991-05-28</t>
        </is>
      </c>
      <c r="Y1593" t="n">
        <v>281</v>
      </c>
      <c r="Z1593" t="n">
        <v>259</v>
      </c>
      <c r="AA1593" t="n">
        <v>1079</v>
      </c>
      <c r="AB1593" t="n">
        <v>5</v>
      </c>
      <c r="AC1593" t="n">
        <v>10</v>
      </c>
      <c r="AD1593" t="n">
        <v>16</v>
      </c>
      <c r="AE1593" t="n">
        <v>46</v>
      </c>
      <c r="AF1593" t="n">
        <v>6</v>
      </c>
      <c r="AG1593" t="n">
        <v>18</v>
      </c>
      <c r="AH1593" t="n">
        <v>6</v>
      </c>
      <c r="AI1593" t="n">
        <v>9</v>
      </c>
      <c r="AJ1593" t="n">
        <v>5</v>
      </c>
      <c r="AK1593" t="n">
        <v>19</v>
      </c>
      <c r="AL1593" t="n">
        <v>4</v>
      </c>
      <c r="AM1593" t="n">
        <v>8</v>
      </c>
      <c r="AN1593" t="n">
        <v>0</v>
      </c>
      <c r="AO1593" t="n">
        <v>2</v>
      </c>
      <c r="AP1593" t="inlineStr">
        <is>
          <t>No</t>
        </is>
      </c>
      <c r="AQ1593" t="inlineStr">
        <is>
          <t>No</t>
        </is>
      </c>
      <c r="AR1593">
        <f>HYPERLINK("http://catalog.hathitrust.org/Record/000465521","HathiTrust Record")</f>
        <v/>
      </c>
      <c r="AS1593">
        <f>HYPERLINK("https://creighton-primo.hosted.exlibrisgroup.com/primo-explore/search?tab=default_tab&amp;search_scope=EVERYTHING&amp;vid=01CRU&amp;lang=en_US&amp;offset=0&amp;query=any,contains,991004317179702656","Catalog Record")</f>
        <v/>
      </c>
      <c r="AT1593">
        <f>HYPERLINK("http://www.worldcat.org/oclc/3008725","WorldCat Record")</f>
        <v/>
      </c>
      <c r="AU1593" t="inlineStr">
        <is>
          <t>197327632:eng</t>
        </is>
      </c>
      <c r="AV1593" t="inlineStr">
        <is>
          <t>3008725</t>
        </is>
      </c>
      <c r="AW1593" t="inlineStr">
        <is>
          <t>991004317179702656</t>
        </is>
      </c>
      <c r="AX1593" t="inlineStr">
        <is>
          <t>991004317179702656</t>
        </is>
      </c>
      <c r="AY1593" t="inlineStr">
        <is>
          <t>2255679200002656</t>
        </is>
      </c>
      <c r="AZ1593" t="inlineStr">
        <is>
          <t>BOOK</t>
        </is>
      </c>
      <c r="BC1593" t="inlineStr">
        <is>
          <t>32285000612126</t>
        </is>
      </c>
      <c r="BD1593" t="inlineStr">
        <is>
          <t>893782102</t>
        </is>
      </c>
    </row>
    <row r="1594">
      <c r="A1594" t="inlineStr">
        <is>
          <t>No</t>
        </is>
      </c>
      <c r="B1594" t="inlineStr">
        <is>
          <t>E743 .J65</t>
        </is>
      </c>
      <c r="C1594" t="inlineStr">
        <is>
          <t>0                      E  0743000J  65</t>
        </is>
      </c>
      <c r="D1594" t="inlineStr">
        <is>
          <t>The president makers; the culture of politics and leadership in an age of enlightenment, 1896-1919. With a new foreword by the author.</t>
        </is>
      </c>
      <c r="F1594" t="inlineStr">
        <is>
          <t>No</t>
        </is>
      </c>
      <c r="G1594" t="inlineStr">
        <is>
          <t>1</t>
        </is>
      </c>
      <c r="H1594" t="inlineStr">
        <is>
          <t>No</t>
        </is>
      </c>
      <c r="I1594" t="inlineStr">
        <is>
          <t>No</t>
        </is>
      </c>
      <c r="J1594" t="inlineStr">
        <is>
          <t>0</t>
        </is>
      </c>
      <c r="K1594" t="inlineStr">
        <is>
          <t>Josephson, Matthew, 1899-1978.</t>
        </is>
      </c>
      <c r="L1594" t="inlineStr">
        <is>
          <t>New York, F. Ungar Pub. Co. [1964]</t>
        </is>
      </c>
      <c r="M1594" t="inlineStr">
        <is>
          <t>1964</t>
        </is>
      </c>
      <c r="O1594" t="inlineStr">
        <is>
          <t>eng</t>
        </is>
      </c>
      <c r="P1594" t="inlineStr">
        <is>
          <t>nyu</t>
        </is>
      </c>
      <c r="Q1594" t="inlineStr">
        <is>
          <t>American classics</t>
        </is>
      </c>
      <c r="R1594" t="inlineStr">
        <is>
          <t xml:space="preserve">E  </t>
        </is>
      </c>
      <c r="S1594" t="n">
        <v>1</v>
      </c>
      <c r="T1594" t="n">
        <v>1</v>
      </c>
      <c r="U1594" t="inlineStr">
        <is>
          <t>1997-05-22</t>
        </is>
      </c>
      <c r="V1594" t="inlineStr">
        <is>
          <t>1997-05-22</t>
        </is>
      </c>
      <c r="W1594" t="inlineStr">
        <is>
          <t>1997-04-23</t>
        </is>
      </c>
      <c r="X1594" t="inlineStr">
        <is>
          <t>1997-04-23</t>
        </is>
      </c>
      <c r="Y1594" t="n">
        <v>597</v>
      </c>
      <c r="Z1594" t="n">
        <v>540</v>
      </c>
      <c r="AA1594" t="n">
        <v>958</v>
      </c>
      <c r="AB1594" t="n">
        <v>3</v>
      </c>
      <c r="AC1594" t="n">
        <v>9</v>
      </c>
      <c r="AD1594" t="n">
        <v>22</v>
      </c>
      <c r="AE1594" t="n">
        <v>43</v>
      </c>
      <c r="AF1594" t="n">
        <v>9</v>
      </c>
      <c r="AG1594" t="n">
        <v>17</v>
      </c>
      <c r="AH1594" t="n">
        <v>3</v>
      </c>
      <c r="AI1594" t="n">
        <v>7</v>
      </c>
      <c r="AJ1594" t="n">
        <v>11</v>
      </c>
      <c r="AK1594" t="n">
        <v>22</v>
      </c>
      <c r="AL1594" t="n">
        <v>2</v>
      </c>
      <c r="AM1594" t="n">
        <v>7</v>
      </c>
      <c r="AN1594" t="n">
        <v>1</v>
      </c>
      <c r="AO1594" t="n">
        <v>2</v>
      </c>
      <c r="AP1594" t="inlineStr">
        <is>
          <t>No</t>
        </is>
      </c>
      <c r="AQ1594" t="inlineStr">
        <is>
          <t>Yes</t>
        </is>
      </c>
      <c r="AR1594">
        <f>HYPERLINK("http://catalog.hathitrust.org/Record/000466820","HathiTrust Record")</f>
        <v/>
      </c>
      <c r="AS1594">
        <f>HYPERLINK("https://creighton-primo.hosted.exlibrisgroup.com/primo-explore/search?tab=default_tab&amp;search_scope=EVERYTHING&amp;vid=01CRU&amp;lang=en_US&amp;offset=0&amp;query=any,contains,991002163179702656","Catalog Record")</f>
        <v/>
      </c>
      <c r="AT1594">
        <f>HYPERLINK("http://www.worldcat.org/oclc/274382","WorldCat Record")</f>
        <v/>
      </c>
      <c r="AU1594" t="inlineStr">
        <is>
          <t>1407764:eng</t>
        </is>
      </c>
      <c r="AV1594" t="inlineStr">
        <is>
          <t>274382</t>
        </is>
      </c>
      <c r="AW1594" t="inlineStr">
        <is>
          <t>991002163179702656</t>
        </is>
      </c>
      <c r="AX1594" t="inlineStr">
        <is>
          <t>991002163179702656</t>
        </is>
      </c>
      <c r="AY1594" t="inlineStr">
        <is>
          <t>2260685460002656</t>
        </is>
      </c>
      <c r="AZ1594" t="inlineStr">
        <is>
          <t>BOOK</t>
        </is>
      </c>
      <c r="BC1594" t="inlineStr">
        <is>
          <t>32285002561446</t>
        </is>
      </c>
      <c r="BD1594" t="inlineStr">
        <is>
          <t>893523263</t>
        </is>
      </c>
    </row>
    <row r="1595">
      <c r="A1595" t="inlineStr">
        <is>
          <t>No</t>
        </is>
      </c>
      <c r="B1595" t="inlineStr">
        <is>
          <t>E743 .J83</t>
        </is>
      </c>
      <c r="C1595" t="inlineStr">
        <is>
          <t>0                      E  0743000J  83</t>
        </is>
      </c>
      <c r="D1595" t="inlineStr">
        <is>
          <t>News from the White House : the presidential-press relationship in the Progressive era / George Juergens.</t>
        </is>
      </c>
      <c r="F1595" t="inlineStr">
        <is>
          <t>No</t>
        </is>
      </c>
      <c r="G1595" t="inlineStr">
        <is>
          <t>1</t>
        </is>
      </c>
      <c r="H1595" t="inlineStr">
        <is>
          <t>No</t>
        </is>
      </c>
      <c r="I1595" t="inlineStr">
        <is>
          <t>No</t>
        </is>
      </c>
      <c r="J1595" t="inlineStr">
        <is>
          <t>0</t>
        </is>
      </c>
      <c r="K1595" t="inlineStr">
        <is>
          <t>Juergens, George.</t>
        </is>
      </c>
      <c r="L1595" t="inlineStr">
        <is>
          <t>Chicago : University of Chicago Press, 1981.</t>
        </is>
      </c>
      <c r="M1595" t="inlineStr">
        <is>
          <t>1981</t>
        </is>
      </c>
      <c r="O1595" t="inlineStr">
        <is>
          <t>eng</t>
        </is>
      </c>
      <c r="P1595" t="inlineStr">
        <is>
          <t>ilu</t>
        </is>
      </c>
      <c r="R1595" t="inlineStr">
        <is>
          <t xml:space="preserve">E  </t>
        </is>
      </c>
      <c r="S1595" t="n">
        <v>1</v>
      </c>
      <c r="T1595" t="n">
        <v>1</v>
      </c>
      <c r="U1595" t="inlineStr">
        <is>
          <t>1997-05-22</t>
        </is>
      </c>
      <c r="V1595" t="inlineStr">
        <is>
          <t>1997-05-22</t>
        </is>
      </c>
      <c r="W1595" t="inlineStr">
        <is>
          <t>1995-08-06</t>
        </is>
      </c>
      <c r="X1595" t="inlineStr">
        <is>
          <t>1995-08-06</t>
        </is>
      </c>
      <c r="Y1595" t="n">
        <v>598</v>
      </c>
      <c r="Z1595" t="n">
        <v>521</v>
      </c>
      <c r="AA1595" t="n">
        <v>522</v>
      </c>
      <c r="AB1595" t="n">
        <v>3</v>
      </c>
      <c r="AC1595" t="n">
        <v>3</v>
      </c>
      <c r="AD1595" t="n">
        <v>18</v>
      </c>
      <c r="AE1595" t="n">
        <v>18</v>
      </c>
      <c r="AF1595" t="n">
        <v>5</v>
      </c>
      <c r="AG1595" t="n">
        <v>5</v>
      </c>
      <c r="AH1595" t="n">
        <v>6</v>
      </c>
      <c r="AI1595" t="n">
        <v>6</v>
      </c>
      <c r="AJ1595" t="n">
        <v>9</v>
      </c>
      <c r="AK1595" t="n">
        <v>9</v>
      </c>
      <c r="AL1595" t="n">
        <v>2</v>
      </c>
      <c r="AM1595" t="n">
        <v>2</v>
      </c>
      <c r="AN1595" t="n">
        <v>1</v>
      </c>
      <c r="AO1595" t="n">
        <v>1</v>
      </c>
      <c r="AP1595" t="inlineStr">
        <is>
          <t>No</t>
        </is>
      </c>
      <c r="AQ1595" t="inlineStr">
        <is>
          <t>No</t>
        </is>
      </c>
      <c r="AS1595">
        <f>HYPERLINK("https://creighton-primo.hosted.exlibrisgroup.com/primo-explore/search?tab=default_tab&amp;search_scope=EVERYTHING&amp;vid=01CRU&amp;lang=en_US&amp;offset=0&amp;query=any,contains,991005123319702656","Catalog Record")</f>
        <v/>
      </c>
      <c r="AT1595">
        <f>HYPERLINK("http://www.worldcat.org/oclc/7550975","WorldCat Record")</f>
        <v/>
      </c>
      <c r="AU1595" t="inlineStr">
        <is>
          <t>309211480:eng</t>
        </is>
      </c>
      <c r="AV1595" t="inlineStr">
        <is>
          <t>7550975</t>
        </is>
      </c>
      <c r="AW1595" t="inlineStr">
        <is>
          <t>991005123319702656</t>
        </is>
      </c>
      <c r="AX1595" t="inlineStr">
        <is>
          <t>991005123319702656</t>
        </is>
      </c>
      <c r="AY1595" t="inlineStr">
        <is>
          <t>2268783600002656</t>
        </is>
      </c>
      <c r="AZ1595" t="inlineStr">
        <is>
          <t>BOOK</t>
        </is>
      </c>
      <c r="BB1595" t="inlineStr">
        <is>
          <t>9780226414720</t>
        </is>
      </c>
      <c r="BC1595" t="inlineStr">
        <is>
          <t>32285000612134</t>
        </is>
      </c>
      <c r="BD1595" t="inlineStr">
        <is>
          <t>893338550</t>
        </is>
      </c>
    </row>
    <row r="1596">
      <c r="A1596" t="inlineStr">
        <is>
          <t>No</t>
        </is>
      </c>
      <c r="B1596" t="inlineStr">
        <is>
          <t>E743 .L58</t>
        </is>
      </c>
      <c r="C1596" t="inlineStr">
        <is>
          <t>0                      E  0743000L  58</t>
        </is>
      </c>
      <c r="D1596" t="inlineStr">
        <is>
          <t>Interpretations, 1931-1932, by Walter Lippmann, selected and edited by Allan Nevins.</t>
        </is>
      </c>
      <c r="F1596" t="inlineStr">
        <is>
          <t>No</t>
        </is>
      </c>
      <c r="G1596" t="inlineStr">
        <is>
          <t>1</t>
        </is>
      </c>
      <c r="H1596" t="inlineStr">
        <is>
          <t>No</t>
        </is>
      </c>
      <c r="I1596" t="inlineStr">
        <is>
          <t>No</t>
        </is>
      </c>
      <c r="J1596" t="inlineStr">
        <is>
          <t>0</t>
        </is>
      </c>
      <c r="K1596" t="inlineStr">
        <is>
          <t>Lippmann, Walter, 1889-1974.</t>
        </is>
      </c>
      <c r="L1596" t="inlineStr">
        <is>
          <t>New York, The Macmillan Company, 1932.</t>
        </is>
      </c>
      <c r="M1596" t="inlineStr">
        <is>
          <t>1932</t>
        </is>
      </c>
      <c r="O1596" t="inlineStr">
        <is>
          <t>eng</t>
        </is>
      </c>
      <c r="P1596" t="inlineStr">
        <is>
          <t>nyu</t>
        </is>
      </c>
      <c r="R1596" t="inlineStr">
        <is>
          <t xml:space="preserve">E  </t>
        </is>
      </c>
      <c r="S1596" t="n">
        <v>1</v>
      </c>
      <c r="T1596" t="n">
        <v>1</v>
      </c>
      <c r="U1596" t="inlineStr">
        <is>
          <t>1997-12-01</t>
        </is>
      </c>
      <c r="V1596" t="inlineStr">
        <is>
          <t>1997-12-01</t>
        </is>
      </c>
      <c r="W1596" t="inlineStr">
        <is>
          <t>1997-04-23</t>
        </is>
      </c>
      <c r="X1596" t="inlineStr">
        <is>
          <t>1997-04-23</t>
        </is>
      </c>
      <c r="Y1596" t="n">
        <v>602</v>
      </c>
      <c r="Z1596" t="n">
        <v>553</v>
      </c>
      <c r="AA1596" t="n">
        <v>566</v>
      </c>
      <c r="AB1596" t="n">
        <v>5</v>
      </c>
      <c r="AC1596" t="n">
        <v>5</v>
      </c>
      <c r="AD1596" t="n">
        <v>27</v>
      </c>
      <c r="AE1596" t="n">
        <v>27</v>
      </c>
      <c r="AF1596" t="n">
        <v>9</v>
      </c>
      <c r="AG1596" t="n">
        <v>9</v>
      </c>
      <c r="AH1596" t="n">
        <v>4</v>
      </c>
      <c r="AI1596" t="n">
        <v>4</v>
      </c>
      <c r="AJ1596" t="n">
        <v>16</v>
      </c>
      <c r="AK1596" t="n">
        <v>16</v>
      </c>
      <c r="AL1596" t="n">
        <v>4</v>
      </c>
      <c r="AM1596" t="n">
        <v>4</v>
      </c>
      <c r="AN1596" t="n">
        <v>0</v>
      </c>
      <c r="AO1596" t="n">
        <v>0</v>
      </c>
      <c r="AP1596" t="inlineStr">
        <is>
          <t>No</t>
        </is>
      </c>
      <c r="AQ1596" t="inlineStr">
        <is>
          <t>Yes</t>
        </is>
      </c>
      <c r="AR1596">
        <f>HYPERLINK("http://catalog.hathitrust.org/Record/001443888","HathiTrust Record")</f>
        <v/>
      </c>
      <c r="AS1596">
        <f>HYPERLINK("https://creighton-primo.hosted.exlibrisgroup.com/primo-explore/search?tab=default_tab&amp;search_scope=EVERYTHING&amp;vid=01CRU&amp;lang=en_US&amp;offset=0&amp;query=any,contains,991003310289702656","Catalog Record")</f>
        <v/>
      </c>
      <c r="AT1596">
        <f>HYPERLINK("http://www.worldcat.org/oclc/834070","WorldCat Record")</f>
        <v/>
      </c>
      <c r="AU1596" t="inlineStr">
        <is>
          <t>1752393:eng</t>
        </is>
      </c>
      <c r="AV1596" t="inlineStr">
        <is>
          <t>834070</t>
        </is>
      </c>
      <c r="AW1596" t="inlineStr">
        <is>
          <t>991003310289702656</t>
        </is>
      </c>
      <c r="AX1596" t="inlineStr">
        <is>
          <t>991003310289702656</t>
        </is>
      </c>
      <c r="AY1596" t="inlineStr">
        <is>
          <t>2267540710002656</t>
        </is>
      </c>
      <c r="AZ1596" t="inlineStr">
        <is>
          <t>BOOK</t>
        </is>
      </c>
      <c r="BC1596" t="inlineStr">
        <is>
          <t>32285002561479</t>
        </is>
      </c>
      <c r="BD1596" t="inlineStr">
        <is>
          <t>893499174</t>
        </is>
      </c>
    </row>
    <row r="1597">
      <c r="A1597" t="inlineStr">
        <is>
          <t>No</t>
        </is>
      </c>
      <c r="B1597" t="inlineStr">
        <is>
          <t>E743 .L75 1972</t>
        </is>
      </c>
      <c r="C1597" t="inlineStr">
        <is>
          <t>0                      E  0743000L  75          1972</t>
        </is>
      </c>
      <c r="D1597" t="inlineStr">
        <is>
          <t>My first days in the White House.</t>
        </is>
      </c>
      <c r="F1597" t="inlineStr">
        <is>
          <t>No</t>
        </is>
      </c>
      <c r="G1597" t="inlineStr">
        <is>
          <t>1</t>
        </is>
      </c>
      <c r="H1597" t="inlineStr">
        <is>
          <t>No</t>
        </is>
      </c>
      <c r="I1597" t="inlineStr">
        <is>
          <t>No</t>
        </is>
      </c>
      <c r="J1597" t="inlineStr">
        <is>
          <t>0</t>
        </is>
      </c>
      <c r="K1597" t="inlineStr">
        <is>
          <t>Long, Huey Pierce, 1893-1935.</t>
        </is>
      </c>
      <c r="L1597" t="inlineStr">
        <is>
          <t>New York, Da Capo Press, 1972 [c1935]</t>
        </is>
      </c>
      <c r="M1597" t="inlineStr">
        <is>
          <t>1972</t>
        </is>
      </c>
      <c r="O1597" t="inlineStr">
        <is>
          <t>eng</t>
        </is>
      </c>
      <c r="P1597" t="inlineStr">
        <is>
          <t>nyu</t>
        </is>
      </c>
      <c r="Q1597" t="inlineStr">
        <is>
          <t>Franklin D. Roosevelt and the era of the New Deal</t>
        </is>
      </c>
      <c r="R1597" t="inlineStr">
        <is>
          <t xml:space="preserve">E  </t>
        </is>
      </c>
      <c r="S1597" t="n">
        <v>1</v>
      </c>
      <c r="T1597" t="n">
        <v>1</v>
      </c>
      <c r="U1597" t="inlineStr">
        <is>
          <t>1995-04-03</t>
        </is>
      </c>
      <c r="V1597" t="inlineStr">
        <is>
          <t>1995-04-03</t>
        </is>
      </c>
      <c r="W1597" t="inlineStr">
        <is>
          <t>1990-03-13</t>
        </is>
      </c>
      <c r="X1597" t="inlineStr">
        <is>
          <t>1990-03-13</t>
        </is>
      </c>
      <c r="Y1597" t="n">
        <v>229</v>
      </c>
      <c r="Z1597" t="n">
        <v>201</v>
      </c>
      <c r="AA1597" t="n">
        <v>572</v>
      </c>
      <c r="AB1597" t="n">
        <v>1</v>
      </c>
      <c r="AC1597" t="n">
        <v>5</v>
      </c>
      <c r="AD1597" t="n">
        <v>9</v>
      </c>
      <c r="AE1597" t="n">
        <v>27</v>
      </c>
      <c r="AF1597" t="n">
        <v>5</v>
      </c>
      <c r="AG1597" t="n">
        <v>11</v>
      </c>
      <c r="AH1597" t="n">
        <v>4</v>
      </c>
      <c r="AI1597" t="n">
        <v>5</v>
      </c>
      <c r="AJ1597" t="n">
        <v>4</v>
      </c>
      <c r="AK1597" t="n">
        <v>8</v>
      </c>
      <c r="AL1597" t="n">
        <v>0</v>
      </c>
      <c r="AM1597" t="n">
        <v>3</v>
      </c>
      <c r="AN1597" t="n">
        <v>0</v>
      </c>
      <c r="AO1597" t="n">
        <v>6</v>
      </c>
      <c r="AP1597" t="inlineStr">
        <is>
          <t>No</t>
        </is>
      </c>
      <c r="AQ1597" t="inlineStr">
        <is>
          <t>Yes</t>
        </is>
      </c>
      <c r="AR1597">
        <f>HYPERLINK("http://catalog.hathitrust.org/Record/006005331","HathiTrust Record")</f>
        <v/>
      </c>
      <c r="AS1597">
        <f>HYPERLINK("https://creighton-primo.hosted.exlibrisgroup.com/primo-explore/search?tab=default_tab&amp;search_scope=EVERYTHING&amp;vid=01CRU&amp;lang=en_US&amp;offset=0&amp;query=any,contains,991001221789702656","Catalog Record")</f>
        <v/>
      </c>
      <c r="AT1597">
        <f>HYPERLINK("http://www.worldcat.org/oclc/197043","WorldCat Record")</f>
        <v/>
      </c>
      <c r="AU1597" t="inlineStr">
        <is>
          <t>438894:eng</t>
        </is>
      </c>
      <c r="AV1597" t="inlineStr">
        <is>
          <t>197043</t>
        </is>
      </c>
      <c r="AW1597" t="inlineStr">
        <is>
          <t>991001221789702656</t>
        </is>
      </c>
      <c r="AX1597" t="inlineStr">
        <is>
          <t>991001221789702656</t>
        </is>
      </c>
      <c r="AY1597" t="inlineStr">
        <is>
          <t>2272582860002656</t>
        </is>
      </c>
      <c r="AZ1597" t="inlineStr">
        <is>
          <t>BOOK</t>
        </is>
      </c>
      <c r="BB1597" t="inlineStr">
        <is>
          <t>9780306703836</t>
        </is>
      </c>
      <c r="BC1597" t="inlineStr">
        <is>
          <t>32285000082056</t>
        </is>
      </c>
      <c r="BD1597" t="inlineStr">
        <is>
          <t>893621171</t>
        </is>
      </c>
    </row>
    <row r="1598">
      <c r="A1598" t="inlineStr">
        <is>
          <t>No</t>
        </is>
      </c>
      <c r="B1598" t="inlineStr">
        <is>
          <t>E743 .L85 1956</t>
        </is>
      </c>
      <c r="C1598" t="inlineStr">
        <is>
          <t>0                      E  0743000L  85          1956</t>
        </is>
      </c>
      <c r="D1598" t="inlineStr">
        <is>
          <t>The future of American politics / by Samuel Lubell.</t>
        </is>
      </c>
      <c r="F1598" t="inlineStr">
        <is>
          <t>No</t>
        </is>
      </c>
      <c r="G1598" t="inlineStr">
        <is>
          <t>1</t>
        </is>
      </c>
      <c r="H1598" t="inlineStr">
        <is>
          <t>No</t>
        </is>
      </c>
      <c r="I1598" t="inlineStr">
        <is>
          <t>No</t>
        </is>
      </c>
      <c r="J1598" t="inlineStr">
        <is>
          <t>0</t>
        </is>
      </c>
      <c r="K1598" t="inlineStr">
        <is>
          <t>Lubell, Samuel.</t>
        </is>
      </c>
      <c r="L1598" t="inlineStr">
        <is>
          <t>Garden City, N.Y. : Doubleday, 1956.</t>
        </is>
      </c>
      <c r="M1598" t="inlineStr">
        <is>
          <t>1956</t>
        </is>
      </c>
      <c r="N1598" t="inlineStr">
        <is>
          <t>2d ed., rev.</t>
        </is>
      </c>
      <c r="O1598" t="inlineStr">
        <is>
          <t>eng</t>
        </is>
      </c>
      <c r="P1598" t="inlineStr">
        <is>
          <t>nyu</t>
        </is>
      </c>
      <c r="Q1598" t="inlineStr">
        <is>
          <t>A Doubleday anchor book, A71</t>
        </is>
      </c>
      <c r="R1598" t="inlineStr">
        <is>
          <t xml:space="preserve">E  </t>
        </is>
      </c>
      <c r="S1598" t="n">
        <v>1</v>
      </c>
      <c r="T1598" t="n">
        <v>1</v>
      </c>
      <c r="U1598" t="inlineStr">
        <is>
          <t>2001-08-28</t>
        </is>
      </c>
      <c r="V1598" t="inlineStr">
        <is>
          <t>2001-08-28</t>
        </is>
      </c>
      <c r="W1598" t="inlineStr">
        <is>
          <t>2001-08-27</t>
        </is>
      </c>
      <c r="X1598" t="inlineStr">
        <is>
          <t>2001-08-27</t>
        </is>
      </c>
      <c r="Y1598" t="n">
        <v>387</v>
      </c>
      <c r="Z1598" t="n">
        <v>324</v>
      </c>
      <c r="AA1598" t="n">
        <v>1133</v>
      </c>
      <c r="AB1598" t="n">
        <v>4</v>
      </c>
      <c r="AC1598" t="n">
        <v>10</v>
      </c>
      <c r="AD1598" t="n">
        <v>12</v>
      </c>
      <c r="AE1598" t="n">
        <v>49</v>
      </c>
      <c r="AF1598" t="n">
        <v>3</v>
      </c>
      <c r="AG1598" t="n">
        <v>19</v>
      </c>
      <c r="AH1598" t="n">
        <v>3</v>
      </c>
      <c r="AI1598" t="n">
        <v>9</v>
      </c>
      <c r="AJ1598" t="n">
        <v>6</v>
      </c>
      <c r="AK1598" t="n">
        <v>22</v>
      </c>
      <c r="AL1598" t="n">
        <v>3</v>
      </c>
      <c r="AM1598" t="n">
        <v>8</v>
      </c>
      <c r="AN1598" t="n">
        <v>0</v>
      </c>
      <c r="AO1598" t="n">
        <v>2</v>
      </c>
      <c r="AP1598" t="inlineStr">
        <is>
          <t>No</t>
        </is>
      </c>
      <c r="AQ1598" t="inlineStr">
        <is>
          <t>Yes</t>
        </is>
      </c>
      <c r="AR1598">
        <f>HYPERLINK("http://catalog.hathitrust.org/Record/000466520","HathiTrust Record")</f>
        <v/>
      </c>
      <c r="AS1598">
        <f>HYPERLINK("https://creighton-primo.hosted.exlibrisgroup.com/primo-explore/search?tab=default_tab&amp;search_scope=EVERYTHING&amp;vid=01CRU&amp;lang=en_US&amp;offset=0&amp;query=any,contains,991003612669702656","Catalog Record")</f>
        <v/>
      </c>
      <c r="AT1598">
        <f>HYPERLINK("http://www.worldcat.org/oclc/445691","WorldCat Record")</f>
        <v/>
      </c>
      <c r="AU1598" t="inlineStr">
        <is>
          <t>1462294:eng</t>
        </is>
      </c>
      <c r="AV1598" t="inlineStr">
        <is>
          <t>445691</t>
        </is>
      </c>
      <c r="AW1598" t="inlineStr">
        <is>
          <t>991003612669702656</t>
        </is>
      </c>
      <c r="AX1598" t="inlineStr">
        <is>
          <t>991003612669702656</t>
        </is>
      </c>
      <c r="AY1598" t="inlineStr">
        <is>
          <t>2262993840002656</t>
        </is>
      </c>
      <c r="AZ1598" t="inlineStr">
        <is>
          <t>BOOK</t>
        </is>
      </c>
      <c r="BC1598" t="inlineStr">
        <is>
          <t>32285004381470</t>
        </is>
      </c>
      <c r="BD1598" t="inlineStr">
        <is>
          <t>893627669</t>
        </is>
      </c>
    </row>
    <row r="1599">
      <c r="A1599" t="inlineStr">
        <is>
          <t>No</t>
        </is>
      </c>
      <c r="B1599" t="inlineStr">
        <is>
          <t>E743 .M27</t>
        </is>
      </c>
      <c r="C1599" t="inlineStr">
        <is>
          <t>0                      E  0743000M  27</t>
        </is>
      </c>
      <c r="D1599" t="inlineStr">
        <is>
          <t>The progressive era : liberal renaissance or liberal failure?</t>
        </is>
      </c>
      <c r="F1599" t="inlineStr">
        <is>
          <t>No</t>
        </is>
      </c>
      <c r="G1599" t="inlineStr">
        <is>
          <t>1</t>
        </is>
      </c>
      <c r="H1599" t="inlineStr">
        <is>
          <t>No</t>
        </is>
      </c>
      <c r="I1599" t="inlineStr">
        <is>
          <t>No</t>
        </is>
      </c>
      <c r="J1599" t="inlineStr">
        <is>
          <t>0</t>
        </is>
      </c>
      <c r="K1599" t="inlineStr">
        <is>
          <t>Mann, Arthur, editor.</t>
        </is>
      </c>
      <c r="L1599" t="inlineStr">
        <is>
          <t>New York : Holt, Rinehart and Winston, [1963]</t>
        </is>
      </c>
      <c r="M1599" t="inlineStr">
        <is>
          <t>1963</t>
        </is>
      </c>
      <c r="O1599" t="inlineStr">
        <is>
          <t>eng</t>
        </is>
      </c>
      <c r="P1599" t="inlineStr">
        <is>
          <t>nyu</t>
        </is>
      </c>
      <c r="Q1599" t="inlineStr">
        <is>
          <t>American problem studies</t>
        </is>
      </c>
      <c r="R1599" t="inlineStr">
        <is>
          <t xml:space="preserve">E  </t>
        </is>
      </c>
      <c r="S1599" t="n">
        <v>3</v>
      </c>
      <c r="T1599" t="n">
        <v>3</v>
      </c>
      <c r="U1599" t="inlineStr">
        <is>
          <t>1997-05-27</t>
        </is>
      </c>
      <c r="V1599" t="inlineStr">
        <is>
          <t>1997-05-27</t>
        </is>
      </c>
      <c r="W1599" t="inlineStr">
        <is>
          <t>1991-02-19</t>
        </is>
      </c>
      <c r="X1599" t="inlineStr">
        <is>
          <t>1991-02-19</t>
        </is>
      </c>
      <c r="Y1599" t="n">
        <v>835</v>
      </c>
      <c r="Z1599" t="n">
        <v>724</v>
      </c>
      <c r="AA1599" t="n">
        <v>733</v>
      </c>
      <c r="AB1599" t="n">
        <v>11</v>
      </c>
      <c r="AC1599" t="n">
        <v>11</v>
      </c>
      <c r="AD1599" t="n">
        <v>33</v>
      </c>
      <c r="AE1599" t="n">
        <v>33</v>
      </c>
      <c r="AF1599" t="n">
        <v>9</v>
      </c>
      <c r="AG1599" t="n">
        <v>9</v>
      </c>
      <c r="AH1599" t="n">
        <v>9</v>
      </c>
      <c r="AI1599" t="n">
        <v>9</v>
      </c>
      <c r="AJ1599" t="n">
        <v>13</v>
      </c>
      <c r="AK1599" t="n">
        <v>13</v>
      </c>
      <c r="AL1599" t="n">
        <v>10</v>
      </c>
      <c r="AM1599" t="n">
        <v>10</v>
      </c>
      <c r="AN1599" t="n">
        <v>0</v>
      </c>
      <c r="AO1599" t="n">
        <v>0</v>
      </c>
      <c r="AP1599" t="inlineStr">
        <is>
          <t>No</t>
        </is>
      </c>
      <c r="AQ1599" t="inlineStr">
        <is>
          <t>No</t>
        </is>
      </c>
      <c r="AS1599">
        <f>HYPERLINK("https://creighton-primo.hosted.exlibrisgroup.com/primo-explore/search?tab=default_tab&amp;search_scope=EVERYTHING&amp;vid=01CRU&amp;lang=en_US&amp;offset=0&amp;query=any,contains,991003176489702656","Catalog Record")</f>
        <v/>
      </c>
      <c r="AT1599">
        <f>HYPERLINK("http://www.worldcat.org/oclc/710901","WorldCat Record")</f>
        <v/>
      </c>
      <c r="AU1599" t="inlineStr">
        <is>
          <t>836663739:eng</t>
        </is>
      </c>
      <c r="AV1599" t="inlineStr">
        <is>
          <t>710901</t>
        </is>
      </c>
      <c r="AW1599" t="inlineStr">
        <is>
          <t>991003176489702656</t>
        </is>
      </c>
      <c r="AX1599" t="inlineStr">
        <is>
          <t>991003176489702656</t>
        </is>
      </c>
      <c r="AY1599" t="inlineStr">
        <is>
          <t>2262467220002656</t>
        </is>
      </c>
      <c r="AZ1599" t="inlineStr">
        <is>
          <t>BOOK</t>
        </is>
      </c>
      <c r="BC1599" t="inlineStr">
        <is>
          <t>32285000497486</t>
        </is>
      </c>
      <c r="BD1599" t="inlineStr">
        <is>
          <t>893342296</t>
        </is>
      </c>
    </row>
    <row r="1600">
      <c r="A1600" t="inlineStr">
        <is>
          <t>No</t>
        </is>
      </c>
      <c r="B1600" t="inlineStr">
        <is>
          <t>E743 .R45</t>
        </is>
      </c>
      <c r="C1600" t="inlineStr">
        <is>
          <t>0                      E  0743000R  45</t>
        </is>
      </c>
      <c r="D1600" t="inlineStr">
        <is>
          <t>The progressives / edited by Carl Resek.</t>
        </is>
      </c>
      <c r="F1600" t="inlineStr">
        <is>
          <t>No</t>
        </is>
      </c>
      <c r="G1600" t="inlineStr">
        <is>
          <t>1</t>
        </is>
      </c>
      <c r="H1600" t="inlineStr">
        <is>
          <t>No</t>
        </is>
      </c>
      <c r="I1600" t="inlineStr">
        <is>
          <t>No</t>
        </is>
      </c>
      <c r="J1600" t="inlineStr">
        <is>
          <t>0</t>
        </is>
      </c>
      <c r="K1600" t="inlineStr">
        <is>
          <t>Resek, Carl editor.</t>
        </is>
      </c>
      <c r="L1600" t="inlineStr">
        <is>
          <t>Indianapolis, Bobbs-Merrill [1967]</t>
        </is>
      </c>
      <c r="M1600" t="inlineStr">
        <is>
          <t>1967</t>
        </is>
      </c>
      <c r="O1600" t="inlineStr">
        <is>
          <t>eng</t>
        </is>
      </c>
      <c r="P1600" t="inlineStr">
        <is>
          <t>___</t>
        </is>
      </c>
      <c r="Q1600" t="inlineStr">
        <is>
          <t>The American heritage series</t>
        </is>
      </c>
      <c r="R1600" t="inlineStr">
        <is>
          <t xml:space="preserve">E  </t>
        </is>
      </c>
      <c r="S1600" t="n">
        <v>1</v>
      </c>
      <c r="T1600" t="n">
        <v>1</v>
      </c>
      <c r="U1600" t="inlineStr">
        <is>
          <t>1992-11-18</t>
        </is>
      </c>
      <c r="V1600" t="inlineStr">
        <is>
          <t>1992-11-18</t>
        </is>
      </c>
      <c r="W1600" t="inlineStr">
        <is>
          <t>1991-05-28</t>
        </is>
      </c>
      <c r="X1600" t="inlineStr">
        <is>
          <t>1991-05-28</t>
        </is>
      </c>
      <c r="Y1600" t="n">
        <v>826</v>
      </c>
      <c r="Z1600" t="n">
        <v>762</v>
      </c>
      <c r="AA1600" t="n">
        <v>769</v>
      </c>
      <c r="AB1600" t="n">
        <v>5</v>
      </c>
      <c r="AC1600" t="n">
        <v>5</v>
      </c>
      <c r="AD1600" t="n">
        <v>29</v>
      </c>
      <c r="AE1600" t="n">
        <v>29</v>
      </c>
      <c r="AF1600" t="n">
        <v>12</v>
      </c>
      <c r="AG1600" t="n">
        <v>12</v>
      </c>
      <c r="AH1600" t="n">
        <v>5</v>
      </c>
      <c r="AI1600" t="n">
        <v>5</v>
      </c>
      <c r="AJ1600" t="n">
        <v>15</v>
      </c>
      <c r="AK1600" t="n">
        <v>15</v>
      </c>
      <c r="AL1600" t="n">
        <v>4</v>
      </c>
      <c r="AM1600" t="n">
        <v>4</v>
      </c>
      <c r="AN1600" t="n">
        <v>0</v>
      </c>
      <c r="AO1600" t="n">
        <v>0</v>
      </c>
      <c r="AP1600" t="inlineStr">
        <is>
          <t>No</t>
        </is>
      </c>
      <c r="AQ1600" t="inlineStr">
        <is>
          <t>Yes</t>
        </is>
      </c>
      <c r="AR1600">
        <f>HYPERLINK("http://catalog.hathitrust.org/Record/000005963","HathiTrust Record")</f>
        <v/>
      </c>
      <c r="AS1600">
        <f>HYPERLINK("https://creighton-primo.hosted.exlibrisgroup.com/primo-explore/search?tab=default_tab&amp;search_scope=EVERYTHING&amp;vid=01CRU&amp;lang=en_US&amp;offset=0&amp;query=any,contains,991002758769702656","Catalog Record")</f>
        <v/>
      </c>
      <c r="AT1600">
        <f>HYPERLINK("http://www.worldcat.org/oclc/427252","WorldCat Record")</f>
        <v/>
      </c>
      <c r="AU1600" t="inlineStr">
        <is>
          <t>1522247:eng</t>
        </is>
      </c>
      <c r="AV1600" t="inlineStr">
        <is>
          <t>427252</t>
        </is>
      </c>
      <c r="AW1600" t="inlineStr">
        <is>
          <t>991002758769702656</t>
        </is>
      </c>
      <c r="AX1600" t="inlineStr">
        <is>
          <t>991002758769702656</t>
        </is>
      </c>
      <c r="AY1600" t="inlineStr">
        <is>
          <t>2264621800002656</t>
        </is>
      </c>
      <c r="AZ1600" t="inlineStr">
        <is>
          <t>BOOK</t>
        </is>
      </c>
      <c r="BC1600" t="inlineStr">
        <is>
          <t>32285000612175</t>
        </is>
      </c>
      <c r="BD1600" t="inlineStr">
        <is>
          <t>893804993</t>
        </is>
      </c>
    </row>
    <row r="1601">
      <c r="A1601" t="inlineStr">
        <is>
          <t>No</t>
        </is>
      </c>
      <c r="B1601" t="inlineStr">
        <is>
          <t>E743.5 .B363 1995</t>
        </is>
      </c>
      <c r="C1601" t="inlineStr">
        <is>
          <t>0                      E  0743500B  363         1995</t>
        </is>
      </c>
      <c r="D1601" t="inlineStr">
        <is>
          <t>Un-American activities : a memoir of the fifties / Sally Belfrage.</t>
        </is>
      </c>
      <c r="F1601" t="inlineStr">
        <is>
          <t>No</t>
        </is>
      </c>
      <c r="G1601" t="inlineStr">
        <is>
          <t>1</t>
        </is>
      </c>
      <c r="H1601" t="inlineStr">
        <is>
          <t>No</t>
        </is>
      </c>
      <c r="I1601" t="inlineStr">
        <is>
          <t>No</t>
        </is>
      </c>
      <c r="J1601" t="inlineStr">
        <is>
          <t>0</t>
        </is>
      </c>
      <c r="K1601" t="inlineStr">
        <is>
          <t>Belfrage, Sally, 1936-</t>
        </is>
      </c>
      <c r="L1601" t="inlineStr">
        <is>
          <t>New York : HarperPerennial, 1995, c1994.</t>
        </is>
      </c>
      <c r="M1601" t="inlineStr">
        <is>
          <t>1995</t>
        </is>
      </c>
      <c r="N1601" t="inlineStr">
        <is>
          <t>1st HarperPerennial ed.</t>
        </is>
      </c>
      <c r="O1601" t="inlineStr">
        <is>
          <t>eng</t>
        </is>
      </c>
      <c r="P1601" t="inlineStr">
        <is>
          <t>nyu</t>
        </is>
      </c>
      <c r="R1601" t="inlineStr">
        <is>
          <t xml:space="preserve">E  </t>
        </is>
      </c>
      <c r="S1601" t="n">
        <v>4</v>
      </c>
      <c r="T1601" t="n">
        <v>4</v>
      </c>
      <c r="U1601" t="inlineStr">
        <is>
          <t>2005-01-20</t>
        </is>
      </c>
      <c r="V1601" t="inlineStr">
        <is>
          <t>2005-01-20</t>
        </is>
      </c>
      <c r="W1601" t="inlineStr">
        <is>
          <t>1996-01-17</t>
        </is>
      </c>
      <c r="X1601" t="inlineStr">
        <is>
          <t>1996-01-17</t>
        </is>
      </c>
      <c r="Y1601" t="n">
        <v>31</v>
      </c>
      <c r="Z1601" t="n">
        <v>30</v>
      </c>
      <c r="AA1601" t="n">
        <v>462</v>
      </c>
      <c r="AB1601" t="n">
        <v>1</v>
      </c>
      <c r="AC1601" t="n">
        <v>4</v>
      </c>
      <c r="AD1601" t="n">
        <v>1</v>
      </c>
      <c r="AE1601" t="n">
        <v>19</v>
      </c>
      <c r="AF1601" t="n">
        <v>1</v>
      </c>
      <c r="AG1601" t="n">
        <v>7</v>
      </c>
      <c r="AH1601" t="n">
        <v>0</v>
      </c>
      <c r="AI1601" t="n">
        <v>3</v>
      </c>
      <c r="AJ1601" t="n">
        <v>0</v>
      </c>
      <c r="AK1601" t="n">
        <v>11</v>
      </c>
      <c r="AL1601" t="n">
        <v>0</v>
      </c>
      <c r="AM1601" t="n">
        <v>2</v>
      </c>
      <c r="AN1601" t="n">
        <v>0</v>
      </c>
      <c r="AO1601" t="n">
        <v>1</v>
      </c>
      <c r="AP1601" t="inlineStr">
        <is>
          <t>No</t>
        </is>
      </c>
      <c r="AQ1601" t="inlineStr">
        <is>
          <t>No</t>
        </is>
      </c>
      <c r="AS1601">
        <f>HYPERLINK("https://creighton-primo.hosted.exlibrisgroup.com/primo-explore/search?tab=default_tab&amp;search_scope=EVERYTHING&amp;vid=01CRU&amp;lang=en_US&amp;offset=0&amp;query=any,contains,991002524989702656","Catalog Record")</f>
        <v/>
      </c>
      <c r="AT1601">
        <f>HYPERLINK("http://www.worldcat.org/oclc/32830189","WorldCat Record")</f>
        <v/>
      </c>
      <c r="AU1601" t="inlineStr">
        <is>
          <t>31921210:eng</t>
        </is>
      </c>
      <c r="AV1601" t="inlineStr">
        <is>
          <t>32830189</t>
        </is>
      </c>
      <c r="AW1601" t="inlineStr">
        <is>
          <t>991002524989702656</t>
        </is>
      </c>
      <c r="AX1601" t="inlineStr">
        <is>
          <t>991002524989702656</t>
        </is>
      </c>
      <c r="AY1601" t="inlineStr">
        <is>
          <t>2260043070002656</t>
        </is>
      </c>
      <c r="AZ1601" t="inlineStr">
        <is>
          <t>BOOK</t>
        </is>
      </c>
      <c r="BB1601" t="inlineStr">
        <is>
          <t>9780060926267</t>
        </is>
      </c>
      <c r="BC1601" t="inlineStr">
        <is>
          <t>32285002118288</t>
        </is>
      </c>
      <c r="BD1601" t="inlineStr">
        <is>
          <t>893898879</t>
        </is>
      </c>
    </row>
    <row r="1602">
      <c r="A1602" t="inlineStr">
        <is>
          <t>No</t>
        </is>
      </c>
      <c r="B1602" t="inlineStr">
        <is>
          <t>E743.5 .G64</t>
        </is>
      </c>
      <c r="C1602" t="inlineStr">
        <is>
          <t>0                      E  0743500G  64</t>
        </is>
      </c>
      <c r="D1602" t="inlineStr">
        <is>
          <t>The committee; the extraordinary career of the House Committee on Un-American Activities. Foreword by Richard H. Rovere.</t>
        </is>
      </c>
      <c r="F1602" t="inlineStr">
        <is>
          <t>No</t>
        </is>
      </c>
      <c r="G1602" t="inlineStr">
        <is>
          <t>1</t>
        </is>
      </c>
      <c r="H1602" t="inlineStr">
        <is>
          <t>No</t>
        </is>
      </c>
      <c r="I1602" t="inlineStr">
        <is>
          <t>No</t>
        </is>
      </c>
      <c r="J1602" t="inlineStr">
        <is>
          <t>0</t>
        </is>
      </c>
      <c r="K1602" t="inlineStr">
        <is>
          <t>Goodman, Walter.</t>
        </is>
      </c>
      <c r="L1602" t="inlineStr">
        <is>
          <t>New York, Farrar, Straus, and Giroux [1968]</t>
        </is>
      </c>
      <c r="M1602" t="inlineStr">
        <is>
          <t>1968</t>
        </is>
      </c>
      <c r="O1602" t="inlineStr">
        <is>
          <t>eng</t>
        </is>
      </c>
      <c r="P1602" t="inlineStr">
        <is>
          <t>nyu</t>
        </is>
      </c>
      <c r="R1602" t="inlineStr">
        <is>
          <t xml:space="preserve">E  </t>
        </is>
      </c>
      <c r="S1602" t="n">
        <v>1</v>
      </c>
      <c r="T1602" t="n">
        <v>1</v>
      </c>
      <c r="U1602" t="inlineStr">
        <is>
          <t>1998-03-22</t>
        </is>
      </c>
      <c r="V1602" t="inlineStr">
        <is>
          <t>1998-03-22</t>
        </is>
      </c>
      <c r="W1602" t="inlineStr">
        <is>
          <t>1997-04-23</t>
        </is>
      </c>
      <c r="X1602" t="inlineStr">
        <is>
          <t>1997-04-23</t>
        </is>
      </c>
      <c r="Y1602" t="n">
        <v>1528</v>
      </c>
      <c r="Z1602" t="n">
        <v>1435</v>
      </c>
      <c r="AA1602" t="n">
        <v>1530</v>
      </c>
      <c r="AB1602" t="n">
        <v>9</v>
      </c>
      <c r="AC1602" t="n">
        <v>10</v>
      </c>
      <c r="AD1602" t="n">
        <v>59</v>
      </c>
      <c r="AE1602" t="n">
        <v>63</v>
      </c>
      <c r="AF1602" t="n">
        <v>20</v>
      </c>
      <c r="AG1602" t="n">
        <v>21</v>
      </c>
      <c r="AH1602" t="n">
        <v>8</v>
      </c>
      <c r="AI1602" t="n">
        <v>9</v>
      </c>
      <c r="AJ1602" t="n">
        <v>19</v>
      </c>
      <c r="AK1602" t="n">
        <v>20</v>
      </c>
      <c r="AL1602" t="n">
        <v>6</v>
      </c>
      <c r="AM1602" t="n">
        <v>6</v>
      </c>
      <c r="AN1602" t="n">
        <v>16</v>
      </c>
      <c r="AO1602" t="n">
        <v>18</v>
      </c>
      <c r="AP1602" t="inlineStr">
        <is>
          <t>No</t>
        </is>
      </c>
      <c r="AQ1602" t="inlineStr">
        <is>
          <t>Yes</t>
        </is>
      </c>
      <c r="AR1602">
        <f>HYPERLINK("http://catalog.hathitrust.org/Record/000466628","HathiTrust Record")</f>
        <v/>
      </c>
      <c r="AS1602">
        <f>HYPERLINK("https://creighton-primo.hosted.exlibrisgroup.com/primo-explore/search?tab=default_tab&amp;search_scope=EVERYTHING&amp;vid=01CRU&amp;lang=en_US&amp;offset=0&amp;query=any,contains,991001792619702656","Catalog Record")</f>
        <v/>
      </c>
      <c r="AT1602">
        <f>HYPERLINK("http://www.worldcat.org/oclc/236728","WorldCat Record")</f>
        <v/>
      </c>
      <c r="AU1602" t="inlineStr">
        <is>
          <t>450254:eng</t>
        </is>
      </c>
      <c r="AV1602" t="inlineStr">
        <is>
          <t>236728</t>
        </is>
      </c>
      <c r="AW1602" t="inlineStr">
        <is>
          <t>991001792619702656</t>
        </is>
      </c>
      <c r="AX1602" t="inlineStr">
        <is>
          <t>991001792619702656</t>
        </is>
      </c>
      <c r="AY1602" t="inlineStr">
        <is>
          <t>2255059990002656</t>
        </is>
      </c>
      <c r="AZ1602" t="inlineStr">
        <is>
          <t>BOOK</t>
        </is>
      </c>
      <c r="BC1602" t="inlineStr">
        <is>
          <t>32285002561701</t>
        </is>
      </c>
      <c r="BD1602" t="inlineStr">
        <is>
          <t>893697040</t>
        </is>
      </c>
    </row>
    <row r="1603">
      <c r="A1603" t="inlineStr">
        <is>
          <t>No</t>
        </is>
      </c>
      <c r="B1603" t="inlineStr">
        <is>
          <t>E743.5 .M8</t>
        </is>
      </c>
      <c r="C1603" t="inlineStr">
        <is>
          <t>0                      E  0743500M  8</t>
        </is>
      </c>
      <c r="D1603" t="inlineStr">
        <is>
          <t>Red scare : a study in national hysteria, 1919-1920.</t>
        </is>
      </c>
      <c r="F1603" t="inlineStr">
        <is>
          <t>No</t>
        </is>
      </c>
      <c r="G1603" t="inlineStr">
        <is>
          <t>1</t>
        </is>
      </c>
      <c r="H1603" t="inlineStr">
        <is>
          <t>No</t>
        </is>
      </c>
      <c r="I1603" t="inlineStr">
        <is>
          <t>No</t>
        </is>
      </c>
      <c r="J1603" t="inlineStr">
        <is>
          <t>0</t>
        </is>
      </c>
      <c r="K1603" t="inlineStr">
        <is>
          <t>Murray, Robert K.</t>
        </is>
      </c>
      <c r="L1603" t="inlineStr">
        <is>
          <t>Minneapolis : University of Minnesota Press, [c1955]</t>
        </is>
      </c>
      <c r="M1603" t="inlineStr">
        <is>
          <t>1955</t>
        </is>
      </c>
      <c r="O1603" t="inlineStr">
        <is>
          <t>eng</t>
        </is>
      </c>
      <c r="P1603" t="inlineStr">
        <is>
          <t>mnu</t>
        </is>
      </c>
      <c r="R1603" t="inlineStr">
        <is>
          <t xml:space="preserve">E  </t>
        </is>
      </c>
      <c r="S1603" t="n">
        <v>5</v>
      </c>
      <c r="T1603" t="n">
        <v>5</v>
      </c>
      <c r="U1603" t="inlineStr">
        <is>
          <t>2002-02-18</t>
        </is>
      </c>
      <c r="V1603" t="inlineStr">
        <is>
          <t>2002-02-18</t>
        </is>
      </c>
      <c r="W1603" t="inlineStr">
        <is>
          <t>1994-04-18</t>
        </is>
      </c>
      <c r="X1603" t="inlineStr">
        <is>
          <t>1994-04-18</t>
        </is>
      </c>
      <c r="Y1603" t="n">
        <v>1103</v>
      </c>
      <c r="Z1603" t="n">
        <v>1015</v>
      </c>
      <c r="AA1603" t="n">
        <v>1645</v>
      </c>
      <c r="AB1603" t="n">
        <v>9</v>
      </c>
      <c r="AC1603" t="n">
        <v>14</v>
      </c>
      <c r="AD1603" t="n">
        <v>46</v>
      </c>
      <c r="AE1603" t="n">
        <v>63</v>
      </c>
      <c r="AF1603" t="n">
        <v>19</v>
      </c>
      <c r="AG1603" t="n">
        <v>27</v>
      </c>
      <c r="AH1603" t="n">
        <v>7</v>
      </c>
      <c r="AI1603" t="n">
        <v>10</v>
      </c>
      <c r="AJ1603" t="n">
        <v>20</v>
      </c>
      <c r="AK1603" t="n">
        <v>24</v>
      </c>
      <c r="AL1603" t="n">
        <v>8</v>
      </c>
      <c r="AM1603" t="n">
        <v>12</v>
      </c>
      <c r="AN1603" t="n">
        <v>0</v>
      </c>
      <c r="AO1603" t="n">
        <v>2</v>
      </c>
      <c r="AP1603" t="inlineStr">
        <is>
          <t>No</t>
        </is>
      </c>
      <c r="AQ1603" t="inlineStr">
        <is>
          <t>Yes</t>
        </is>
      </c>
      <c r="AR1603">
        <f>HYPERLINK("http://catalog.hathitrust.org/Record/000467133","HathiTrust Record")</f>
        <v/>
      </c>
      <c r="AS1603">
        <f>HYPERLINK("https://creighton-primo.hosted.exlibrisgroup.com/primo-explore/search?tab=default_tab&amp;search_scope=EVERYTHING&amp;vid=01CRU&amp;lang=en_US&amp;offset=0&amp;query=any,contains,991002738539702656","Catalog Record")</f>
        <v/>
      </c>
      <c r="AT1603">
        <f>HYPERLINK("http://www.worldcat.org/oclc/420192","WorldCat Record")</f>
        <v/>
      </c>
      <c r="AU1603" t="inlineStr">
        <is>
          <t>1499799:eng</t>
        </is>
      </c>
      <c r="AV1603" t="inlineStr">
        <is>
          <t>420192</t>
        </is>
      </c>
      <c r="AW1603" t="inlineStr">
        <is>
          <t>991002738539702656</t>
        </is>
      </c>
      <c r="AX1603" t="inlineStr">
        <is>
          <t>991002738539702656</t>
        </is>
      </c>
      <c r="AY1603" t="inlineStr">
        <is>
          <t>2270532820002656</t>
        </is>
      </c>
      <c r="AZ1603" t="inlineStr">
        <is>
          <t>BOOK</t>
        </is>
      </c>
      <c r="BC1603" t="inlineStr">
        <is>
          <t>32285001889442</t>
        </is>
      </c>
      <c r="BD1603" t="inlineStr">
        <is>
          <t>893523989</t>
        </is>
      </c>
    </row>
    <row r="1604">
      <c r="A1604" t="inlineStr">
        <is>
          <t>No</t>
        </is>
      </c>
      <c r="B1604" t="inlineStr">
        <is>
          <t>E743.5 .O73 1983</t>
        </is>
      </c>
      <c r="C1604" t="inlineStr">
        <is>
          <t>0                      E  0743500O  73          1983</t>
        </is>
      </c>
      <c r="D1604" t="inlineStr">
        <is>
          <t>Hoover and the un-Americans : the FBI, HUAC, and the red menace / Kenneth O'Reilly.</t>
        </is>
      </c>
      <c r="F1604" t="inlineStr">
        <is>
          <t>No</t>
        </is>
      </c>
      <c r="G1604" t="inlineStr">
        <is>
          <t>1</t>
        </is>
      </c>
      <c r="H1604" t="inlineStr">
        <is>
          <t>No</t>
        </is>
      </c>
      <c r="I1604" t="inlineStr">
        <is>
          <t>No</t>
        </is>
      </c>
      <c r="J1604" t="inlineStr">
        <is>
          <t>0</t>
        </is>
      </c>
      <c r="K1604" t="inlineStr">
        <is>
          <t>O'Reilly, Kenneth.</t>
        </is>
      </c>
      <c r="L1604" t="inlineStr">
        <is>
          <t>Philadelphia : Temple University Press, 1983.</t>
        </is>
      </c>
      <c r="M1604" t="inlineStr">
        <is>
          <t>1983</t>
        </is>
      </c>
      <c r="O1604" t="inlineStr">
        <is>
          <t>eng</t>
        </is>
      </c>
      <c r="P1604" t="inlineStr">
        <is>
          <t>pau</t>
        </is>
      </c>
      <c r="R1604" t="inlineStr">
        <is>
          <t xml:space="preserve">E  </t>
        </is>
      </c>
      <c r="S1604" t="n">
        <v>6</v>
      </c>
      <c r="T1604" t="n">
        <v>6</v>
      </c>
      <c r="U1604" t="inlineStr">
        <is>
          <t>1998-03-22</t>
        </is>
      </c>
      <c r="V1604" t="inlineStr">
        <is>
          <t>1998-03-22</t>
        </is>
      </c>
      <c r="W1604" t="inlineStr">
        <is>
          <t>1991-05-28</t>
        </is>
      </c>
      <c r="X1604" t="inlineStr">
        <is>
          <t>1991-05-28</t>
        </is>
      </c>
      <c r="Y1604" t="n">
        <v>530</v>
      </c>
      <c r="Z1604" t="n">
        <v>465</v>
      </c>
      <c r="AA1604" t="n">
        <v>465</v>
      </c>
      <c r="AB1604" t="n">
        <v>5</v>
      </c>
      <c r="AC1604" t="n">
        <v>5</v>
      </c>
      <c r="AD1604" t="n">
        <v>34</v>
      </c>
      <c r="AE1604" t="n">
        <v>34</v>
      </c>
      <c r="AF1604" t="n">
        <v>7</v>
      </c>
      <c r="AG1604" t="n">
        <v>7</v>
      </c>
      <c r="AH1604" t="n">
        <v>8</v>
      </c>
      <c r="AI1604" t="n">
        <v>8</v>
      </c>
      <c r="AJ1604" t="n">
        <v>15</v>
      </c>
      <c r="AK1604" t="n">
        <v>15</v>
      </c>
      <c r="AL1604" t="n">
        <v>3</v>
      </c>
      <c r="AM1604" t="n">
        <v>3</v>
      </c>
      <c r="AN1604" t="n">
        <v>8</v>
      </c>
      <c r="AO1604" t="n">
        <v>8</v>
      </c>
      <c r="AP1604" t="inlineStr">
        <is>
          <t>No</t>
        </is>
      </c>
      <c r="AQ1604" t="inlineStr">
        <is>
          <t>No</t>
        </is>
      </c>
      <c r="AS1604">
        <f>HYPERLINK("https://creighton-primo.hosted.exlibrisgroup.com/primo-explore/search?tab=default_tab&amp;search_scope=EVERYTHING&amp;vid=01CRU&amp;lang=en_US&amp;offset=0&amp;query=any,contains,991000166119702656","Catalog Record")</f>
        <v/>
      </c>
      <c r="AT1604">
        <f>HYPERLINK("http://www.worldcat.org/oclc/9283369","WorldCat Record")</f>
        <v/>
      </c>
      <c r="AU1604" t="inlineStr">
        <is>
          <t>43143735:eng</t>
        </is>
      </c>
      <c r="AV1604" t="inlineStr">
        <is>
          <t>9283369</t>
        </is>
      </c>
      <c r="AW1604" t="inlineStr">
        <is>
          <t>991000166119702656</t>
        </is>
      </c>
      <c r="AX1604" t="inlineStr">
        <is>
          <t>991000166119702656</t>
        </is>
      </c>
      <c r="AY1604" t="inlineStr">
        <is>
          <t>2261567150002656</t>
        </is>
      </c>
      <c r="AZ1604" t="inlineStr">
        <is>
          <t>BOOK</t>
        </is>
      </c>
      <c r="BB1604" t="inlineStr">
        <is>
          <t>9780877223016</t>
        </is>
      </c>
      <c r="BC1604" t="inlineStr">
        <is>
          <t>32285000612308</t>
        </is>
      </c>
      <c r="BD1604" t="inlineStr">
        <is>
          <t>893406990</t>
        </is>
      </c>
    </row>
    <row r="1605">
      <c r="A1605" t="inlineStr">
        <is>
          <t>No</t>
        </is>
      </c>
      <c r="B1605" t="inlineStr">
        <is>
          <t>E743.5 .P65 1995</t>
        </is>
      </c>
      <c r="C1605" t="inlineStr">
        <is>
          <t>0                      E  0743500P  65          1995</t>
        </is>
      </c>
      <c r="D1605" t="inlineStr">
        <is>
          <t>Not without honor : the history of American anticommunism / Richard Gid Powers.</t>
        </is>
      </c>
      <c r="F1605" t="inlineStr">
        <is>
          <t>No</t>
        </is>
      </c>
      <c r="G1605" t="inlineStr">
        <is>
          <t>1</t>
        </is>
      </c>
      <c r="H1605" t="inlineStr">
        <is>
          <t>No</t>
        </is>
      </c>
      <c r="I1605" t="inlineStr">
        <is>
          <t>No</t>
        </is>
      </c>
      <c r="J1605" t="inlineStr">
        <is>
          <t>0</t>
        </is>
      </c>
      <c r="K1605" t="inlineStr">
        <is>
          <t>Powers, Richard Gid, 1944-</t>
        </is>
      </c>
      <c r="L1605" t="inlineStr">
        <is>
          <t>New York : Free Press, c1995.</t>
        </is>
      </c>
      <c r="M1605" t="inlineStr">
        <is>
          <t>1995</t>
        </is>
      </c>
      <c r="O1605" t="inlineStr">
        <is>
          <t>eng</t>
        </is>
      </c>
      <c r="P1605" t="inlineStr">
        <is>
          <t>nyu</t>
        </is>
      </c>
      <c r="R1605" t="inlineStr">
        <is>
          <t xml:space="preserve">E  </t>
        </is>
      </c>
      <c r="S1605" t="n">
        <v>3</v>
      </c>
      <c r="T1605" t="n">
        <v>3</v>
      </c>
      <c r="U1605" t="inlineStr">
        <is>
          <t>1996-11-17</t>
        </is>
      </c>
      <c r="V1605" t="inlineStr">
        <is>
          <t>1996-11-17</t>
        </is>
      </c>
      <c r="W1605" t="inlineStr">
        <is>
          <t>1996-02-13</t>
        </is>
      </c>
      <c r="X1605" t="inlineStr">
        <is>
          <t>1996-02-13</t>
        </is>
      </c>
      <c r="Y1605" t="n">
        <v>1033</v>
      </c>
      <c r="Z1605" t="n">
        <v>916</v>
      </c>
      <c r="AA1605" t="n">
        <v>975</v>
      </c>
      <c r="AB1605" t="n">
        <v>5</v>
      </c>
      <c r="AC1605" t="n">
        <v>5</v>
      </c>
      <c r="AD1605" t="n">
        <v>40</v>
      </c>
      <c r="AE1605" t="n">
        <v>43</v>
      </c>
      <c r="AF1605" t="n">
        <v>17</v>
      </c>
      <c r="AG1605" t="n">
        <v>20</v>
      </c>
      <c r="AH1605" t="n">
        <v>9</v>
      </c>
      <c r="AI1605" t="n">
        <v>9</v>
      </c>
      <c r="AJ1605" t="n">
        <v>20</v>
      </c>
      <c r="AK1605" t="n">
        <v>20</v>
      </c>
      <c r="AL1605" t="n">
        <v>4</v>
      </c>
      <c r="AM1605" t="n">
        <v>4</v>
      </c>
      <c r="AN1605" t="n">
        <v>1</v>
      </c>
      <c r="AO1605" t="n">
        <v>1</v>
      </c>
      <c r="AP1605" t="inlineStr">
        <is>
          <t>No</t>
        </is>
      </c>
      <c r="AQ1605" t="inlineStr">
        <is>
          <t>Yes</t>
        </is>
      </c>
      <c r="AR1605">
        <f>HYPERLINK("http://catalog.hathitrust.org/Record/003022434","HathiTrust Record")</f>
        <v/>
      </c>
      <c r="AS1605">
        <f>HYPERLINK("https://creighton-primo.hosted.exlibrisgroup.com/primo-explore/search?tab=default_tab&amp;search_scope=EVERYTHING&amp;vid=01CRU&amp;lang=en_US&amp;offset=0&amp;query=any,contains,991002441289702656","Catalog Record")</f>
        <v/>
      </c>
      <c r="AT1605">
        <f>HYPERLINK("http://www.worldcat.org/oclc/31816309","WorldCat Record")</f>
        <v/>
      </c>
      <c r="AU1605" t="inlineStr">
        <is>
          <t>347296:eng</t>
        </is>
      </c>
      <c r="AV1605" t="inlineStr">
        <is>
          <t>31816309</t>
        </is>
      </c>
      <c r="AW1605" t="inlineStr">
        <is>
          <t>991002441289702656</t>
        </is>
      </c>
      <c r="AX1605" t="inlineStr">
        <is>
          <t>991002441289702656</t>
        </is>
      </c>
      <c r="AY1605" t="inlineStr">
        <is>
          <t>2262084440002656</t>
        </is>
      </c>
      <c r="AZ1605" t="inlineStr">
        <is>
          <t>BOOK</t>
        </is>
      </c>
      <c r="BB1605" t="inlineStr">
        <is>
          <t>9780029253014</t>
        </is>
      </c>
      <c r="BC1605" t="inlineStr">
        <is>
          <t>32285002129533</t>
        </is>
      </c>
      <c r="BD1605" t="inlineStr">
        <is>
          <t>893704083</t>
        </is>
      </c>
    </row>
    <row r="1606">
      <c r="A1606" t="inlineStr">
        <is>
          <t>No</t>
        </is>
      </c>
      <c r="B1606" t="inlineStr">
        <is>
          <t>E743.5 .S76 1984</t>
        </is>
      </c>
      <c r="C1606" t="inlineStr">
        <is>
          <t>0                      E  0743500S  76          1984</t>
        </is>
      </c>
      <c r="D1606" t="inlineStr">
        <is>
          <t>The great "Red menace" : United States prosecution of American Communists, 1947-1952 / Peter L. Steinberg.</t>
        </is>
      </c>
      <c r="F1606" t="inlineStr">
        <is>
          <t>No</t>
        </is>
      </c>
      <c r="G1606" t="inlineStr">
        <is>
          <t>1</t>
        </is>
      </c>
      <c r="H1606" t="inlineStr">
        <is>
          <t>No</t>
        </is>
      </c>
      <c r="I1606" t="inlineStr">
        <is>
          <t>No</t>
        </is>
      </c>
      <c r="J1606" t="inlineStr">
        <is>
          <t>0</t>
        </is>
      </c>
      <c r="K1606" t="inlineStr">
        <is>
          <t>Steinberg, Peter L.</t>
        </is>
      </c>
      <c r="L1606" t="inlineStr">
        <is>
          <t>Westport, Conn. : Greenwood Press, 1984.</t>
        </is>
      </c>
      <c r="M1606" t="inlineStr">
        <is>
          <t>1984</t>
        </is>
      </c>
      <c r="O1606" t="inlineStr">
        <is>
          <t>eng</t>
        </is>
      </c>
      <c r="P1606" t="inlineStr">
        <is>
          <t>ctu</t>
        </is>
      </c>
      <c r="Q1606" t="inlineStr">
        <is>
          <t>Contributions in American history ; no. 107</t>
        </is>
      </c>
      <c r="R1606" t="inlineStr">
        <is>
          <t xml:space="preserve">E  </t>
        </is>
      </c>
      <c r="S1606" t="n">
        <v>2</v>
      </c>
      <c r="T1606" t="n">
        <v>2</v>
      </c>
      <c r="U1606" t="inlineStr">
        <is>
          <t>1994-04-13</t>
        </is>
      </c>
      <c r="V1606" t="inlineStr">
        <is>
          <t>1994-04-13</t>
        </is>
      </c>
      <c r="W1606" t="inlineStr">
        <is>
          <t>1991-05-28</t>
        </is>
      </c>
      <c r="X1606" t="inlineStr">
        <is>
          <t>1991-05-28</t>
        </is>
      </c>
      <c r="Y1606" t="n">
        <v>528</v>
      </c>
      <c r="Z1606" t="n">
        <v>451</v>
      </c>
      <c r="AA1606" t="n">
        <v>473</v>
      </c>
      <c r="AB1606" t="n">
        <v>4</v>
      </c>
      <c r="AC1606" t="n">
        <v>4</v>
      </c>
      <c r="AD1606" t="n">
        <v>24</v>
      </c>
      <c r="AE1606" t="n">
        <v>24</v>
      </c>
      <c r="AF1606" t="n">
        <v>10</v>
      </c>
      <c r="AG1606" t="n">
        <v>10</v>
      </c>
      <c r="AH1606" t="n">
        <v>6</v>
      </c>
      <c r="AI1606" t="n">
        <v>6</v>
      </c>
      <c r="AJ1606" t="n">
        <v>12</v>
      </c>
      <c r="AK1606" t="n">
        <v>12</v>
      </c>
      <c r="AL1606" t="n">
        <v>3</v>
      </c>
      <c r="AM1606" t="n">
        <v>3</v>
      </c>
      <c r="AN1606" t="n">
        <v>0</v>
      </c>
      <c r="AO1606" t="n">
        <v>0</v>
      </c>
      <c r="AP1606" t="inlineStr">
        <is>
          <t>No</t>
        </is>
      </c>
      <c r="AQ1606" t="inlineStr">
        <is>
          <t>Yes</t>
        </is>
      </c>
      <c r="AR1606">
        <f>HYPERLINK("http://catalog.hathitrust.org/Record/000339859","HathiTrust Record")</f>
        <v/>
      </c>
      <c r="AS1606">
        <f>HYPERLINK("https://creighton-primo.hosted.exlibrisgroup.com/primo-explore/search?tab=default_tab&amp;search_scope=EVERYTHING&amp;vid=01CRU&amp;lang=en_US&amp;offset=0&amp;query=any,contains,991000378089702656","Catalog Record")</f>
        <v/>
      </c>
      <c r="AT1606">
        <f>HYPERLINK("http://www.worldcat.org/oclc/10483143","WorldCat Record")</f>
        <v/>
      </c>
      <c r="AU1606" t="inlineStr">
        <is>
          <t>2601708:eng</t>
        </is>
      </c>
      <c r="AV1606" t="inlineStr">
        <is>
          <t>10483143</t>
        </is>
      </c>
      <c r="AW1606" t="inlineStr">
        <is>
          <t>991000378089702656</t>
        </is>
      </c>
      <c r="AX1606" t="inlineStr">
        <is>
          <t>991000378089702656</t>
        </is>
      </c>
      <c r="AY1606" t="inlineStr">
        <is>
          <t>2263497800002656</t>
        </is>
      </c>
      <c r="AZ1606" t="inlineStr">
        <is>
          <t>BOOK</t>
        </is>
      </c>
      <c r="BB1606" t="inlineStr">
        <is>
          <t>9780313230202</t>
        </is>
      </c>
      <c r="BC1606" t="inlineStr">
        <is>
          <t>32285000612324</t>
        </is>
      </c>
      <c r="BD1606" t="inlineStr">
        <is>
          <t>893877977</t>
        </is>
      </c>
    </row>
    <row r="1607">
      <c r="A1607" t="inlineStr">
        <is>
          <t>No</t>
        </is>
      </c>
      <c r="B1607" t="inlineStr">
        <is>
          <t>E743.5 .S78</t>
        </is>
      </c>
      <c r="C1607" t="inlineStr">
        <is>
          <t>0                      E  0743500S  78</t>
        </is>
      </c>
      <c r="D1607" t="inlineStr">
        <is>
          <t>The death of a nation / John A. Stormer.</t>
        </is>
      </c>
      <c r="F1607" t="inlineStr">
        <is>
          <t>No</t>
        </is>
      </c>
      <c r="G1607" t="inlineStr">
        <is>
          <t>1</t>
        </is>
      </c>
      <c r="H1607" t="inlineStr">
        <is>
          <t>No</t>
        </is>
      </c>
      <c r="I1607" t="inlineStr">
        <is>
          <t>No</t>
        </is>
      </c>
      <c r="J1607" t="inlineStr">
        <is>
          <t>0</t>
        </is>
      </c>
      <c r="K1607" t="inlineStr">
        <is>
          <t>Stormer, John A.</t>
        </is>
      </c>
      <c r="L1607" t="inlineStr">
        <is>
          <t>Florissant, Missouri : Liberty Bell Press, [c1968]</t>
        </is>
      </c>
      <c r="M1607" t="inlineStr">
        <is>
          <t>1968</t>
        </is>
      </c>
      <c r="O1607" t="inlineStr">
        <is>
          <t>eng</t>
        </is>
      </c>
      <c r="P1607" t="inlineStr">
        <is>
          <t>___</t>
        </is>
      </c>
      <c r="R1607" t="inlineStr">
        <is>
          <t xml:space="preserve">E  </t>
        </is>
      </c>
      <c r="S1607" t="n">
        <v>0</v>
      </c>
      <c r="T1607" t="n">
        <v>0</v>
      </c>
      <c r="U1607" t="inlineStr">
        <is>
          <t>2005-10-03</t>
        </is>
      </c>
      <c r="V1607" t="inlineStr">
        <is>
          <t>2005-10-03</t>
        </is>
      </c>
      <c r="W1607" t="inlineStr">
        <is>
          <t>1991-05-28</t>
        </is>
      </c>
      <c r="X1607" t="inlineStr">
        <is>
          <t>1991-05-28</t>
        </is>
      </c>
      <c r="Y1607" t="n">
        <v>243</v>
      </c>
      <c r="Z1607" t="n">
        <v>224</v>
      </c>
      <c r="AA1607" t="n">
        <v>229</v>
      </c>
      <c r="AB1607" t="n">
        <v>4</v>
      </c>
      <c r="AC1607" t="n">
        <v>4</v>
      </c>
      <c r="AD1607" t="n">
        <v>8</v>
      </c>
      <c r="AE1607" t="n">
        <v>8</v>
      </c>
      <c r="AF1607" t="n">
        <v>2</v>
      </c>
      <c r="AG1607" t="n">
        <v>2</v>
      </c>
      <c r="AH1607" t="n">
        <v>1</v>
      </c>
      <c r="AI1607" t="n">
        <v>1</v>
      </c>
      <c r="AJ1607" t="n">
        <v>3</v>
      </c>
      <c r="AK1607" t="n">
        <v>3</v>
      </c>
      <c r="AL1607" t="n">
        <v>2</v>
      </c>
      <c r="AM1607" t="n">
        <v>2</v>
      </c>
      <c r="AN1607" t="n">
        <v>0</v>
      </c>
      <c r="AO1607" t="n">
        <v>0</v>
      </c>
      <c r="AP1607" t="inlineStr">
        <is>
          <t>No</t>
        </is>
      </c>
      <c r="AQ1607" t="inlineStr">
        <is>
          <t>No</t>
        </is>
      </c>
      <c r="AS1607">
        <f>HYPERLINK("https://creighton-primo.hosted.exlibrisgroup.com/primo-explore/search?tab=default_tab&amp;search_scope=EVERYTHING&amp;vid=01CRU&amp;lang=en_US&amp;offset=0&amp;query=any,contains,991002306819702656","Catalog Record")</f>
        <v/>
      </c>
      <c r="AT1607">
        <f>HYPERLINK("http://www.worldcat.org/oclc/17686963","WorldCat Record")</f>
        <v/>
      </c>
      <c r="AU1607" t="inlineStr">
        <is>
          <t>15986678:eng</t>
        </is>
      </c>
      <c r="AV1607" t="inlineStr">
        <is>
          <t>17686963</t>
        </is>
      </c>
      <c r="AW1607" t="inlineStr">
        <is>
          <t>991002306819702656</t>
        </is>
      </c>
      <c r="AX1607" t="inlineStr">
        <is>
          <t>991002306819702656</t>
        </is>
      </c>
      <c r="AY1607" t="inlineStr">
        <is>
          <t>2270385070002656</t>
        </is>
      </c>
      <c r="AZ1607" t="inlineStr">
        <is>
          <t>BOOK</t>
        </is>
      </c>
      <c r="BC1607" t="inlineStr">
        <is>
          <t>32285000612332</t>
        </is>
      </c>
      <c r="BD1607" t="inlineStr">
        <is>
          <t>893347351</t>
        </is>
      </c>
    </row>
    <row r="1608">
      <c r="A1608" t="inlineStr">
        <is>
          <t>No</t>
        </is>
      </c>
      <c r="B1608" t="inlineStr">
        <is>
          <t>E743.5 .T36 1997</t>
        </is>
      </c>
      <c r="C1608" t="inlineStr">
        <is>
          <t>0                      E  0743500T  36          1997</t>
        </is>
      </c>
      <c r="D1608" t="inlineStr">
        <is>
          <t>Whittaker Chambers : a biography / Sam Tanenhaus.</t>
        </is>
      </c>
      <c r="F1608" t="inlineStr">
        <is>
          <t>No</t>
        </is>
      </c>
      <c r="G1608" t="inlineStr">
        <is>
          <t>1</t>
        </is>
      </c>
      <c r="H1608" t="inlineStr">
        <is>
          <t>No</t>
        </is>
      </c>
      <c r="I1608" t="inlineStr">
        <is>
          <t>No</t>
        </is>
      </c>
      <c r="J1608" t="inlineStr">
        <is>
          <t>0</t>
        </is>
      </c>
      <c r="K1608" t="inlineStr">
        <is>
          <t>Tanenhaus, Sam.</t>
        </is>
      </c>
      <c r="L1608" t="inlineStr">
        <is>
          <t>New York : Random House, c1997.</t>
        </is>
      </c>
      <c r="M1608" t="inlineStr">
        <is>
          <t>1997</t>
        </is>
      </c>
      <c r="N1608" t="inlineStr">
        <is>
          <t>1st ed.</t>
        </is>
      </c>
      <c r="O1608" t="inlineStr">
        <is>
          <t>eng</t>
        </is>
      </c>
      <c r="P1608" t="inlineStr">
        <is>
          <t>nyu</t>
        </is>
      </c>
      <c r="R1608" t="inlineStr">
        <is>
          <t xml:space="preserve">E  </t>
        </is>
      </c>
      <c r="S1608" t="n">
        <v>1</v>
      </c>
      <c r="T1608" t="n">
        <v>1</v>
      </c>
      <c r="U1608" t="inlineStr">
        <is>
          <t>1997-05-27</t>
        </is>
      </c>
      <c r="V1608" t="inlineStr">
        <is>
          <t>1997-05-27</t>
        </is>
      </c>
      <c r="W1608" t="inlineStr">
        <is>
          <t>1997-04-23</t>
        </is>
      </c>
      <c r="X1608" t="inlineStr">
        <is>
          <t>1997-04-23</t>
        </is>
      </c>
      <c r="Y1608" t="n">
        <v>1466</v>
      </c>
      <c r="Z1608" t="n">
        <v>1404</v>
      </c>
      <c r="AA1608" t="n">
        <v>1574</v>
      </c>
      <c r="AB1608" t="n">
        <v>13</v>
      </c>
      <c r="AC1608" t="n">
        <v>14</v>
      </c>
      <c r="AD1608" t="n">
        <v>46</v>
      </c>
      <c r="AE1608" t="n">
        <v>53</v>
      </c>
      <c r="AF1608" t="n">
        <v>20</v>
      </c>
      <c r="AG1608" t="n">
        <v>24</v>
      </c>
      <c r="AH1608" t="n">
        <v>10</v>
      </c>
      <c r="AI1608" t="n">
        <v>11</v>
      </c>
      <c r="AJ1608" t="n">
        <v>17</v>
      </c>
      <c r="AK1608" t="n">
        <v>21</v>
      </c>
      <c r="AL1608" t="n">
        <v>7</v>
      </c>
      <c r="AM1608" t="n">
        <v>7</v>
      </c>
      <c r="AN1608" t="n">
        <v>3</v>
      </c>
      <c r="AO1608" t="n">
        <v>3</v>
      </c>
      <c r="AP1608" t="inlineStr">
        <is>
          <t>No</t>
        </is>
      </c>
      <c r="AQ1608" t="inlineStr">
        <is>
          <t>Yes</t>
        </is>
      </c>
      <c r="AR1608">
        <f>HYPERLINK("http://catalog.hathitrust.org/Record/003135699","HathiTrust Record")</f>
        <v/>
      </c>
      <c r="AS1608">
        <f>HYPERLINK("https://creighton-primo.hosted.exlibrisgroup.com/primo-explore/search?tab=default_tab&amp;search_scope=EVERYTHING&amp;vid=01CRU&amp;lang=en_US&amp;offset=0&amp;query=any,contains,991002700279702656","Catalog Record")</f>
        <v/>
      </c>
      <c r="AT1608">
        <f>HYPERLINK("http://www.worldcat.org/oclc/35249564","WorldCat Record")</f>
        <v/>
      </c>
      <c r="AU1608" t="inlineStr">
        <is>
          <t>807525482:eng</t>
        </is>
      </c>
      <c r="AV1608" t="inlineStr">
        <is>
          <t>35249564</t>
        </is>
      </c>
      <c r="AW1608" t="inlineStr">
        <is>
          <t>991002700279702656</t>
        </is>
      </c>
      <c r="AX1608" t="inlineStr">
        <is>
          <t>991002700279702656</t>
        </is>
      </c>
      <c r="AY1608" t="inlineStr">
        <is>
          <t>2256781190002656</t>
        </is>
      </c>
      <c r="AZ1608" t="inlineStr">
        <is>
          <t>BOOK</t>
        </is>
      </c>
      <c r="BB1608" t="inlineStr">
        <is>
          <t>9780394585598</t>
        </is>
      </c>
      <c r="BC1608" t="inlineStr">
        <is>
          <t>32285002540218</t>
        </is>
      </c>
      <c r="BD1608" t="inlineStr">
        <is>
          <t>893780111</t>
        </is>
      </c>
    </row>
    <row r="1609">
      <c r="A1609" t="inlineStr">
        <is>
          <t>No</t>
        </is>
      </c>
      <c r="B1609" t="inlineStr">
        <is>
          <t>E743.5 .W47 2004</t>
        </is>
      </c>
      <c r="C1609" t="inlineStr">
        <is>
          <t>0                      E  0743500W  47          2004</t>
        </is>
      </c>
      <c r="D1609" t="inlineStr">
        <is>
          <t>Mortal crimes : the greatest theft in history : Soviet penetration of the Manhattan Project / Nigel West.</t>
        </is>
      </c>
      <c r="F1609" t="inlineStr">
        <is>
          <t>No</t>
        </is>
      </c>
      <c r="G1609" t="inlineStr">
        <is>
          <t>1</t>
        </is>
      </c>
      <c r="H1609" t="inlineStr">
        <is>
          <t>No</t>
        </is>
      </c>
      <c r="I1609" t="inlineStr">
        <is>
          <t>No</t>
        </is>
      </c>
      <c r="J1609" t="inlineStr">
        <is>
          <t>0</t>
        </is>
      </c>
      <c r="K1609" t="inlineStr">
        <is>
          <t>West, Nigel.</t>
        </is>
      </c>
      <c r="L1609" t="inlineStr">
        <is>
          <t>New York : Enigma Books, c2004.</t>
        </is>
      </c>
      <c r="M1609" t="inlineStr">
        <is>
          <t>2004</t>
        </is>
      </c>
      <c r="O1609" t="inlineStr">
        <is>
          <t>eng</t>
        </is>
      </c>
      <c r="P1609" t="inlineStr">
        <is>
          <t>nyu</t>
        </is>
      </c>
      <c r="R1609" t="inlineStr">
        <is>
          <t xml:space="preserve">E  </t>
        </is>
      </c>
      <c r="S1609" t="n">
        <v>2</v>
      </c>
      <c r="T1609" t="n">
        <v>2</v>
      </c>
      <c r="U1609" t="inlineStr">
        <is>
          <t>2004-09-27</t>
        </is>
      </c>
      <c r="V1609" t="inlineStr">
        <is>
          <t>2004-09-27</t>
        </is>
      </c>
      <c r="W1609" t="inlineStr">
        <is>
          <t>2004-08-30</t>
        </is>
      </c>
      <c r="X1609" t="inlineStr">
        <is>
          <t>2004-08-30</t>
        </is>
      </c>
      <c r="Y1609" t="n">
        <v>466</v>
      </c>
      <c r="Z1609" t="n">
        <v>445</v>
      </c>
      <c r="AA1609" t="n">
        <v>475</v>
      </c>
      <c r="AB1609" t="n">
        <v>3</v>
      </c>
      <c r="AC1609" t="n">
        <v>3</v>
      </c>
      <c r="AD1609" t="n">
        <v>11</v>
      </c>
      <c r="AE1609" t="n">
        <v>11</v>
      </c>
      <c r="AF1609" t="n">
        <v>2</v>
      </c>
      <c r="AG1609" t="n">
        <v>2</v>
      </c>
      <c r="AH1609" t="n">
        <v>4</v>
      </c>
      <c r="AI1609" t="n">
        <v>4</v>
      </c>
      <c r="AJ1609" t="n">
        <v>5</v>
      </c>
      <c r="AK1609" t="n">
        <v>5</v>
      </c>
      <c r="AL1609" t="n">
        <v>2</v>
      </c>
      <c r="AM1609" t="n">
        <v>2</v>
      </c>
      <c r="AN1609" t="n">
        <v>0</v>
      </c>
      <c r="AO1609" t="n">
        <v>0</v>
      </c>
      <c r="AP1609" t="inlineStr">
        <is>
          <t>No</t>
        </is>
      </c>
      <c r="AQ1609" t="inlineStr">
        <is>
          <t>Yes</t>
        </is>
      </c>
      <c r="AR1609">
        <f>HYPERLINK("http://catalog.hathitrust.org/Record/004730107","HathiTrust Record")</f>
        <v/>
      </c>
      <c r="AS1609">
        <f>HYPERLINK("https://creighton-primo.hosted.exlibrisgroup.com/primo-explore/search?tab=default_tab&amp;search_scope=EVERYTHING&amp;vid=01CRU&amp;lang=en_US&amp;offset=0&amp;query=any,contains,991004330669702656","Catalog Record")</f>
        <v/>
      </c>
      <c r="AT1609">
        <f>HYPERLINK("http://www.worldcat.org/oclc/55665860","WorldCat Record")</f>
        <v/>
      </c>
      <c r="AU1609" t="inlineStr">
        <is>
          <t>1070980:eng</t>
        </is>
      </c>
      <c r="AV1609" t="inlineStr">
        <is>
          <t>55665860</t>
        </is>
      </c>
      <c r="AW1609" t="inlineStr">
        <is>
          <t>991004330669702656</t>
        </is>
      </c>
      <c r="AX1609" t="inlineStr">
        <is>
          <t>991004330669702656</t>
        </is>
      </c>
      <c r="AY1609" t="inlineStr">
        <is>
          <t>2259648380002656</t>
        </is>
      </c>
      <c r="AZ1609" t="inlineStr">
        <is>
          <t>BOOK</t>
        </is>
      </c>
      <c r="BB1609" t="inlineStr">
        <is>
          <t>9781929631216</t>
        </is>
      </c>
      <c r="BC1609" t="inlineStr">
        <is>
          <t>32285004983838</t>
        </is>
      </c>
      <c r="BD1609" t="inlineStr">
        <is>
          <t>893593554</t>
        </is>
      </c>
    </row>
    <row r="1610">
      <c r="A1610" t="inlineStr">
        <is>
          <t>No</t>
        </is>
      </c>
      <c r="B1610" t="inlineStr">
        <is>
          <t>E744 .A2174</t>
        </is>
      </c>
      <c r="C1610" t="inlineStr">
        <is>
          <t>0                      E  0744000A  2174</t>
        </is>
      </c>
      <c r="D1610" t="inlineStr">
        <is>
          <t>Present at the creation; my years in the State Department [by] Dean Acheson.</t>
        </is>
      </c>
      <c r="F1610" t="inlineStr">
        <is>
          <t>No</t>
        </is>
      </c>
      <c r="G1610" t="inlineStr">
        <is>
          <t>1</t>
        </is>
      </c>
      <c r="H1610" t="inlineStr">
        <is>
          <t>No</t>
        </is>
      </c>
      <c r="I1610" t="inlineStr">
        <is>
          <t>No</t>
        </is>
      </c>
      <c r="J1610" t="inlineStr">
        <is>
          <t>0</t>
        </is>
      </c>
      <c r="K1610" t="inlineStr">
        <is>
          <t>Acheson, Dean, 1893-1971.</t>
        </is>
      </c>
      <c r="L1610" t="inlineStr">
        <is>
          <t>New York, Norton [1969]</t>
        </is>
      </c>
      <c r="M1610" t="inlineStr">
        <is>
          <t>1969</t>
        </is>
      </c>
      <c r="N1610" t="inlineStr">
        <is>
          <t>[1st ed.]</t>
        </is>
      </c>
      <c r="O1610" t="inlineStr">
        <is>
          <t>eng</t>
        </is>
      </c>
      <c r="P1610" t="inlineStr">
        <is>
          <t>nyu</t>
        </is>
      </c>
      <c r="R1610" t="inlineStr">
        <is>
          <t xml:space="preserve">E  </t>
        </is>
      </c>
      <c r="S1610" t="n">
        <v>1</v>
      </c>
      <c r="T1610" t="n">
        <v>1</v>
      </c>
      <c r="U1610" t="inlineStr">
        <is>
          <t>2004-02-17</t>
        </is>
      </c>
      <c r="V1610" t="inlineStr">
        <is>
          <t>2004-02-17</t>
        </is>
      </c>
      <c r="W1610" t="inlineStr">
        <is>
          <t>1997-04-23</t>
        </is>
      </c>
      <c r="X1610" t="inlineStr">
        <is>
          <t>1997-04-23</t>
        </is>
      </c>
      <c r="Y1610" t="n">
        <v>2429</v>
      </c>
      <c r="Z1610" t="n">
        <v>2210</v>
      </c>
      <c r="AA1610" t="n">
        <v>2302</v>
      </c>
      <c r="AB1610" t="n">
        <v>19</v>
      </c>
      <c r="AC1610" t="n">
        <v>21</v>
      </c>
      <c r="AD1610" t="n">
        <v>73</v>
      </c>
      <c r="AE1610" t="n">
        <v>74</v>
      </c>
      <c r="AF1610" t="n">
        <v>28</v>
      </c>
      <c r="AG1610" t="n">
        <v>28</v>
      </c>
      <c r="AH1610" t="n">
        <v>11</v>
      </c>
      <c r="AI1610" t="n">
        <v>11</v>
      </c>
      <c r="AJ1610" t="n">
        <v>25</v>
      </c>
      <c r="AK1610" t="n">
        <v>25</v>
      </c>
      <c r="AL1610" t="n">
        <v>13</v>
      </c>
      <c r="AM1610" t="n">
        <v>14</v>
      </c>
      <c r="AN1610" t="n">
        <v>10</v>
      </c>
      <c r="AO1610" t="n">
        <v>10</v>
      </c>
      <c r="AP1610" t="inlineStr">
        <is>
          <t>No</t>
        </is>
      </c>
      <c r="AQ1610" t="inlineStr">
        <is>
          <t>No</t>
        </is>
      </c>
      <c r="AS1610">
        <f>HYPERLINK("https://creighton-primo.hosted.exlibrisgroup.com/primo-explore/search?tab=default_tab&amp;search_scope=EVERYTHING&amp;vid=01CRU&amp;lang=en_US&amp;offset=0&amp;query=any,contains,991000053009702656","Catalog Record")</f>
        <v/>
      </c>
      <c r="AT1610">
        <f>HYPERLINK("http://www.worldcat.org/oclc/22970","WorldCat Record")</f>
        <v/>
      </c>
      <c r="AU1610" t="inlineStr">
        <is>
          <t>1145146:eng</t>
        </is>
      </c>
      <c r="AV1610" t="inlineStr">
        <is>
          <t>22970</t>
        </is>
      </c>
      <c r="AW1610" t="inlineStr">
        <is>
          <t>991000053009702656</t>
        </is>
      </c>
      <c r="AX1610" t="inlineStr">
        <is>
          <t>991000053009702656</t>
        </is>
      </c>
      <c r="AY1610" t="inlineStr">
        <is>
          <t>2268223420002656</t>
        </is>
      </c>
      <c r="AZ1610" t="inlineStr">
        <is>
          <t>BOOK</t>
        </is>
      </c>
      <c r="BB1610" t="inlineStr">
        <is>
          <t>9780393074482</t>
        </is>
      </c>
      <c r="BC1610" t="inlineStr">
        <is>
          <t>32285002561834</t>
        </is>
      </c>
      <c r="BD1610" t="inlineStr">
        <is>
          <t>893771337</t>
        </is>
      </c>
    </row>
    <row r="1611">
      <c r="A1611" t="inlineStr">
        <is>
          <t>No</t>
        </is>
      </c>
      <c r="B1611" t="inlineStr">
        <is>
          <t>E744 .A27</t>
        </is>
      </c>
      <c r="C1611" t="inlineStr">
        <is>
          <t>0                      E  0744000A  27</t>
        </is>
      </c>
      <c r="D1611" t="inlineStr">
        <is>
          <t>The uncertain giant: 1921-1941; American foreign policy between the wars.</t>
        </is>
      </c>
      <c r="F1611" t="inlineStr">
        <is>
          <t>No</t>
        </is>
      </c>
      <c r="G1611" t="inlineStr">
        <is>
          <t>1</t>
        </is>
      </c>
      <c r="H1611" t="inlineStr">
        <is>
          <t>No</t>
        </is>
      </c>
      <c r="I1611" t="inlineStr">
        <is>
          <t>No</t>
        </is>
      </c>
      <c r="J1611" t="inlineStr">
        <is>
          <t>0</t>
        </is>
      </c>
      <c r="K1611" t="inlineStr">
        <is>
          <t>Adler, Selig, 1909-1984.</t>
        </is>
      </c>
      <c r="L1611" t="inlineStr">
        <is>
          <t>New York, Macmillan [1965]</t>
        </is>
      </c>
      <c r="M1611" t="inlineStr">
        <is>
          <t>1965</t>
        </is>
      </c>
      <c r="O1611" t="inlineStr">
        <is>
          <t>eng</t>
        </is>
      </c>
      <c r="P1611" t="inlineStr">
        <is>
          <t>nyu</t>
        </is>
      </c>
      <c r="Q1611" t="inlineStr">
        <is>
          <t>American diplomatic history series</t>
        </is>
      </c>
      <c r="R1611" t="inlineStr">
        <is>
          <t xml:space="preserve">E  </t>
        </is>
      </c>
      <c r="S1611" t="n">
        <v>2</v>
      </c>
      <c r="T1611" t="n">
        <v>2</v>
      </c>
      <c r="U1611" t="inlineStr">
        <is>
          <t>1993-09-07</t>
        </is>
      </c>
      <c r="V1611" t="inlineStr">
        <is>
          <t>1993-09-07</t>
        </is>
      </c>
      <c r="W1611" t="inlineStr">
        <is>
          <t>1992-08-21</t>
        </is>
      </c>
      <c r="X1611" t="inlineStr">
        <is>
          <t>1992-08-21</t>
        </is>
      </c>
      <c r="Y1611" t="n">
        <v>1191</v>
      </c>
      <c r="Z1611" t="n">
        <v>1052</v>
      </c>
      <c r="AA1611" t="n">
        <v>1155</v>
      </c>
      <c r="AB1611" t="n">
        <v>7</v>
      </c>
      <c r="AC1611" t="n">
        <v>7</v>
      </c>
      <c r="AD1611" t="n">
        <v>35</v>
      </c>
      <c r="AE1611" t="n">
        <v>42</v>
      </c>
      <c r="AF1611" t="n">
        <v>12</v>
      </c>
      <c r="AG1611" t="n">
        <v>18</v>
      </c>
      <c r="AH1611" t="n">
        <v>7</v>
      </c>
      <c r="AI1611" t="n">
        <v>7</v>
      </c>
      <c r="AJ1611" t="n">
        <v>18</v>
      </c>
      <c r="AK1611" t="n">
        <v>21</v>
      </c>
      <c r="AL1611" t="n">
        <v>6</v>
      </c>
      <c r="AM1611" t="n">
        <v>6</v>
      </c>
      <c r="AN1611" t="n">
        <v>0</v>
      </c>
      <c r="AO1611" t="n">
        <v>0</v>
      </c>
      <c r="AP1611" t="inlineStr">
        <is>
          <t>No</t>
        </is>
      </c>
      <c r="AQ1611" t="inlineStr">
        <is>
          <t>Yes</t>
        </is>
      </c>
      <c r="AR1611">
        <f>HYPERLINK("http://catalog.hathitrust.org/Record/000466835","HathiTrust Record")</f>
        <v/>
      </c>
      <c r="AS1611">
        <f>HYPERLINK("https://creighton-primo.hosted.exlibrisgroup.com/primo-explore/search?tab=default_tab&amp;search_scope=EVERYTHING&amp;vid=01CRU&amp;lang=en_US&amp;offset=0&amp;query=any,contains,991003595099702656","Catalog Record")</f>
        <v/>
      </c>
      <c r="AT1611">
        <f>HYPERLINK("http://www.worldcat.org/oclc/1175573","WorldCat Record")</f>
        <v/>
      </c>
      <c r="AU1611" t="inlineStr">
        <is>
          <t>428195170:eng</t>
        </is>
      </c>
      <c r="AV1611" t="inlineStr">
        <is>
          <t>1175573</t>
        </is>
      </c>
      <c r="AW1611" t="inlineStr">
        <is>
          <t>991003595099702656</t>
        </is>
      </c>
      <c r="AX1611" t="inlineStr">
        <is>
          <t>991003595099702656</t>
        </is>
      </c>
      <c r="AY1611" t="inlineStr">
        <is>
          <t>2271883930002656</t>
        </is>
      </c>
      <c r="AZ1611" t="inlineStr">
        <is>
          <t>BOOK</t>
        </is>
      </c>
      <c r="BC1611" t="inlineStr">
        <is>
          <t>32285001220556</t>
        </is>
      </c>
      <c r="BD1611" t="inlineStr">
        <is>
          <t>893342733</t>
        </is>
      </c>
    </row>
    <row r="1612">
      <c r="A1612" t="inlineStr">
        <is>
          <t>No</t>
        </is>
      </c>
      <c r="B1612" t="inlineStr">
        <is>
          <t>E744 .A29 1998</t>
        </is>
      </c>
      <c r="C1612" t="inlineStr">
        <is>
          <t>0                      E  0744000A  29          1998</t>
        </is>
      </c>
      <c r="D1612" t="inlineStr">
        <is>
          <t>The African American voice in U.S. foreign policy since World War II / edited with introductions by Michael L. Krenn.</t>
        </is>
      </c>
      <c r="F1612" t="inlineStr">
        <is>
          <t>No</t>
        </is>
      </c>
      <c r="G1612" t="inlineStr">
        <is>
          <t>1</t>
        </is>
      </c>
      <c r="H1612" t="inlineStr">
        <is>
          <t>No</t>
        </is>
      </c>
      <c r="I1612" t="inlineStr">
        <is>
          <t>No</t>
        </is>
      </c>
      <c r="J1612" t="inlineStr">
        <is>
          <t>0</t>
        </is>
      </c>
      <c r="L1612" t="inlineStr">
        <is>
          <t>New York : Garland Pub., 1998.</t>
        </is>
      </c>
      <c r="M1612" t="inlineStr">
        <is>
          <t>1998</t>
        </is>
      </c>
      <c r="O1612" t="inlineStr">
        <is>
          <t>eng</t>
        </is>
      </c>
      <c r="P1612" t="inlineStr">
        <is>
          <t>nyu</t>
        </is>
      </c>
      <c r="Q1612" t="inlineStr">
        <is>
          <t>Race and U.S. foreign policy from the colonial period to to the present ; 5</t>
        </is>
      </c>
      <c r="R1612" t="inlineStr">
        <is>
          <t xml:space="preserve">E  </t>
        </is>
      </c>
      <c r="S1612" t="n">
        <v>1</v>
      </c>
      <c r="T1612" t="n">
        <v>1</v>
      </c>
      <c r="U1612" t="inlineStr">
        <is>
          <t>2000-03-13</t>
        </is>
      </c>
      <c r="V1612" t="inlineStr">
        <is>
          <t>2000-03-13</t>
        </is>
      </c>
      <c r="W1612" t="inlineStr">
        <is>
          <t>1999-04-08</t>
        </is>
      </c>
      <c r="X1612" t="inlineStr">
        <is>
          <t>1999-04-08</t>
        </is>
      </c>
      <c r="Y1612" t="n">
        <v>216</v>
      </c>
      <c r="Z1612" t="n">
        <v>189</v>
      </c>
      <c r="AA1612" t="n">
        <v>222</v>
      </c>
      <c r="AB1612" t="n">
        <v>2</v>
      </c>
      <c r="AC1612" t="n">
        <v>3</v>
      </c>
      <c r="AD1612" t="n">
        <v>15</v>
      </c>
      <c r="AE1612" t="n">
        <v>17</v>
      </c>
      <c r="AF1612" t="n">
        <v>3</v>
      </c>
      <c r="AG1612" t="n">
        <v>3</v>
      </c>
      <c r="AH1612" t="n">
        <v>4</v>
      </c>
      <c r="AI1612" t="n">
        <v>5</v>
      </c>
      <c r="AJ1612" t="n">
        <v>11</v>
      </c>
      <c r="AK1612" t="n">
        <v>11</v>
      </c>
      <c r="AL1612" t="n">
        <v>1</v>
      </c>
      <c r="AM1612" t="n">
        <v>2</v>
      </c>
      <c r="AN1612" t="n">
        <v>1</v>
      </c>
      <c r="AO1612" t="n">
        <v>1</v>
      </c>
      <c r="AP1612" t="inlineStr">
        <is>
          <t>No</t>
        </is>
      </c>
      <c r="AQ1612" t="inlineStr">
        <is>
          <t>No</t>
        </is>
      </c>
      <c r="AS1612">
        <f>HYPERLINK("https://creighton-primo.hosted.exlibrisgroup.com/primo-explore/search?tab=default_tab&amp;search_scope=EVERYTHING&amp;vid=01CRU&amp;lang=en_US&amp;offset=0&amp;query=any,contains,991005428489702656","Catalog Record")</f>
        <v/>
      </c>
      <c r="AT1612">
        <f>HYPERLINK("http://www.worldcat.org/oclc/39195415","WorldCat Record")</f>
        <v/>
      </c>
      <c r="AU1612" t="inlineStr">
        <is>
          <t>9598934877:eng</t>
        </is>
      </c>
      <c r="AV1612" t="inlineStr">
        <is>
          <t>39195415</t>
        </is>
      </c>
      <c r="AW1612" t="inlineStr">
        <is>
          <t>991005428489702656</t>
        </is>
      </c>
      <c r="AX1612" t="inlineStr">
        <is>
          <t>991005428489702656</t>
        </is>
      </c>
      <c r="AY1612" t="inlineStr">
        <is>
          <t>2267336060002656</t>
        </is>
      </c>
      <c r="AZ1612" t="inlineStr">
        <is>
          <t>BOOK</t>
        </is>
      </c>
      <c r="BB1612" t="inlineStr">
        <is>
          <t>9780815329596</t>
        </is>
      </c>
      <c r="BC1612" t="inlineStr">
        <is>
          <t>32285003550216</t>
        </is>
      </c>
      <c r="BD1612" t="inlineStr">
        <is>
          <t>893508251</t>
        </is>
      </c>
    </row>
    <row r="1613">
      <c r="A1613" t="inlineStr">
        <is>
          <t>No</t>
        </is>
      </c>
      <c r="B1613" t="inlineStr">
        <is>
          <t>E744 .A477 1985</t>
        </is>
      </c>
      <c r="C1613" t="inlineStr">
        <is>
          <t>0                      E  0744000A  477         1985</t>
        </is>
      </c>
      <c r="D1613" t="inlineStr">
        <is>
          <t>Rise to globalism : American foreign policy since 1938 / Stephen E. Ambrose.</t>
        </is>
      </c>
      <c r="F1613" t="inlineStr">
        <is>
          <t>No</t>
        </is>
      </c>
      <c r="G1613" t="inlineStr">
        <is>
          <t>1</t>
        </is>
      </c>
      <c r="H1613" t="inlineStr">
        <is>
          <t>No</t>
        </is>
      </c>
      <c r="I1613" t="inlineStr">
        <is>
          <t>Yes</t>
        </is>
      </c>
      <c r="J1613" t="inlineStr">
        <is>
          <t>0</t>
        </is>
      </c>
      <c r="K1613" t="inlineStr">
        <is>
          <t>Ambrose, Stephen E.</t>
        </is>
      </c>
      <c r="L1613" t="inlineStr">
        <is>
          <t>New York : Penguin Books, 1985.</t>
        </is>
      </c>
      <c r="M1613" t="inlineStr">
        <is>
          <t>1985</t>
        </is>
      </c>
      <c r="N1613" t="inlineStr">
        <is>
          <t>4th rev. ed.</t>
        </is>
      </c>
      <c r="O1613" t="inlineStr">
        <is>
          <t>eng</t>
        </is>
      </c>
      <c r="P1613" t="inlineStr">
        <is>
          <t>nyu</t>
        </is>
      </c>
      <c r="R1613" t="inlineStr">
        <is>
          <t xml:space="preserve">E  </t>
        </is>
      </c>
      <c r="S1613" t="n">
        <v>2</v>
      </c>
      <c r="T1613" t="n">
        <v>2</v>
      </c>
      <c r="U1613" t="inlineStr">
        <is>
          <t>1994-11-18</t>
        </is>
      </c>
      <c r="V1613" t="inlineStr">
        <is>
          <t>1994-11-18</t>
        </is>
      </c>
      <c r="W1613" t="inlineStr">
        <is>
          <t>1991-05-28</t>
        </is>
      </c>
      <c r="X1613" t="inlineStr">
        <is>
          <t>1991-05-28</t>
        </is>
      </c>
      <c r="Y1613" t="n">
        <v>353</v>
      </c>
      <c r="Z1613" t="n">
        <v>279</v>
      </c>
      <c r="AA1613" t="n">
        <v>1607</v>
      </c>
      <c r="AB1613" t="n">
        <v>2</v>
      </c>
      <c r="AC1613" t="n">
        <v>10</v>
      </c>
      <c r="AD1613" t="n">
        <v>5</v>
      </c>
      <c r="AE1613" t="n">
        <v>47</v>
      </c>
      <c r="AF1613" t="n">
        <v>0</v>
      </c>
      <c r="AG1613" t="n">
        <v>22</v>
      </c>
      <c r="AH1613" t="n">
        <v>2</v>
      </c>
      <c r="AI1613" t="n">
        <v>9</v>
      </c>
      <c r="AJ1613" t="n">
        <v>3</v>
      </c>
      <c r="AK1613" t="n">
        <v>20</v>
      </c>
      <c r="AL1613" t="n">
        <v>1</v>
      </c>
      <c r="AM1613" t="n">
        <v>7</v>
      </c>
      <c r="AN1613" t="n">
        <v>0</v>
      </c>
      <c r="AO1613" t="n">
        <v>0</v>
      </c>
      <c r="AP1613" t="inlineStr">
        <is>
          <t>No</t>
        </is>
      </c>
      <c r="AQ1613" t="inlineStr">
        <is>
          <t>No</t>
        </is>
      </c>
      <c r="AS1613">
        <f>HYPERLINK("https://creighton-primo.hosted.exlibrisgroup.com/primo-explore/search?tab=default_tab&amp;search_scope=EVERYTHING&amp;vid=01CRU&amp;lang=en_US&amp;offset=0&amp;query=any,contains,991000558249702656","Catalog Record")</f>
        <v/>
      </c>
      <c r="AT1613">
        <f>HYPERLINK("http://www.worldcat.org/oclc/11573668","WorldCat Record")</f>
        <v/>
      </c>
      <c r="AU1613" t="inlineStr">
        <is>
          <t>16492245:eng</t>
        </is>
      </c>
      <c r="AV1613" t="inlineStr">
        <is>
          <t>11573668</t>
        </is>
      </c>
      <c r="AW1613" t="inlineStr">
        <is>
          <t>991000558249702656</t>
        </is>
      </c>
      <c r="AX1613" t="inlineStr">
        <is>
          <t>991000558249702656</t>
        </is>
      </c>
      <c r="AY1613" t="inlineStr">
        <is>
          <t>2265558710002656</t>
        </is>
      </c>
      <c r="AZ1613" t="inlineStr">
        <is>
          <t>BOOK</t>
        </is>
      </c>
      <c r="BB1613" t="inlineStr">
        <is>
          <t>9780140226225</t>
        </is>
      </c>
      <c r="BC1613" t="inlineStr">
        <is>
          <t>32285000612415</t>
        </is>
      </c>
      <c r="BD1613" t="inlineStr">
        <is>
          <t>893784336</t>
        </is>
      </c>
    </row>
    <row r="1614">
      <c r="A1614" t="inlineStr">
        <is>
          <t>No</t>
        </is>
      </c>
      <c r="B1614" t="inlineStr">
        <is>
          <t>E744 .B32 1973</t>
        </is>
      </c>
      <c r="C1614" t="inlineStr">
        <is>
          <t>0                      E  0744000B  32          1973</t>
        </is>
      </c>
      <c r="D1614" t="inlineStr">
        <is>
          <t>Roots of war [by] Richard J. Barnet.</t>
        </is>
      </c>
      <c r="F1614" t="inlineStr">
        <is>
          <t>No</t>
        </is>
      </c>
      <c r="G1614" t="inlineStr">
        <is>
          <t>1</t>
        </is>
      </c>
      <c r="H1614" t="inlineStr">
        <is>
          <t>No</t>
        </is>
      </c>
      <c r="I1614" t="inlineStr">
        <is>
          <t>No</t>
        </is>
      </c>
      <c r="J1614" t="inlineStr">
        <is>
          <t>0</t>
        </is>
      </c>
      <c r="K1614" t="inlineStr">
        <is>
          <t>Barnet, Richard J.</t>
        </is>
      </c>
      <c r="L1614" t="inlineStr">
        <is>
          <t>Baltimore, Penguin Books [1973, c1972]</t>
        </is>
      </c>
      <c r="M1614" t="inlineStr">
        <is>
          <t>1973</t>
        </is>
      </c>
      <c r="O1614" t="inlineStr">
        <is>
          <t>eng</t>
        </is>
      </c>
      <c r="P1614" t="inlineStr">
        <is>
          <t xml:space="preserve">xx </t>
        </is>
      </c>
      <c r="Q1614" t="inlineStr">
        <is>
          <t>A Pelican book</t>
        </is>
      </c>
      <c r="R1614" t="inlineStr">
        <is>
          <t xml:space="preserve">E  </t>
        </is>
      </c>
      <c r="S1614" t="n">
        <v>1</v>
      </c>
      <c r="T1614" t="n">
        <v>1</v>
      </c>
      <c r="U1614" t="inlineStr">
        <is>
          <t>2002-11-15</t>
        </is>
      </c>
      <c r="V1614" t="inlineStr">
        <is>
          <t>2002-11-15</t>
        </is>
      </c>
      <c r="W1614" t="inlineStr">
        <is>
          <t>1997-04-23</t>
        </is>
      </c>
      <c r="X1614" t="inlineStr">
        <is>
          <t>1997-04-23</t>
        </is>
      </c>
      <c r="Y1614" t="n">
        <v>455</v>
      </c>
      <c r="Z1614" t="n">
        <v>415</v>
      </c>
      <c r="AA1614" t="n">
        <v>1280</v>
      </c>
      <c r="AB1614" t="n">
        <v>5</v>
      </c>
      <c r="AC1614" t="n">
        <v>11</v>
      </c>
      <c r="AD1614" t="n">
        <v>24</v>
      </c>
      <c r="AE1614" t="n">
        <v>48</v>
      </c>
      <c r="AF1614" t="n">
        <v>7</v>
      </c>
      <c r="AG1614" t="n">
        <v>19</v>
      </c>
      <c r="AH1614" t="n">
        <v>7</v>
      </c>
      <c r="AI1614" t="n">
        <v>9</v>
      </c>
      <c r="AJ1614" t="n">
        <v>12</v>
      </c>
      <c r="AK1614" t="n">
        <v>23</v>
      </c>
      <c r="AL1614" t="n">
        <v>3</v>
      </c>
      <c r="AM1614" t="n">
        <v>9</v>
      </c>
      <c r="AN1614" t="n">
        <v>2</v>
      </c>
      <c r="AO1614" t="n">
        <v>2</v>
      </c>
      <c r="AP1614" t="inlineStr">
        <is>
          <t>No</t>
        </is>
      </c>
      <c r="AQ1614" t="inlineStr">
        <is>
          <t>Yes</t>
        </is>
      </c>
      <c r="AR1614">
        <f>HYPERLINK("http://catalog.hathitrust.org/Record/000467693","HathiTrust Record")</f>
        <v/>
      </c>
      <c r="AS1614">
        <f>HYPERLINK("https://creighton-primo.hosted.exlibrisgroup.com/primo-explore/search?tab=default_tab&amp;search_scope=EVERYTHING&amp;vid=01CRU&amp;lang=en_US&amp;offset=0&amp;query=any,contains,991003332209702656","Catalog Record")</f>
        <v/>
      </c>
      <c r="AT1614">
        <f>HYPERLINK("http://www.worldcat.org/oclc/863701","WorldCat Record")</f>
        <v/>
      </c>
      <c r="AU1614" t="inlineStr">
        <is>
          <t>570744:eng</t>
        </is>
      </c>
      <c r="AV1614" t="inlineStr">
        <is>
          <t>863701</t>
        </is>
      </c>
      <c r="AW1614" t="inlineStr">
        <is>
          <t>991003332209702656</t>
        </is>
      </c>
      <c r="AX1614" t="inlineStr">
        <is>
          <t>991003332209702656</t>
        </is>
      </c>
      <c r="AY1614" t="inlineStr">
        <is>
          <t>2264420460002656</t>
        </is>
      </c>
      <c r="AZ1614" t="inlineStr">
        <is>
          <t>BOOK</t>
        </is>
      </c>
      <c r="BC1614" t="inlineStr">
        <is>
          <t>32285002561941</t>
        </is>
      </c>
      <c r="BD1614" t="inlineStr">
        <is>
          <t>893441182</t>
        </is>
      </c>
    </row>
    <row r="1615">
      <c r="A1615" t="inlineStr">
        <is>
          <t>No</t>
        </is>
      </c>
      <c r="B1615" t="inlineStr">
        <is>
          <t>E744 .B585</t>
        </is>
      </c>
      <c r="C1615" t="inlineStr">
        <is>
          <t>0                      E  0744000B  585</t>
        </is>
      </c>
      <c r="D1615" t="inlineStr">
        <is>
          <t>Force without war : U.S. arms forces as a political instrument / Barry M. Blechman and Stephen S. Kaplan. --</t>
        </is>
      </c>
      <c r="F1615" t="inlineStr">
        <is>
          <t>No</t>
        </is>
      </c>
      <c r="G1615" t="inlineStr">
        <is>
          <t>1</t>
        </is>
      </c>
      <c r="H1615" t="inlineStr">
        <is>
          <t>No</t>
        </is>
      </c>
      <c r="I1615" t="inlineStr">
        <is>
          <t>No</t>
        </is>
      </c>
      <c r="J1615" t="inlineStr">
        <is>
          <t>0</t>
        </is>
      </c>
      <c r="K1615" t="inlineStr">
        <is>
          <t>Blechman, Barry M.</t>
        </is>
      </c>
      <c r="L1615" t="inlineStr">
        <is>
          <t>Washington : Brookings Institution, c1978.</t>
        </is>
      </c>
      <c r="M1615" t="inlineStr">
        <is>
          <t>1978</t>
        </is>
      </c>
      <c r="O1615" t="inlineStr">
        <is>
          <t>eng</t>
        </is>
      </c>
      <c r="P1615" t="inlineStr">
        <is>
          <t>dcu</t>
        </is>
      </c>
      <c r="R1615" t="inlineStr">
        <is>
          <t xml:space="preserve">E  </t>
        </is>
      </c>
      <c r="S1615" t="n">
        <v>3</v>
      </c>
      <c r="T1615" t="n">
        <v>3</v>
      </c>
      <c r="U1615" t="inlineStr">
        <is>
          <t>1997-11-10</t>
        </is>
      </c>
      <c r="V1615" t="inlineStr">
        <is>
          <t>1997-11-10</t>
        </is>
      </c>
      <c r="W1615" t="inlineStr">
        <is>
          <t>1991-05-28</t>
        </is>
      </c>
      <c r="X1615" t="inlineStr">
        <is>
          <t>1991-05-28</t>
        </is>
      </c>
      <c r="Y1615" t="n">
        <v>956</v>
      </c>
      <c r="Z1615" t="n">
        <v>829</v>
      </c>
      <c r="AA1615" t="n">
        <v>837</v>
      </c>
      <c r="AB1615" t="n">
        <v>5</v>
      </c>
      <c r="AC1615" t="n">
        <v>5</v>
      </c>
      <c r="AD1615" t="n">
        <v>37</v>
      </c>
      <c r="AE1615" t="n">
        <v>37</v>
      </c>
      <c r="AF1615" t="n">
        <v>12</v>
      </c>
      <c r="AG1615" t="n">
        <v>12</v>
      </c>
      <c r="AH1615" t="n">
        <v>11</v>
      </c>
      <c r="AI1615" t="n">
        <v>11</v>
      </c>
      <c r="AJ1615" t="n">
        <v>17</v>
      </c>
      <c r="AK1615" t="n">
        <v>17</v>
      </c>
      <c r="AL1615" t="n">
        <v>4</v>
      </c>
      <c r="AM1615" t="n">
        <v>4</v>
      </c>
      <c r="AN1615" t="n">
        <v>3</v>
      </c>
      <c r="AO1615" t="n">
        <v>3</v>
      </c>
      <c r="AP1615" t="inlineStr">
        <is>
          <t>No</t>
        </is>
      </c>
      <c r="AQ1615" t="inlineStr">
        <is>
          <t>No</t>
        </is>
      </c>
      <c r="AS1615">
        <f>HYPERLINK("https://creighton-primo.hosted.exlibrisgroup.com/primo-explore/search?tab=default_tab&amp;search_scope=EVERYTHING&amp;vid=01CRU&amp;lang=en_US&amp;offset=0&amp;query=any,contains,991004606959702656","Catalog Record")</f>
        <v/>
      </c>
      <c r="AT1615">
        <f>HYPERLINK("http://www.worldcat.org/oclc/4195079","WorldCat Record")</f>
        <v/>
      </c>
      <c r="AU1615" t="inlineStr">
        <is>
          <t>890181820:eng</t>
        </is>
      </c>
      <c r="AV1615" t="inlineStr">
        <is>
          <t>4195079</t>
        </is>
      </c>
      <c r="AW1615" t="inlineStr">
        <is>
          <t>991004606959702656</t>
        </is>
      </c>
      <c r="AX1615" t="inlineStr">
        <is>
          <t>991004606959702656</t>
        </is>
      </c>
      <c r="AY1615" t="inlineStr">
        <is>
          <t>2261116590002656</t>
        </is>
      </c>
      <c r="AZ1615" t="inlineStr">
        <is>
          <t>BOOK</t>
        </is>
      </c>
      <c r="BB1615" t="inlineStr">
        <is>
          <t>9780815709862</t>
        </is>
      </c>
      <c r="BC1615" t="inlineStr">
        <is>
          <t>32285000612423</t>
        </is>
      </c>
      <c r="BD1615" t="inlineStr">
        <is>
          <t>893430266</t>
        </is>
      </c>
    </row>
    <row r="1616">
      <c r="A1616" t="inlineStr">
        <is>
          <t>No</t>
        </is>
      </c>
      <c r="B1616" t="inlineStr">
        <is>
          <t>E744 .B68</t>
        </is>
      </c>
      <c r="C1616" t="inlineStr">
        <is>
          <t>0                      E  0744000B  68</t>
        </is>
      </c>
      <c r="D1616" t="inlineStr">
        <is>
          <t>The conscience of a liberal.</t>
        </is>
      </c>
      <c r="F1616" t="inlineStr">
        <is>
          <t>No</t>
        </is>
      </c>
      <c r="G1616" t="inlineStr">
        <is>
          <t>1</t>
        </is>
      </c>
      <c r="H1616" t="inlineStr">
        <is>
          <t>No</t>
        </is>
      </c>
      <c r="I1616" t="inlineStr">
        <is>
          <t>No</t>
        </is>
      </c>
      <c r="J1616" t="inlineStr">
        <is>
          <t>0</t>
        </is>
      </c>
      <c r="K1616" t="inlineStr">
        <is>
          <t>Bowles, Chester, 1901-1986.</t>
        </is>
      </c>
      <c r="L1616" t="inlineStr">
        <is>
          <t>New York, Harper &amp; Row [1962]</t>
        </is>
      </c>
      <c r="M1616" t="inlineStr">
        <is>
          <t>1962</t>
        </is>
      </c>
      <c r="N1616" t="inlineStr">
        <is>
          <t>[1st ed.]</t>
        </is>
      </c>
      <c r="O1616" t="inlineStr">
        <is>
          <t>eng</t>
        </is>
      </c>
      <c r="P1616" t="inlineStr">
        <is>
          <t>nyu</t>
        </is>
      </c>
      <c r="R1616" t="inlineStr">
        <is>
          <t xml:space="preserve">E  </t>
        </is>
      </c>
      <c r="S1616" t="n">
        <v>1</v>
      </c>
      <c r="T1616" t="n">
        <v>1</v>
      </c>
      <c r="U1616" t="inlineStr">
        <is>
          <t>2002-08-20</t>
        </is>
      </c>
      <c r="V1616" t="inlineStr">
        <is>
          <t>2002-08-20</t>
        </is>
      </c>
      <c r="W1616" t="inlineStr">
        <is>
          <t>1997-04-23</t>
        </is>
      </c>
      <c r="X1616" t="inlineStr">
        <is>
          <t>1997-04-23</t>
        </is>
      </c>
      <c r="Y1616" t="n">
        <v>613</v>
      </c>
      <c r="Z1616" t="n">
        <v>587</v>
      </c>
      <c r="AA1616" t="n">
        <v>691</v>
      </c>
      <c r="AB1616" t="n">
        <v>5</v>
      </c>
      <c r="AC1616" t="n">
        <v>5</v>
      </c>
      <c r="AD1616" t="n">
        <v>14</v>
      </c>
      <c r="AE1616" t="n">
        <v>19</v>
      </c>
      <c r="AF1616" t="n">
        <v>5</v>
      </c>
      <c r="AG1616" t="n">
        <v>5</v>
      </c>
      <c r="AH1616" t="n">
        <v>1</v>
      </c>
      <c r="AI1616" t="n">
        <v>4</v>
      </c>
      <c r="AJ1616" t="n">
        <v>4</v>
      </c>
      <c r="AK1616" t="n">
        <v>6</v>
      </c>
      <c r="AL1616" t="n">
        <v>4</v>
      </c>
      <c r="AM1616" t="n">
        <v>4</v>
      </c>
      <c r="AN1616" t="n">
        <v>1</v>
      </c>
      <c r="AO1616" t="n">
        <v>2</v>
      </c>
      <c r="AP1616" t="inlineStr">
        <is>
          <t>No</t>
        </is>
      </c>
      <c r="AQ1616" t="inlineStr">
        <is>
          <t>No</t>
        </is>
      </c>
      <c r="AR1616">
        <f>HYPERLINK("http://catalog.hathitrust.org/Record/000466274","HathiTrust Record")</f>
        <v/>
      </c>
      <c r="AS1616">
        <f>HYPERLINK("https://creighton-primo.hosted.exlibrisgroup.com/primo-explore/search?tab=default_tab&amp;search_scope=EVERYTHING&amp;vid=01CRU&amp;lang=en_US&amp;offset=0&amp;query=any,contains,991002813939702656","Catalog Record")</f>
        <v/>
      </c>
      <c r="AT1616">
        <f>HYPERLINK("http://www.worldcat.org/oclc/457070","WorldCat Record")</f>
        <v/>
      </c>
      <c r="AU1616" t="inlineStr">
        <is>
          <t>63138645:eng</t>
        </is>
      </c>
      <c r="AV1616" t="inlineStr">
        <is>
          <t>457070</t>
        </is>
      </c>
      <c r="AW1616" t="inlineStr">
        <is>
          <t>991002813939702656</t>
        </is>
      </c>
      <c r="AX1616" t="inlineStr">
        <is>
          <t>991002813939702656</t>
        </is>
      </c>
      <c r="AY1616" t="inlineStr">
        <is>
          <t>2262793750002656</t>
        </is>
      </c>
      <c r="AZ1616" t="inlineStr">
        <is>
          <t>BOOK</t>
        </is>
      </c>
      <c r="BC1616" t="inlineStr">
        <is>
          <t>32285002562048</t>
        </is>
      </c>
      <c r="BD1616" t="inlineStr">
        <is>
          <t>893780250</t>
        </is>
      </c>
    </row>
    <row r="1617">
      <c r="A1617" t="inlineStr">
        <is>
          <t>No</t>
        </is>
      </c>
      <c r="B1617" t="inlineStr">
        <is>
          <t>E744 .B6974 1993</t>
        </is>
      </c>
      <c r="C1617" t="inlineStr">
        <is>
          <t>0                      E  0744000B  6974        1993</t>
        </is>
      </c>
      <c r="D1617" t="inlineStr">
        <is>
          <t>The devil we knew : Americans and the Cold War / H.W. Brands.</t>
        </is>
      </c>
      <c r="F1617" t="inlineStr">
        <is>
          <t>No</t>
        </is>
      </c>
      <c r="G1617" t="inlineStr">
        <is>
          <t>1</t>
        </is>
      </c>
      <c r="H1617" t="inlineStr">
        <is>
          <t>No</t>
        </is>
      </c>
      <c r="I1617" t="inlineStr">
        <is>
          <t>No</t>
        </is>
      </c>
      <c r="J1617" t="inlineStr">
        <is>
          <t>0</t>
        </is>
      </c>
      <c r="K1617" t="inlineStr">
        <is>
          <t>Brands, H. W.</t>
        </is>
      </c>
      <c r="L1617" t="inlineStr">
        <is>
          <t>New York : Oxford University Press, 1993.</t>
        </is>
      </c>
      <c r="M1617" t="inlineStr">
        <is>
          <t>1993</t>
        </is>
      </c>
      <c r="O1617" t="inlineStr">
        <is>
          <t>eng</t>
        </is>
      </c>
      <c r="P1617" t="inlineStr">
        <is>
          <t>nyu</t>
        </is>
      </c>
      <c r="R1617" t="inlineStr">
        <is>
          <t xml:space="preserve">E  </t>
        </is>
      </c>
      <c r="S1617" t="n">
        <v>5</v>
      </c>
      <c r="T1617" t="n">
        <v>5</v>
      </c>
      <c r="U1617" t="inlineStr">
        <is>
          <t>2003-03-24</t>
        </is>
      </c>
      <c r="V1617" t="inlineStr">
        <is>
          <t>2003-03-24</t>
        </is>
      </c>
      <c r="W1617" t="inlineStr">
        <is>
          <t>1995-06-01</t>
        </is>
      </c>
      <c r="X1617" t="inlineStr">
        <is>
          <t>1995-06-01</t>
        </is>
      </c>
      <c r="Y1617" t="n">
        <v>891</v>
      </c>
      <c r="Z1617" t="n">
        <v>733</v>
      </c>
      <c r="AA1617" t="n">
        <v>840</v>
      </c>
      <c r="AB1617" t="n">
        <v>3</v>
      </c>
      <c r="AC1617" t="n">
        <v>4</v>
      </c>
      <c r="AD1617" t="n">
        <v>27</v>
      </c>
      <c r="AE1617" t="n">
        <v>31</v>
      </c>
      <c r="AF1617" t="n">
        <v>11</v>
      </c>
      <c r="AG1617" t="n">
        <v>13</v>
      </c>
      <c r="AH1617" t="n">
        <v>6</v>
      </c>
      <c r="AI1617" t="n">
        <v>7</v>
      </c>
      <c r="AJ1617" t="n">
        <v>18</v>
      </c>
      <c r="AK1617" t="n">
        <v>19</v>
      </c>
      <c r="AL1617" t="n">
        <v>2</v>
      </c>
      <c r="AM1617" t="n">
        <v>3</v>
      </c>
      <c r="AN1617" t="n">
        <v>0</v>
      </c>
      <c r="AO1617" t="n">
        <v>0</v>
      </c>
      <c r="AP1617" t="inlineStr">
        <is>
          <t>No</t>
        </is>
      </c>
      <c r="AQ1617" t="inlineStr">
        <is>
          <t>Yes</t>
        </is>
      </c>
      <c r="AR1617">
        <f>HYPERLINK("http://catalog.hathitrust.org/Record/004530118","HathiTrust Record")</f>
        <v/>
      </c>
      <c r="AS1617">
        <f>HYPERLINK("https://creighton-primo.hosted.exlibrisgroup.com/primo-explore/search?tab=default_tab&amp;search_scope=EVERYTHING&amp;vid=01CRU&amp;lang=en_US&amp;offset=0&amp;query=any,contains,991002069499702656","Catalog Record")</f>
        <v/>
      </c>
      <c r="AT1617">
        <f>HYPERLINK("http://www.worldcat.org/oclc/26504293","WorldCat Record")</f>
        <v/>
      </c>
      <c r="AU1617" t="inlineStr">
        <is>
          <t>820129497:eng</t>
        </is>
      </c>
      <c r="AV1617" t="inlineStr">
        <is>
          <t>26504293</t>
        </is>
      </c>
      <c r="AW1617" t="inlineStr">
        <is>
          <t>991002069499702656</t>
        </is>
      </c>
      <c r="AX1617" t="inlineStr">
        <is>
          <t>991002069499702656</t>
        </is>
      </c>
      <c r="AY1617" t="inlineStr">
        <is>
          <t>2254970030002656</t>
        </is>
      </c>
      <c r="AZ1617" t="inlineStr">
        <is>
          <t>BOOK</t>
        </is>
      </c>
      <c r="BB1617" t="inlineStr">
        <is>
          <t>9780195074994</t>
        </is>
      </c>
      <c r="BC1617" t="inlineStr">
        <is>
          <t>32285002049731</t>
        </is>
      </c>
      <c r="BD1617" t="inlineStr">
        <is>
          <t>893903683</t>
        </is>
      </c>
    </row>
    <row r="1618">
      <c r="A1618" t="inlineStr">
        <is>
          <t>No</t>
        </is>
      </c>
      <c r="B1618" t="inlineStr">
        <is>
          <t>E744 .B776 2003</t>
        </is>
      </c>
      <c r="C1618" t="inlineStr">
        <is>
          <t>0                      E  0744000B  776         2003</t>
        </is>
      </c>
      <c r="D1618" t="inlineStr">
        <is>
          <t>Globalization and America since 1945 / D. Clayton Brown.</t>
        </is>
      </c>
      <c r="F1618" t="inlineStr">
        <is>
          <t>No</t>
        </is>
      </c>
      <c r="G1618" t="inlineStr">
        <is>
          <t>1</t>
        </is>
      </c>
      <c r="H1618" t="inlineStr">
        <is>
          <t>No</t>
        </is>
      </c>
      <c r="I1618" t="inlineStr">
        <is>
          <t>No</t>
        </is>
      </c>
      <c r="J1618" t="inlineStr">
        <is>
          <t>0</t>
        </is>
      </c>
      <c r="K1618" t="inlineStr">
        <is>
          <t>Brown, D. Clayton (Deward Clayton), 1941-</t>
        </is>
      </c>
      <c r="L1618" t="inlineStr">
        <is>
          <t>Wilmington, Del. : Scholarly Resources, c2003.</t>
        </is>
      </c>
      <c r="M1618" t="inlineStr">
        <is>
          <t>2003</t>
        </is>
      </c>
      <c r="O1618" t="inlineStr">
        <is>
          <t>eng</t>
        </is>
      </c>
      <c r="P1618" t="inlineStr">
        <is>
          <t>deu</t>
        </is>
      </c>
      <c r="R1618" t="inlineStr">
        <is>
          <t xml:space="preserve">E  </t>
        </is>
      </c>
      <c r="S1618" t="n">
        <v>1</v>
      </c>
      <c r="T1618" t="n">
        <v>1</v>
      </c>
      <c r="U1618" t="inlineStr">
        <is>
          <t>2004-08-09</t>
        </is>
      </c>
      <c r="V1618" t="inlineStr">
        <is>
          <t>2004-08-09</t>
        </is>
      </c>
      <c r="W1618" t="inlineStr">
        <is>
          <t>2004-08-09</t>
        </is>
      </c>
      <c r="X1618" t="inlineStr">
        <is>
          <t>2004-08-09</t>
        </is>
      </c>
      <c r="Y1618" t="n">
        <v>709</v>
      </c>
      <c r="Z1618" t="n">
        <v>640</v>
      </c>
      <c r="AA1618" t="n">
        <v>641</v>
      </c>
      <c r="AB1618" t="n">
        <v>5</v>
      </c>
      <c r="AC1618" t="n">
        <v>5</v>
      </c>
      <c r="AD1618" t="n">
        <v>34</v>
      </c>
      <c r="AE1618" t="n">
        <v>34</v>
      </c>
      <c r="AF1618" t="n">
        <v>14</v>
      </c>
      <c r="AG1618" t="n">
        <v>14</v>
      </c>
      <c r="AH1618" t="n">
        <v>6</v>
      </c>
      <c r="AI1618" t="n">
        <v>6</v>
      </c>
      <c r="AJ1618" t="n">
        <v>18</v>
      </c>
      <c r="AK1618" t="n">
        <v>18</v>
      </c>
      <c r="AL1618" t="n">
        <v>4</v>
      </c>
      <c r="AM1618" t="n">
        <v>4</v>
      </c>
      <c r="AN1618" t="n">
        <v>0</v>
      </c>
      <c r="AO1618" t="n">
        <v>0</v>
      </c>
      <c r="AP1618" t="inlineStr">
        <is>
          <t>No</t>
        </is>
      </c>
      <c r="AQ1618" t="inlineStr">
        <is>
          <t>No</t>
        </is>
      </c>
      <c r="AS1618">
        <f>HYPERLINK("https://creighton-primo.hosted.exlibrisgroup.com/primo-explore/search?tab=default_tab&amp;search_scope=EVERYTHING&amp;vid=01CRU&amp;lang=en_US&amp;offset=0&amp;query=any,contains,991004320609702656","Catalog Record")</f>
        <v/>
      </c>
      <c r="AT1618">
        <f>HYPERLINK("http://www.worldcat.org/oclc/51637582","WorldCat Record")</f>
        <v/>
      </c>
      <c r="AU1618" t="inlineStr">
        <is>
          <t>724089:eng</t>
        </is>
      </c>
      <c r="AV1618" t="inlineStr">
        <is>
          <t>51637582</t>
        </is>
      </c>
      <c r="AW1618" t="inlineStr">
        <is>
          <t>991004320609702656</t>
        </is>
      </c>
      <c r="AX1618" t="inlineStr">
        <is>
          <t>991004320609702656</t>
        </is>
      </c>
      <c r="AY1618" t="inlineStr">
        <is>
          <t>2272791980002656</t>
        </is>
      </c>
      <c r="AZ1618" t="inlineStr">
        <is>
          <t>BOOK</t>
        </is>
      </c>
      <c r="BB1618" t="inlineStr">
        <is>
          <t>9780842050142</t>
        </is>
      </c>
      <c r="BC1618" t="inlineStr">
        <is>
          <t>32285004980610</t>
        </is>
      </c>
      <c r="BD1618" t="inlineStr">
        <is>
          <t>893253544</t>
        </is>
      </c>
    </row>
    <row r="1619">
      <c r="A1619" t="inlineStr">
        <is>
          <t>No</t>
        </is>
      </c>
      <c r="B1619" t="inlineStr">
        <is>
          <t>E744 .C43</t>
        </is>
      </c>
      <c r="C1619" t="inlineStr">
        <is>
          <t>0                      E  0744000C  43</t>
        </is>
      </c>
      <c r="D1619" t="inlineStr">
        <is>
          <t>From isolation to containment, 1921-1952; three decades of American foreign policy, from Harding to Truman. Edited by Richard D. Challener.</t>
        </is>
      </c>
      <c r="F1619" t="inlineStr">
        <is>
          <t>No</t>
        </is>
      </c>
      <c r="G1619" t="inlineStr">
        <is>
          <t>1</t>
        </is>
      </c>
      <c r="H1619" t="inlineStr">
        <is>
          <t>No</t>
        </is>
      </c>
      <c r="I1619" t="inlineStr">
        <is>
          <t>No</t>
        </is>
      </c>
      <c r="J1619" t="inlineStr">
        <is>
          <t>0</t>
        </is>
      </c>
      <c r="K1619" t="inlineStr">
        <is>
          <t>Challener, Richard D., compiler.</t>
        </is>
      </c>
      <c r="L1619" t="inlineStr">
        <is>
          <t>New York, St. Martin's Press [1970]</t>
        </is>
      </c>
      <c r="M1619" t="inlineStr">
        <is>
          <t>1970</t>
        </is>
      </c>
      <c r="O1619" t="inlineStr">
        <is>
          <t>eng</t>
        </is>
      </c>
      <c r="P1619" t="inlineStr">
        <is>
          <t>nyu</t>
        </is>
      </c>
      <c r="Q1619" t="inlineStr">
        <is>
          <t>Documents of modern history</t>
        </is>
      </c>
      <c r="R1619" t="inlineStr">
        <is>
          <t xml:space="preserve">E  </t>
        </is>
      </c>
      <c r="S1619" t="n">
        <v>2</v>
      </c>
      <c r="T1619" t="n">
        <v>2</v>
      </c>
      <c r="U1619" t="inlineStr">
        <is>
          <t>1999-04-09</t>
        </is>
      </c>
      <c r="V1619" t="inlineStr">
        <is>
          <t>1999-04-09</t>
        </is>
      </c>
      <c r="W1619" t="inlineStr">
        <is>
          <t>1997-04-23</t>
        </is>
      </c>
      <c r="X1619" t="inlineStr">
        <is>
          <t>1997-04-23</t>
        </is>
      </c>
      <c r="Y1619" t="n">
        <v>393</v>
      </c>
      <c r="Z1619" t="n">
        <v>361</v>
      </c>
      <c r="AA1619" t="n">
        <v>401</v>
      </c>
      <c r="AB1619" t="n">
        <v>4</v>
      </c>
      <c r="AC1619" t="n">
        <v>5</v>
      </c>
      <c r="AD1619" t="n">
        <v>20</v>
      </c>
      <c r="AE1619" t="n">
        <v>21</v>
      </c>
      <c r="AF1619" t="n">
        <v>8</v>
      </c>
      <c r="AG1619" t="n">
        <v>8</v>
      </c>
      <c r="AH1619" t="n">
        <v>3</v>
      </c>
      <c r="AI1619" t="n">
        <v>3</v>
      </c>
      <c r="AJ1619" t="n">
        <v>11</v>
      </c>
      <c r="AK1619" t="n">
        <v>11</v>
      </c>
      <c r="AL1619" t="n">
        <v>3</v>
      </c>
      <c r="AM1619" t="n">
        <v>4</v>
      </c>
      <c r="AN1619" t="n">
        <v>0</v>
      </c>
      <c r="AO1619" t="n">
        <v>0</v>
      </c>
      <c r="AP1619" t="inlineStr">
        <is>
          <t>No</t>
        </is>
      </c>
      <c r="AQ1619" t="inlineStr">
        <is>
          <t>No</t>
        </is>
      </c>
      <c r="AS1619">
        <f>HYPERLINK("https://creighton-primo.hosted.exlibrisgroup.com/primo-explore/search?tab=default_tab&amp;search_scope=EVERYTHING&amp;vid=01CRU&amp;lang=en_US&amp;offset=0&amp;query=any,contains,991000578579702656","Catalog Record")</f>
        <v/>
      </c>
      <c r="AT1619">
        <f>HYPERLINK("http://www.worldcat.org/oclc/95376","WorldCat Record")</f>
        <v/>
      </c>
      <c r="AU1619" t="inlineStr">
        <is>
          <t>918625466:eng</t>
        </is>
      </c>
      <c r="AV1619" t="inlineStr">
        <is>
          <t>95376</t>
        </is>
      </c>
      <c r="AW1619" t="inlineStr">
        <is>
          <t>991000578579702656</t>
        </is>
      </c>
      <c r="AX1619" t="inlineStr">
        <is>
          <t>991000578579702656</t>
        </is>
      </c>
      <c r="AY1619" t="inlineStr">
        <is>
          <t>2272587550002656</t>
        </is>
      </c>
      <c r="AZ1619" t="inlineStr">
        <is>
          <t>BOOK</t>
        </is>
      </c>
      <c r="BC1619" t="inlineStr">
        <is>
          <t>32285002562097</t>
        </is>
      </c>
      <c r="BD1619" t="inlineStr">
        <is>
          <t>893255541</t>
        </is>
      </c>
    </row>
    <row r="1620">
      <c r="A1620" t="inlineStr">
        <is>
          <t>No</t>
        </is>
      </c>
      <c r="B1620" t="inlineStr">
        <is>
          <t>E744 .C514</t>
        </is>
      </c>
      <c r="C1620" t="inlineStr">
        <is>
          <t>0                      E  0744000C  514</t>
        </is>
      </c>
      <c r="D1620" t="inlineStr">
        <is>
          <t>American power and the new mandarins.</t>
        </is>
      </c>
      <c r="F1620" t="inlineStr">
        <is>
          <t>No</t>
        </is>
      </c>
      <c r="G1620" t="inlineStr">
        <is>
          <t>1</t>
        </is>
      </c>
      <c r="H1620" t="inlineStr">
        <is>
          <t>No</t>
        </is>
      </c>
      <c r="I1620" t="inlineStr">
        <is>
          <t>No</t>
        </is>
      </c>
      <c r="J1620" t="inlineStr">
        <is>
          <t>0</t>
        </is>
      </c>
      <c r="K1620" t="inlineStr">
        <is>
          <t>Chomsky, Noam.</t>
        </is>
      </c>
      <c r="L1620" t="inlineStr">
        <is>
          <t>New York : Pantheon Books, [1969]</t>
        </is>
      </c>
      <c r="M1620" t="inlineStr">
        <is>
          <t>1969</t>
        </is>
      </c>
      <c r="O1620" t="inlineStr">
        <is>
          <t>eng</t>
        </is>
      </c>
      <c r="P1620" t="inlineStr">
        <is>
          <t>nyu</t>
        </is>
      </c>
      <c r="R1620" t="inlineStr">
        <is>
          <t xml:space="preserve">E  </t>
        </is>
      </c>
      <c r="S1620" t="n">
        <v>5</v>
      </c>
      <c r="T1620" t="n">
        <v>5</v>
      </c>
      <c r="U1620" t="inlineStr">
        <is>
          <t>2000-03-14</t>
        </is>
      </c>
      <c r="V1620" t="inlineStr">
        <is>
          <t>2000-03-14</t>
        </is>
      </c>
      <c r="W1620" t="inlineStr">
        <is>
          <t>1990-04-12</t>
        </is>
      </c>
      <c r="X1620" t="inlineStr">
        <is>
          <t>1990-04-12</t>
        </is>
      </c>
      <c r="Y1620" t="n">
        <v>1320</v>
      </c>
      <c r="Z1620" t="n">
        <v>1178</v>
      </c>
      <c r="AA1620" t="n">
        <v>1371</v>
      </c>
      <c r="AB1620" t="n">
        <v>9</v>
      </c>
      <c r="AC1620" t="n">
        <v>9</v>
      </c>
      <c r="AD1620" t="n">
        <v>45</v>
      </c>
      <c r="AE1620" t="n">
        <v>51</v>
      </c>
      <c r="AF1620" t="n">
        <v>18</v>
      </c>
      <c r="AG1620" t="n">
        <v>20</v>
      </c>
      <c r="AH1620" t="n">
        <v>9</v>
      </c>
      <c r="AI1620" t="n">
        <v>9</v>
      </c>
      <c r="AJ1620" t="n">
        <v>20</v>
      </c>
      <c r="AK1620" t="n">
        <v>24</v>
      </c>
      <c r="AL1620" t="n">
        <v>7</v>
      </c>
      <c r="AM1620" t="n">
        <v>7</v>
      </c>
      <c r="AN1620" t="n">
        <v>2</v>
      </c>
      <c r="AO1620" t="n">
        <v>2</v>
      </c>
      <c r="AP1620" t="inlineStr">
        <is>
          <t>No</t>
        </is>
      </c>
      <c r="AQ1620" t="inlineStr">
        <is>
          <t>Yes</t>
        </is>
      </c>
      <c r="AR1620">
        <f>HYPERLINK("http://catalog.hathitrust.org/Record/000466406","HathiTrust Record")</f>
        <v/>
      </c>
      <c r="AS1620">
        <f>HYPERLINK("https://creighton-primo.hosted.exlibrisgroup.com/primo-explore/search?tab=default_tab&amp;search_scope=EVERYTHING&amp;vid=01CRU&amp;lang=en_US&amp;offset=0&amp;query=any,contains,991005436259702656","Catalog Record")</f>
        <v/>
      </c>
      <c r="AT1620">
        <f>HYPERLINK("http://www.worldcat.org/oclc/4269","WorldCat Record")</f>
        <v/>
      </c>
      <c r="AU1620" t="inlineStr">
        <is>
          <t>941217:eng</t>
        </is>
      </c>
      <c r="AV1620" t="inlineStr">
        <is>
          <t>4269</t>
        </is>
      </c>
      <c r="AW1620" t="inlineStr">
        <is>
          <t>991005436259702656</t>
        </is>
      </c>
      <c r="AX1620" t="inlineStr">
        <is>
          <t>991005436259702656</t>
        </is>
      </c>
      <c r="AY1620" t="inlineStr">
        <is>
          <t>2266190390002656</t>
        </is>
      </c>
      <c r="AZ1620" t="inlineStr">
        <is>
          <t>BOOK</t>
        </is>
      </c>
      <c r="BC1620" t="inlineStr">
        <is>
          <t>32285000115302</t>
        </is>
      </c>
      <c r="BD1620" t="inlineStr">
        <is>
          <t>893883890</t>
        </is>
      </c>
    </row>
    <row r="1621">
      <c r="A1621" t="inlineStr">
        <is>
          <t>No</t>
        </is>
      </c>
      <c r="B1621" t="inlineStr">
        <is>
          <t>E744 .C55 2000</t>
        </is>
      </c>
      <c r="C1621" t="inlineStr">
        <is>
          <t>0                      E  0744000C  55          2000</t>
        </is>
      </c>
      <c r="D1621" t="inlineStr">
        <is>
          <t>America and the world, 1898-2025 : achievements, failures, alternative futures / Walter C. Clemens, Jr.</t>
        </is>
      </c>
      <c r="F1621" t="inlineStr">
        <is>
          <t>No</t>
        </is>
      </c>
      <c r="G1621" t="inlineStr">
        <is>
          <t>1</t>
        </is>
      </c>
      <c r="H1621" t="inlineStr">
        <is>
          <t>No</t>
        </is>
      </c>
      <c r="I1621" t="inlineStr">
        <is>
          <t>No</t>
        </is>
      </c>
      <c r="J1621" t="inlineStr">
        <is>
          <t>0</t>
        </is>
      </c>
      <c r="K1621" t="inlineStr">
        <is>
          <t>Clemens, Walter C.</t>
        </is>
      </c>
      <c r="L1621" t="inlineStr">
        <is>
          <t>New York : St. Martin's Press, 2000.</t>
        </is>
      </c>
      <c r="M1621" t="inlineStr">
        <is>
          <t>2000</t>
        </is>
      </c>
      <c r="N1621" t="inlineStr">
        <is>
          <t>1st ed.</t>
        </is>
      </c>
      <c r="O1621" t="inlineStr">
        <is>
          <t>eng</t>
        </is>
      </c>
      <c r="P1621" t="inlineStr">
        <is>
          <t>nyu</t>
        </is>
      </c>
      <c r="R1621" t="inlineStr">
        <is>
          <t xml:space="preserve">E  </t>
        </is>
      </c>
      <c r="S1621" t="n">
        <v>1</v>
      </c>
      <c r="T1621" t="n">
        <v>1</v>
      </c>
      <c r="U1621" t="inlineStr">
        <is>
          <t>2001-04-24</t>
        </is>
      </c>
      <c r="V1621" t="inlineStr">
        <is>
          <t>2001-04-24</t>
        </is>
      </c>
      <c r="W1621" t="inlineStr">
        <is>
          <t>2001-04-23</t>
        </is>
      </c>
      <c r="X1621" t="inlineStr">
        <is>
          <t>2001-04-23</t>
        </is>
      </c>
      <c r="Y1621" t="n">
        <v>363</v>
      </c>
      <c r="Z1621" t="n">
        <v>319</v>
      </c>
      <c r="AA1621" t="n">
        <v>324</v>
      </c>
      <c r="AB1621" t="n">
        <v>3</v>
      </c>
      <c r="AC1621" t="n">
        <v>3</v>
      </c>
      <c r="AD1621" t="n">
        <v>18</v>
      </c>
      <c r="AE1621" t="n">
        <v>18</v>
      </c>
      <c r="AF1621" t="n">
        <v>7</v>
      </c>
      <c r="AG1621" t="n">
        <v>7</v>
      </c>
      <c r="AH1621" t="n">
        <v>4</v>
      </c>
      <c r="AI1621" t="n">
        <v>4</v>
      </c>
      <c r="AJ1621" t="n">
        <v>9</v>
      </c>
      <c r="AK1621" t="n">
        <v>9</v>
      </c>
      <c r="AL1621" t="n">
        <v>2</v>
      </c>
      <c r="AM1621" t="n">
        <v>2</v>
      </c>
      <c r="AN1621" t="n">
        <v>0</v>
      </c>
      <c r="AO1621" t="n">
        <v>0</v>
      </c>
      <c r="AP1621" t="inlineStr">
        <is>
          <t>No</t>
        </is>
      </c>
      <c r="AQ1621" t="inlineStr">
        <is>
          <t>No</t>
        </is>
      </c>
      <c r="AS1621">
        <f>HYPERLINK("https://creighton-primo.hosted.exlibrisgroup.com/primo-explore/search?tab=default_tab&amp;search_scope=EVERYTHING&amp;vid=01CRU&amp;lang=en_US&amp;offset=0&amp;query=any,contains,991003461349702656","Catalog Record")</f>
        <v/>
      </c>
      <c r="AT1621">
        <f>HYPERLINK("http://www.worldcat.org/oclc/44268123","WorldCat Record")</f>
        <v/>
      </c>
      <c r="AU1621" t="inlineStr">
        <is>
          <t>367711811:eng</t>
        </is>
      </c>
      <c r="AV1621" t="inlineStr">
        <is>
          <t>44268123</t>
        </is>
      </c>
      <c r="AW1621" t="inlineStr">
        <is>
          <t>991003461349702656</t>
        </is>
      </c>
      <c r="AX1621" t="inlineStr">
        <is>
          <t>991003461349702656</t>
        </is>
      </c>
      <c r="AY1621" t="inlineStr">
        <is>
          <t>2264413290002656</t>
        </is>
      </c>
      <c r="AZ1621" t="inlineStr">
        <is>
          <t>BOOK</t>
        </is>
      </c>
      <c r="BB1621" t="inlineStr">
        <is>
          <t>9780312228781</t>
        </is>
      </c>
      <c r="BC1621" t="inlineStr">
        <is>
          <t>32285004314208</t>
        </is>
      </c>
      <c r="BD1621" t="inlineStr">
        <is>
          <t>893623498</t>
        </is>
      </c>
    </row>
    <row r="1622">
      <c r="A1622" t="inlineStr">
        <is>
          <t>No</t>
        </is>
      </c>
      <c r="B1622" t="inlineStr">
        <is>
          <t>E744 .C7 1965</t>
        </is>
      </c>
      <c r="C1622" t="inlineStr">
        <is>
          <t>0                      E  0744000C  7           1965</t>
        </is>
      </c>
      <c r="D1622" t="inlineStr">
        <is>
          <t>Domestic sources of foreign policy / edited by James N. Rosenau.</t>
        </is>
      </c>
      <c r="F1622" t="inlineStr">
        <is>
          <t>No</t>
        </is>
      </c>
      <c r="G1622" t="inlineStr">
        <is>
          <t>1</t>
        </is>
      </c>
      <c r="H1622" t="inlineStr">
        <is>
          <t>No</t>
        </is>
      </c>
      <c r="I1622" t="inlineStr">
        <is>
          <t>No</t>
        </is>
      </c>
      <c r="J1622" t="inlineStr">
        <is>
          <t>0</t>
        </is>
      </c>
      <c r="K1622" t="inlineStr">
        <is>
          <t>Conference on Public Opinion and Foreign Policy (1965 : Princeton, N.J.)</t>
        </is>
      </c>
      <c r="L1622" t="inlineStr">
        <is>
          <t>New York : Free Press, [1967]</t>
        </is>
      </c>
      <c r="M1622" t="inlineStr">
        <is>
          <t>1967</t>
        </is>
      </c>
      <c r="O1622" t="inlineStr">
        <is>
          <t>eng</t>
        </is>
      </c>
      <c r="P1622" t="inlineStr">
        <is>
          <t>nyu</t>
        </is>
      </c>
      <c r="R1622" t="inlineStr">
        <is>
          <t xml:space="preserve">E  </t>
        </is>
      </c>
      <c r="S1622" t="n">
        <v>2</v>
      </c>
      <c r="T1622" t="n">
        <v>2</v>
      </c>
      <c r="U1622" t="inlineStr">
        <is>
          <t>1999-11-17</t>
        </is>
      </c>
      <c r="V1622" t="inlineStr">
        <is>
          <t>1999-11-17</t>
        </is>
      </c>
      <c r="W1622" t="inlineStr">
        <is>
          <t>1994-05-24</t>
        </is>
      </c>
      <c r="X1622" t="inlineStr">
        <is>
          <t>1994-05-24</t>
        </is>
      </c>
      <c r="Y1622" t="n">
        <v>840</v>
      </c>
      <c r="Z1622" t="n">
        <v>690</v>
      </c>
      <c r="AA1622" t="n">
        <v>699</v>
      </c>
      <c r="AB1622" t="n">
        <v>10</v>
      </c>
      <c r="AC1622" t="n">
        <v>10</v>
      </c>
      <c r="AD1622" t="n">
        <v>40</v>
      </c>
      <c r="AE1622" t="n">
        <v>40</v>
      </c>
      <c r="AF1622" t="n">
        <v>14</v>
      </c>
      <c r="AG1622" t="n">
        <v>14</v>
      </c>
      <c r="AH1622" t="n">
        <v>9</v>
      </c>
      <c r="AI1622" t="n">
        <v>9</v>
      </c>
      <c r="AJ1622" t="n">
        <v>18</v>
      </c>
      <c r="AK1622" t="n">
        <v>18</v>
      </c>
      <c r="AL1622" t="n">
        <v>9</v>
      </c>
      <c r="AM1622" t="n">
        <v>9</v>
      </c>
      <c r="AN1622" t="n">
        <v>0</v>
      </c>
      <c r="AO1622" t="n">
        <v>0</v>
      </c>
      <c r="AP1622" t="inlineStr">
        <is>
          <t>No</t>
        </is>
      </c>
      <c r="AQ1622" t="inlineStr">
        <is>
          <t>Yes</t>
        </is>
      </c>
      <c r="AR1622">
        <f>HYPERLINK("http://catalog.hathitrust.org/Record/000467820","HathiTrust Record")</f>
        <v/>
      </c>
      <c r="AS1622">
        <f>HYPERLINK("https://creighton-primo.hosted.exlibrisgroup.com/primo-explore/search?tab=default_tab&amp;search_scope=EVERYTHING&amp;vid=01CRU&amp;lang=en_US&amp;offset=0&amp;query=any,contains,991001376939702656","Catalog Record")</f>
        <v/>
      </c>
      <c r="AT1622">
        <f>HYPERLINK("http://www.worldcat.org/oclc/225187","WorldCat Record")</f>
        <v/>
      </c>
      <c r="AU1622" t="inlineStr">
        <is>
          <t>149712816:eng</t>
        </is>
      </c>
      <c r="AV1622" t="inlineStr">
        <is>
          <t>225187</t>
        </is>
      </c>
      <c r="AW1622" t="inlineStr">
        <is>
          <t>991001376939702656</t>
        </is>
      </c>
      <c r="AX1622" t="inlineStr">
        <is>
          <t>991001376939702656</t>
        </is>
      </c>
      <c r="AY1622" t="inlineStr">
        <is>
          <t>2263736530002656</t>
        </is>
      </c>
      <c r="AZ1622" t="inlineStr">
        <is>
          <t>BOOK</t>
        </is>
      </c>
      <c r="BC1622" t="inlineStr">
        <is>
          <t>32285001913424</t>
        </is>
      </c>
      <c r="BD1622" t="inlineStr">
        <is>
          <t>893261822</t>
        </is>
      </c>
    </row>
    <row r="1623">
      <c r="A1623" t="inlineStr">
        <is>
          <t>No</t>
        </is>
      </c>
      <c r="B1623" t="inlineStr">
        <is>
          <t>E744 .E86 1982</t>
        </is>
      </c>
      <c r="C1623" t="inlineStr">
        <is>
          <t>0                      E  0744000E  86          1982</t>
        </is>
      </c>
      <c r="D1623" t="inlineStr">
        <is>
          <t>Essays in twentieth century American diplomatic history dedicated to Professor Daniel M. Smith / edited by Clifford L. Egan and Alexander W. Knott.</t>
        </is>
      </c>
      <c r="F1623" t="inlineStr">
        <is>
          <t>No</t>
        </is>
      </c>
      <c r="G1623" t="inlineStr">
        <is>
          <t>1</t>
        </is>
      </c>
      <c r="H1623" t="inlineStr">
        <is>
          <t>No</t>
        </is>
      </c>
      <c r="I1623" t="inlineStr">
        <is>
          <t>No</t>
        </is>
      </c>
      <c r="J1623" t="inlineStr">
        <is>
          <t>0</t>
        </is>
      </c>
      <c r="L1623" t="inlineStr">
        <is>
          <t>Washington, D.C. : University Press of America, c1982.</t>
        </is>
      </c>
      <c r="M1623" t="inlineStr">
        <is>
          <t>1982</t>
        </is>
      </c>
      <c r="O1623" t="inlineStr">
        <is>
          <t>eng</t>
        </is>
      </c>
      <c r="P1623" t="inlineStr">
        <is>
          <t>dcu</t>
        </is>
      </c>
      <c r="R1623" t="inlineStr">
        <is>
          <t xml:space="preserve">E  </t>
        </is>
      </c>
      <c r="S1623" t="n">
        <v>1</v>
      </c>
      <c r="T1623" t="n">
        <v>1</v>
      </c>
      <c r="U1623" t="inlineStr">
        <is>
          <t>1992-10-22</t>
        </is>
      </c>
      <c r="V1623" t="inlineStr">
        <is>
          <t>1992-10-22</t>
        </is>
      </c>
      <c r="W1623" t="inlineStr">
        <is>
          <t>1990-04-06</t>
        </is>
      </c>
      <c r="X1623" t="inlineStr">
        <is>
          <t>1990-04-06</t>
        </is>
      </c>
      <c r="Y1623" t="n">
        <v>218</v>
      </c>
      <c r="Z1623" t="n">
        <v>179</v>
      </c>
      <c r="AA1623" t="n">
        <v>180</v>
      </c>
      <c r="AB1623" t="n">
        <v>2</v>
      </c>
      <c r="AC1623" t="n">
        <v>2</v>
      </c>
      <c r="AD1623" t="n">
        <v>11</v>
      </c>
      <c r="AE1623" t="n">
        <v>11</v>
      </c>
      <c r="AF1623" t="n">
        <v>3</v>
      </c>
      <c r="AG1623" t="n">
        <v>3</v>
      </c>
      <c r="AH1623" t="n">
        <v>4</v>
      </c>
      <c r="AI1623" t="n">
        <v>4</v>
      </c>
      <c r="AJ1623" t="n">
        <v>6</v>
      </c>
      <c r="AK1623" t="n">
        <v>6</v>
      </c>
      <c r="AL1623" t="n">
        <v>1</v>
      </c>
      <c r="AM1623" t="n">
        <v>1</v>
      </c>
      <c r="AN1623" t="n">
        <v>0</v>
      </c>
      <c r="AO1623" t="n">
        <v>0</v>
      </c>
      <c r="AP1623" t="inlineStr">
        <is>
          <t>No</t>
        </is>
      </c>
      <c r="AQ1623" t="inlineStr">
        <is>
          <t>No</t>
        </is>
      </c>
      <c r="AS1623">
        <f>HYPERLINK("https://creighton-primo.hosted.exlibrisgroup.com/primo-explore/search?tab=default_tab&amp;search_scope=EVERYTHING&amp;vid=01CRU&amp;lang=en_US&amp;offset=0&amp;query=any,contains,991005241709702656","Catalog Record")</f>
        <v/>
      </c>
      <c r="AT1623">
        <f>HYPERLINK("http://www.worldcat.org/oclc/8429895","WorldCat Record")</f>
        <v/>
      </c>
      <c r="AU1623" t="inlineStr">
        <is>
          <t>352001358:eng</t>
        </is>
      </c>
      <c r="AV1623" t="inlineStr">
        <is>
          <t>8429895</t>
        </is>
      </c>
      <c r="AW1623" t="inlineStr">
        <is>
          <t>991005241709702656</t>
        </is>
      </c>
      <c r="AX1623" t="inlineStr">
        <is>
          <t>991005241709702656</t>
        </is>
      </c>
      <c r="AY1623" t="inlineStr">
        <is>
          <t>2268835200002656</t>
        </is>
      </c>
      <c r="AZ1623" t="inlineStr">
        <is>
          <t>BOOK</t>
        </is>
      </c>
      <c r="BB1623" t="inlineStr">
        <is>
          <t>9780819121257</t>
        </is>
      </c>
      <c r="BC1623" t="inlineStr">
        <is>
          <t>32285000111681</t>
        </is>
      </c>
      <c r="BD1623" t="inlineStr">
        <is>
          <t>893801988</t>
        </is>
      </c>
    </row>
    <row r="1624">
      <c r="A1624" t="inlineStr">
        <is>
          <t>No</t>
        </is>
      </c>
      <c r="B1624" t="inlineStr">
        <is>
          <t>E744 .F7698 1983</t>
        </is>
      </c>
      <c r="C1624" t="inlineStr">
        <is>
          <t>0                      E  0744000F  7698        1983</t>
        </is>
      </c>
      <c r="D1624" t="inlineStr">
        <is>
          <t>Activism replaces isolationism : U.S. public attitudes, 1940-1975 / by H. Schuyler Foster.</t>
        </is>
      </c>
      <c r="F1624" t="inlineStr">
        <is>
          <t>No</t>
        </is>
      </c>
      <c r="G1624" t="inlineStr">
        <is>
          <t>1</t>
        </is>
      </c>
      <c r="H1624" t="inlineStr">
        <is>
          <t>No</t>
        </is>
      </c>
      <c r="I1624" t="inlineStr">
        <is>
          <t>No</t>
        </is>
      </c>
      <c r="J1624" t="inlineStr">
        <is>
          <t>0</t>
        </is>
      </c>
      <c r="K1624" t="inlineStr">
        <is>
          <t>Foster, H. Schuyler (Harry Schuyler), 1905-</t>
        </is>
      </c>
      <c r="L1624" t="inlineStr">
        <is>
          <t>Washington, D.C. : Foxhall Press, c1983.</t>
        </is>
      </c>
      <c r="M1624" t="inlineStr">
        <is>
          <t>1983</t>
        </is>
      </c>
      <c r="N1624" t="inlineStr">
        <is>
          <t>1st ed.</t>
        </is>
      </c>
      <c r="O1624" t="inlineStr">
        <is>
          <t>eng</t>
        </is>
      </c>
      <c r="P1624" t="inlineStr">
        <is>
          <t>dcu</t>
        </is>
      </c>
      <c r="R1624" t="inlineStr">
        <is>
          <t xml:space="preserve">E  </t>
        </is>
      </c>
      <c r="S1624" t="n">
        <v>5</v>
      </c>
      <c r="T1624" t="n">
        <v>5</v>
      </c>
      <c r="U1624" t="inlineStr">
        <is>
          <t>1999-04-22</t>
        </is>
      </c>
      <c r="V1624" t="inlineStr">
        <is>
          <t>1999-04-22</t>
        </is>
      </c>
      <c r="W1624" t="inlineStr">
        <is>
          <t>1991-05-28</t>
        </is>
      </c>
      <c r="X1624" t="inlineStr">
        <is>
          <t>1991-05-28</t>
        </is>
      </c>
      <c r="Y1624" t="n">
        <v>540</v>
      </c>
      <c r="Z1624" t="n">
        <v>480</v>
      </c>
      <c r="AA1624" t="n">
        <v>482</v>
      </c>
      <c r="AB1624" t="n">
        <v>4</v>
      </c>
      <c r="AC1624" t="n">
        <v>4</v>
      </c>
      <c r="AD1624" t="n">
        <v>28</v>
      </c>
      <c r="AE1624" t="n">
        <v>28</v>
      </c>
      <c r="AF1624" t="n">
        <v>12</v>
      </c>
      <c r="AG1624" t="n">
        <v>12</v>
      </c>
      <c r="AH1624" t="n">
        <v>6</v>
      </c>
      <c r="AI1624" t="n">
        <v>6</v>
      </c>
      <c r="AJ1624" t="n">
        <v>12</v>
      </c>
      <c r="AK1624" t="n">
        <v>12</v>
      </c>
      <c r="AL1624" t="n">
        <v>3</v>
      </c>
      <c r="AM1624" t="n">
        <v>3</v>
      </c>
      <c r="AN1624" t="n">
        <v>0</v>
      </c>
      <c r="AO1624" t="n">
        <v>0</v>
      </c>
      <c r="AP1624" t="inlineStr">
        <is>
          <t>No</t>
        </is>
      </c>
      <c r="AQ1624" t="inlineStr">
        <is>
          <t>Yes</t>
        </is>
      </c>
      <c r="AR1624">
        <f>HYPERLINK("http://catalog.hathitrust.org/Record/000290176","HathiTrust Record")</f>
        <v/>
      </c>
      <c r="AS1624">
        <f>HYPERLINK("https://creighton-primo.hosted.exlibrisgroup.com/primo-explore/search?tab=default_tab&amp;search_scope=EVERYTHING&amp;vid=01CRU&amp;lang=en_US&amp;offset=0&amp;query=any,contains,991000409489702656","Catalog Record")</f>
        <v/>
      </c>
      <c r="AT1624">
        <f>HYPERLINK("http://www.worldcat.org/oclc/10697099","WorldCat Record")</f>
        <v/>
      </c>
      <c r="AU1624" t="inlineStr">
        <is>
          <t>3519792:eng</t>
        </is>
      </c>
      <c r="AV1624" t="inlineStr">
        <is>
          <t>10697099</t>
        </is>
      </c>
      <c r="AW1624" t="inlineStr">
        <is>
          <t>991000409489702656</t>
        </is>
      </c>
      <c r="AX1624" t="inlineStr">
        <is>
          <t>991000409489702656</t>
        </is>
      </c>
      <c r="AY1624" t="inlineStr">
        <is>
          <t>2269550990002656</t>
        </is>
      </c>
      <c r="AZ1624" t="inlineStr">
        <is>
          <t>BOOK</t>
        </is>
      </c>
      <c r="BB1624" t="inlineStr">
        <is>
          <t>9780961112813</t>
        </is>
      </c>
      <c r="BC1624" t="inlineStr">
        <is>
          <t>32285000612472</t>
        </is>
      </c>
      <c r="BD1624" t="inlineStr">
        <is>
          <t>893255396</t>
        </is>
      </c>
    </row>
    <row r="1625">
      <c r="A1625" t="inlineStr">
        <is>
          <t>No</t>
        </is>
      </c>
      <c r="B1625" t="inlineStr">
        <is>
          <t>E744 .G25</t>
        </is>
      </c>
      <c r="C1625" t="inlineStr">
        <is>
          <t>0                      E  0744000G  25</t>
        </is>
      </c>
      <c r="D1625" t="inlineStr">
        <is>
          <t>The United States and the origins of the cold war, 1941-1947.</t>
        </is>
      </c>
      <c r="F1625" t="inlineStr">
        <is>
          <t>No</t>
        </is>
      </c>
      <c r="G1625" t="inlineStr">
        <is>
          <t>1</t>
        </is>
      </c>
      <c r="H1625" t="inlineStr">
        <is>
          <t>No</t>
        </is>
      </c>
      <c r="I1625" t="inlineStr">
        <is>
          <t>Yes</t>
        </is>
      </c>
      <c r="J1625" t="inlineStr">
        <is>
          <t>0</t>
        </is>
      </c>
      <c r="K1625" t="inlineStr">
        <is>
          <t>Gaddis, John Lewis.</t>
        </is>
      </c>
      <c r="L1625" t="inlineStr">
        <is>
          <t>New York : Columbia University Press, 1972.</t>
        </is>
      </c>
      <c r="M1625" t="inlineStr">
        <is>
          <t>1972</t>
        </is>
      </c>
      <c r="O1625" t="inlineStr">
        <is>
          <t>eng</t>
        </is>
      </c>
      <c r="P1625" t="inlineStr">
        <is>
          <t>nyu</t>
        </is>
      </c>
      <c r="Q1625" t="inlineStr">
        <is>
          <t>Contemporary American history series</t>
        </is>
      </c>
      <c r="R1625" t="inlineStr">
        <is>
          <t xml:space="preserve">E  </t>
        </is>
      </c>
      <c r="S1625" t="n">
        <v>11</v>
      </c>
      <c r="T1625" t="n">
        <v>11</v>
      </c>
      <c r="U1625" t="inlineStr">
        <is>
          <t>2001-02-27</t>
        </is>
      </c>
      <c r="V1625" t="inlineStr">
        <is>
          <t>2001-02-27</t>
        </is>
      </c>
      <c r="W1625" t="inlineStr">
        <is>
          <t>1992-05-05</t>
        </is>
      </c>
      <c r="X1625" t="inlineStr">
        <is>
          <t>1992-05-05</t>
        </is>
      </c>
      <c r="Y1625" t="n">
        <v>2039</v>
      </c>
      <c r="Z1625" t="n">
        <v>1718</v>
      </c>
      <c r="AA1625" t="n">
        <v>1854</v>
      </c>
      <c r="AB1625" t="n">
        <v>14</v>
      </c>
      <c r="AC1625" t="n">
        <v>14</v>
      </c>
      <c r="AD1625" t="n">
        <v>61</v>
      </c>
      <c r="AE1625" t="n">
        <v>63</v>
      </c>
      <c r="AF1625" t="n">
        <v>26</v>
      </c>
      <c r="AG1625" t="n">
        <v>27</v>
      </c>
      <c r="AH1625" t="n">
        <v>10</v>
      </c>
      <c r="AI1625" t="n">
        <v>11</v>
      </c>
      <c r="AJ1625" t="n">
        <v>25</v>
      </c>
      <c r="AK1625" t="n">
        <v>25</v>
      </c>
      <c r="AL1625" t="n">
        <v>12</v>
      </c>
      <c r="AM1625" t="n">
        <v>12</v>
      </c>
      <c r="AN1625" t="n">
        <v>2</v>
      </c>
      <c r="AO1625" t="n">
        <v>2</v>
      </c>
      <c r="AP1625" t="inlineStr">
        <is>
          <t>No</t>
        </is>
      </c>
      <c r="AQ1625" t="inlineStr">
        <is>
          <t>No</t>
        </is>
      </c>
      <c r="AS1625">
        <f>HYPERLINK("https://creighton-primo.hosted.exlibrisgroup.com/primo-explore/search?tab=default_tab&amp;search_scope=EVERYTHING&amp;vid=01CRU&amp;lang=en_US&amp;offset=0&amp;query=any,contains,991002414079702656","Catalog Record")</f>
        <v/>
      </c>
      <c r="AT1625">
        <f>HYPERLINK("http://www.worldcat.org/oclc/341037","WorldCat Record")</f>
        <v/>
      </c>
      <c r="AU1625" t="inlineStr">
        <is>
          <t>419724:eng</t>
        </is>
      </c>
      <c r="AV1625" t="inlineStr">
        <is>
          <t>341037</t>
        </is>
      </c>
      <c r="AW1625" t="inlineStr">
        <is>
          <t>991002414079702656</t>
        </is>
      </c>
      <c r="AX1625" t="inlineStr">
        <is>
          <t>991002414079702656</t>
        </is>
      </c>
      <c r="AY1625" t="inlineStr">
        <is>
          <t>2265775790002656</t>
        </is>
      </c>
      <c r="AZ1625" t="inlineStr">
        <is>
          <t>BOOK</t>
        </is>
      </c>
      <c r="BB1625" t="inlineStr">
        <is>
          <t>9780231032896</t>
        </is>
      </c>
      <c r="BC1625" t="inlineStr">
        <is>
          <t>32285001093102</t>
        </is>
      </c>
      <c r="BD1625" t="inlineStr">
        <is>
          <t>893262271</t>
        </is>
      </c>
    </row>
    <row r="1626">
      <c r="A1626" t="inlineStr">
        <is>
          <t>No</t>
        </is>
      </c>
      <c r="B1626" t="inlineStr">
        <is>
          <t>E744 .G345</t>
        </is>
      </c>
      <c r="C1626" t="inlineStr">
        <is>
          <t>0                      E  0744000G  345</t>
        </is>
      </c>
      <c r="D1626" t="inlineStr">
        <is>
          <t>Caging the bear : containment and the cold war.</t>
        </is>
      </c>
      <c r="F1626" t="inlineStr">
        <is>
          <t>No</t>
        </is>
      </c>
      <c r="G1626" t="inlineStr">
        <is>
          <t>1</t>
        </is>
      </c>
      <c r="H1626" t="inlineStr">
        <is>
          <t>No</t>
        </is>
      </c>
      <c r="I1626" t="inlineStr">
        <is>
          <t>No</t>
        </is>
      </c>
      <c r="J1626" t="inlineStr">
        <is>
          <t>0</t>
        </is>
      </c>
      <c r="K1626" t="inlineStr">
        <is>
          <t>Gati, Charles, compiler.</t>
        </is>
      </c>
      <c r="L1626" t="inlineStr">
        <is>
          <t>Indianapolis : Bobbs-Merrill, [1974]</t>
        </is>
      </c>
      <c r="M1626" t="inlineStr">
        <is>
          <t>1974</t>
        </is>
      </c>
      <c r="O1626" t="inlineStr">
        <is>
          <t>eng</t>
        </is>
      </c>
      <c r="P1626" t="inlineStr">
        <is>
          <t>inu</t>
        </is>
      </c>
      <c r="R1626" t="inlineStr">
        <is>
          <t xml:space="preserve">E  </t>
        </is>
      </c>
      <c r="S1626" t="n">
        <v>2</v>
      </c>
      <c r="T1626" t="n">
        <v>2</v>
      </c>
      <c r="U1626" t="inlineStr">
        <is>
          <t>1998-02-16</t>
        </is>
      </c>
      <c r="V1626" t="inlineStr">
        <is>
          <t>1998-02-16</t>
        </is>
      </c>
      <c r="W1626" t="inlineStr">
        <is>
          <t>1991-12-13</t>
        </is>
      </c>
      <c r="X1626" t="inlineStr">
        <is>
          <t>1991-12-13</t>
        </is>
      </c>
      <c r="Y1626" t="n">
        <v>298</v>
      </c>
      <c r="Z1626" t="n">
        <v>225</v>
      </c>
      <c r="AA1626" t="n">
        <v>230</v>
      </c>
      <c r="AB1626" t="n">
        <v>3</v>
      </c>
      <c r="AC1626" t="n">
        <v>3</v>
      </c>
      <c r="AD1626" t="n">
        <v>9</v>
      </c>
      <c r="AE1626" t="n">
        <v>9</v>
      </c>
      <c r="AF1626" t="n">
        <v>3</v>
      </c>
      <c r="AG1626" t="n">
        <v>3</v>
      </c>
      <c r="AH1626" t="n">
        <v>3</v>
      </c>
      <c r="AI1626" t="n">
        <v>3</v>
      </c>
      <c r="AJ1626" t="n">
        <v>5</v>
      </c>
      <c r="AK1626" t="n">
        <v>5</v>
      </c>
      <c r="AL1626" t="n">
        <v>2</v>
      </c>
      <c r="AM1626" t="n">
        <v>2</v>
      </c>
      <c r="AN1626" t="n">
        <v>0</v>
      </c>
      <c r="AO1626" t="n">
        <v>0</v>
      </c>
      <c r="AP1626" t="inlineStr">
        <is>
          <t>No</t>
        </is>
      </c>
      <c r="AQ1626" t="inlineStr">
        <is>
          <t>No</t>
        </is>
      </c>
      <c r="AS1626">
        <f>HYPERLINK("https://creighton-primo.hosted.exlibrisgroup.com/primo-explore/search?tab=default_tab&amp;search_scope=EVERYTHING&amp;vid=01CRU&amp;lang=en_US&amp;offset=0&amp;query=any,contains,991003220519702656","Catalog Record")</f>
        <v/>
      </c>
      <c r="AT1626">
        <f>HYPERLINK("http://www.worldcat.org/oclc/745943","WorldCat Record")</f>
        <v/>
      </c>
      <c r="AU1626" t="inlineStr">
        <is>
          <t>918363752:eng</t>
        </is>
      </c>
      <c r="AV1626" t="inlineStr">
        <is>
          <t>745943</t>
        </is>
      </c>
      <c r="AW1626" t="inlineStr">
        <is>
          <t>991003220519702656</t>
        </is>
      </c>
      <c r="AX1626" t="inlineStr">
        <is>
          <t>991003220519702656</t>
        </is>
      </c>
      <c r="AY1626" t="inlineStr">
        <is>
          <t>2268888590002656</t>
        </is>
      </c>
      <c r="AZ1626" t="inlineStr">
        <is>
          <t>BOOK</t>
        </is>
      </c>
      <c r="BB1626" t="inlineStr">
        <is>
          <t>9780672613517</t>
        </is>
      </c>
      <c r="BC1626" t="inlineStr">
        <is>
          <t>32285000900299</t>
        </is>
      </c>
      <c r="BD1626" t="inlineStr">
        <is>
          <t>893410040</t>
        </is>
      </c>
    </row>
    <row r="1627">
      <c r="A1627" t="inlineStr">
        <is>
          <t>No</t>
        </is>
      </c>
      <c r="B1627" t="inlineStr">
        <is>
          <t>E744 .G46 1974</t>
        </is>
      </c>
      <c r="C1627" t="inlineStr">
        <is>
          <t>0                      E  0744000G  46          1974</t>
        </is>
      </c>
      <c r="D1627" t="inlineStr">
        <is>
          <t>Deterrence in American foreign policy: theory and practice [by] Alexander L. George [and] Richard Smoke.</t>
        </is>
      </c>
      <c r="F1627" t="inlineStr">
        <is>
          <t>No</t>
        </is>
      </c>
      <c r="G1627" t="inlineStr">
        <is>
          <t>1</t>
        </is>
      </c>
      <c r="H1627" t="inlineStr">
        <is>
          <t>No</t>
        </is>
      </c>
      <c r="I1627" t="inlineStr">
        <is>
          <t>No</t>
        </is>
      </c>
      <c r="J1627" t="inlineStr">
        <is>
          <t>0</t>
        </is>
      </c>
      <c r="K1627" t="inlineStr">
        <is>
          <t>George, Alexander L.</t>
        </is>
      </c>
      <c r="L1627" t="inlineStr">
        <is>
          <t>New York, Columbia University Press, 1974.</t>
        </is>
      </c>
      <c r="M1627" t="inlineStr">
        <is>
          <t>1974</t>
        </is>
      </c>
      <c r="O1627" t="inlineStr">
        <is>
          <t>eng</t>
        </is>
      </c>
      <c r="P1627" t="inlineStr">
        <is>
          <t>nyu</t>
        </is>
      </c>
      <c r="R1627" t="inlineStr">
        <is>
          <t xml:space="preserve">E  </t>
        </is>
      </c>
      <c r="S1627" t="n">
        <v>21</v>
      </c>
      <c r="T1627" t="n">
        <v>21</v>
      </c>
      <c r="U1627" t="inlineStr">
        <is>
          <t>2005-12-12</t>
        </is>
      </c>
      <c r="V1627" t="inlineStr">
        <is>
          <t>2005-12-12</t>
        </is>
      </c>
      <c r="W1627" t="inlineStr">
        <is>
          <t>1997-04-23</t>
        </is>
      </c>
      <c r="X1627" t="inlineStr">
        <is>
          <t>1997-04-23</t>
        </is>
      </c>
      <c r="Y1627" t="n">
        <v>952</v>
      </c>
      <c r="Z1627" t="n">
        <v>803</v>
      </c>
      <c r="AA1627" t="n">
        <v>944</v>
      </c>
      <c r="AB1627" t="n">
        <v>5</v>
      </c>
      <c r="AC1627" t="n">
        <v>6</v>
      </c>
      <c r="AD1627" t="n">
        <v>38</v>
      </c>
      <c r="AE1627" t="n">
        <v>43</v>
      </c>
      <c r="AF1627" t="n">
        <v>15</v>
      </c>
      <c r="AG1627" t="n">
        <v>19</v>
      </c>
      <c r="AH1627" t="n">
        <v>8</v>
      </c>
      <c r="AI1627" t="n">
        <v>8</v>
      </c>
      <c r="AJ1627" t="n">
        <v>17</v>
      </c>
      <c r="AK1627" t="n">
        <v>19</v>
      </c>
      <c r="AL1627" t="n">
        <v>4</v>
      </c>
      <c r="AM1627" t="n">
        <v>5</v>
      </c>
      <c r="AN1627" t="n">
        <v>2</v>
      </c>
      <c r="AO1627" t="n">
        <v>2</v>
      </c>
      <c r="AP1627" t="inlineStr">
        <is>
          <t>No</t>
        </is>
      </c>
      <c r="AQ1627" t="inlineStr">
        <is>
          <t>No</t>
        </is>
      </c>
      <c r="AS1627">
        <f>HYPERLINK("https://creighton-primo.hosted.exlibrisgroup.com/primo-explore/search?tab=default_tab&amp;search_scope=EVERYTHING&amp;vid=01CRU&amp;lang=en_US&amp;offset=0&amp;query=any,contains,991005357089702656","Catalog Record")</f>
        <v/>
      </c>
      <c r="AT1627">
        <f>HYPERLINK("http://www.worldcat.org/oclc/886348","WorldCat Record")</f>
        <v/>
      </c>
      <c r="AU1627" t="inlineStr">
        <is>
          <t>1060951:eng</t>
        </is>
      </c>
      <c r="AV1627" t="inlineStr">
        <is>
          <t>886348</t>
        </is>
      </c>
      <c r="AW1627" t="inlineStr">
        <is>
          <t>991005357089702656</t>
        </is>
      </c>
      <c r="AX1627" t="inlineStr">
        <is>
          <t>991005357089702656</t>
        </is>
      </c>
      <c r="AY1627" t="inlineStr">
        <is>
          <t>2258011160002656</t>
        </is>
      </c>
      <c r="AZ1627" t="inlineStr">
        <is>
          <t>BOOK</t>
        </is>
      </c>
      <c r="BB1627" t="inlineStr">
        <is>
          <t>9780231038379</t>
        </is>
      </c>
      <c r="BC1627" t="inlineStr">
        <is>
          <t>32285002562253</t>
        </is>
      </c>
      <c r="BD1627" t="inlineStr">
        <is>
          <t>893431351</t>
        </is>
      </c>
    </row>
    <row r="1628">
      <c r="A1628" t="inlineStr">
        <is>
          <t>No</t>
        </is>
      </c>
      <c r="B1628" t="inlineStr">
        <is>
          <t>E744 .G852 1982</t>
        </is>
      </c>
      <c r="C1628" t="inlineStr">
        <is>
          <t>0                      E  0744000G  852         1982</t>
        </is>
      </c>
      <c r="D1628" t="inlineStr">
        <is>
          <t>The pursuit of isolationism in the United States Senate from Versailles to Pearl Harbor / Thomas N. Guinsburg.</t>
        </is>
      </c>
      <c r="F1628" t="inlineStr">
        <is>
          <t>No</t>
        </is>
      </c>
      <c r="G1628" t="inlineStr">
        <is>
          <t>1</t>
        </is>
      </c>
      <c r="H1628" t="inlineStr">
        <is>
          <t>No</t>
        </is>
      </c>
      <c r="I1628" t="inlineStr">
        <is>
          <t>No</t>
        </is>
      </c>
      <c r="J1628" t="inlineStr">
        <is>
          <t>0</t>
        </is>
      </c>
      <c r="K1628" t="inlineStr">
        <is>
          <t>Guinsburg, Thomas N.</t>
        </is>
      </c>
      <c r="L1628" t="inlineStr">
        <is>
          <t>New York : Garland, 1982.</t>
        </is>
      </c>
      <c r="M1628" t="inlineStr">
        <is>
          <t>1982</t>
        </is>
      </c>
      <c r="O1628" t="inlineStr">
        <is>
          <t>eng</t>
        </is>
      </c>
      <c r="P1628" t="inlineStr">
        <is>
          <t>nyu</t>
        </is>
      </c>
      <c r="Q1628" t="inlineStr">
        <is>
          <t>Modern American history</t>
        </is>
      </c>
      <c r="R1628" t="inlineStr">
        <is>
          <t xml:space="preserve">E  </t>
        </is>
      </c>
      <c r="S1628" t="n">
        <v>6</v>
      </c>
      <c r="T1628" t="n">
        <v>6</v>
      </c>
      <c r="U1628" t="inlineStr">
        <is>
          <t>1999-04-21</t>
        </is>
      </c>
      <c r="V1628" t="inlineStr">
        <is>
          <t>1999-04-21</t>
        </is>
      </c>
      <c r="W1628" t="inlineStr">
        <is>
          <t>1991-05-28</t>
        </is>
      </c>
      <c r="X1628" t="inlineStr">
        <is>
          <t>1991-05-28</t>
        </is>
      </c>
      <c r="Y1628" t="n">
        <v>350</v>
      </c>
      <c r="Z1628" t="n">
        <v>285</v>
      </c>
      <c r="AA1628" t="n">
        <v>287</v>
      </c>
      <c r="AB1628" t="n">
        <v>3</v>
      </c>
      <c r="AC1628" t="n">
        <v>3</v>
      </c>
      <c r="AD1628" t="n">
        <v>14</v>
      </c>
      <c r="AE1628" t="n">
        <v>14</v>
      </c>
      <c r="AF1628" t="n">
        <v>4</v>
      </c>
      <c r="AG1628" t="n">
        <v>4</v>
      </c>
      <c r="AH1628" t="n">
        <v>5</v>
      </c>
      <c r="AI1628" t="n">
        <v>5</v>
      </c>
      <c r="AJ1628" t="n">
        <v>9</v>
      </c>
      <c r="AK1628" t="n">
        <v>9</v>
      </c>
      <c r="AL1628" t="n">
        <v>2</v>
      </c>
      <c r="AM1628" t="n">
        <v>2</v>
      </c>
      <c r="AN1628" t="n">
        <v>0</v>
      </c>
      <c r="AO1628" t="n">
        <v>0</v>
      </c>
      <c r="AP1628" t="inlineStr">
        <is>
          <t>No</t>
        </is>
      </c>
      <c r="AQ1628" t="inlineStr">
        <is>
          <t>Yes</t>
        </is>
      </c>
      <c r="AR1628">
        <f>HYPERLINK("http://catalog.hathitrust.org/Record/000265120","HathiTrust Record")</f>
        <v/>
      </c>
      <c r="AS1628">
        <f>HYPERLINK("https://creighton-primo.hosted.exlibrisgroup.com/primo-explore/search?tab=default_tab&amp;search_scope=EVERYTHING&amp;vid=01CRU&amp;lang=en_US&amp;offset=0&amp;query=any,contains,991005186839702656","Catalog Record")</f>
        <v/>
      </c>
      <c r="AT1628">
        <f>HYPERLINK("http://www.worldcat.org/oclc/7976928","WorldCat Record")</f>
        <v/>
      </c>
      <c r="AU1628" t="inlineStr">
        <is>
          <t>30329467:eng</t>
        </is>
      </c>
      <c r="AV1628" t="inlineStr">
        <is>
          <t>7976928</t>
        </is>
      </c>
      <c r="AW1628" t="inlineStr">
        <is>
          <t>991005186839702656</t>
        </is>
      </c>
      <c r="AX1628" t="inlineStr">
        <is>
          <t>991005186839702656</t>
        </is>
      </c>
      <c r="AY1628" t="inlineStr">
        <is>
          <t>2262159810002656</t>
        </is>
      </c>
      <c r="AZ1628" t="inlineStr">
        <is>
          <t>BOOK</t>
        </is>
      </c>
      <c r="BB1628" t="inlineStr">
        <is>
          <t>9780824048549</t>
        </is>
      </c>
      <c r="BC1628" t="inlineStr">
        <is>
          <t>32285000612514</t>
        </is>
      </c>
      <c r="BD1628" t="inlineStr">
        <is>
          <t>893889814</t>
        </is>
      </c>
    </row>
    <row r="1629">
      <c r="A1629" t="inlineStr">
        <is>
          <t>No</t>
        </is>
      </c>
      <c r="B1629" t="inlineStr">
        <is>
          <t>E744 .G86 1974</t>
        </is>
      </c>
      <c r="C1629" t="inlineStr">
        <is>
          <t>0                      E  0744000G  86          1974</t>
        </is>
      </c>
      <c r="D1629" t="inlineStr">
        <is>
          <t>The United States against the Third World : antinationalism and intervention / Melvin Gurtov.</t>
        </is>
      </c>
      <c r="F1629" t="inlineStr">
        <is>
          <t>No</t>
        </is>
      </c>
      <c r="G1629" t="inlineStr">
        <is>
          <t>1</t>
        </is>
      </c>
      <c r="H1629" t="inlineStr">
        <is>
          <t>No</t>
        </is>
      </c>
      <c r="I1629" t="inlineStr">
        <is>
          <t>No</t>
        </is>
      </c>
      <c r="J1629" t="inlineStr">
        <is>
          <t>0</t>
        </is>
      </c>
      <c r="K1629" t="inlineStr">
        <is>
          <t>Gurtov, Melvin.</t>
        </is>
      </c>
      <c r="L1629" t="inlineStr">
        <is>
          <t>New York : Praeger, [1974]</t>
        </is>
      </c>
      <c r="M1629" t="inlineStr">
        <is>
          <t>1974</t>
        </is>
      </c>
      <c r="O1629" t="inlineStr">
        <is>
          <t>eng</t>
        </is>
      </c>
      <c r="P1629" t="inlineStr">
        <is>
          <t>nyu</t>
        </is>
      </c>
      <c r="R1629" t="inlineStr">
        <is>
          <t xml:space="preserve">E  </t>
        </is>
      </c>
      <c r="S1629" t="n">
        <v>1</v>
      </c>
      <c r="T1629" t="n">
        <v>1</v>
      </c>
      <c r="U1629" t="inlineStr">
        <is>
          <t>2001-09-26</t>
        </is>
      </c>
      <c r="V1629" t="inlineStr">
        <is>
          <t>2001-09-26</t>
        </is>
      </c>
      <c r="W1629" t="inlineStr">
        <is>
          <t>2001-09-25</t>
        </is>
      </c>
      <c r="X1629" t="inlineStr">
        <is>
          <t>2001-09-25</t>
        </is>
      </c>
      <c r="Y1629" t="n">
        <v>724</v>
      </c>
      <c r="Z1629" t="n">
        <v>619</v>
      </c>
      <c r="AA1629" t="n">
        <v>625</v>
      </c>
      <c r="AB1629" t="n">
        <v>4</v>
      </c>
      <c r="AC1629" t="n">
        <v>4</v>
      </c>
      <c r="AD1629" t="n">
        <v>28</v>
      </c>
      <c r="AE1629" t="n">
        <v>28</v>
      </c>
      <c r="AF1629" t="n">
        <v>11</v>
      </c>
      <c r="AG1629" t="n">
        <v>11</v>
      </c>
      <c r="AH1629" t="n">
        <v>7</v>
      </c>
      <c r="AI1629" t="n">
        <v>7</v>
      </c>
      <c r="AJ1629" t="n">
        <v>14</v>
      </c>
      <c r="AK1629" t="n">
        <v>14</v>
      </c>
      <c r="AL1629" t="n">
        <v>3</v>
      </c>
      <c r="AM1629" t="n">
        <v>3</v>
      </c>
      <c r="AN1629" t="n">
        <v>0</v>
      </c>
      <c r="AO1629" t="n">
        <v>0</v>
      </c>
      <c r="AP1629" t="inlineStr">
        <is>
          <t>No</t>
        </is>
      </c>
      <c r="AQ1629" t="inlineStr">
        <is>
          <t>Yes</t>
        </is>
      </c>
      <c r="AR1629">
        <f>HYPERLINK("http://catalog.hathitrust.org/Record/000467058","HathiTrust Record")</f>
        <v/>
      </c>
      <c r="AS1629">
        <f>HYPERLINK("https://creighton-primo.hosted.exlibrisgroup.com/primo-explore/search?tab=default_tab&amp;search_scope=EVERYTHING&amp;vid=01CRU&amp;lang=en_US&amp;offset=0&amp;query=any,contains,991003631429702656","Catalog Record")</f>
        <v/>
      </c>
      <c r="AT1629">
        <f>HYPERLINK("http://www.worldcat.org/oclc/940308","WorldCat Record")</f>
        <v/>
      </c>
      <c r="AU1629" t="inlineStr">
        <is>
          <t>1899093:eng</t>
        </is>
      </c>
      <c r="AV1629" t="inlineStr">
        <is>
          <t>940308</t>
        </is>
      </c>
      <c r="AW1629" t="inlineStr">
        <is>
          <t>991003631429702656</t>
        </is>
      </c>
      <c r="AX1629" t="inlineStr">
        <is>
          <t>991003631429702656</t>
        </is>
      </c>
      <c r="AY1629" t="inlineStr">
        <is>
          <t>2261370600002656</t>
        </is>
      </c>
      <c r="AZ1629" t="inlineStr">
        <is>
          <t>BOOK</t>
        </is>
      </c>
      <c r="BB1629" t="inlineStr">
        <is>
          <t>9780275334703</t>
        </is>
      </c>
      <c r="BC1629" t="inlineStr">
        <is>
          <t>32285004392998</t>
        </is>
      </c>
      <c r="BD1629" t="inlineStr">
        <is>
          <t>893512165</t>
        </is>
      </c>
    </row>
    <row r="1630">
      <c r="A1630" t="inlineStr">
        <is>
          <t>No</t>
        </is>
      </c>
      <c r="B1630" t="inlineStr">
        <is>
          <t>E744 .H56</t>
        </is>
      </c>
      <c r="C1630" t="inlineStr">
        <is>
          <t>0                      E  0744000H  56</t>
        </is>
      </c>
      <c r="D1630" t="inlineStr">
        <is>
          <t>Power and the people : executive management of public opinion in foreign affairs, 1897-1921 / Robert C. Hilderbrand.</t>
        </is>
      </c>
      <c r="F1630" t="inlineStr">
        <is>
          <t>No</t>
        </is>
      </c>
      <c r="G1630" t="inlineStr">
        <is>
          <t>1</t>
        </is>
      </c>
      <c r="H1630" t="inlineStr">
        <is>
          <t>No</t>
        </is>
      </c>
      <c r="I1630" t="inlineStr">
        <is>
          <t>No</t>
        </is>
      </c>
      <c r="J1630" t="inlineStr">
        <is>
          <t>0</t>
        </is>
      </c>
      <c r="K1630" t="inlineStr">
        <is>
          <t>Hilderbrand, Robert C., 1947-</t>
        </is>
      </c>
      <c r="L1630" t="inlineStr">
        <is>
          <t>Chapel Hill : University of North Carolina Press, c1981.</t>
        </is>
      </c>
      <c r="M1630" t="inlineStr">
        <is>
          <t>1981</t>
        </is>
      </c>
      <c r="O1630" t="inlineStr">
        <is>
          <t>eng</t>
        </is>
      </c>
      <c r="P1630" t="inlineStr">
        <is>
          <t>ncu</t>
        </is>
      </c>
      <c r="Q1630" t="inlineStr">
        <is>
          <t>Supplementary volumes to The papers of Woodrow Wilson</t>
        </is>
      </c>
      <c r="R1630" t="inlineStr">
        <is>
          <t xml:space="preserve">E  </t>
        </is>
      </c>
      <c r="S1630" t="n">
        <v>2</v>
      </c>
      <c r="T1630" t="n">
        <v>2</v>
      </c>
      <c r="U1630" t="inlineStr">
        <is>
          <t>1993-03-20</t>
        </is>
      </c>
      <c r="V1630" t="inlineStr">
        <is>
          <t>1993-03-20</t>
        </is>
      </c>
      <c r="W1630" t="inlineStr">
        <is>
          <t>1991-05-28</t>
        </is>
      </c>
      <c r="X1630" t="inlineStr">
        <is>
          <t>1991-05-28</t>
        </is>
      </c>
      <c r="Y1630" t="n">
        <v>457</v>
      </c>
      <c r="Z1630" t="n">
        <v>393</v>
      </c>
      <c r="AA1630" t="n">
        <v>399</v>
      </c>
      <c r="AB1630" t="n">
        <v>2</v>
      </c>
      <c r="AC1630" t="n">
        <v>2</v>
      </c>
      <c r="AD1630" t="n">
        <v>22</v>
      </c>
      <c r="AE1630" t="n">
        <v>22</v>
      </c>
      <c r="AF1630" t="n">
        <v>6</v>
      </c>
      <c r="AG1630" t="n">
        <v>6</v>
      </c>
      <c r="AH1630" t="n">
        <v>6</v>
      </c>
      <c r="AI1630" t="n">
        <v>6</v>
      </c>
      <c r="AJ1630" t="n">
        <v>14</v>
      </c>
      <c r="AK1630" t="n">
        <v>14</v>
      </c>
      <c r="AL1630" t="n">
        <v>1</v>
      </c>
      <c r="AM1630" t="n">
        <v>1</v>
      </c>
      <c r="AN1630" t="n">
        <v>1</v>
      </c>
      <c r="AO1630" t="n">
        <v>1</v>
      </c>
      <c r="AP1630" t="inlineStr">
        <is>
          <t>No</t>
        </is>
      </c>
      <c r="AQ1630" t="inlineStr">
        <is>
          <t>Yes</t>
        </is>
      </c>
      <c r="AR1630">
        <f>HYPERLINK("http://catalog.hathitrust.org/Record/000746422","HathiTrust Record")</f>
        <v/>
      </c>
      <c r="AS1630">
        <f>HYPERLINK("https://creighton-primo.hosted.exlibrisgroup.com/primo-explore/search?tab=default_tab&amp;search_scope=EVERYTHING&amp;vid=01CRU&amp;lang=en_US&amp;offset=0&amp;query=any,contains,991004884949702656","Catalog Record")</f>
        <v/>
      </c>
      <c r="AT1630">
        <f>HYPERLINK("http://www.worldcat.org/oclc/5831320","WorldCat Record")</f>
        <v/>
      </c>
      <c r="AU1630" t="inlineStr">
        <is>
          <t>465352:eng</t>
        </is>
      </c>
      <c r="AV1630" t="inlineStr">
        <is>
          <t>5831320</t>
        </is>
      </c>
      <c r="AW1630" t="inlineStr">
        <is>
          <t>991004884949702656</t>
        </is>
      </c>
      <c r="AX1630" t="inlineStr">
        <is>
          <t>991004884949702656</t>
        </is>
      </c>
      <c r="AY1630" t="inlineStr">
        <is>
          <t>2263215730002656</t>
        </is>
      </c>
      <c r="AZ1630" t="inlineStr">
        <is>
          <t>BOOK</t>
        </is>
      </c>
      <c r="BB1630" t="inlineStr">
        <is>
          <t>9780807814321</t>
        </is>
      </c>
      <c r="BC1630" t="inlineStr">
        <is>
          <t>32285000612530</t>
        </is>
      </c>
      <c r="BD1630" t="inlineStr">
        <is>
          <t>893694450</t>
        </is>
      </c>
    </row>
    <row r="1631">
      <c r="A1631" t="inlineStr">
        <is>
          <t>No</t>
        </is>
      </c>
      <c r="B1631" t="inlineStr">
        <is>
          <t>E744 .H632</t>
        </is>
      </c>
      <c r="C1631" t="inlineStr">
        <is>
          <t>0                      E  0744000H  632</t>
        </is>
      </c>
      <c r="D1631" t="inlineStr">
        <is>
          <t>Gulliver's troubles; or, The setting of American foreign policy.</t>
        </is>
      </c>
      <c r="F1631" t="inlineStr">
        <is>
          <t>No</t>
        </is>
      </c>
      <c r="G1631" t="inlineStr">
        <is>
          <t>1</t>
        </is>
      </c>
      <c r="H1631" t="inlineStr">
        <is>
          <t>No</t>
        </is>
      </c>
      <c r="I1631" t="inlineStr">
        <is>
          <t>No</t>
        </is>
      </c>
      <c r="J1631" t="inlineStr">
        <is>
          <t>0</t>
        </is>
      </c>
      <c r="K1631" t="inlineStr">
        <is>
          <t>Hoffmann, Stanley.</t>
        </is>
      </c>
      <c r="L1631" t="inlineStr">
        <is>
          <t>New York, Published for the Council on Foreign Relations by McGraw-Hill [1968]</t>
        </is>
      </c>
      <c r="M1631" t="inlineStr">
        <is>
          <t>1968</t>
        </is>
      </c>
      <c r="N1631" t="inlineStr">
        <is>
          <t>[1st ed.]</t>
        </is>
      </c>
      <c r="O1631" t="inlineStr">
        <is>
          <t>eng</t>
        </is>
      </c>
      <c r="P1631" t="inlineStr">
        <is>
          <t>nyu</t>
        </is>
      </c>
      <c r="Q1631" t="inlineStr">
        <is>
          <t>The Atlantic policy studies</t>
        </is>
      </c>
      <c r="R1631" t="inlineStr">
        <is>
          <t xml:space="preserve">E  </t>
        </is>
      </c>
      <c r="S1631" t="n">
        <v>1</v>
      </c>
      <c r="T1631" t="n">
        <v>1</v>
      </c>
      <c r="U1631" t="inlineStr">
        <is>
          <t>2003-01-26</t>
        </is>
      </c>
      <c r="V1631" t="inlineStr">
        <is>
          <t>2003-01-26</t>
        </is>
      </c>
      <c r="W1631" t="inlineStr">
        <is>
          <t>1997-04-23</t>
        </is>
      </c>
      <c r="X1631" t="inlineStr">
        <is>
          <t>1997-04-23</t>
        </is>
      </c>
      <c r="Y1631" t="n">
        <v>1007</v>
      </c>
      <c r="Z1631" t="n">
        <v>854</v>
      </c>
      <c r="AA1631" t="n">
        <v>877</v>
      </c>
      <c r="AB1631" t="n">
        <v>7</v>
      </c>
      <c r="AC1631" t="n">
        <v>7</v>
      </c>
      <c r="AD1631" t="n">
        <v>37</v>
      </c>
      <c r="AE1631" t="n">
        <v>40</v>
      </c>
      <c r="AF1631" t="n">
        <v>11</v>
      </c>
      <c r="AG1631" t="n">
        <v>11</v>
      </c>
      <c r="AH1631" t="n">
        <v>9</v>
      </c>
      <c r="AI1631" t="n">
        <v>9</v>
      </c>
      <c r="AJ1631" t="n">
        <v>20</v>
      </c>
      <c r="AK1631" t="n">
        <v>20</v>
      </c>
      <c r="AL1631" t="n">
        <v>6</v>
      </c>
      <c r="AM1631" t="n">
        <v>6</v>
      </c>
      <c r="AN1631" t="n">
        <v>1</v>
      </c>
      <c r="AO1631" t="n">
        <v>4</v>
      </c>
      <c r="AP1631" t="inlineStr">
        <is>
          <t>No</t>
        </is>
      </c>
      <c r="AQ1631" t="inlineStr">
        <is>
          <t>Yes</t>
        </is>
      </c>
      <c r="AR1631">
        <f>HYPERLINK("http://catalog.hathitrust.org/Record/000468346","HathiTrust Record")</f>
        <v/>
      </c>
      <c r="AS1631">
        <f>HYPERLINK("https://creighton-primo.hosted.exlibrisgroup.com/primo-explore/search?tab=default_tab&amp;search_scope=EVERYTHING&amp;vid=01CRU&amp;lang=en_US&amp;offset=0&amp;query=any,contains,991002200239702656","Catalog Record")</f>
        <v/>
      </c>
      <c r="AT1631">
        <f>HYPERLINK("http://www.worldcat.org/oclc/284137","WorldCat Record")</f>
        <v/>
      </c>
      <c r="AU1631" t="inlineStr">
        <is>
          <t>1443776:eng</t>
        </is>
      </c>
      <c r="AV1631" t="inlineStr">
        <is>
          <t>284137</t>
        </is>
      </c>
      <c r="AW1631" t="inlineStr">
        <is>
          <t>991002200239702656</t>
        </is>
      </c>
      <c r="AX1631" t="inlineStr">
        <is>
          <t>991002200239702656</t>
        </is>
      </c>
      <c r="AY1631" t="inlineStr">
        <is>
          <t>2266082830002656</t>
        </is>
      </c>
      <c r="AZ1631" t="inlineStr">
        <is>
          <t>BOOK</t>
        </is>
      </c>
      <c r="BC1631" t="inlineStr">
        <is>
          <t>32285002562329</t>
        </is>
      </c>
      <c r="BD1631" t="inlineStr">
        <is>
          <t>893615816</t>
        </is>
      </c>
    </row>
    <row r="1632">
      <c r="A1632" t="inlineStr">
        <is>
          <t>No</t>
        </is>
      </c>
      <c r="B1632" t="inlineStr">
        <is>
          <t>E744 .H665</t>
        </is>
      </c>
      <c r="C1632" t="inlineStr">
        <is>
          <t>0                      E  0744000H  665</t>
        </is>
      </c>
      <c r="D1632" t="inlineStr">
        <is>
          <t>The free world colossus; a critique of American foreign policy in the cold war.</t>
        </is>
      </c>
      <c r="F1632" t="inlineStr">
        <is>
          <t>No</t>
        </is>
      </c>
      <c r="G1632" t="inlineStr">
        <is>
          <t>1</t>
        </is>
      </c>
      <c r="H1632" t="inlineStr">
        <is>
          <t>No</t>
        </is>
      </c>
      <c r="I1632" t="inlineStr">
        <is>
          <t>No</t>
        </is>
      </c>
      <c r="J1632" t="inlineStr">
        <is>
          <t>0</t>
        </is>
      </c>
      <c r="K1632" t="inlineStr">
        <is>
          <t>Horowitz, David, 1939-</t>
        </is>
      </c>
      <c r="L1632" t="inlineStr">
        <is>
          <t>New York, Hill and Wang [1965]</t>
        </is>
      </c>
      <c r="M1632" t="inlineStr">
        <is>
          <t>1965</t>
        </is>
      </c>
      <c r="N1632" t="inlineStr">
        <is>
          <t>[1st ed.]</t>
        </is>
      </c>
      <c r="O1632" t="inlineStr">
        <is>
          <t>eng</t>
        </is>
      </c>
      <c r="P1632" t="inlineStr">
        <is>
          <t>nyu</t>
        </is>
      </c>
      <c r="R1632" t="inlineStr">
        <is>
          <t xml:space="preserve">E  </t>
        </is>
      </c>
      <c r="S1632" t="n">
        <v>4</v>
      </c>
      <c r="T1632" t="n">
        <v>4</v>
      </c>
      <c r="U1632" t="inlineStr">
        <is>
          <t>2001-04-17</t>
        </is>
      </c>
      <c r="V1632" t="inlineStr">
        <is>
          <t>2001-04-17</t>
        </is>
      </c>
      <c r="W1632" t="inlineStr">
        <is>
          <t>1997-04-23</t>
        </is>
      </c>
      <c r="X1632" t="inlineStr">
        <is>
          <t>1997-04-23</t>
        </is>
      </c>
      <c r="Y1632" t="n">
        <v>609</v>
      </c>
      <c r="Z1632" t="n">
        <v>552</v>
      </c>
      <c r="AA1632" t="n">
        <v>900</v>
      </c>
      <c r="AB1632" t="n">
        <v>3</v>
      </c>
      <c r="AC1632" t="n">
        <v>6</v>
      </c>
      <c r="AD1632" t="n">
        <v>15</v>
      </c>
      <c r="AE1632" t="n">
        <v>34</v>
      </c>
      <c r="AF1632" t="n">
        <v>6</v>
      </c>
      <c r="AG1632" t="n">
        <v>13</v>
      </c>
      <c r="AH1632" t="n">
        <v>4</v>
      </c>
      <c r="AI1632" t="n">
        <v>6</v>
      </c>
      <c r="AJ1632" t="n">
        <v>8</v>
      </c>
      <c r="AK1632" t="n">
        <v>19</v>
      </c>
      <c r="AL1632" t="n">
        <v>1</v>
      </c>
      <c r="AM1632" t="n">
        <v>4</v>
      </c>
      <c r="AN1632" t="n">
        <v>0</v>
      </c>
      <c r="AO1632" t="n">
        <v>0</v>
      </c>
      <c r="AP1632" t="inlineStr">
        <is>
          <t>No</t>
        </is>
      </c>
      <c r="AQ1632" t="inlineStr">
        <is>
          <t>Yes</t>
        </is>
      </c>
      <c r="AR1632">
        <f>HYPERLINK("http://catalog.hathitrust.org/Record/000468352","HathiTrust Record")</f>
        <v/>
      </c>
      <c r="AS1632">
        <f>HYPERLINK("https://creighton-primo.hosted.exlibrisgroup.com/primo-explore/search?tab=default_tab&amp;search_scope=EVERYTHING&amp;vid=01CRU&amp;lang=en_US&amp;offset=0&amp;query=any,contains,991002812319702656","Catalog Record")</f>
        <v/>
      </c>
      <c r="AT1632">
        <f>HYPERLINK("http://www.worldcat.org/oclc/456585","WorldCat Record")</f>
        <v/>
      </c>
      <c r="AU1632" t="inlineStr">
        <is>
          <t>3332756981:eng</t>
        </is>
      </c>
      <c r="AV1632" t="inlineStr">
        <is>
          <t>456585</t>
        </is>
      </c>
      <c r="AW1632" t="inlineStr">
        <is>
          <t>991002812319702656</t>
        </is>
      </c>
      <c r="AX1632" t="inlineStr">
        <is>
          <t>991002812319702656</t>
        </is>
      </c>
      <c r="AY1632" t="inlineStr">
        <is>
          <t>2260857840002656</t>
        </is>
      </c>
      <c r="AZ1632" t="inlineStr">
        <is>
          <t>BOOK</t>
        </is>
      </c>
      <c r="BB1632" t="inlineStr">
        <is>
          <t>9780809013333</t>
        </is>
      </c>
      <c r="BC1632" t="inlineStr">
        <is>
          <t>32285002562352</t>
        </is>
      </c>
      <c r="BD1632" t="inlineStr">
        <is>
          <t>893610332</t>
        </is>
      </c>
    </row>
    <row r="1633">
      <c r="A1633" t="inlineStr">
        <is>
          <t>No</t>
        </is>
      </c>
      <c r="B1633" t="inlineStr">
        <is>
          <t>E744 .J28 1965</t>
        </is>
      </c>
      <c r="C1633" t="inlineStr">
        <is>
          <t>0                      E  0744000J  28          1965</t>
        </is>
      </c>
      <c r="D1633" t="inlineStr">
        <is>
          <t>America's foreign policy / edited with an introduction and notes, by Harold Karan Jacobson.</t>
        </is>
      </c>
      <c r="F1633" t="inlineStr">
        <is>
          <t>No</t>
        </is>
      </c>
      <c r="G1633" t="inlineStr">
        <is>
          <t>1</t>
        </is>
      </c>
      <c r="H1633" t="inlineStr">
        <is>
          <t>No</t>
        </is>
      </c>
      <c r="I1633" t="inlineStr">
        <is>
          <t>No</t>
        </is>
      </c>
      <c r="J1633" t="inlineStr">
        <is>
          <t>0</t>
        </is>
      </c>
      <c r="K1633" t="inlineStr">
        <is>
          <t>Jacobson, Harold Karan.</t>
        </is>
      </c>
      <c r="L1633" t="inlineStr">
        <is>
          <t>New York : Random House, 1965.</t>
        </is>
      </c>
      <c r="M1633" t="inlineStr">
        <is>
          <t>1965</t>
        </is>
      </c>
      <c r="N1633" t="inlineStr">
        <is>
          <t>Rev. ed.</t>
        </is>
      </c>
      <c r="O1633" t="inlineStr">
        <is>
          <t>eng</t>
        </is>
      </c>
      <c r="P1633" t="inlineStr">
        <is>
          <t>nyu</t>
        </is>
      </c>
      <c r="R1633" t="inlineStr">
        <is>
          <t xml:space="preserve">E  </t>
        </is>
      </c>
      <c r="S1633" t="n">
        <v>1</v>
      </c>
      <c r="T1633" t="n">
        <v>1</v>
      </c>
      <c r="U1633" t="inlineStr">
        <is>
          <t>1993-02-07</t>
        </is>
      </c>
      <c r="V1633" t="inlineStr">
        <is>
          <t>1993-02-07</t>
        </is>
      </c>
      <c r="W1633" t="inlineStr">
        <is>
          <t>1990-02-16</t>
        </is>
      </c>
      <c r="X1633" t="inlineStr">
        <is>
          <t>1990-02-16</t>
        </is>
      </c>
      <c r="Y1633" t="n">
        <v>442</v>
      </c>
      <c r="Z1633" t="n">
        <v>387</v>
      </c>
      <c r="AA1633" t="n">
        <v>662</v>
      </c>
      <c r="AB1633" t="n">
        <v>3</v>
      </c>
      <c r="AC1633" t="n">
        <v>8</v>
      </c>
      <c r="AD1633" t="n">
        <v>23</v>
      </c>
      <c r="AE1633" t="n">
        <v>35</v>
      </c>
      <c r="AF1633" t="n">
        <v>6</v>
      </c>
      <c r="AG1633" t="n">
        <v>11</v>
      </c>
      <c r="AH1633" t="n">
        <v>6</v>
      </c>
      <c r="AI1633" t="n">
        <v>8</v>
      </c>
      <c r="AJ1633" t="n">
        <v>14</v>
      </c>
      <c r="AK1633" t="n">
        <v>17</v>
      </c>
      <c r="AL1633" t="n">
        <v>2</v>
      </c>
      <c r="AM1633" t="n">
        <v>6</v>
      </c>
      <c r="AN1633" t="n">
        <v>0</v>
      </c>
      <c r="AO1633" t="n">
        <v>0</v>
      </c>
      <c r="AP1633" t="inlineStr">
        <is>
          <t>No</t>
        </is>
      </c>
      <c r="AQ1633" t="inlineStr">
        <is>
          <t>Yes</t>
        </is>
      </c>
      <c r="AR1633">
        <f>HYPERLINK("http://catalog.hathitrust.org/Record/000467093","HathiTrust Record")</f>
        <v/>
      </c>
      <c r="AS1633">
        <f>HYPERLINK("https://creighton-primo.hosted.exlibrisgroup.com/primo-explore/search?tab=default_tab&amp;search_scope=EVERYTHING&amp;vid=01CRU&amp;lang=en_US&amp;offset=0&amp;query=any,contains,991002812349702656","Catalog Record")</f>
        <v/>
      </c>
      <c r="AT1633">
        <f>HYPERLINK("http://www.worldcat.org/oclc/456592","WorldCat Record")</f>
        <v/>
      </c>
      <c r="AU1633" t="inlineStr">
        <is>
          <t>1468438:eng</t>
        </is>
      </c>
      <c r="AV1633" t="inlineStr">
        <is>
          <t>456592</t>
        </is>
      </c>
      <c r="AW1633" t="inlineStr">
        <is>
          <t>991002812349702656</t>
        </is>
      </c>
      <c r="AX1633" t="inlineStr">
        <is>
          <t>991002812349702656</t>
        </is>
      </c>
      <c r="AY1633" t="inlineStr">
        <is>
          <t>2260837270002656</t>
        </is>
      </c>
      <c r="AZ1633" t="inlineStr">
        <is>
          <t>BOOK</t>
        </is>
      </c>
      <c r="BC1633" t="inlineStr">
        <is>
          <t>32285000042290</t>
        </is>
      </c>
      <c r="BD1633" t="inlineStr">
        <is>
          <t>893239533</t>
        </is>
      </c>
    </row>
    <row r="1634">
      <c r="A1634" t="inlineStr">
        <is>
          <t>No</t>
        </is>
      </c>
      <c r="B1634" t="inlineStr">
        <is>
          <t>E744 .J669 2001</t>
        </is>
      </c>
      <c r="C1634" t="inlineStr">
        <is>
          <t>0                      E  0744000J  669         2001</t>
        </is>
      </c>
      <c r="D1634" t="inlineStr">
        <is>
          <t>Crucible of power : a history of U.S. foreign relations since 1897 / Howard Jones.</t>
        </is>
      </c>
      <c r="F1634" t="inlineStr">
        <is>
          <t>No</t>
        </is>
      </c>
      <c r="G1634" t="inlineStr">
        <is>
          <t>1</t>
        </is>
      </c>
      <c r="H1634" t="inlineStr">
        <is>
          <t>No</t>
        </is>
      </c>
      <c r="I1634" t="inlineStr">
        <is>
          <t>No</t>
        </is>
      </c>
      <c r="J1634" t="inlineStr">
        <is>
          <t>0</t>
        </is>
      </c>
      <c r="K1634" t="inlineStr">
        <is>
          <t>Jones, Howard, 1940-</t>
        </is>
      </c>
      <c r="L1634" t="inlineStr">
        <is>
          <t>Wilmington, Del. : SR Books, c2001.</t>
        </is>
      </c>
      <c r="M1634" t="inlineStr">
        <is>
          <t>2001</t>
        </is>
      </c>
      <c r="O1634" t="inlineStr">
        <is>
          <t>eng</t>
        </is>
      </c>
      <c r="P1634" t="inlineStr">
        <is>
          <t>deu</t>
        </is>
      </c>
      <c r="R1634" t="inlineStr">
        <is>
          <t xml:space="preserve">E  </t>
        </is>
      </c>
      <c r="S1634" t="n">
        <v>2</v>
      </c>
      <c r="T1634" t="n">
        <v>2</v>
      </c>
      <c r="U1634" t="inlineStr">
        <is>
          <t>2001-10-31</t>
        </is>
      </c>
      <c r="V1634" t="inlineStr">
        <is>
          <t>2001-10-31</t>
        </is>
      </c>
      <c r="W1634" t="inlineStr">
        <is>
          <t>2001-10-30</t>
        </is>
      </c>
      <c r="X1634" t="inlineStr">
        <is>
          <t>2001-10-30</t>
        </is>
      </c>
      <c r="Y1634" t="n">
        <v>338</v>
      </c>
      <c r="Z1634" t="n">
        <v>288</v>
      </c>
      <c r="AA1634" t="n">
        <v>894</v>
      </c>
      <c r="AB1634" t="n">
        <v>4</v>
      </c>
      <c r="AC1634" t="n">
        <v>9</v>
      </c>
      <c r="AD1634" t="n">
        <v>15</v>
      </c>
      <c r="AE1634" t="n">
        <v>37</v>
      </c>
      <c r="AF1634" t="n">
        <v>4</v>
      </c>
      <c r="AG1634" t="n">
        <v>15</v>
      </c>
      <c r="AH1634" t="n">
        <v>4</v>
      </c>
      <c r="AI1634" t="n">
        <v>9</v>
      </c>
      <c r="AJ1634" t="n">
        <v>6</v>
      </c>
      <c r="AK1634" t="n">
        <v>13</v>
      </c>
      <c r="AL1634" t="n">
        <v>3</v>
      </c>
      <c r="AM1634" t="n">
        <v>6</v>
      </c>
      <c r="AN1634" t="n">
        <v>1</v>
      </c>
      <c r="AO1634" t="n">
        <v>2</v>
      </c>
      <c r="AP1634" t="inlineStr">
        <is>
          <t>No</t>
        </is>
      </c>
      <c r="AQ1634" t="inlineStr">
        <is>
          <t>No</t>
        </is>
      </c>
      <c r="AS1634">
        <f>HYPERLINK("https://creighton-primo.hosted.exlibrisgroup.com/primo-explore/search?tab=default_tab&amp;search_scope=EVERYTHING&amp;vid=01CRU&amp;lang=en_US&amp;offset=0&amp;query=any,contains,991003647909702656","Catalog Record")</f>
        <v/>
      </c>
      <c r="AT1634">
        <f>HYPERLINK("http://www.worldcat.org/oclc/46640675","WorldCat Record")</f>
        <v/>
      </c>
      <c r="AU1634" t="inlineStr">
        <is>
          <t>36979539:eng</t>
        </is>
      </c>
      <c r="AV1634" t="inlineStr">
        <is>
          <t>46640675</t>
        </is>
      </c>
      <c r="AW1634" t="inlineStr">
        <is>
          <t>991003647909702656</t>
        </is>
      </c>
      <c r="AX1634" t="inlineStr">
        <is>
          <t>991003647909702656</t>
        </is>
      </c>
      <c r="AY1634" t="inlineStr">
        <is>
          <t>2266569550002656</t>
        </is>
      </c>
      <c r="AZ1634" t="inlineStr">
        <is>
          <t>BOOK</t>
        </is>
      </c>
      <c r="BB1634" t="inlineStr">
        <is>
          <t>9780842029186</t>
        </is>
      </c>
      <c r="BC1634" t="inlineStr">
        <is>
          <t>32285004416417</t>
        </is>
      </c>
      <c r="BD1634" t="inlineStr">
        <is>
          <t>893623719</t>
        </is>
      </c>
    </row>
    <row r="1635">
      <c r="A1635" t="inlineStr">
        <is>
          <t>No</t>
        </is>
      </c>
      <c r="B1635" t="inlineStr">
        <is>
          <t>E744 .K177 1999</t>
        </is>
      </c>
      <c r="C1635" t="inlineStr">
        <is>
          <t>0                      E  0744000K  177         1999</t>
        </is>
      </c>
      <c r="D1635" t="inlineStr">
        <is>
          <t>The long entanglement : NATO's first fifty years / Lawrence S. Kaplan.</t>
        </is>
      </c>
      <c r="F1635" t="inlineStr">
        <is>
          <t>No</t>
        </is>
      </c>
      <c r="G1635" t="inlineStr">
        <is>
          <t>1</t>
        </is>
      </c>
      <c r="H1635" t="inlineStr">
        <is>
          <t>No</t>
        </is>
      </c>
      <c r="I1635" t="inlineStr">
        <is>
          <t>No</t>
        </is>
      </c>
      <c r="J1635" t="inlineStr">
        <is>
          <t>0</t>
        </is>
      </c>
      <c r="K1635" t="inlineStr">
        <is>
          <t>Kaplan, Lawrence S.</t>
        </is>
      </c>
      <c r="L1635" t="inlineStr">
        <is>
          <t>Westport, Conn. : Praeger, 1999.</t>
        </is>
      </c>
      <c r="M1635" t="inlineStr">
        <is>
          <t>1999</t>
        </is>
      </c>
      <c r="O1635" t="inlineStr">
        <is>
          <t>eng</t>
        </is>
      </c>
      <c r="P1635" t="inlineStr">
        <is>
          <t>ctu</t>
        </is>
      </c>
      <c r="R1635" t="inlineStr">
        <is>
          <t xml:space="preserve">E  </t>
        </is>
      </c>
      <c r="S1635" t="n">
        <v>1</v>
      </c>
      <c r="T1635" t="n">
        <v>1</v>
      </c>
      <c r="U1635" t="inlineStr">
        <is>
          <t>2000-10-05</t>
        </is>
      </c>
      <c r="V1635" t="inlineStr">
        <is>
          <t>2000-10-05</t>
        </is>
      </c>
      <c r="W1635" t="inlineStr">
        <is>
          <t>1999-11-04</t>
        </is>
      </c>
      <c r="X1635" t="inlineStr">
        <is>
          <t>1999-11-04</t>
        </is>
      </c>
      <c r="Y1635" t="n">
        <v>494</v>
      </c>
      <c r="Z1635" t="n">
        <v>401</v>
      </c>
      <c r="AA1635" t="n">
        <v>408</v>
      </c>
      <c r="AB1635" t="n">
        <v>3</v>
      </c>
      <c r="AC1635" t="n">
        <v>3</v>
      </c>
      <c r="AD1635" t="n">
        <v>21</v>
      </c>
      <c r="AE1635" t="n">
        <v>21</v>
      </c>
      <c r="AF1635" t="n">
        <v>6</v>
      </c>
      <c r="AG1635" t="n">
        <v>6</v>
      </c>
      <c r="AH1635" t="n">
        <v>5</v>
      </c>
      <c r="AI1635" t="n">
        <v>5</v>
      </c>
      <c r="AJ1635" t="n">
        <v>9</v>
      </c>
      <c r="AK1635" t="n">
        <v>9</v>
      </c>
      <c r="AL1635" t="n">
        <v>2</v>
      </c>
      <c r="AM1635" t="n">
        <v>2</v>
      </c>
      <c r="AN1635" t="n">
        <v>2</v>
      </c>
      <c r="AO1635" t="n">
        <v>2</v>
      </c>
      <c r="AP1635" t="inlineStr">
        <is>
          <t>No</t>
        </is>
      </c>
      <c r="AQ1635" t="inlineStr">
        <is>
          <t>Yes</t>
        </is>
      </c>
      <c r="AR1635">
        <f>HYPERLINK("http://catalog.hathitrust.org/Record/004027851","HathiTrust Record")</f>
        <v/>
      </c>
      <c r="AS1635">
        <f>HYPERLINK("https://creighton-primo.hosted.exlibrisgroup.com/primo-explore/search?tab=default_tab&amp;search_scope=EVERYTHING&amp;vid=01CRU&amp;lang=en_US&amp;offset=0&amp;query=any,contains,991002970509702656","Catalog Record")</f>
        <v/>
      </c>
      <c r="AT1635">
        <f>HYPERLINK("http://www.worldcat.org/oclc/39765268","WorldCat Record")</f>
        <v/>
      </c>
      <c r="AU1635" t="inlineStr">
        <is>
          <t>1064831:eng</t>
        </is>
      </c>
      <c r="AV1635" t="inlineStr">
        <is>
          <t>39765268</t>
        </is>
      </c>
      <c r="AW1635" t="inlineStr">
        <is>
          <t>991002970509702656</t>
        </is>
      </c>
      <c r="AX1635" t="inlineStr">
        <is>
          <t>991002970509702656</t>
        </is>
      </c>
      <c r="AY1635" t="inlineStr">
        <is>
          <t>2264636750002656</t>
        </is>
      </c>
      <c r="AZ1635" t="inlineStr">
        <is>
          <t>BOOK</t>
        </is>
      </c>
      <c r="BB1635" t="inlineStr">
        <is>
          <t>9780275964184</t>
        </is>
      </c>
      <c r="BC1635" t="inlineStr">
        <is>
          <t>32285003618393</t>
        </is>
      </c>
      <c r="BD1635" t="inlineStr">
        <is>
          <t>893422013</t>
        </is>
      </c>
    </row>
    <row r="1636">
      <c r="A1636" t="inlineStr">
        <is>
          <t>No</t>
        </is>
      </c>
      <c r="B1636" t="inlineStr">
        <is>
          <t>E744 .K696 1998</t>
        </is>
      </c>
      <c r="C1636" t="inlineStr">
        <is>
          <t>0                      E  0744000K  696         1998</t>
        </is>
      </c>
      <c r="D1636" t="inlineStr">
        <is>
          <t>The Columbia guide to the Cold War / Michael Kort.</t>
        </is>
      </c>
      <c r="F1636" t="inlineStr">
        <is>
          <t>No</t>
        </is>
      </c>
      <c r="G1636" t="inlineStr">
        <is>
          <t>1</t>
        </is>
      </c>
      <c r="H1636" t="inlineStr">
        <is>
          <t>No</t>
        </is>
      </c>
      <c r="I1636" t="inlineStr">
        <is>
          <t>No</t>
        </is>
      </c>
      <c r="J1636" t="inlineStr">
        <is>
          <t>0</t>
        </is>
      </c>
      <c r="K1636" t="inlineStr">
        <is>
          <t>Kort, Michael, 1944-</t>
        </is>
      </c>
      <c r="L1636" t="inlineStr">
        <is>
          <t>New York : Columbia University Press, c1998.</t>
        </is>
      </c>
      <c r="M1636" t="inlineStr">
        <is>
          <t>1998</t>
        </is>
      </c>
      <c r="O1636" t="inlineStr">
        <is>
          <t>eng</t>
        </is>
      </c>
      <c r="P1636" t="inlineStr">
        <is>
          <t>nyu</t>
        </is>
      </c>
      <c r="Q1636" t="inlineStr">
        <is>
          <t>The Columbia guides to American history and cultures</t>
        </is>
      </c>
      <c r="R1636" t="inlineStr">
        <is>
          <t xml:space="preserve">E  </t>
        </is>
      </c>
      <c r="S1636" t="n">
        <v>3</v>
      </c>
      <c r="T1636" t="n">
        <v>3</v>
      </c>
      <c r="U1636" t="inlineStr">
        <is>
          <t>1999-11-16</t>
        </is>
      </c>
      <c r="V1636" t="inlineStr">
        <is>
          <t>1999-11-16</t>
        </is>
      </c>
      <c r="W1636" t="inlineStr">
        <is>
          <t>1999-11-02</t>
        </is>
      </c>
      <c r="X1636" t="inlineStr">
        <is>
          <t>1999-11-02</t>
        </is>
      </c>
      <c r="Y1636" t="n">
        <v>1164</v>
      </c>
      <c r="Z1636" t="n">
        <v>1028</v>
      </c>
      <c r="AA1636" t="n">
        <v>1439</v>
      </c>
      <c r="AB1636" t="n">
        <v>8</v>
      </c>
      <c r="AC1636" t="n">
        <v>10</v>
      </c>
      <c r="AD1636" t="n">
        <v>40</v>
      </c>
      <c r="AE1636" t="n">
        <v>50</v>
      </c>
      <c r="AF1636" t="n">
        <v>16</v>
      </c>
      <c r="AG1636" t="n">
        <v>20</v>
      </c>
      <c r="AH1636" t="n">
        <v>9</v>
      </c>
      <c r="AI1636" t="n">
        <v>11</v>
      </c>
      <c r="AJ1636" t="n">
        <v>17</v>
      </c>
      <c r="AK1636" t="n">
        <v>19</v>
      </c>
      <c r="AL1636" t="n">
        <v>7</v>
      </c>
      <c r="AM1636" t="n">
        <v>9</v>
      </c>
      <c r="AN1636" t="n">
        <v>0</v>
      </c>
      <c r="AO1636" t="n">
        <v>1</v>
      </c>
      <c r="AP1636" t="inlineStr">
        <is>
          <t>No</t>
        </is>
      </c>
      <c r="AQ1636" t="inlineStr">
        <is>
          <t>No</t>
        </is>
      </c>
      <c r="AS1636">
        <f>HYPERLINK("https://creighton-primo.hosted.exlibrisgroup.com/primo-explore/search?tab=default_tab&amp;search_scope=EVERYTHING&amp;vid=01CRU&amp;lang=en_US&amp;offset=0&amp;query=any,contains,991002928459702656","Catalog Record")</f>
        <v/>
      </c>
      <c r="AT1636">
        <f>HYPERLINK("http://www.worldcat.org/oclc/38930531","WorldCat Record")</f>
        <v/>
      </c>
      <c r="AU1636" t="inlineStr">
        <is>
          <t>137729766:eng</t>
        </is>
      </c>
      <c r="AV1636" t="inlineStr">
        <is>
          <t>38930531</t>
        </is>
      </c>
      <c r="AW1636" t="inlineStr">
        <is>
          <t>991002928459702656</t>
        </is>
      </c>
      <c r="AX1636" t="inlineStr">
        <is>
          <t>991002928459702656</t>
        </is>
      </c>
      <c r="AY1636" t="inlineStr">
        <is>
          <t>2260338660002656</t>
        </is>
      </c>
      <c r="AZ1636" t="inlineStr">
        <is>
          <t>BOOK</t>
        </is>
      </c>
      <c r="BB1636" t="inlineStr">
        <is>
          <t>9780231107723</t>
        </is>
      </c>
      <c r="BC1636" t="inlineStr">
        <is>
          <t>32285003616777</t>
        </is>
      </c>
      <c r="BD1636" t="inlineStr">
        <is>
          <t>893874193</t>
        </is>
      </c>
    </row>
    <row r="1637">
      <c r="A1637" t="inlineStr">
        <is>
          <t>No</t>
        </is>
      </c>
      <c r="B1637" t="inlineStr">
        <is>
          <t>E744 .L426 2002</t>
        </is>
      </c>
      <c r="C1637" t="inlineStr">
        <is>
          <t>0                      E  0744000L  426         2002</t>
        </is>
      </c>
      <c r="D1637" t="inlineStr">
        <is>
          <t>The fifty-year wound : the true price of America's Cold War victory / Derek Leebaert.</t>
        </is>
      </c>
      <c r="F1637" t="inlineStr">
        <is>
          <t>No</t>
        </is>
      </c>
      <c r="G1637" t="inlineStr">
        <is>
          <t>1</t>
        </is>
      </c>
      <c r="H1637" t="inlineStr">
        <is>
          <t>No</t>
        </is>
      </c>
      <c r="I1637" t="inlineStr">
        <is>
          <t>No</t>
        </is>
      </c>
      <c r="J1637" t="inlineStr">
        <is>
          <t>0</t>
        </is>
      </c>
      <c r="K1637" t="inlineStr">
        <is>
          <t>Leebaert, Derek.</t>
        </is>
      </c>
      <c r="L1637" t="inlineStr">
        <is>
          <t>Boston : Little, Brown, c2002.</t>
        </is>
      </c>
      <c r="M1637" t="inlineStr">
        <is>
          <t>2002</t>
        </is>
      </c>
      <c r="N1637" t="inlineStr">
        <is>
          <t>1st ed.</t>
        </is>
      </c>
      <c r="O1637" t="inlineStr">
        <is>
          <t>eng</t>
        </is>
      </c>
      <c r="P1637" t="inlineStr">
        <is>
          <t>mau</t>
        </is>
      </c>
      <c r="R1637" t="inlineStr">
        <is>
          <t xml:space="preserve">E  </t>
        </is>
      </c>
      <c r="S1637" t="n">
        <v>1</v>
      </c>
      <c r="T1637" t="n">
        <v>1</v>
      </c>
      <c r="U1637" t="inlineStr">
        <is>
          <t>2002-04-16</t>
        </is>
      </c>
      <c r="V1637" t="inlineStr">
        <is>
          <t>2002-04-16</t>
        </is>
      </c>
      <c r="W1637" t="inlineStr">
        <is>
          <t>2002-03-27</t>
        </is>
      </c>
      <c r="X1637" t="inlineStr">
        <is>
          <t>2002-03-27</t>
        </is>
      </c>
      <c r="Y1637" t="n">
        <v>1098</v>
      </c>
      <c r="Z1637" t="n">
        <v>1042</v>
      </c>
      <c r="AA1637" t="n">
        <v>1049</v>
      </c>
      <c r="AB1637" t="n">
        <v>8</v>
      </c>
      <c r="AC1637" t="n">
        <v>8</v>
      </c>
      <c r="AD1637" t="n">
        <v>32</v>
      </c>
      <c r="AE1637" t="n">
        <v>32</v>
      </c>
      <c r="AF1637" t="n">
        <v>15</v>
      </c>
      <c r="AG1637" t="n">
        <v>15</v>
      </c>
      <c r="AH1637" t="n">
        <v>6</v>
      </c>
      <c r="AI1637" t="n">
        <v>6</v>
      </c>
      <c r="AJ1637" t="n">
        <v>12</v>
      </c>
      <c r="AK1637" t="n">
        <v>12</v>
      </c>
      <c r="AL1637" t="n">
        <v>6</v>
      </c>
      <c r="AM1637" t="n">
        <v>6</v>
      </c>
      <c r="AN1637" t="n">
        <v>0</v>
      </c>
      <c r="AO1637" t="n">
        <v>0</v>
      </c>
      <c r="AP1637" t="inlineStr">
        <is>
          <t>No</t>
        </is>
      </c>
      <c r="AQ1637" t="inlineStr">
        <is>
          <t>No</t>
        </is>
      </c>
      <c r="AS1637">
        <f>HYPERLINK("https://creighton-primo.hosted.exlibrisgroup.com/primo-explore/search?tab=default_tab&amp;search_scope=EVERYTHING&amp;vid=01CRU&amp;lang=en_US&amp;offset=0&amp;query=any,contains,991003772929702656","Catalog Record")</f>
        <v/>
      </c>
      <c r="AT1637">
        <f>HYPERLINK("http://www.worldcat.org/oclc/47023559","WorldCat Record")</f>
        <v/>
      </c>
      <c r="AU1637" t="inlineStr">
        <is>
          <t>3857929960:eng</t>
        </is>
      </c>
      <c r="AV1637" t="inlineStr">
        <is>
          <t>47023559</t>
        </is>
      </c>
      <c r="AW1637" t="inlineStr">
        <is>
          <t>991003772929702656</t>
        </is>
      </c>
      <c r="AX1637" t="inlineStr">
        <is>
          <t>991003772929702656</t>
        </is>
      </c>
      <c r="AY1637" t="inlineStr">
        <is>
          <t>2257056560002656</t>
        </is>
      </c>
      <c r="AZ1637" t="inlineStr">
        <is>
          <t>BOOK</t>
        </is>
      </c>
      <c r="BB1637" t="inlineStr">
        <is>
          <t>9780316518475</t>
        </is>
      </c>
      <c r="BC1637" t="inlineStr">
        <is>
          <t>32285004464797</t>
        </is>
      </c>
      <c r="BD1637" t="inlineStr">
        <is>
          <t>893531577</t>
        </is>
      </c>
    </row>
    <row r="1638">
      <c r="A1638" t="inlineStr">
        <is>
          <t>No</t>
        </is>
      </c>
      <c r="B1638" t="inlineStr">
        <is>
          <t>E744 .L432 1994</t>
        </is>
      </c>
      <c r="C1638" t="inlineStr">
        <is>
          <t>0                      E  0744000L  432         1994</t>
        </is>
      </c>
      <c r="D1638" t="inlineStr">
        <is>
          <t>The specter of communism : the United States and the origins of the Cold War, 1917-1953 / Melvyn P. Leffler ; consulting editor, Eric Foner.</t>
        </is>
      </c>
      <c r="F1638" t="inlineStr">
        <is>
          <t>No</t>
        </is>
      </c>
      <c r="G1638" t="inlineStr">
        <is>
          <t>1</t>
        </is>
      </c>
      <c r="H1638" t="inlineStr">
        <is>
          <t>No</t>
        </is>
      </c>
      <c r="I1638" t="inlineStr">
        <is>
          <t>No</t>
        </is>
      </c>
      <c r="J1638" t="inlineStr">
        <is>
          <t>0</t>
        </is>
      </c>
      <c r="K1638" t="inlineStr">
        <is>
          <t>Leffler, Melvyn P., 1945-</t>
        </is>
      </c>
      <c r="L1638" t="inlineStr">
        <is>
          <t>New York : Hill and Wang, 1994.</t>
        </is>
      </c>
      <c r="M1638" t="inlineStr">
        <is>
          <t>1994</t>
        </is>
      </c>
      <c r="N1638" t="inlineStr">
        <is>
          <t>1st ed.</t>
        </is>
      </c>
      <c r="O1638" t="inlineStr">
        <is>
          <t>eng</t>
        </is>
      </c>
      <c r="P1638" t="inlineStr">
        <is>
          <t>nyu</t>
        </is>
      </c>
      <c r="Q1638" t="inlineStr">
        <is>
          <t>A critical issue</t>
        </is>
      </c>
      <c r="R1638" t="inlineStr">
        <is>
          <t xml:space="preserve">E  </t>
        </is>
      </c>
      <c r="S1638" t="n">
        <v>4</v>
      </c>
      <c r="T1638" t="n">
        <v>4</v>
      </c>
      <c r="U1638" t="inlineStr">
        <is>
          <t>1999-04-21</t>
        </is>
      </c>
      <c r="V1638" t="inlineStr">
        <is>
          <t>1999-04-21</t>
        </is>
      </c>
      <c r="W1638" t="inlineStr">
        <is>
          <t>1996-05-06</t>
        </is>
      </c>
      <c r="X1638" t="inlineStr">
        <is>
          <t>1996-05-06</t>
        </is>
      </c>
      <c r="Y1638" t="n">
        <v>672</v>
      </c>
      <c r="Z1638" t="n">
        <v>564</v>
      </c>
      <c r="AA1638" t="n">
        <v>571</v>
      </c>
      <c r="AB1638" t="n">
        <v>5</v>
      </c>
      <c r="AC1638" t="n">
        <v>5</v>
      </c>
      <c r="AD1638" t="n">
        <v>31</v>
      </c>
      <c r="AE1638" t="n">
        <v>31</v>
      </c>
      <c r="AF1638" t="n">
        <v>13</v>
      </c>
      <c r="AG1638" t="n">
        <v>13</v>
      </c>
      <c r="AH1638" t="n">
        <v>5</v>
      </c>
      <c r="AI1638" t="n">
        <v>5</v>
      </c>
      <c r="AJ1638" t="n">
        <v>17</v>
      </c>
      <c r="AK1638" t="n">
        <v>17</v>
      </c>
      <c r="AL1638" t="n">
        <v>4</v>
      </c>
      <c r="AM1638" t="n">
        <v>4</v>
      </c>
      <c r="AN1638" t="n">
        <v>1</v>
      </c>
      <c r="AO1638" t="n">
        <v>1</v>
      </c>
      <c r="AP1638" t="inlineStr">
        <is>
          <t>No</t>
        </is>
      </c>
      <c r="AQ1638" t="inlineStr">
        <is>
          <t>No</t>
        </is>
      </c>
      <c r="AS1638">
        <f>HYPERLINK("https://creighton-primo.hosted.exlibrisgroup.com/primo-explore/search?tab=default_tab&amp;search_scope=EVERYTHING&amp;vid=01CRU&amp;lang=en_US&amp;offset=0&amp;query=any,contains,991002322929702656","Catalog Record")</f>
        <v/>
      </c>
      <c r="AT1638">
        <f>HYPERLINK("http://www.worldcat.org/oclc/30111757","WorldCat Record")</f>
        <v/>
      </c>
      <c r="AU1638" t="inlineStr">
        <is>
          <t>795502332:eng</t>
        </is>
      </c>
      <c r="AV1638" t="inlineStr">
        <is>
          <t>30111757</t>
        </is>
      </c>
      <c r="AW1638" t="inlineStr">
        <is>
          <t>991002322929702656</t>
        </is>
      </c>
      <c r="AX1638" t="inlineStr">
        <is>
          <t>991002322929702656</t>
        </is>
      </c>
      <c r="AY1638" t="inlineStr">
        <is>
          <t>2258525290002656</t>
        </is>
      </c>
      <c r="AZ1638" t="inlineStr">
        <is>
          <t>BOOK</t>
        </is>
      </c>
      <c r="BB1638" t="inlineStr">
        <is>
          <t>9780809015740</t>
        </is>
      </c>
      <c r="BC1638" t="inlineStr">
        <is>
          <t>32285002159241</t>
        </is>
      </c>
      <c r="BD1638" t="inlineStr">
        <is>
          <t>893898622</t>
        </is>
      </c>
    </row>
    <row r="1639">
      <c r="A1639" t="inlineStr">
        <is>
          <t>No</t>
        </is>
      </c>
      <c r="B1639" t="inlineStr">
        <is>
          <t>E744 .L494</t>
        </is>
      </c>
      <c r="C1639" t="inlineStr">
        <is>
          <t>0                      E  0744000L  494</t>
        </is>
      </c>
      <c r="D1639" t="inlineStr">
        <is>
          <t>The cold war, 1945-1972 / Ralph B. Levering.</t>
        </is>
      </c>
      <c r="F1639" t="inlineStr">
        <is>
          <t>No</t>
        </is>
      </c>
      <c r="G1639" t="inlineStr">
        <is>
          <t>1</t>
        </is>
      </c>
      <c r="H1639" t="inlineStr">
        <is>
          <t>No</t>
        </is>
      </c>
      <c r="I1639" t="inlineStr">
        <is>
          <t>No</t>
        </is>
      </c>
      <c r="J1639" t="inlineStr">
        <is>
          <t>0</t>
        </is>
      </c>
      <c r="K1639" t="inlineStr">
        <is>
          <t>Levering, Ralph B.</t>
        </is>
      </c>
      <c r="L1639" t="inlineStr">
        <is>
          <t>Arlington Heights, Ill. : H. Davidson, c1982.</t>
        </is>
      </c>
      <c r="M1639" t="inlineStr">
        <is>
          <t>1982</t>
        </is>
      </c>
      <c r="O1639" t="inlineStr">
        <is>
          <t>eng</t>
        </is>
      </c>
      <c r="P1639" t="inlineStr">
        <is>
          <t>ilu</t>
        </is>
      </c>
      <c r="Q1639" t="inlineStr">
        <is>
          <t>The American history series</t>
        </is>
      </c>
      <c r="R1639" t="inlineStr">
        <is>
          <t xml:space="preserve">E  </t>
        </is>
      </c>
      <c r="S1639" t="n">
        <v>4</v>
      </c>
      <c r="T1639" t="n">
        <v>4</v>
      </c>
      <c r="U1639" t="inlineStr">
        <is>
          <t>2004-11-29</t>
        </is>
      </c>
      <c r="V1639" t="inlineStr">
        <is>
          <t>2004-11-29</t>
        </is>
      </c>
      <c r="W1639" t="inlineStr">
        <is>
          <t>1990-04-25</t>
        </is>
      </c>
      <c r="X1639" t="inlineStr">
        <is>
          <t>1990-04-25</t>
        </is>
      </c>
      <c r="Y1639" t="n">
        <v>657</v>
      </c>
      <c r="Z1639" t="n">
        <v>574</v>
      </c>
      <c r="AA1639" t="n">
        <v>578</v>
      </c>
      <c r="AB1639" t="n">
        <v>7</v>
      </c>
      <c r="AC1639" t="n">
        <v>7</v>
      </c>
      <c r="AD1639" t="n">
        <v>23</v>
      </c>
      <c r="AE1639" t="n">
        <v>23</v>
      </c>
      <c r="AF1639" t="n">
        <v>10</v>
      </c>
      <c r="AG1639" t="n">
        <v>10</v>
      </c>
      <c r="AH1639" t="n">
        <v>6</v>
      </c>
      <c r="AI1639" t="n">
        <v>6</v>
      </c>
      <c r="AJ1639" t="n">
        <v>12</v>
      </c>
      <c r="AK1639" t="n">
        <v>12</v>
      </c>
      <c r="AL1639" t="n">
        <v>5</v>
      </c>
      <c r="AM1639" t="n">
        <v>5</v>
      </c>
      <c r="AN1639" t="n">
        <v>0</v>
      </c>
      <c r="AO1639" t="n">
        <v>0</v>
      </c>
      <c r="AP1639" t="inlineStr">
        <is>
          <t>No</t>
        </is>
      </c>
      <c r="AQ1639" t="inlineStr">
        <is>
          <t>Yes</t>
        </is>
      </c>
      <c r="AR1639">
        <f>HYPERLINK("http://catalog.hathitrust.org/Record/000227635","HathiTrust Record")</f>
        <v/>
      </c>
      <c r="AS1639">
        <f>HYPERLINK("https://creighton-primo.hosted.exlibrisgroup.com/primo-explore/search?tab=default_tab&amp;search_scope=EVERYTHING&amp;vid=01CRU&amp;lang=en_US&amp;offset=0&amp;query=any,contains,991005171739702656","Catalog Record")</f>
        <v/>
      </c>
      <c r="AT1639">
        <f>HYPERLINK("http://www.worldcat.org/oclc/7875518","WorldCat Record")</f>
        <v/>
      </c>
      <c r="AU1639" t="inlineStr">
        <is>
          <t>3857413118:eng</t>
        </is>
      </c>
      <c r="AV1639" t="inlineStr">
        <is>
          <t>7875518</t>
        </is>
      </c>
      <c r="AW1639" t="inlineStr">
        <is>
          <t>991005171739702656</t>
        </is>
      </c>
      <c r="AX1639" t="inlineStr">
        <is>
          <t>991005171739702656</t>
        </is>
      </c>
      <c r="AY1639" t="inlineStr">
        <is>
          <t>2268278830002656</t>
        </is>
      </c>
      <c r="AZ1639" t="inlineStr">
        <is>
          <t>BOOK</t>
        </is>
      </c>
      <c r="BB1639" t="inlineStr">
        <is>
          <t>9780882958118</t>
        </is>
      </c>
      <c r="BC1639" t="inlineStr">
        <is>
          <t>32285000131945</t>
        </is>
      </c>
      <c r="BD1639" t="inlineStr">
        <is>
          <t>893902243</t>
        </is>
      </c>
    </row>
    <row r="1640">
      <c r="A1640" t="inlineStr">
        <is>
          <t>No</t>
        </is>
      </c>
      <c r="B1640" t="inlineStr">
        <is>
          <t>E744 .L59</t>
        </is>
      </c>
      <c r="C1640" t="inlineStr">
        <is>
          <t>0                      E  0744000L  59</t>
        </is>
      </c>
      <c r="D1640" t="inlineStr">
        <is>
          <t>American foreign policy &amp; moral rhetoric; the example of Vietnam.</t>
        </is>
      </c>
      <c r="F1640" t="inlineStr">
        <is>
          <t>No</t>
        </is>
      </c>
      <c r="G1640" t="inlineStr">
        <is>
          <t>1</t>
        </is>
      </c>
      <c r="H1640" t="inlineStr">
        <is>
          <t>No</t>
        </is>
      </c>
      <c r="I1640" t="inlineStr">
        <is>
          <t>No</t>
        </is>
      </c>
      <c r="J1640" t="inlineStr">
        <is>
          <t>0</t>
        </is>
      </c>
      <c r="K1640" t="inlineStr">
        <is>
          <t>Little, David, 1933-</t>
        </is>
      </c>
      <c r="L1640" t="inlineStr">
        <is>
          <t>[New York] Council on Religion and International Affairs [1969]</t>
        </is>
      </c>
      <c r="M1640" t="inlineStr">
        <is>
          <t>1969</t>
        </is>
      </c>
      <c r="O1640" t="inlineStr">
        <is>
          <t>eng</t>
        </is>
      </c>
      <c r="P1640" t="inlineStr">
        <is>
          <t>nyu</t>
        </is>
      </c>
      <c r="Q1640" t="inlineStr">
        <is>
          <t>CRIA special studies ; 206</t>
        </is>
      </c>
      <c r="R1640" t="inlineStr">
        <is>
          <t xml:space="preserve">E  </t>
        </is>
      </c>
      <c r="S1640" t="n">
        <v>5</v>
      </c>
      <c r="T1640" t="n">
        <v>5</v>
      </c>
      <c r="U1640" t="inlineStr">
        <is>
          <t>1999-11-16</t>
        </is>
      </c>
      <c r="V1640" t="inlineStr">
        <is>
          <t>1999-11-16</t>
        </is>
      </c>
      <c r="W1640" t="inlineStr">
        <is>
          <t>1997-04-23</t>
        </is>
      </c>
      <c r="X1640" t="inlineStr">
        <is>
          <t>1997-04-23</t>
        </is>
      </c>
      <c r="Y1640" t="n">
        <v>288</v>
      </c>
      <c r="Z1640" t="n">
        <v>263</v>
      </c>
      <c r="AA1640" t="n">
        <v>269</v>
      </c>
      <c r="AB1640" t="n">
        <v>2</v>
      </c>
      <c r="AC1640" t="n">
        <v>2</v>
      </c>
      <c r="AD1640" t="n">
        <v>18</v>
      </c>
      <c r="AE1640" t="n">
        <v>18</v>
      </c>
      <c r="AF1640" t="n">
        <v>3</v>
      </c>
      <c r="AG1640" t="n">
        <v>3</v>
      </c>
      <c r="AH1640" t="n">
        <v>5</v>
      </c>
      <c r="AI1640" t="n">
        <v>5</v>
      </c>
      <c r="AJ1640" t="n">
        <v>14</v>
      </c>
      <c r="AK1640" t="n">
        <v>14</v>
      </c>
      <c r="AL1640" t="n">
        <v>1</v>
      </c>
      <c r="AM1640" t="n">
        <v>1</v>
      </c>
      <c r="AN1640" t="n">
        <v>0</v>
      </c>
      <c r="AO1640" t="n">
        <v>0</v>
      </c>
      <c r="AP1640" t="inlineStr">
        <is>
          <t>No</t>
        </is>
      </c>
      <c r="AQ1640" t="inlineStr">
        <is>
          <t>No</t>
        </is>
      </c>
      <c r="AS1640">
        <f>HYPERLINK("https://creighton-primo.hosted.exlibrisgroup.com/primo-explore/search?tab=default_tab&amp;search_scope=EVERYTHING&amp;vid=01CRU&amp;lang=en_US&amp;offset=0&amp;query=any,contains,991000000459702656","Catalog Record")</f>
        <v/>
      </c>
      <c r="AT1640">
        <f>HYPERLINK("http://www.worldcat.org/oclc/8002","WorldCat Record")</f>
        <v/>
      </c>
      <c r="AU1640" t="inlineStr">
        <is>
          <t>2999272028:eng</t>
        </is>
      </c>
      <c r="AV1640" t="inlineStr">
        <is>
          <t>8002</t>
        </is>
      </c>
      <c r="AW1640" t="inlineStr">
        <is>
          <t>991000000459702656</t>
        </is>
      </c>
      <c r="AX1640" t="inlineStr">
        <is>
          <t>991000000459702656</t>
        </is>
      </c>
      <c r="AY1640" t="inlineStr">
        <is>
          <t>2268175930002656</t>
        </is>
      </c>
      <c r="AZ1640" t="inlineStr">
        <is>
          <t>BOOK</t>
        </is>
      </c>
      <c r="BC1640" t="inlineStr">
        <is>
          <t>32285002562485</t>
        </is>
      </c>
      <c r="BD1640" t="inlineStr">
        <is>
          <t>893248990</t>
        </is>
      </c>
    </row>
    <row r="1641">
      <c r="A1641" t="inlineStr">
        <is>
          <t>No</t>
        </is>
      </c>
      <c r="B1641" t="inlineStr">
        <is>
          <t>E744 .M66 1986</t>
        </is>
      </c>
      <c r="C1641" t="inlineStr">
        <is>
          <t>0                      E  0744000M  66          1986</t>
        </is>
      </c>
      <c r="D1641" t="inlineStr">
        <is>
          <t>Aftermath : tarnished outcomes of American foreign policy / John D. Montgomery.</t>
        </is>
      </c>
      <c r="F1641" t="inlineStr">
        <is>
          <t>No</t>
        </is>
      </c>
      <c r="G1641" t="inlineStr">
        <is>
          <t>1</t>
        </is>
      </c>
      <c r="H1641" t="inlineStr">
        <is>
          <t>No</t>
        </is>
      </c>
      <c r="I1641" t="inlineStr">
        <is>
          <t>No</t>
        </is>
      </c>
      <c r="J1641" t="inlineStr">
        <is>
          <t>0</t>
        </is>
      </c>
      <c r="K1641" t="inlineStr">
        <is>
          <t>Montgomery, John D. (John Dickey), 1920-2008.</t>
        </is>
      </c>
      <c r="L1641" t="inlineStr">
        <is>
          <t>Dover, Mass. : Auburn House, c1986.</t>
        </is>
      </c>
      <c r="M1641" t="inlineStr">
        <is>
          <t>1986</t>
        </is>
      </c>
      <c r="O1641" t="inlineStr">
        <is>
          <t>eng</t>
        </is>
      </c>
      <c r="P1641" t="inlineStr">
        <is>
          <t>mau</t>
        </is>
      </c>
      <c r="R1641" t="inlineStr">
        <is>
          <t xml:space="preserve">E  </t>
        </is>
      </c>
      <c r="S1641" t="n">
        <v>1</v>
      </c>
      <c r="T1641" t="n">
        <v>1</v>
      </c>
      <c r="U1641" t="inlineStr">
        <is>
          <t>1992-09-02</t>
        </is>
      </c>
      <c r="V1641" t="inlineStr">
        <is>
          <t>1992-09-02</t>
        </is>
      </c>
      <c r="W1641" t="inlineStr">
        <is>
          <t>1991-05-28</t>
        </is>
      </c>
      <c r="X1641" t="inlineStr">
        <is>
          <t>1991-05-28</t>
        </is>
      </c>
      <c r="Y1641" t="n">
        <v>357</v>
      </c>
      <c r="Z1641" t="n">
        <v>316</v>
      </c>
      <c r="AA1641" t="n">
        <v>337</v>
      </c>
      <c r="AB1641" t="n">
        <v>4</v>
      </c>
      <c r="AC1641" t="n">
        <v>4</v>
      </c>
      <c r="AD1641" t="n">
        <v>12</v>
      </c>
      <c r="AE1641" t="n">
        <v>12</v>
      </c>
      <c r="AF1641" t="n">
        <v>3</v>
      </c>
      <c r="AG1641" t="n">
        <v>3</v>
      </c>
      <c r="AH1641" t="n">
        <v>2</v>
      </c>
      <c r="AI1641" t="n">
        <v>2</v>
      </c>
      <c r="AJ1641" t="n">
        <v>5</v>
      </c>
      <c r="AK1641" t="n">
        <v>5</v>
      </c>
      <c r="AL1641" t="n">
        <v>3</v>
      </c>
      <c r="AM1641" t="n">
        <v>3</v>
      </c>
      <c r="AN1641" t="n">
        <v>0</v>
      </c>
      <c r="AO1641" t="n">
        <v>0</v>
      </c>
      <c r="AP1641" t="inlineStr">
        <is>
          <t>No</t>
        </is>
      </c>
      <c r="AQ1641" t="inlineStr">
        <is>
          <t>Yes</t>
        </is>
      </c>
      <c r="AR1641">
        <f>HYPERLINK("http://catalog.hathitrust.org/Record/000375859","HathiTrust Record")</f>
        <v/>
      </c>
      <c r="AS1641">
        <f>HYPERLINK("https://creighton-primo.hosted.exlibrisgroup.com/primo-explore/search?tab=default_tab&amp;search_scope=EVERYTHING&amp;vid=01CRU&amp;lang=en_US&amp;offset=0&amp;query=any,contains,991000639189702656","Catalog Record")</f>
        <v/>
      </c>
      <c r="AT1641">
        <f>HYPERLINK("http://www.worldcat.org/oclc/12103167","WorldCat Record")</f>
        <v/>
      </c>
      <c r="AU1641" t="inlineStr">
        <is>
          <t>235633458:eng</t>
        </is>
      </c>
      <c r="AV1641" t="inlineStr">
        <is>
          <t>12103167</t>
        </is>
      </c>
      <c r="AW1641" t="inlineStr">
        <is>
          <t>991000639189702656</t>
        </is>
      </c>
      <c r="AX1641" t="inlineStr">
        <is>
          <t>991000639189702656</t>
        </is>
      </c>
      <c r="AY1641" t="inlineStr">
        <is>
          <t>2260702010002656</t>
        </is>
      </c>
      <c r="AZ1641" t="inlineStr">
        <is>
          <t>BOOK</t>
        </is>
      </c>
      <c r="BB1641" t="inlineStr">
        <is>
          <t>9780865691261</t>
        </is>
      </c>
      <c r="BC1641" t="inlineStr">
        <is>
          <t>32285000612589</t>
        </is>
      </c>
      <c r="BD1641" t="inlineStr">
        <is>
          <t>893425892</t>
        </is>
      </c>
    </row>
    <row r="1642">
      <c r="A1642" t="inlineStr">
        <is>
          <t>No</t>
        </is>
      </c>
      <c r="B1642" t="inlineStr">
        <is>
          <t>E744 .M79 1990</t>
        </is>
      </c>
      <c r="C1642" t="inlineStr">
        <is>
          <t>0                      E  0744000M  79          1990</t>
        </is>
      </c>
      <c r="D1642" t="inlineStr">
        <is>
          <t>On the law of nations / Daniel Patrick Moynihan.</t>
        </is>
      </c>
      <c r="F1642" t="inlineStr">
        <is>
          <t>No</t>
        </is>
      </c>
      <c r="G1642" t="inlineStr">
        <is>
          <t>1</t>
        </is>
      </c>
      <c r="H1642" t="inlineStr">
        <is>
          <t>No</t>
        </is>
      </c>
      <c r="I1642" t="inlineStr">
        <is>
          <t>No</t>
        </is>
      </c>
      <c r="J1642" t="inlineStr">
        <is>
          <t>0</t>
        </is>
      </c>
      <c r="K1642" t="inlineStr">
        <is>
          <t>Moynihan, Daniel P. (Daniel Patrick), 1927-2003.</t>
        </is>
      </c>
      <c r="L1642" t="inlineStr">
        <is>
          <t>Cambridge, Mass. : Harvard University Press, 1990.</t>
        </is>
      </c>
      <c r="M1642" t="inlineStr">
        <is>
          <t>1990</t>
        </is>
      </c>
      <c r="O1642" t="inlineStr">
        <is>
          <t>eng</t>
        </is>
      </c>
      <c r="P1642" t="inlineStr">
        <is>
          <t>mau</t>
        </is>
      </c>
      <c r="R1642" t="inlineStr">
        <is>
          <t xml:space="preserve">E  </t>
        </is>
      </c>
      <c r="S1642" t="n">
        <v>11</v>
      </c>
      <c r="T1642" t="n">
        <v>11</v>
      </c>
      <c r="U1642" t="inlineStr">
        <is>
          <t>2004-01-29</t>
        </is>
      </c>
      <c r="V1642" t="inlineStr">
        <is>
          <t>2004-01-29</t>
        </is>
      </c>
      <c r="W1642" t="inlineStr">
        <is>
          <t>1990-11-08</t>
        </is>
      </c>
      <c r="X1642" t="inlineStr">
        <is>
          <t>1990-11-08</t>
        </is>
      </c>
      <c r="Y1642" t="n">
        <v>1217</v>
      </c>
      <c r="Z1642" t="n">
        <v>1065</v>
      </c>
      <c r="AA1642" t="n">
        <v>1081</v>
      </c>
      <c r="AB1642" t="n">
        <v>5</v>
      </c>
      <c r="AC1642" t="n">
        <v>5</v>
      </c>
      <c r="AD1642" t="n">
        <v>55</v>
      </c>
      <c r="AE1642" t="n">
        <v>56</v>
      </c>
      <c r="AF1642" t="n">
        <v>15</v>
      </c>
      <c r="AG1642" t="n">
        <v>16</v>
      </c>
      <c r="AH1642" t="n">
        <v>6</v>
      </c>
      <c r="AI1642" t="n">
        <v>6</v>
      </c>
      <c r="AJ1642" t="n">
        <v>20</v>
      </c>
      <c r="AK1642" t="n">
        <v>20</v>
      </c>
      <c r="AL1642" t="n">
        <v>3</v>
      </c>
      <c r="AM1642" t="n">
        <v>3</v>
      </c>
      <c r="AN1642" t="n">
        <v>21</v>
      </c>
      <c r="AO1642" t="n">
        <v>21</v>
      </c>
      <c r="AP1642" t="inlineStr">
        <is>
          <t>No</t>
        </is>
      </c>
      <c r="AQ1642" t="inlineStr">
        <is>
          <t>Yes</t>
        </is>
      </c>
      <c r="AR1642">
        <f>HYPERLINK("http://catalog.hathitrust.org/Record/002180835","HathiTrust Record")</f>
        <v/>
      </c>
      <c r="AS1642">
        <f>HYPERLINK("https://creighton-primo.hosted.exlibrisgroup.com/primo-explore/search?tab=default_tab&amp;search_scope=EVERYTHING&amp;vid=01CRU&amp;lang=en_US&amp;offset=0&amp;query=any,contains,991001667059702656","Catalog Record")</f>
        <v/>
      </c>
      <c r="AT1642">
        <f>HYPERLINK("http://www.worldcat.org/oclc/21227807","WorldCat Record")</f>
        <v/>
      </c>
      <c r="AU1642" t="inlineStr">
        <is>
          <t>2682624:eng</t>
        </is>
      </c>
      <c r="AV1642" t="inlineStr">
        <is>
          <t>21227807</t>
        </is>
      </c>
      <c r="AW1642" t="inlineStr">
        <is>
          <t>991001667059702656</t>
        </is>
      </c>
      <c r="AX1642" t="inlineStr">
        <is>
          <t>991001667059702656</t>
        </is>
      </c>
      <c r="AY1642" t="inlineStr">
        <is>
          <t>2269369910002656</t>
        </is>
      </c>
      <c r="AZ1642" t="inlineStr">
        <is>
          <t>BOOK</t>
        </is>
      </c>
      <c r="BB1642" t="inlineStr">
        <is>
          <t>9780674635753</t>
        </is>
      </c>
      <c r="BC1642" t="inlineStr">
        <is>
          <t>32285000313634</t>
        </is>
      </c>
      <c r="BD1642" t="inlineStr">
        <is>
          <t>893872694</t>
        </is>
      </c>
    </row>
    <row r="1643">
      <c r="A1643" t="inlineStr">
        <is>
          <t>No</t>
        </is>
      </c>
      <c r="B1643" t="inlineStr">
        <is>
          <t>E744 .N34 1985</t>
        </is>
      </c>
      <c r="C1643" t="inlineStr">
        <is>
          <t>0                      E  0744000N  34          1985</t>
        </is>
      </c>
      <c r="D1643" t="inlineStr">
        <is>
          <t>United States foreign policy and world order / James A. Nathan, James K. Oliver.</t>
        </is>
      </c>
      <c r="F1643" t="inlineStr">
        <is>
          <t>No</t>
        </is>
      </c>
      <c r="G1643" t="inlineStr">
        <is>
          <t>1</t>
        </is>
      </c>
      <c r="H1643" t="inlineStr">
        <is>
          <t>No</t>
        </is>
      </c>
      <c r="I1643" t="inlineStr">
        <is>
          <t>No</t>
        </is>
      </c>
      <c r="J1643" t="inlineStr">
        <is>
          <t>0</t>
        </is>
      </c>
      <c r="K1643" t="inlineStr">
        <is>
          <t>Nathan, James A.</t>
        </is>
      </c>
      <c r="L1643" t="inlineStr">
        <is>
          <t>Boston : Little, Brown, c1985.</t>
        </is>
      </c>
      <c r="M1643" t="inlineStr">
        <is>
          <t>1985</t>
        </is>
      </c>
      <c r="N1643" t="inlineStr">
        <is>
          <t>3rd ed.</t>
        </is>
      </c>
      <c r="O1643" t="inlineStr">
        <is>
          <t>eng</t>
        </is>
      </c>
      <c r="P1643" t="inlineStr">
        <is>
          <t>mau</t>
        </is>
      </c>
      <c r="R1643" t="inlineStr">
        <is>
          <t xml:space="preserve">E  </t>
        </is>
      </c>
      <c r="S1643" t="n">
        <v>1</v>
      </c>
      <c r="T1643" t="n">
        <v>1</v>
      </c>
      <c r="U1643" t="inlineStr">
        <is>
          <t>1992-09-30</t>
        </is>
      </c>
      <c r="V1643" t="inlineStr">
        <is>
          <t>1992-09-30</t>
        </is>
      </c>
      <c r="W1643" t="inlineStr">
        <is>
          <t>1990-01-29</t>
        </is>
      </c>
      <c r="X1643" t="inlineStr">
        <is>
          <t>1990-01-29</t>
        </is>
      </c>
      <c r="Y1643" t="n">
        <v>232</v>
      </c>
      <c r="Z1643" t="n">
        <v>190</v>
      </c>
      <c r="AA1643" t="n">
        <v>569</v>
      </c>
      <c r="AB1643" t="n">
        <v>3</v>
      </c>
      <c r="AC1643" t="n">
        <v>3</v>
      </c>
      <c r="AD1643" t="n">
        <v>13</v>
      </c>
      <c r="AE1643" t="n">
        <v>26</v>
      </c>
      <c r="AF1643" t="n">
        <v>5</v>
      </c>
      <c r="AG1643" t="n">
        <v>8</v>
      </c>
      <c r="AH1643" t="n">
        <v>2</v>
      </c>
      <c r="AI1643" t="n">
        <v>5</v>
      </c>
      <c r="AJ1643" t="n">
        <v>8</v>
      </c>
      <c r="AK1643" t="n">
        <v>16</v>
      </c>
      <c r="AL1643" t="n">
        <v>2</v>
      </c>
      <c r="AM1643" t="n">
        <v>2</v>
      </c>
      <c r="AN1643" t="n">
        <v>1</v>
      </c>
      <c r="AO1643" t="n">
        <v>2</v>
      </c>
      <c r="AP1643" t="inlineStr">
        <is>
          <t>No</t>
        </is>
      </c>
      <c r="AQ1643" t="inlineStr">
        <is>
          <t>No</t>
        </is>
      </c>
      <c r="AS1643">
        <f>HYPERLINK("https://creighton-primo.hosted.exlibrisgroup.com/primo-explore/search?tab=default_tab&amp;search_scope=EVERYTHING&amp;vid=01CRU&amp;lang=en_US&amp;offset=0&amp;query=any,contains,991000510649702656","Catalog Record")</f>
        <v/>
      </c>
      <c r="AT1643">
        <f>HYPERLINK("http://www.worldcat.org/oclc/11235765","WorldCat Record")</f>
        <v/>
      </c>
      <c r="AU1643" t="inlineStr">
        <is>
          <t>4134744:eng</t>
        </is>
      </c>
      <c r="AV1643" t="inlineStr">
        <is>
          <t>11235765</t>
        </is>
      </c>
      <c r="AW1643" t="inlineStr">
        <is>
          <t>991000510649702656</t>
        </is>
      </c>
      <c r="AX1643" t="inlineStr">
        <is>
          <t>991000510649702656</t>
        </is>
      </c>
      <c r="AY1643" t="inlineStr">
        <is>
          <t>2257244070002656</t>
        </is>
      </c>
      <c r="AZ1643" t="inlineStr">
        <is>
          <t>BOOK</t>
        </is>
      </c>
      <c r="BB1643" t="inlineStr">
        <is>
          <t>9780316598705</t>
        </is>
      </c>
      <c r="BC1643" t="inlineStr">
        <is>
          <t>32285000036656</t>
        </is>
      </c>
      <c r="BD1643" t="inlineStr">
        <is>
          <t>893626340</t>
        </is>
      </c>
    </row>
    <row r="1644">
      <c r="A1644" t="inlineStr">
        <is>
          <t>No</t>
        </is>
      </c>
      <c r="B1644" t="inlineStr">
        <is>
          <t>E744 .N544 2001</t>
        </is>
      </c>
      <c r="C1644" t="inlineStr">
        <is>
          <t>0                      E  0744000N  544         2001</t>
        </is>
      </c>
      <c r="D1644" t="inlineStr">
        <is>
          <t>The United States and imperialism / Frank Ninkovich.</t>
        </is>
      </c>
      <c r="F1644" t="inlineStr">
        <is>
          <t>No</t>
        </is>
      </c>
      <c r="G1644" t="inlineStr">
        <is>
          <t>1</t>
        </is>
      </c>
      <c r="H1644" t="inlineStr">
        <is>
          <t>No</t>
        </is>
      </c>
      <c r="I1644" t="inlineStr">
        <is>
          <t>No</t>
        </is>
      </c>
      <c r="J1644" t="inlineStr">
        <is>
          <t>0</t>
        </is>
      </c>
      <c r="K1644" t="inlineStr">
        <is>
          <t>Ninkovich, Frank A., 1944-</t>
        </is>
      </c>
      <c r="L1644" t="inlineStr">
        <is>
          <t>Malden, Mass. : Blackwell Publishers, 2001.</t>
        </is>
      </c>
      <c r="M1644" t="inlineStr">
        <is>
          <t>2001</t>
        </is>
      </c>
      <c r="O1644" t="inlineStr">
        <is>
          <t>eng</t>
        </is>
      </c>
      <c r="P1644" t="inlineStr">
        <is>
          <t>mau</t>
        </is>
      </c>
      <c r="Q1644" t="inlineStr">
        <is>
          <t>Problems in American history</t>
        </is>
      </c>
      <c r="R1644" t="inlineStr">
        <is>
          <t xml:space="preserve">E  </t>
        </is>
      </c>
      <c r="S1644" t="n">
        <v>3</v>
      </c>
      <c r="T1644" t="n">
        <v>3</v>
      </c>
      <c r="U1644" t="inlineStr">
        <is>
          <t>2005-12-05</t>
        </is>
      </c>
      <c r="V1644" t="inlineStr">
        <is>
          <t>2005-12-05</t>
        </is>
      </c>
      <c r="W1644" t="inlineStr">
        <is>
          <t>2002-10-29</t>
        </is>
      </c>
      <c r="X1644" t="inlineStr">
        <is>
          <t>2002-10-29</t>
        </is>
      </c>
      <c r="Y1644" t="n">
        <v>639</v>
      </c>
      <c r="Z1644" t="n">
        <v>512</v>
      </c>
      <c r="AA1644" t="n">
        <v>514</v>
      </c>
      <c r="AB1644" t="n">
        <v>2</v>
      </c>
      <c r="AC1644" t="n">
        <v>2</v>
      </c>
      <c r="AD1644" t="n">
        <v>27</v>
      </c>
      <c r="AE1644" t="n">
        <v>27</v>
      </c>
      <c r="AF1644" t="n">
        <v>15</v>
      </c>
      <c r="AG1644" t="n">
        <v>15</v>
      </c>
      <c r="AH1644" t="n">
        <v>7</v>
      </c>
      <c r="AI1644" t="n">
        <v>7</v>
      </c>
      <c r="AJ1644" t="n">
        <v>12</v>
      </c>
      <c r="AK1644" t="n">
        <v>12</v>
      </c>
      <c r="AL1644" t="n">
        <v>1</v>
      </c>
      <c r="AM1644" t="n">
        <v>1</v>
      </c>
      <c r="AN1644" t="n">
        <v>0</v>
      </c>
      <c r="AO1644" t="n">
        <v>0</v>
      </c>
      <c r="AP1644" t="inlineStr">
        <is>
          <t>No</t>
        </is>
      </c>
      <c r="AQ1644" t="inlineStr">
        <is>
          <t>No</t>
        </is>
      </c>
      <c r="AS1644">
        <f>HYPERLINK("https://creighton-primo.hosted.exlibrisgroup.com/primo-explore/search?tab=default_tab&amp;search_scope=EVERYTHING&amp;vid=01CRU&amp;lang=en_US&amp;offset=0&amp;query=any,contains,991003799669702656","Catalog Record")</f>
        <v/>
      </c>
      <c r="AT1644">
        <f>HYPERLINK("http://www.worldcat.org/oclc/44593972","WorldCat Record")</f>
        <v/>
      </c>
      <c r="AU1644" t="inlineStr">
        <is>
          <t>971118:eng</t>
        </is>
      </c>
      <c r="AV1644" t="inlineStr">
        <is>
          <t>44593972</t>
        </is>
      </c>
      <c r="AW1644" t="inlineStr">
        <is>
          <t>991003799669702656</t>
        </is>
      </c>
      <c r="AX1644" t="inlineStr">
        <is>
          <t>991003799669702656</t>
        </is>
      </c>
      <c r="AY1644" t="inlineStr">
        <is>
          <t>2270313000002656</t>
        </is>
      </c>
      <c r="AZ1644" t="inlineStr">
        <is>
          <t>BOOK</t>
        </is>
      </c>
      <c r="BB1644" t="inlineStr">
        <is>
          <t>9781577180555</t>
        </is>
      </c>
      <c r="BC1644" t="inlineStr">
        <is>
          <t>32285004658844</t>
        </is>
      </c>
      <c r="BD1644" t="inlineStr">
        <is>
          <t>893806227</t>
        </is>
      </c>
    </row>
    <row r="1645">
      <c r="A1645" t="inlineStr">
        <is>
          <t>No</t>
        </is>
      </c>
      <c r="B1645" t="inlineStr">
        <is>
          <t>E744 .O77</t>
        </is>
      </c>
      <c r="C1645" t="inlineStr">
        <is>
          <t>0                      E  0744000O  77</t>
        </is>
      </c>
      <c r="D1645" t="inlineStr">
        <is>
          <t>Ideals and self-interest in America's foreign relations : the great transformation of the twentieth century.</t>
        </is>
      </c>
      <c r="F1645" t="inlineStr">
        <is>
          <t>No</t>
        </is>
      </c>
      <c r="G1645" t="inlineStr">
        <is>
          <t>1</t>
        </is>
      </c>
      <c r="H1645" t="inlineStr">
        <is>
          <t>No</t>
        </is>
      </c>
      <c r="I1645" t="inlineStr">
        <is>
          <t>Yes</t>
        </is>
      </c>
      <c r="J1645" t="inlineStr">
        <is>
          <t>0</t>
        </is>
      </c>
      <c r="K1645" t="inlineStr">
        <is>
          <t>Osgood, Robert E. (Robert Endicott), 1921-1986.</t>
        </is>
      </c>
      <c r="L1645" t="inlineStr">
        <is>
          <t>Chicago : University of Chicago Press, 1964</t>
        </is>
      </c>
      <c r="M1645" t="inlineStr">
        <is>
          <t>1964</t>
        </is>
      </c>
      <c r="N1645" t="inlineStr">
        <is>
          <t>1st Phoenix ed.</t>
        </is>
      </c>
      <c r="O1645" t="inlineStr">
        <is>
          <t>eng</t>
        </is>
      </c>
      <c r="P1645" t="inlineStr">
        <is>
          <t>ilu</t>
        </is>
      </c>
      <c r="Q1645" t="inlineStr">
        <is>
          <t>Phoenix books</t>
        </is>
      </c>
      <c r="R1645" t="inlineStr">
        <is>
          <t xml:space="preserve">E  </t>
        </is>
      </c>
      <c r="S1645" t="n">
        <v>2</v>
      </c>
      <c r="T1645" t="n">
        <v>2</v>
      </c>
      <c r="U1645" t="inlineStr">
        <is>
          <t>2006-02-20</t>
        </is>
      </c>
      <c r="V1645" t="inlineStr">
        <is>
          <t>2006-02-20</t>
        </is>
      </c>
      <c r="W1645" t="inlineStr">
        <is>
          <t>1995-08-21</t>
        </is>
      </c>
      <c r="X1645" t="inlineStr">
        <is>
          <t>1995-08-21</t>
        </is>
      </c>
      <c r="Y1645" t="n">
        <v>89</v>
      </c>
      <c r="Z1645" t="n">
        <v>55</v>
      </c>
      <c r="AA1645" t="n">
        <v>967</v>
      </c>
      <c r="AB1645" t="n">
        <v>1</v>
      </c>
      <c r="AC1645" t="n">
        <v>6</v>
      </c>
      <c r="AD1645" t="n">
        <v>2</v>
      </c>
      <c r="AE1645" t="n">
        <v>42</v>
      </c>
      <c r="AF1645" t="n">
        <v>0</v>
      </c>
      <c r="AG1645" t="n">
        <v>17</v>
      </c>
      <c r="AH1645" t="n">
        <v>0</v>
      </c>
      <c r="AI1645" t="n">
        <v>8</v>
      </c>
      <c r="AJ1645" t="n">
        <v>2</v>
      </c>
      <c r="AK1645" t="n">
        <v>21</v>
      </c>
      <c r="AL1645" t="n">
        <v>0</v>
      </c>
      <c r="AM1645" t="n">
        <v>4</v>
      </c>
      <c r="AN1645" t="n">
        <v>0</v>
      </c>
      <c r="AO1645" t="n">
        <v>2</v>
      </c>
      <c r="AP1645" t="inlineStr">
        <is>
          <t>No</t>
        </is>
      </c>
      <c r="AQ1645" t="inlineStr">
        <is>
          <t>No</t>
        </is>
      </c>
      <c r="AS1645">
        <f>HYPERLINK("https://creighton-primo.hosted.exlibrisgroup.com/primo-explore/search?tab=default_tab&amp;search_scope=EVERYTHING&amp;vid=01CRU&amp;lang=en_US&amp;offset=0&amp;query=any,contains,991003997199702656","Catalog Record")</f>
        <v/>
      </c>
      <c r="AT1645">
        <f>HYPERLINK("http://www.worldcat.org/oclc/2064538","WorldCat Record")</f>
        <v/>
      </c>
      <c r="AU1645" t="inlineStr">
        <is>
          <t>499805561:eng</t>
        </is>
      </c>
      <c r="AV1645" t="inlineStr">
        <is>
          <t>2064538</t>
        </is>
      </c>
      <c r="AW1645" t="inlineStr">
        <is>
          <t>991003997199702656</t>
        </is>
      </c>
      <c r="AX1645" t="inlineStr">
        <is>
          <t>991003997199702656</t>
        </is>
      </c>
      <c r="AY1645" t="inlineStr">
        <is>
          <t>2263113550002656</t>
        </is>
      </c>
      <c r="AZ1645" t="inlineStr">
        <is>
          <t>BOOK</t>
        </is>
      </c>
      <c r="BC1645" t="inlineStr">
        <is>
          <t>32285002023108</t>
        </is>
      </c>
      <c r="BD1645" t="inlineStr">
        <is>
          <t>893875567</t>
        </is>
      </c>
    </row>
    <row r="1646">
      <c r="A1646" t="inlineStr">
        <is>
          <t>No</t>
        </is>
      </c>
      <c r="B1646" t="inlineStr">
        <is>
          <t>E744 .P29 1971</t>
        </is>
      </c>
      <c r="C1646" t="inlineStr">
        <is>
          <t>0                      E  0744000P  29          1971</t>
        </is>
      </c>
      <c r="D1646" t="inlineStr">
        <is>
          <t>Trends and tragedies in American foreign policy / edited by Michael Parenti.</t>
        </is>
      </c>
      <c r="F1646" t="inlineStr">
        <is>
          <t>No</t>
        </is>
      </c>
      <c r="G1646" t="inlineStr">
        <is>
          <t>1</t>
        </is>
      </c>
      <c r="H1646" t="inlineStr">
        <is>
          <t>No</t>
        </is>
      </c>
      <c r="I1646" t="inlineStr">
        <is>
          <t>No</t>
        </is>
      </c>
      <c r="J1646" t="inlineStr">
        <is>
          <t>0</t>
        </is>
      </c>
      <c r="K1646" t="inlineStr">
        <is>
          <t>Parenti, Michael, 1933- compiler.</t>
        </is>
      </c>
      <c r="L1646" t="inlineStr">
        <is>
          <t>Boston : Little, Brown, [1971]</t>
        </is>
      </c>
      <c r="M1646" t="inlineStr">
        <is>
          <t>1971</t>
        </is>
      </c>
      <c r="O1646" t="inlineStr">
        <is>
          <t>eng</t>
        </is>
      </c>
      <c r="P1646" t="inlineStr">
        <is>
          <t>mau</t>
        </is>
      </c>
      <c r="R1646" t="inlineStr">
        <is>
          <t xml:space="preserve">E  </t>
        </is>
      </c>
      <c r="S1646" t="n">
        <v>3</v>
      </c>
      <c r="T1646" t="n">
        <v>3</v>
      </c>
      <c r="U1646" t="inlineStr">
        <is>
          <t>2004-05-03</t>
        </is>
      </c>
      <c r="V1646" t="inlineStr">
        <is>
          <t>2004-05-03</t>
        </is>
      </c>
      <c r="W1646" t="inlineStr">
        <is>
          <t>2003-03-19</t>
        </is>
      </c>
      <c r="X1646" t="inlineStr">
        <is>
          <t>2003-03-19</t>
        </is>
      </c>
      <c r="Y1646" t="n">
        <v>291</v>
      </c>
      <c r="Z1646" t="n">
        <v>260</v>
      </c>
      <c r="AA1646" t="n">
        <v>261</v>
      </c>
      <c r="AB1646" t="n">
        <v>3</v>
      </c>
      <c r="AC1646" t="n">
        <v>3</v>
      </c>
      <c r="AD1646" t="n">
        <v>11</v>
      </c>
      <c r="AE1646" t="n">
        <v>11</v>
      </c>
      <c r="AF1646" t="n">
        <v>4</v>
      </c>
      <c r="AG1646" t="n">
        <v>4</v>
      </c>
      <c r="AH1646" t="n">
        <v>3</v>
      </c>
      <c r="AI1646" t="n">
        <v>3</v>
      </c>
      <c r="AJ1646" t="n">
        <v>5</v>
      </c>
      <c r="AK1646" t="n">
        <v>5</v>
      </c>
      <c r="AL1646" t="n">
        <v>2</v>
      </c>
      <c r="AM1646" t="n">
        <v>2</v>
      </c>
      <c r="AN1646" t="n">
        <v>0</v>
      </c>
      <c r="AO1646" t="n">
        <v>0</v>
      </c>
      <c r="AP1646" t="inlineStr">
        <is>
          <t>No</t>
        </is>
      </c>
      <c r="AQ1646" t="inlineStr">
        <is>
          <t>No</t>
        </is>
      </c>
      <c r="AS1646">
        <f>HYPERLINK("https://creighton-primo.hosted.exlibrisgroup.com/primo-explore/search?tab=default_tab&amp;search_scope=EVERYTHING&amp;vid=01CRU&amp;lang=en_US&amp;offset=0&amp;query=any,contains,991004007809702656","Catalog Record")</f>
        <v/>
      </c>
      <c r="AT1646">
        <f>HYPERLINK("http://www.worldcat.org/oclc/202166","WorldCat Record")</f>
        <v/>
      </c>
      <c r="AU1646" t="inlineStr">
        <is>
          <t>1256273:eng</t>
        </is>
      </c>
      <c r="AV1646" t="inlineStr">
        <is>
          <t>202166</t>
        </is>
      </c>
      <c r="AW1646" t="inlineStr">
        <is>
          <t>991004007809702656</t>
        </is>
      </c>
      <c r="AX1646" t="inlineStr">
        <is>
          <t>991004007809702656</t>
        </is>
      </c>
      <c r="AY1646" t="inlineStr">
        <is>
          <t>2258583610002656</t>
        </is>
      </c>
      <c r="AZ1646" t="inlineStr">
        <is>
          <t>BOOK</t>
        </is>
      </c>
      <c r="BC1646" t="inlineStr">
        <is>
          <t>32285004684576</t>
        </is>
      </c>
      <c r="BD1646" t="inlineStr">
        <is>
          <t>893512680</t>
        </is>
      </c>
    </row>
    <row r="1647">
      <c r="A1647" t="inlineStr">
        <is>
          <t>No</t>
        </is>
      </c>
      <c r="B1647" t="inlineStr">
        <is>
          <t>E744 .P3</t>
        </is>
      </c>
      <c r="C1647" t="inlineStr">
        <is>
          <t>0                      E  0744000P  3</t>
        </is>
      </c>
      <c r="D1647" t="inlineStr">
        <is>
          <t>Containment and the cold war: American foreign policy since 1945. Edited by Thomas G. Paterson.</t>
        </is>
      </c>
      <c r="F1647" t="inlineStr">
        <is>
          <t>No</t>
        </is>
      </c>
      <c r="G1647" t="inlineStr">
        <is>
          <t>1</t>
        </is>
      </c>
      <c r="H1647" t="inlineStr">
        <is>
          <t>No</t>
        </is>
      </c>
      <c r="I1647" t="inlineStr">
        <is>
          <t>No</t>
        </is>
      </c>
      <c r="J1647" t="inlineStr">
        <is>
          <t>0</t>
        </is>
      </c>
      <c r="K1647" t="inlineStr">
        <is>
          <t>Paterson, Thomas G., 1941- compiler.</t>
        </is>
      </c>
      <c r="L1647" t="inlineStr">
        <is>
          <t>Reading, Mass., Addison-Wesley Pub. Co. [1973]</t>
        </is>
      </c>
      <c r="M1647" t="inlineStr">
        <is>
          <t>1973</t>
        </is>
      </c>
      <c r="O1647" t="inlineStr">
        <is>
          <t>eng</t>
        </is>
      </c>
      <c r="P1647" t="inlineStr">
        <is>
          <t>mau</t>
        </is>
      </c>
      <c r="Q1647" t="inlineStr">
        <is>
          <t>Addison-Wesley series in history</t>
        </is>
      </c>
      <c r="R1647" t="inlineStr">
        <is>
          <t xml:space="preserve">E  </t>
        </is>
      </c>
      <c r="S1647" t="n">
        <v>3</v>
      </c>
      <c r="T1647" t="n">
        <v>3</v>
      </c>
      <c r="U1647" t="inlineStr">
        <is>
          <t>1999-04-09</t>
        </is>
      </c>
      <c r="V1647" t="inlineStr">
        <is>
          <t>1999-04-09</t>
        </is>
      </c>
      <c r="W1647" t="inlineStr">
        <is>
          <t>1997-04-23</t>
        </is>
      </c>
      <c r="X1647" t="inlineStr">
        <is>
          <t>1997-04-23</t>
        </is>
      </c>
      <c r="Y1647" t="n">
        <v>297</v>
      </c>
      <c r="Z1647" t="n">
        <v>245</v>
      </c>
      <c r="AA1647" t="n">
        <v>247</v>
      </c>
      <c r="AB1647" t="n">
        <v>3</v>
      </c>
      <c r="AC1647" t="n">
        <v>3</v>
      </c>
      <c r="AD1647" t="n">
        <v>10</v>
      </c>
      <c r="AE1647" t="n">
        <v>10</v>
      </c>
      <c r="AF1647" t="n">
        <v>3</v>
      </c>
      <c r="AG1647" t="n">
        <v>3</v>
      </c>
      <c r="AH1647" t="n">
        <v>1</v>
      </c>
      <c r="AI1647" t="n">
        <v>1</v>
      </c>
      <c r="AJ1647" t="n">
        <v>5</v>
      </c>
      <c r="AK1647" t="n">
        <v>5</v>
      </c>
      <c r="AL1647" t="n">
        <v>2</v>
      </c>
      <c r="AM1647" t="n">
        <v>2</v>
      </c>
      <c r="AN1647" t="n">
        <v>0</v>
      </c>
      <c r="AO1647" t="n">
        <v>0</v>
      </c>
      <c r="AP1647" t="inlineStr">
        <is>
          <t>No</t>
        </is>
      </c>
      <c r="AQ1647" t="inlineStr">
        <is>
          <t>No</t>
        </is>
      </c>
      <c r="AS1647">
        <f>HYPERLINK("https://creighton-primo.hosted.exlibrisgroup.com/primo-explore/search?tab=default_tab&amp;search_scope=EVERYTHING&amp;vid=01CRU&amp;lang=en_US&amp;offset=0&amp;query=any,contains,991003078839702656","Catalog Record")</f>
        <v/>
      </c>
      <c r="AT1647">
        <f>HYPERLINK("http://www.worldcat.org/oclc/631865","WorldCat Record")</f>
        <v/>
      </c>
      <c r="AU1647" t="inlineStr">
        <is>
          <t>1743632:eng</t>
        </is>
      </c>
      <c r="AV1647" t="inlineStr">
        <is>
          <t>631865</t>
        </is>
      </c>
      <c r="AW1647" t="inlineStr">
        <is>
          <t>991003078839702656</t>
        </is>
      </c>
      <c r="AX1647" t="inlineStr">
        <is>
          <t>991003078839702656</t>
        </is>
      </c>
      <c r="AY1647" t="inlineStr">
        <is>
          <t>2263095800002656</t>
        </is>
      </c>
      <c r="AZ1647" t="inlineStr">
        <is>
          <t>BOOK</t>
        </is>
      </c>
      <c r="BC1647" t="inlineStr">
        <is>
          <t>32285002562642</t>
        </is>
      </c>
      <c r="BD1647" t="inlineStr">
        <is>
          <t>893604413</t>
        </is>
      </c>
    </row>
    <row r="1648">
      <c r="A1648" t="inlineStr">
        <is>
          <t>No</t>
        </is>
      </c>
      <c r="B1648" t="inlineStr">
        <is>
          <t>E744 .P312 1992</t>
        </is>
      </c>
      <c r="C1648" t="inlineStr">
        <is>
          <t>0                      E  0744000P  312         1992</t>
        </is>
      </c>
      <c r="D1648" t="inlineStr">
        <is>
          <t>On every front : the making and unmaking of the Cold War / Thomas G. Paterson.</t>
        </is>
      </c>
      <c r="F1648" t="inlineStr">
        <is>
          <t>No</t>
        </is>
      </c>
      <c r="G1648" t="inlineStr">
        <is>
          <t>1</t>
        </is>
      </c>
      <c r="H1648" t="inlineStr">
        <is>
          <t>No</t>
        </is>
      </c>
      <c r="I1648" t="inlineStr">
        <is>
          <t>No</t>
        </is>
      </c>
      <c r="J1648" t="inlineStr">
        <is>
          <t>0</t>
        </is>
      </c>
      <c r="K1648" t="inlineStr">
        <is>
          <t>Paterson, Thomas G., 1941-</t>
        </is>
      </c>
      <c r="L1648" t="inlineStr">
        <is>
          <t>New York : W.W. Norton, c1992.</t>
        </is>
      </c>
      <c r="M1648" t="inlineStr">
        <is>
          <t>1992</t>
        </is>
      </c>
      <c r="N1648" t="inlineStr">
        <is>
          <t>Rev. ed.</t>
        </is>
      </c>
      <c r="O1648" t="inlineStr">
        <is>
          <t>eng</t>
        </is>
      </c>
      <c r="P1648" t="inlineStr">
        <is>
          <t>nyu</t>
        </is>
      </c>
      <c r="R1648" t="inlineStr">
        <is>
          <t xml:space="preserve">E  </t>
        </is>
      </c>
      <c r="S1648" t="n">
        <v>2</v>
      </c>
      <c r="T1648" t="n">
        <v>2</v>
      </c>
      <c r="U1648" t="inlineStr">
        <is>
          <t>1995-12-04</t>
        </is>
      </c>
      <c r="V1648" t="inlineStr">
        <is>
          <t>1995-12-04</t>
        </is>
      </c>
      <c r="W1648" t="inlineStr">
        <is>
          <t>1993-11-02</t>
        </is>
      </c>
      <c r="X1648" t="inlineStr">
        <is>
          <t>1993-11-02</t>
        </is>
      </c>
      <c r="Y1648" t="n">
        <v>496</v>
      </c>
      <c r="Z1648" t="n">
        <v>386</v>
      </c>
      <c r="AA1648" t="n">
        <v>1094</v>
      </c>
      <c r="AB1648" t="n">
        <v>3</v>
      </c>
      <c r="AC1648" t="n">
        <v>10</v>
      </c>
      <c r="AD1648" t="n">
        <v>16</v>
      </c>
      <c r="AE1648" t="n">
        <v>46</v>
      </c>
      <c r="AF1648" t="n">
        <v>5</v>
      </c>
      <c r="AG1648" t="n">
        <v>19</v>
      </c>
      <c r="AH1648" t="n">
        <v>5</v>
      </c>
      <c r="AI1648" t="n">
        <v>8</v>
      </c>
      <c r="AJ1648" t="n">
        <v>9</v>
      </c>
      <c r="AK1648" t="n">
        <v>23</v>
      </c>
      <c r="AL1648" t="n">
        <v>2</v>
      </c>
      <c r="AM1648" t="n">
        <v>8</v>
      </c>
      <c r="AN1648" t="n">
        <v>0</v>
      </c>
      <c r="AO1648" t="n">
        <v>0</v>
      </c>
      <c r="AP1648" t="inlineStr">
        <is>
          <t>No</t>
        </is>
      </c>
      <c r="AQ1648" t="inlineStr">
        <is>
          <t>No</t>
        </is>
      </c>
      <c r="AS1648">
        <f>HYPERLINK("https://creighton-primo.hosted.exlibrisgroup.com/primo-explore/search?tab=default_tab&amp;search_scope=EVERYTHING&amp;vid=01CRU&amp;lang=en_US&amp;offset=0&amp;query=any,contains,991001989619702656","Catalog Record")</f>
        <v/>
      </c>
      <c r="AT1648">
        <f>HYPERLINK("http://www.worldcat.org/oclc/25281844","WorldCat Record")</f>
        <v/>
      </c>
      <c r="AU1648" t="inlineStr">
        <is>
          <t>868442950:eng</t>
        </is>
      </c>
      <c r="AV1648" t="inlineStr">
        <is>
          <t>25281844</t>
        </is>
      </c>
      <c r="AW1648" t="inlineStr">
        <is>
          <t>991001989619702656</t>
        </is>
      </c>
      <c r="AX1648" t="inlineStr">
        <is>
          <t>991001989619702656</t>
        </is>
      </c>
      <c r="AY1648" t="inlineStr">
        <is>
          <t>2256072320002656</t>
        </is>
      </c>
      <c r="AZ1648" t="inlineStr">
        <is>
          <t>BOOK</t>
        </is>
      </c>
      <c r="BB1648" t="inlineStr">
        <is>
          <t>9780393030600</t>
        </is>
      </c>
      <c r="BC1648" t="inlineStr">
        <is>
          <t>32285001810042</t>
        </is>
      </c>
      <c r="BD1648" t="inlineStr">
        <is>
          <t>893809262</t>
        </is>
      </c>
    </row>
    <row r="1649">
      <c r="A1649" t="inlineStr">
        <is>
          <t>No</t>
        </is>
      </c>
      <c r="B1649" t="inlineStr">
        <is>
          <t>E744 .P68 1991</t>
        </is>
      </c>
      <c r="C1649" t="inlineStr">
        <is>
          <t>0                      E  0744000P  68          1991</t>
        </is>
      </c>
      <c r="D1649" t="inlineStr">
        <is>
          <t>Toward an entangling alliance : American isolationism, internationalism, and Europe, 1901-1950 / Ronald E. Powaski.</t>
        </is>
      </c>
      <c r="F1649" t="inlineStr">
        <is>
          <t>No</t>
        </is>
      </c>
      <c r="G1649" t="inlineStr">
        <is>
          <t>1</t>
        </is>
      </c>
      <c r="H1649" t="inlineStr">
        <is>
          <t>No</t>
        </is>
      </c>
      <c r="I1649" t="inlineStr">
        <is>
          <t>No</t>
        </is>
      </c>
      <c r="J1649" t="inlineStr">
        <is>
          <t>0</t>
        </is>
      </c>
      <c r="K1649" t="inlineStr">
        <is>
          <t>Powaski, Ronald E.</t>
        </is>
      </c>
      <c r="L1649" t="inlineStr">
        <is>
          <t>New York : Greenwood Press, 1991.</t>
        </is>
      </c>
      <c r="M1649" t="inlineStr">
        <is>
          <t>1991</t>
        </is>
      </c>
      <c r="O1649" t="inlineStr">
        <is>
          <t>eng</t>
        </is>
      </c>
      <c r="P1649" t="inlineStr">
        <is>
          <t>nyu</t>
        </is>
      </c>
      <c r="Q1649" t="inlineStr">
        <is>
          <t>Contributions to the study of world history, 0885-9159 ; no. 22</t>
        </is>
      </c>
      <c r="R1649" t="inlineStr">
        <is>
          <t xml:space="preserve">E  </t>
        </is>
      </c>
      <c r="S1649" t="n">
        <v>4</v>
      </c>
      <c r="T1649" t="n">
        <v>4</v>
      </c>
      <c r="U1649" t="inlineStr">
        <is>
          <t>1999-04-21</t>
        </is>
      </c>
      <c r="V1649" t="inlineStr">
        <is>
          <t>1999-04-21</t>
        </is>
      </c>
      <c r="W1649" t="inlineStr">
        <is>
          <t>1991-10-31</t>
        </is>
      </c>
      <c r="X1649" t="inlineStr">
        <is>
          <t>1991-10-31</t>
        </is>
      </c>
      <c r="Y1649" t="n">
        <v>276</v>
      </c>
      <c r="Z1649" t="n">
        <v>212</v>
      </c>
      <c r="AA1649" t="n">
        <v>214</v>
      </c>
      <c r="AB1649" t="n">
        <v>2</v>
      </c>
      <c r="AC1649" t="n">
        <v>2</v>
      </c>
      <c r="AD1649" t="n">
        <v>11</v>
      </c>
      <c r="AE1649" t="n">
        <v>11</v>
      </c>
      <c r="AF1649" t="n">
        <v>4</v>
      </c>
      <c r="AG1649" t="n">
        <v>4</v>
      </c>
      <c r="AH1649" t="n">
        <v>2</v>
      </c>
      <c r="AI1649" t="n">
        <v>2</v>
      </c>
      <c r="AJ1649" t="n">
        <v>7</v>
      </c>
      <c r="AK1649" t="n">
        <v>7</v>
      </c>
      <c r="AL1649" t="n">
        <v>1</v>
      </c>
      <c r="AM1649" t="n">
        <v>1</v>
      </c>
      <c r="AN1649" t="n">
        <v>0</v>
      </c>
      <c r="AO1649" t="n">
        <v>0</v>
      </c>
      <c r="AP1649" t="inlineStr">
        <is>
          <t>No</t>
        </is>
      </c>
      <c r="AQ1649" t="inlineStr">
        <is>
          <t>Yes</t>
        </is>
      </c>
      <c r="AR1649">
        <f>HYPERLINK("http://catalog.hathitrust.org/Record/002458196","HathiTrust Record")</f>
        <v/>
      </c>
      <c r="AS1649">
        <f>HYPERLINK("https://creighton-primo.hosted.exlibrisgroup.com/primo-explore/search?tab=default_tab&amp;search_scope=EVERYTHING&amp;vid=01CRU&amp;lang=en_US&amp;offset=0&amp;query=any,contains,991001761099702656","Catalog Record")</f>
        <v/>
      </c>
      <c r="AT1649">
        <f>HYPERLINK("http://www.worldcat.org/oclc/22274865","WorldCat Record")</f>
        <v/>
      </c>
      <c r="AU1649" t="inlineStr">
        <is>
          <t>372007606:eng</t>
        </is>
      </c>
      <c r="AV1649" t="inlineStr">
        <is>
          <t>22274865</t>
        </is>
      </c>
      <c r="AW1649" t="inlineStr">
        <is>
          <t>991001761099702656</t>
        </is>
      </c>
      <c r="AX1649" t="inlineStr">
        <is>
          <t>991001761099702656</t>
        </is>
      </c>
      <c r="AY1649" t="inlineStr">
        <is>
          <t>2264121290002656</t>
        </is>
      </c>
      <c r="AZ1649" t="inlineStr">
        <is>
          <t>BOOK</t>
        </is>
      </c>
      <c r="BB1649" t="inlineStr">
        <is>
          <t>9780313272745</t>
        </is>
      </c>
      <c r="BC1649" t="inlineStr">
        <is>
          <t>32285000728625</t>
        </is>
      </c>
      <c r="BD1649" t="inlineStr">
        <is>
          <t>893721134</t>
        </is>
      </c>
    </row>
    <row r="1650">
      <c r="A1650" t="inlineStr">
        <is>
          <t>No</t>
        </is>
      </c>
      <c r="B1650" t="inlineStr">
        <is>
          <t>E744 .P7</t>
        </is>
      </c>
      <c r="C1650" t="inlineStr">
        <is>
          <t>0                      E  0744000P  7</t>
        </is>
      </c>
      <c r="D1650" t="inlineStr">
        <is>
          <t>America and world leadership, 1900-1921 / by Julius W. Pratt.</t>
        </is>
      </c>
      <c r="F1650" t="inlineStr">
        <is>
          <t>No</t>
        </is>
      </c>
      <c r="G1650" t="inlineStr">
        <is>
          <t>1</t>
        </is>
      </c>
      <c r="H1650" t="inlineStr">
        <is>
          <t>No</t>
        </is>
      </c>
      <c r="I1650" t="inlineStr">
        <is>
          <t>No</t>
        </is>
      </c>
      <c r="J1650" t="inlineStr">
        <is>
          <t>0</t>
        </is>
      </c>
      <c r="K1650" t="inlineStr">
        <is>
          <t>Pratt, Julius W. (Julius William), 1888-1983.</t>
        </is>
      </c>
      <c r="L1650" t="inlineStr">
        <is>
          <t>London : Collier-MacMillan, 1970, c1967.</t>
        </is>
      </c>
      <c r="M1650" t="inlineStr">
        <is>
          <t>1970</t>
        </is>
      </c>
      <c r="O1650" t="inlineStr">
        <is>
          <t>eng</t>
        </is>
      </c>
      <c r="P1650" t="inlineStr">
        <is>
          <t>enk</t>
        </is>
      </c>
      <c r="R1650" t="inlineStr">
        <is>
          <t xml:space="preserve">E  </t>
        </is>
      </c>
      <c r="S1650" t="n">
        <v>10</v>
      </c>
      <c r="T1650" t="n">
        <v>10</v>
      </c>
      <c r="U1650" t="inlineStr">
        <is>
          <t>1992-09-24</t>
        </is>
      </c>
      <c r="V1650" t="inlineStr">
        <is>
          <t>1992-09-24</t>
        </is>
      </c>
      <c r="W1650" t="inlineStr">
        <is>
          <t>1992-05-04</t>
        </is>
      </c>
      <c r="X1650" t="inlineStr">
        <is>
          <t>1992-05-04</t>
        </is>
      </c>
      <c r="Y1650" t="n">
        <v>179</v>
      </c>
      <c r="Z1650" t="n">
        <v>151</v>
      </c>
      <c r="AA1650" t="n">
        <v>216</v>
      </c>
      <c r="AB1650" t="n">
        <v>4</v>
      </c>
      <c r="AC1650" t="n">
        <v>4</v>
      </c>
      <c r="AD1650" t="n">
        <v>10</v>
      </c>
      <c r="AE1650" t="n">
        <v>14</v>
      </c>
      <c r="AF1650" t="n">
        <v>2</v>
      </c>
      <c r="AG1650" t="n">
        <v>4</v>
      </c>
      <c r="AH1650" t="n">
        <v>1</v>
      </c>
      <c r="AI1650" t="n">
        <v>2</v>
      </c>
      <c r="AJ1650" t="n">
        <v>5</v>
      </c>
      <c r="AK1650" t="n">
        <v>6</v>
      </c>
      <c r="AL1650" t="n">
        <v>3</v>
      </c>
      <c r="AM1650" t="n">
        <v>3</v>
      </c>
      <c r="AN1650" t="n">
        <v>0</v>
      </c>
      <c r="AO1650" t="n">
        <v>0</v>
      </c>
      <c r="AP1650" t="inlineStr">
        <is>
          <t>No</t>
        </is>
      </c>
      <c r="AQ1650" t="inlineStr">
        <is>
          <t>Yes</t>
        </is>
      </c>
      <c r="AR1650">
        <f>HYPERLINK("http://catalog.hathitrust.org/Record/006005368","HathiTrust Record")</f>
        <v/>
      </c>
      <c r="AS1650">
        <f>HYPERLINK("https://creighton-primo.hosted.exlibrisgroup.com/primo-explore/search?tab=default_tab&amp;search_scope=EVERYTHING&amp;vid=01CRU&amp;lang=en_US&amp;offset=0&amp;query=any,contains,991004427459702656","Catalog Record")</f>
        <v/>
      </c>
      <c r="AT1650">
        <f>HYPERLINK("http://www.worldcat.org/oclc/3407375","WorldCat Record")</f>
        <v/>
      </c>
      <c r="AU1650" t="inlineStr">
        <is>
          <t>9825037:eng</t>
        </is>
      </c>
      <c r="AV1650" t="inlineStr">
        <is>
          <t>3407375</t>
        </is>
      </c>
      <c r="AW1650" t="inlineStr">
        <is>
          <t>991004427459702656</t>
        </is>
      </c>
      <c r="AX1650" t="inlineStr">
        <is>
          <t>991004427459702656</t>
        </is>
      </c>
      <c r="AY1650" t="inlineStr">
        <is>
          <t>2264088820002656</t>
        </is>
      </c>
      <c r="AZ1650" t="inlineStr">
        <is>
          <t>BOOK</t>
        </is>
      </c>
      <c r="BC1650" t="inlineStr">
        <is>
          <t>32285001104594</t>
        </is>
      </c>
      <c r="BD1650" t="inlineStr">
        <is>
          <t>893526092</t>
        </is>
      </c>
    </row>
    <row r="1651">
      <c r="A1651" t="inlineStr">
        <is>
          <t>No</t>
        </is>
      </c>
      <c r="B1651" t="inlineStr">
        <is>
          <t>E744 .Q47 1982</t>
        </is>
      </c>
      <c r="C1651" t="inlineStr">
        <is>
          <t>0                      E  0744000Q  47          1982</t>
        </is>
      </c>
      <c r="D1651" t="inlineStr">
        <is>
          <t>American foreign policy : the lost consensus / George H. Quester.</t>
        </is>
      </c>
      <c r="F1651" t="inlineStr">
        <is>
          <t>No</t>
        </is>
      </c>
      <c r="G1651" t="inlineStr">
        <is>
          <t>1</t>
        </is>
      </c>
      <c r="H1651" t="inlineStr">
        <is>
          <t>No</t>
        </is>
      </c>
      <c r="I1651" t="inlineStr">
        <is>
          <t>No</t>
        </is>
      </c>
      <c r="J1651" t="inlineStr">
        <is>
          <t>0</t>
        </is>
      </c>
      <c r="K1651" t="inlineStr">
        <is>
          <t>Quester, George H.</t>
        </is>
      </c>
      <c r="L1651" t="inlineStr">
        <is>
          <t>New York, N.Y. : Praeger, 1982.</t>
        </is>
      </c>
      <c r="M1651" t="inlineStr">
        <is>
          <t>1982</t>
        </is>
      </c>
      <c r="O1651" t="inlineStr">
        <is>
          <t>eng</t>
        </is>
      </c>
      <c r="P1651" t="inlineStr">
        <is>
          <t>nyu</t>
        </is>
      </c>
      <c r="R1651" t="inlineStr">
        <is>
          <t xml:space="preserve">E  </t>
        </is>
      </c>
      <c r="S1651" t="n">
        <v>1</v>
      </c>
      <c r="T1651" t="n">
        <v>1</v>
      </c>
      <c r="U1651" t="inlineStr">
        <is>
          <t>1999-04-10</t>
        </is>
      </c>
      <c r="V1651" t="inlineStr">
        <is>
          <t>1999-04-10</t>
        </is>
      </c>
      <c r="W1651" t="inlineStr">
        <is>
          <t>1991-05-28</t>
        </is>
      </c>
      <c r="X1651" t="inlineStr">
        <is>
          <t>1991-05-28</t>
        </is>
      </c>
      <c r="Y1651" t="n">
        <v>328</v>
      </c>
      <c r="Z1651" t="n">
        <v>254</v>
      </c>
      <c r="AA1651" t="n">
        <v>260</v>
      </c>
      <c r="AB1651" t="n">
        <v>3</v>
      </c>
      <c r="AC1651" t="n">
        <v>3</v>
      </c>
      <c r="AD1651" t="n">
        <v>7</v>
      </c>
      <c r="AE1651" t="n">
        <v>7</v>
      </c>
      <c r="AF1651" t="n">
        <v>2</v>
      </c>
      <c r="AG1651" t="n">
        <v>2</v>
      </c>
      <c r="AH1651" t="n">
        <v>1</v>
      </c>
      <c r="AI1651" t="n">
        <v>1</v>
      </c>
      <c r="AJ1651" t="n">
        <v>4</v>
      </c>
      <c r="AK1651" t="n">
        <v>4</v>
      </c>
      <c r="AL1651" t="n">
        <v>2</v>
      </c>
      <c r="AM1651" t="n">
        <v>2</v>
      </c>
      <c r="AN1651" t="n">
        <v>0</v>
      </c>
      <c r="AO1651" t="n">
        <v>0</v>
      </c>
      <c r="AP1651" t="inlineStr">
        <is>
          <t>No</t>
        </is>
      </c>
      <c r="AQ1651" t="inlineStr">
        <is>
          <t>Yes</t>
        </is>
      </c>
      <c r="AR1651">
        <f>HYPERLINK("http://catalog.hathitrust.org/Record/000270204","HathiTrust Record")</f>
        <v/>
      </c>
      <c r="AS1651">
        <f>HYPERLINK("https://creighton-primo.hosted.exlibrisgroup.com/primo-explore/search?tab=default_tab&amp;search_scope=EVERYTHING&amp;vid=01CRU&amp;lang=en_US&amp;offset=0&amp;query=any,contains,991005219029702656","Catalog Record")</f>
        <v/>
      </c>
      <c r="AT1651">
        <f>HYPERLINK("http://www.worldcat.org/oclc/8218923","WorldCat Record")</f>
        <v/>
      </c>
      <c r="AU1651" t="inlineStr">
        <is>
          <t>429166079:eng</t>
        </is>
      </c>
      <c r="AV1651" t="inlineStr">
        <is>
          <t>8218923</t>
        </is>
      </c>
      <c r="AW1651" t="inlineStr">
        <is>
          <t>991005219029702656</t>
        </is>
      </c>
      <c r="AX1651" t="inlineStr">
        <is>
          <t>991005219029702656</t>
        </is>
      </c>
      <c r="AY1651" t="inlineStr">
        <is>
          <t>2254796980002656</t>
        </is>
      </c>
      <c r="AZ1651" t="inlineStr">
        <is>
          <t>BOOK</t>
        </is>
      </c>
      <c r="BB1651" t="inlineStr">
        <is>
          <t>9780030616648</t>
        </is>
      </c>
      <c r="BC1651" t="inlineStr">
        <is>
          <t>32285000612605</t>
        </is>
      </c>
      <c r="BD1651" t="inlineStr">
        <is>
          <t>893808030</t>
        </is>
      </c>
    </row>
    <row r="1652">
      <c r="A1652" t="inlineStr">
        <is>
          <t>No</t>
        </is>
      </c>
      <c r="B1652" t="inlineStr">
        <is>
          <t>E744 .R53</t>
        </is>
      </c>
      <c r="C1652" t="inlineStr">
        <is>
          <t>0                      E  0744000R  53</t>
        </is>
      </c>
      <c r="D1652" t="inlineStr">
        <is>
          <t>The roots of isolationism; congressional voting and presidential leadership in foreign policy [by] Leroy N. Rieselbach.</t>
        </is>
      </c>
      <c r="F1652" t="inlineStr">
        <is>
          <t>No</t>
        </is>
      </c>
      <c r="G1652" t="inlineStr">
        <is>
          <t>1</t>
        </is>
      </c>
      <c r="H1652" t="inlineStr">
        <is>
          <t>No</t>
        </is>
      </c>
      <c r="I1652" t="inlineStr">
        <is>
          <t>No</t>
        </is>
      </c>
      <c r="J1652" t="inlineStr">
        <is>
          <t>0</t>
        </is>
      </c>
      <c r="K1652" t="inlineStr">
        <is>
          <t>Rieselbach, Leroy N.</t>
        </is>
      </c>
      <c r="L1652" t="inlineStr">
        <is>
          <t>Indianapolis, Bobbs-Merrill [c1966]</t>
        </is>
      </c>
      <c r="M1652" t="inlineStr">
        <is>
          <t>1966</t>
        </is>
      </c>
      <c r="O1652" t="inlineStr">
        <is>
          <t>eng</t>
        </is>
      </c>
      <c r="P1652" t="inlineStr">
        <is>
          <t>inu</t>
        </is>
      </c>
      <c r="Q1652" t="inlineStr">
        <is>
          <t>The Advanced studies in political science</t>
        </is>
      </c>
      <c r="R1652" t="inlineStr">
        <is>
          <t xml:space="preserve">E  </t>
        </is>
      </c>
      <c r="S1652" t="n">
        <v>3</v>
      </c>
      <c r="T1652" t="n">
        <v>3</v>
      </c>
      <c r="U1652" t="inlineStr">
        <is>
          <t>2003-08-27</t>
        </is>
      </c>
      <c r="V1652" t="inlineStr">
        <is>
          <t>2003-08-27</t>
        </is>
      </c>
      <c r="W1652" t="inlineStr">
        <is>
          <t>1997-04-23</t>
        </is>
      </c>
      <c r="X1652" t="inlineStr">
        <is>
          <t>1997-04-23</t>
        </is>
      </c>
      <c r="Y1652" t="n">
        <v>464</v>
      </c>
      <c r="Z1652" t="n">
        <v>402</v>
      </c>
      <c r="AA1652" t="n">
        <v>404</v>
      </c>
      <c r="AB1652" t="n">
        <v>4</v>
      </c>
      <c r="AC1652" t="n">
        <v>4</v>
      </c>
      <c r="AD1652" t="n">
        <v>25</v>
      </c>
      <c r="AE1652" t="n">
        <v>25</v>
      </c>
      <c r="AF1652" t="n">
        <v>8</v>
      </c>
      <c r="AG1652" t="n">
        <v>8</v>
      </c>
      <c r="AH1652" t="n">
        <v>6</v>
      </c>
      <c r="AI1652" t="n">
        <v>6</v>
      </c>
      <c r="AJ1652" t="n">
        <v>15</v>
      </c>
      <c r="AK1652" t="n">
        <v>15</v>
      </c>
      <c r="AL1652" t="n">
        <v>3</v>
      </c>
      <c r="AM1652" t="n">
        <v>3</v>
      </c>
      <c r="AN1652" t="n">
        <v>0</v>
      </c>
      <c r="AO1652" t="n">
        <v>0</v>
      </c>
      <c r="AP1652" t="inlineStr">
        <is>
          <t>No</t>
        </is>
      </c>
      <c r="AQ1652" t="inlineStr">
        <is>
          <t>Yes</t>
        </is>
      </c>
      <c r="AR1652">
        <f>HYPERLINK("http://catalog.hathitrust.org/Record/000468495","HathiTrust Record")</f>
        <v/>
      </c>
      <c r="AS1652">
        <f>HYPERLINK("https://creighton-primo.hosted.exlibrisgroup.com/primo-explore/search?tab=default_tab&amp;search_scope=EVERYTHING&amp;vid=01CRU&amp;lang=en_US&amp;offset=0&amp;query=any,contains,991002820879702656","Catalog Record")</f>
        <v/>
      </c>
      <c r="AT1652">
        <f>HYPERLINK("http://www.worldcat.org/oclc/466549","WorldCat Record")</f>
        <v/>
      </c>
      <c r="AU1652" t="inlineStr">
        <is>
          <t>889827896:eng</t>
        </is>
      </c>
      <c r="AV1652" t="inlineStr">
        <is>
          <t>466549</t>
        </is>
      </c>
      <c r="AW1652" t="inlineStr">
        <is>
          <t>991002820879702656</t>
        </is>
      </c>
      <c r="AX1652" t="inlineStr">
        <is>
          <t>991002820879702656</t>
        </is>
      </c>
      <c r="AY1652" t="inlineStr">
        <is>
          <t>2259874850002656</t>
        </is>
      </c>
      <c r="AZ1652" t="inlineStr">
        <is>
          <t>BOOK</t>
        </is>
      </c>
      <c r="BC1652" t="inlineStr">
        <is>
          <t>32285002562691</t>
        </is>
      </c>
      <c r="BD1652" t="inlineStr">
        <is>
          <t>893899282</t>
        </is>
      </c>
    </row>
    <row r="1653">
      <c r="A1653" t="inlineStr">
        <is>
          <t>No</t>
        </is>
      </c>
      <c r="B1653" t="inlineStr">
        <is>
          <t>E744 .R89 1987</t>
        </is>
      </c>
      <c r="C1653" t="inlineStr">
        <is>
          <t>0                      E  0744000R  89          1987</t>
        </is>
      </c>
      <c r="D1653" t="inlineStr">
        <is>
          <t>Secrets of state : the State Department and the struggle over U.S. foreign policy / Barry Rubin ; [with a new preface].</t>
        </is>
      </c>
      <c r="F1653" t="inlineStr">
        <is>
          <t>No</t>
        </is>
      </c>
      <c r="G1653" t="inlineStr">
        <is>
          <t>1</t>
        </is>
      </c>
      <c r="H1653" t="inlineStr">
        <is>
          <t>No</t>
        </is>
      </c>
      <c r="I1653" t="inlineStr">
        <is>
          <t>Yes</t>
        </is>
      </c>
      <c r="J1653" t="inlineStr">
        <is>
          <t>0</t>
        </is>
      </c>
      <c r="K1653" t="inlineStr">
        <is>
          <t>Rubin, Barry M.</t>
        </is>
      </c>
      <c r="L1653" t="inlineStr">
        <is>
          <t>New York : Oxford University Press, 1987.</t>
        </is>
      </c>
      <c r="M1653" t="inlineStr">
        <is>
          <t>1987</t>
        </is>
      </c>
      <c r="O1653" t="inlineStr">
        <is>
          <t>eng</t>
        </is>
      </c>
      <c r="P1653" t="inlineStr">
        <is>
          <t>nyu</t>
        </is>
      </c>
      <c r="Q1653" t="inlineStr">
        <is>
          <t>Oxford paperbacks</t>
        </is>
      </c>
      <c r="R1653" t="inlineStr">
        <is>
          <t xml:space="preserve">E  </t>
        </is>
      </c>
      <c r="S1653" t="n">
        <v>2</v>
      </c>
      <c r="T1653" t="n">
        <v>2</v>
      </c>
      <c r="U1653" t="inlineStr">
        <is>
          <t>1992-02-29</t>
        </is>
      </c>
      <c r="V1653" t="inlineStr">
        <is>
          <t>1992-02-29</t>
        </is>
      </c>
      <c r="W1653" t="inlineStr">
        <is>
          <t>1991-02-22</t>
        </is>
      </c>
      <c r="X1653" t="inlineStr">
        <is>
          <t>1991-02-22</t>
        </is>
      </c>
      <c r="Y1653" t="n">
        <v>68</v>
      </c>
      <c r="Z1653" t="n">
        <v>63</v>
      </c>
      <c r="AA1653" t="n">
        <v>789</v>
      </c>
      <c r="AB1653" t="n">
        <v>2</v>
      </c>
      <c r="AC1653" t="n">
        <v>6</v>
      </c>
      <c r="AD1653" t="n">
        <v>4</v>
      </c>
      <c r="AE1653" t="n">
        <v>38</v>
      </c>
      <c r="AF1653" t="n">
        <v>0</v>
      </c>
      <c r="AG1653" t="n">
        <v>14</v>
      </c>
      <c r="AH1653" t="n">
        <v>1</v>
      </c>
      <c r="AI1653" t="n">
        <v>7</v>
      </c>
      <c r="AJ1653" t="n">
        <v>3</v>
      </c>
      <c r="AK1653" t="n">
        <v>17</v>
      </c>
      <c r="AL1653" t="n">
        <v>1</v>
      </c>
      <c r="AM1653" t="n">
        <v>5</v>
      </c>
      <c r="AN1653" t="n">
        <v>0</v>
      </c>
      <c r="AO1653" t="n">
        <v>4</v>
      </c>
      <c r="AP1653" t="inlineStr">
        <is>
          <t>No</t>
        </is>
      </c>
      <c r="AQ1653" t="inlineStr">
        <is>
          <t>Yes</t>
        </is>
      </c>
      <c r="AR1653">
        <f>HYPERLINK("http://catalog.hathitrust.org/Record/010027819","HathiTrust Record")</f>
        <v/>
      </c>
      <c r="AS1653">
        <f>HYPERLINK("https://creighton-primo.hosted.exlibrisgroup.com/primo-explore/search?tab=default_tab&amp;search_scope=EVERYTHING&amp;vid=01CRU&amp;lang=en_US&amp;offset=0&amp;query=any,contains,991001072759702656","Catalog Record")</f>
        <v/>
      </c>
      <c r="AT1653">
        <f>HYPERLINK("http://www.worldcat.org/oclc/15997659","WorldCat Record")</f>
        <v/>
      </c>
      <c r="AU1653" t="inlineStr">
        <is>
          <t>836680577:eng</t>
        </is>
      </c>
      <c r="AV1653" t="inlineStr">
        <is>
          <t>15997659</t>
        </is>
      </c>
      <c r="AW1653" t="inlineStr">
        <is>
          <t>991001072759702656</t>
        </is>
      </c>
      <c r="AX1653" t="inlineStr">
        <is>
          <t>991001072759702656</t>
        </is>
      </c>
      <c r="AY1653" t="inlineStr">
        <is>
          <t>2256918490002656</t>
        </is>
      </c>
      <c r="AZ1653" t="inlineStr">
        <is>
          <t>BOOK</t>
        </is>
      </c>
      <c r="BB1653" t="inlineStr">
        <is>
          <t>9780195050103</t>
        </is>
      </c>
      <c r="BC1653" t="inlineStr">
        <is>
          <t>32285000492628</t>
        </is>
      </c>
      <c r="BD1653" t="inlineStr">
        <is>
          <t>893340138</t>
        </is>
      </c>
    </row>
    <row r="1654">
      <c r="A1654" t="inlineStr">
        <is>
          <t>No</t>
        </is>
      </c>
      <c r="B1654" t="inlineStr">
        <is>
          <t>E744 .S3996 1984</t>
        </is>
      </c>
      <c r="C1654" t="inlineStr">
        <is>
          <t>0                      E  0744000S  3996        1984</t>
        </is>
      </c>
      <c r="D1654" t="inlineStr">
        <is>
          <t>The wise men of foreign affairs : the history of the Council on Foreign Relations / Robert D. Schulzinger.</t>
        </is>
      </c>
      <c r="F1654" t="inlineStr">
        <is>
          <t>No</t>
        </is>
      </c>
      <c r="G1654" t="inlineStr">
        <is>
          <t>1</t>
        </is>
      </c>
      <c r="H1654" t="inlineStr">
        <is>
          <t>No</t>
        </is>
      </c>
      <c r="I1654" t="inlineStr">
        <is>
          <t>No</t>
        </is>
      </c>
      <c r="J1654" t="inlineStr">
        <is>
          <t>0</t>
        </is>
      </c>
      <c r="K1654" t="inlineStr">
        <is>
          <t>Schulzinger, Robert D., 1945-</t>
        </is>
      </c>
      <c r="L1654" t="inlineStr">
        <is>
          <t>New York : Columbia University Press, 1984.</t>
        </is>
      </c>
      <c r="M1654" t="inlineStr">
        <is>
          <t>1984</t>
        </is>
      </c>
      <c r="O1654" t="inlineStr">
        <is>
          <t>eng</t>
        </is>
      </c>
      <c r="P1654" t="inlineStr">
        <is>
          <t>nyu</t>
        </is>
      </c>
      <c r="R1654" t="inlineStr">
        <is>
          <t xml:space="preserve">E  </t>
        </is>
      </c>
      <c r="S1654" t="n">
        <v>3</v>
      </c>
      <c r="T1654" t="n">
        <v>3</v>
      </c>
      <c r="U1654" t="inlineStr">
        <is>
          <t>2003-05-22</t>
        </is>
      </c>
      <c r="V1654" t="inlineStr">
        <is>
          <t>2003-05-22</t>
        </is>
      </c>
      <c r="W1654" t="inlineStr">
        <is>
          <t>1991-05-28</t>
        </is>
      </c>
      <c r="X1654" t="inlineStr">
        <is>
          <t>1991-05-28</t>
        </is>
      </c>
      <c r="Y1654" t="n">
        <v>640</v>
      </c>
      <c r="Z1654" t="n">
        <v>547</v>
      </c>
      <c r="AA1654" t="n">
        <v>555</v>
      </c>
      <c r="AB1654" t="n">
        <v>4</v>
      </c>
      <c r="AC1654" t="n">
        <v>4</v>
      </c>
      <c r="AD1654" t="n">
        <v>27</v>
      </c>
      <c r="AE1654" t="n">
        <v>27</v>
      </c>
      <c r="AF1654" t="n">
        <v>8</v>
      </c>
      <c r="AG1654" t="n">
        <v>8</v>
      </c>
      <c r="AH1654" t="n">
        <v>6</v>
      </c>
      <c r="AI1654" t="n">
        <v>6</v>
      </c>
      <c r="AJ1654" t="n">
        <v>16</v>
      </c>
      <c r="AK1654" t="n">
        <v>16</v>
      </c>
      <c r="AL1654" t="n">
        <v>3</v>
      </c>
      <c r="AM1654" t="n">
        <v>3</v>
      </c>
      <c r="AN1654" t="n">
        <v>3</v>
      </c>
      <c r="AO1654" t="n">
        <v>3</v>
      </c>
      <c r="AP1654" t="inlineStr">
        <is>
          <t>No</t>
        </is>
      </c>
      <c r="AQ1654" t="inlineStr">
        <is>
          <t>No</t>
        </is>
      </c>
      <c r="AS1654">
        <f>HYPERLINK("https://creighton-primo.hosted.exlibrisgroup.com/primo-explore/search?tab=default_tab&amp;search_scope=EVERYTHING&amp;vid=01CRU&amp;lang=en_US&amp;offset=0&amp;query=any,contains,991000355489702656","Catalog Record")</f>
        <v/>
      </c>
      <c r="AT1654">
        <f>HYPERLINK("http://www.worldcat.org/oclc/10324950","WorldCat Record")</f>
        <v/>
      </c>
      <c r="AU1654" t="inlineStr">
        <is>
          <t>141243848:eng</t>
        </is>
      </c>
      <c r="AV1654" t="inlineStr">
        <is>
          <t>10324950</t>
        </is>
      </c>
      <c r="AW1654" t="inlineStr">
        <is>
          <t>991000355489702656</t>
        </is>
      </c>
      <c r="AX1654" t="inlineStr">
        <is>
          <t>991000355489702656</t>
        </is>
      </c>
      <c r="AY1654" t="inlineStr">
        <is>
          <t>2268095520002656</t>
        </is>
      </c>
      <c r="AZ1654" t="inlineStr">
        <is>
          <t>BOOK</t>
        </is>
      </c>
      <c r="BB1654" t="inlineStr">
        <is>
          <t>9780231055284</t>
        </is>
      </c>
      <c r="BC1654" t="inlineStr">
        <is>
          <t>32285000612647</t>
        </is>
      </c>
      <c r="BD1654" t="inlineStr">
        <is>
          <t>893877963</t>
        </is>
      </c>
    </row>
    <row r="1655">
      <c r="A1655" t="inlineStr">
        <is>
          <t>No</t>
        </is>
      </c>
      <c r="B1655" t="inlineStr">
        <is>
          <t>E744 .S589 2000</t>
        </is>
      </c>
      <c r="C1655" t="inlineStr">
        <is>
          <t>0                      E  0744000S  589         2000</t>
        </is>
      </c>
      <c r="D1655" t="inlineStr">
        <is>
          <t>Foreign attachments : the power of ethnic groups in the making of American foreign policy / Tony Smith.</t>
        </is>
      </c>
      <c r="F1655" t="inlineStr">
        <is>
          <t>No</t>
        </is>
      </c>
      <c r="G1655" t="inlineStr">
        <is>
          <t>1</t>
        </is>
      </c>
      <c r="H1655" t="inlineStr">
        <is>
          <t>No</t>
        </is>
      </c>
      <c r="I1655" t="inlineStr">
        <is>
          <t>No</t>
        </is>
      </c>
      <c r="J1655" t="inlineStr">
        <is>
          <t>0</t>
        </is>
      </c>
      <c r="K1655" t="inlineStr">
        <is>
          <t>Smith, Tony, 1942-</t>
        </is>
      </c>
      <c r="L1655" t="inlineStr">
        <is>
          <t>Cambridge, Mass. ; London, England : Harvard University Press, 2000.</t>
        </is>
      </c>
      <c r="M1655" t="inlineStr">
        <is>
          <t>2000</t>
        </is>
      </c>
      <c r="O1655" t="inlineStr">
        <is>
          <t>eng</t>
        </is>
      </c>
      <c r="P1655" t="inlineStr">
        <is>
          <t>mau</t>
        </is>
      </c>
      <c r="R1655" t="inlineStr">
        <is>
          <t xml:space="preserve">E  </t>
        </is>
      </c>
      <c r="S1655" t="n">
        <v>1</v>
      </c>
      <c r="T1655" t="n">
        <v>1</v>
      </c>
      <c r="U1655" t="inlineStr">
        <is>
          <t>2004-08-16</t>
        </is>
      </c>
      <c r="V1655" t="inlineStr">
        <is>
          <t>2004-08-16</t>
        </is>
      </c>
      <c r="W1655" t="inlineStr">
        <is>
          <t>2004-08-16</t>
        </is>
      </c>
      <c r="X1655" t="inlineStr">
        <is>
          <t>2004-08-16</t>
        </is>
      </c>
      <c r="Y1655" t="n">
        <v>485</v>
      </c>
      <c r="Z1655" t="n">
        <v>397</v>
      </c>
      <c r="AA1655" t="n">
        <v>414</v>
      </c>
      <c r="AB1655" t="n">
        <v>4</v>
      </c>
      <c r="AC1655" t="n">
        <v>4</v>
      </c>
      <c r="AD1655" t="n">
        <v>29</v>
      </c>
      <c r="AE1655" t="n">
        <v>29</v>
      </c>
      <c r="AF1655" t="n">
        <v>11</v>
      </c>
      <c r="AG1655" t="n">
        <v>11</v>
      </c>
      <c r="AH1655" t="n">
        <v>6</v>
      </c>
      <c r="AI1655" t="n">
        <v>6</v>
      </c>
      <c r="AJ1655" t="n">
        <v>15</v>
      </c>
      <c r="AK1655" t="n">
        <v>15</v>
      </c>
      <c r="AL1655" t="n">
        <v>3</v>
      </c>
      <c r="AM1655" t="n">
        <v>3</v>
      </c>
      <c r="AN1655" t="n">
        <v>2</v>
      </c>
      <c r="AO1655" t="n">
        <v>2</v>
      </c>
      <c r="AP1655" t="inlineStr">
        <is>
          <t>No</t>
        </is>
      </c>
      <c r="AQ1655" t="inlineStr">
        <is>
          <t>No</t>
        </is>
      </c>
      <c r="AS1655">
        <f>HYPERLINK("https://creighton-primo.hosted.exlibrisgroup.com/primo-explore/search?tab=default_tab&amp;search_scope=EVERYTHING&amp;vid=01CRU&amp;lang=en_US&amp;offset=0&amp;query=any,contains,991004346559702656","Catalog Record")</f>
        <v/>
      </c>
      <c r="AT1655">
        <f>HYPERLINK("http://www.worldcat.org/oclc/43599075","WorldCat Record")</f>
        <v/>
      </c>
      <c r="AU1655" t="inlineStr">
        <is>
          <t>17352634:eng</t>
        </is>
      </c>
      <c r="AV1655" t="inlineStr">
        <is>
          <t>43599075</t>
        </is>
      </c>
      <c r="AW1655" t="inlineStr">
        <is>
          <t>991004346559702656</t>
        </is>
      </c>
      <c r="AX1655" t="inlineStr">
        <is>
          <t>991004346559702656</t>
        </is>
      </c>
      <c r="AY1655" t="inlineStr">
        <is>
          <t>2266595980002656</t>
        </is>
      </c>
      <c r="AZ1655" t="inlineStr">
        <is>
          <t>BOOK</t>
        </is>
      </c>
      <c r="BB1655" t="inlineStr">
        <is>
          <t>9780674002944</t>
        </is>
      </c>
      <c r="BC1655" t="inlineStr">
        <is>
          <t>32285004981311</t>
        </is>
      </c>
      <c r="BD1655" t="inlineStr">
        <is>
          <t>893782137</t>
        </is>
      </c>
    </row>
    <row r="1656">
      <c r="A1656" t="inlineStr">
        <is>
          <t>No</t>
        </is>
      </c>
      <c r="B1656" t="inlineStr">
        <is>
          <t>E744 .S747 2001</t>
        </is>
      </c>
      <c r="C1656" t="inlineStr">
        <is>
          <t>0                      E  0744000S  747         2001</t>
        </is>
      </c>
      <c r="D1656" t="inlineStr">
        <is>
          <t>The impact of public opinion on U.S. foreign policy since Vietnam : constraining the colossus / Richard Sobel.</t>
        </is>
      </c>
      <c r="F1656" t="inlineStr">
        <is>
          <t>No</t>
        </is>
      </c>
      <c r="G1656" t="inlineStr">
        <is>
          <t>1</t>
        </is>
      </c>
      <c r="H1656" t="inlineStr">
        <is>
          <t>No</t>
        </is>
      </c>
      <c r="I1656" t="inlineStr">
        <is>
          <t>No</t>
        </is>
      </c>
      <c r="J1656" t="inlineStr">
        <is>
          <t>0</t>
        </is>
      </c>
      <c r="K1656" t="inlineStr">
        <is>
          <t>Sobel, Richard (Writer on national security)</t>
        </is>
      </c>
      <c r="L1656" t="inlineStr">
        <is>
          <t>New York : Oxford University Press, 2001.</t>
        </is>
      </c>
      <c r="M1656" t="inlineStr">
        <is>
          <t>2001</t>
        </is>
      </c>
      <c r="O1656" t="inlineStr">
        <is>
          <t>eng</t>
        </is>
      </c>
      <c r="P1656" t="inlineStr">
        <is>
          <t>nyu</t>
        </is>
      </c>
      <c r="R1656" t="inlineStr">
        <is>
          <t xml:space="preserve">E  </t>
        </is>
      </c>
      <c r="S1656" t="n">
        <v>2</v>
      </c>
      <c r="T1656" t="n">
        <v>2</v>
      </c>
      <c r="U1656" t="inlineStr">
        <is>
          <t>2003-12-04</t>
        </is>
      </c>
      <c r="V1656" t="inlineStr">
        <is>
          <t>2003-12-04</t>
        </is>
      </c>
      <c r="W1656" t="inlineStr">
        <is>
          <t>2003-12-04</t>
        </is>
      </c>
      <c r="X1656" t="inlineStr">
        <is>
          <t>2003-12-04</t>
        </is>
      </c>
      <c r="Y1656" t="n">
        <v>469</v>
      </c>
      <c r="Z1656" t="n">
        <v>377</v>
      </c>
      <c r="AA1656" t="n">
        <v>382</v>
      </c>
      <c r="AB1656" t="n">
        <v>3</v>
      </c>
      <c r="AC1656" t="n">
        <v>3</v>
      </c>
      <c r="AD1656" t="n">
        <v>17</v>
      </c>
      <c r="AE1656" t="n">
        <v>17</v>
      </c>
      <c r="AF1656" t="n">
        <v>6</v>
      </c>
      <c r="AG1656" t="n">
        <v>6</v>
      </c>
      <c r="AH1656" t="n">
        <v>4</v>
      </c>
      <c r="AI1656" t="n">
        <v>4</v>
      </c>
      <c r="AJ1656" t="n">
        <v>9</v>
      </c>
      <c r="AK1656" t="n">
        <v>9</v>
      </c>
      <c r="AL1656" t="n">
        <v>2</v>
      </c>
      <c r="AM1656" t="n">
        <v>2</v>
      </c>
      <c r="AN1656" t="n">
        <v>0</v>
      </c>
      <c r="AO1656" t="n">
        <v>0</v>
      </c>
      <c r="AP1656" t="inlineStr">
        <is>
          <t>No</t>
        </is>
      </c>
      <c r="AQ1656" t="inlineStr">
        <is>
          <t>No</t>
        </is>
      </c>
      <c r="AS1656">
        <f>HYPERLINK("https://creighton-primo.hosted.exlibrisgroup.com/primo-explore/search?tab=default_tab&amp;search_scope=EVERYTHING&amp;vid=01CRU&amp;lang=en_US&amp;offset=0&amp;query=any,contains,991004186689702656","Catalog Record")</f>
        <v/>
      </c>
      <c r="AT1656">
        <f>HYPERLINK("http://www.worldcat.org/oclc/43859457","WorldCat Record")</f>
        <v/>
      </c>
      <c r="AU1656" t="inlineStr">
        <is>
          <t>33089737:eng</t>
        </is>
      </c>
      <c r="AV1656" t="inlineStr">
        <is>
          <t>43859457</t>
        </is>
      </c>
      <c r="AW1656" t="inlineStr">
        <is>
          <t>991004186689702656</t>
        </is>
      </c>
      <c r="AX1656" t="inlineStr">
        <is>
          <t>991004186689702656</t>
        </is>
      </c>
      <c r="AY1656" t="inlineStr">
        <is>
          <t>2268042580002656</t>
        </is>
      </c>
      <c r="AZ1656" t="inlineStr">
        <is>
          <t>BOOK</t>
        </is>
      </c>
      <c r="BB1656" t="inlineStr">
        <is>
          <t>9780195105278</t>
        </is>
      </c>
      <c r="BC1656" t="inlineStr">
        <is>
          <t>32285004844139</t>
        </is>
      </c>
      <c r="BD1656" t="inlineStr">
        <is>
          <t>893775737</t>
        </is>
      </c>
    </row>
    <row r="1657">
      <c r="A1657" t="inlineStr">
        <is>
          <t>No</t>
        </is>
      </c>
      <c r="B1657" t="inlineStr">
        <is>
          <t>E744 .S845</t>
        </is>
      </c>
      <c r="C1657" t="inlineStr">
        <is>
          <t>0                      E  0744000S  845</t>
        </is>
      </c>
      <c r="D1657" t="inlineStr">
        <is>
          <t>American civil-military decisions; a book of case studies.</t>
        </is>
      </c>
      <c r="F1657" t="inlineStr">
        <is>
          <t>No</t>
        </is>
      </c>
      <c r="G1657" t="inlineStr">
        <is>
          <t>1</t>
        </is>
      </c>
      <c r="H1657" t="inlineStr">
        <is>
          <t>Yes</t>
        </is>
      </c>
      <c r="I1657" t="inlineStr">
        <is>
          <t>No</t>
        </is>
      </c>
      <c r="J1657" t="inlineStr">
        <is>
          <t>0</t>
        </is>
      </c>
      <c r="K1657" t="inlineStr">
        <is>
          <t>Stein, Harold, 1902-1966, editor.</t>
        </is>
      </c>
      <c r="L1657" t="inlineStr">
        <is>
          <t>[University, Ala.] Published in cooperation with the Inter-University Case Program by University of Alabama Press, 1963.</t>
        </is>
      </c>
      <c r="M1657" t="inlineStr">
        <is>
          <t>1963</t>
        </is>
      </c>
      <c r="O1657" t="inlineStr">
        <is>
          <t>eng</t>
        </is>
      </c>
      <c r="P1657" t="inlineStr">
        <is>
          <t>alu</t>
        </is>
      </c>
      <c r="R1657" t="inlineStr">
        <is>
          <t xml:space="preserve">E  </t>
        </is>
      </c>
      <c r="S1657" t="n">
        <v>1</v>
      </c>
      <c r="T1657" t="n">
        <v>1</v>
      </c>
      <c r="U1657" t="inlineStr">
        <is>
          <t>2003-01-17</t>
        </is>
      </c>
      <c r="V1657" t="inlineStr">
        <is>
          <t>2003-01-17</t>
        </is>
      </c>
      <c r="W1657" t="inlineStr">
        <is>
          <t>1997-04-23</t>
        </is>
      </c>
      <c r="X1657" t="inlineStr">
        <is>
          <t>1997-04-23</t>
        </is>
      </c>
      <c r="Y1657" t="n">
        <v>633</v>
      </c>
      <c r="Z1657" t="n">
        <v>555</v>
      </c>
      <c r="AA1657" t="n">
        <v>708</v>
      </c>
      <c r="AB1657" t="n">
        <v>6</v>
      </c>
      <c r="AC1657" t="n">
        <v>7</v>
      </c>
      <c r="AD1657" t="n">
        <v>29</v>
      </c>
      <c r="AE1657" t="n">
        <v>41</v>
      </c>
      <c r="AF1657" t="n">
        <v>8</v>
      </c>
      <c r="AG1657" t="n">
        <v>12</v>
      </c>
      <c r="AH1657" t="n">
        <v>6</v>
      </c>
      <c r="AI1657" t="n">
        <v>8</v>
      </c>
      <c r="AJ1657" t="n">
        <v>12</v>
      </c>
      <c r="AK1657" t="n">
        <v>13</v>
      </c>
      <c r="AL1657" t="n">
        <v>4</v>
      </c>
      <c r="AM1657" t="n">
        <v>4</v>
      </c>
      <c r="AN1657" t="n">
        <v>4</v>
      </c>
      <c r="AO1657" t="n">
        <v>11</v>
      </c>
      <c r="AP1657" t="inlineStr">
        <is>
          <t>No</t>
        </is>
      </c>
      <c r="AQ1657" t="inlineStr">
        <is>
          <t>No</t>
        </is>
      </c>
      <c r="AR1657">
        <f>HYPERLINK("http://catalog.hathitrust.org/Record/000468596","HathiTrust Record")</f>
        <v/>
      </c>
      <c r="AS1657">
        <f>HYPERLINK("https://creighton-primo.hosted.exlibrisgroup.com/primo-explore/search?tab=default_tab&amp;search_scope=EVERYTHING&amp;vid=01CRU&amp;lang=en_US&amp;offset=0&amp;query=any,contains,991001812549702656","Catalog Record")</f>
        <v/>
      </c>
      <c r="AT1657">
        <f>HYPERLINK("http://www.worldcat.org/oclc/242484","WorldCat Record")</f>
        <v/>
      </c>
      <c r="AU1657" t="inlineStr">
        <is>
          <t>906482533:eng</t>
        </is>
      </c>
      <c r="AV1657" t="inlineStr">
        <is>
          <t>242484</t>
        </is>
      </c>
      <c r="AW1657" t="inlineStr">
        <is>
          <t>991001812549702656</t>
        </is>
      </c>
      <c r="AX1657" t="inlineStr">
        <is>
          <t>991001812549702656</t>
        </is>
      </c>
      <c r="AY1657" t="inlineStr">
        <is>
          <t>2269660260002656</t>
        </is>
      </c>
      <c r="AZ1657" t="inlineStr">
        <is>
          <t>BOOK</t>
        </is>
      </c>
      <c r="BC1657" t="inlineStr">
        <is>
          <t>32285002562840</t>
        </is>
      </c>
      <c r="BD1657" t="inlineStr">
        <is>
          <t>893590666</t>
        </is>
      </c>
    </row>
    <row r="1658">
      <c r="A1658" t="inlineStr">
        <is>
          <t>No</t>
        </is>
      </c>
      <c r="B1658" t="inlineStr">
        <is>
          <t>E744 .T78</t>
        </is>
      </c>
      <c r="C1658" t="inlineStr">
        <is>
          <t>0                      E  0744000T  78</t>
        </is>
      </c>
      <c r="D1658" t="inlineStr">
        <is>
          <t>Beyond containment; U.S. foreign policy in transition. Edited by Robert W. Tucker and William Watts.</t>
        </is>
      </c>
      <c r="F1658" t="inlineStr">
        <is>
          <t>No</t>
        </is>
      </c>
      <c r="G1658" t="inlineStr">
        <is>
          <t>1</t>
        </is>
      </c>
      <c r="H1658" t="inlineStr">
        <is>
          <t>No</t>
        </is>
      </c>
      <c r="I1658" t="inlineStr">
        <is>
          <t>No</t>
        </is>
      </c>
      <c r="J1658" t="inlineStr">
        <is>
          <t>0</t>
        </is>
      </c>
      <c r="K1658" t="inlineStr">
        <is>
          <t>Tucker, Robert W. compiler.</t>
        </is>
      </c>
      <c r="L1658" t="inlineStr">
        <is>
          <t>Washington, Potomac Associates; [distributed by Basic Books, New York, 1973]</t>
        </is>
      </c>
      <c r="M1658" t="inlineStr">
        <is>
          <t>1973</t>
        </is>
      </c>
      <c r="O1658" t="inlineStr">
        <is>
          <t>eng</t>
        </is>
      </c>
      <c r="P1658" t="inlineStr">
        <is>
          <t>dcu</t>
        </is>
      </c>
      <c r="R1658" t="inlineStr">
        <is>
          <t xml:space="preserve">E  </t>
        </is>
      </c>
      <c r="S1658" t="n">
        <v>1</v>
      </c>
      <c r="T1658" t="n">
        <v>1</v>
      </c>
      <c r="U1658" t="inlineStr">
        <is>
          <t>1999-04-09</t>
        </is>
      </c>
      <c r="V1658" t="inlineStr">
        <is>
          <t>1999-04-09</t>
        </is>
      </c>
      <c r="W1658" t="inlineStr">
        <is>
          <t>1997-04-23</t>
        </is>
      </c>
      <c r="X1658" t="inlineStr">
        <is>
          <t>1997-04-23</t>
        </is>
      </c>
      <c r="Y1658" t="n">
        <v>407</v>
      </c>
      <c r="Z1658" t="n">
        <v>349</v>
      </c>
      <c r="AA1658" t="n">
        <v>356</v>
      </c>
      <c r="AB1658" t="n">
        <v>3</v>
      </c>
      <c r="AC1658" t="n">
        <v>3</v>
      </c>
      <c r="AD1658" t="n">
        <v>18</v>
      </c>
      <c r="AE1658" t="n">
        <v>18</v>
      </c>
      <c r="AF1658" t="n">
        <v>5</v>
      </c>
      <c r="AG1658" t="n">
        <v>5</v>
      </c>
      <c r="AH1658" t="n">
        <v>4</v>
      </c>
      <c r="AI1658" t="n">
        <v>4</v>
      </c>
      <c r="AJ1658" t="n">
        <v>8</v>
      </c>
      <c r="AK1658" t="n">
        <v>8</v>
      </c>
      <c r="AL1658" t="n">
        <v>2</v>
      </c>
      <c r="AM1658" t="n">
        <v>2</v>
      </c>
      <c r="AN1658" t="n">
        <v>2</v>
      </c>
      <c r="AO1658" t="n">
        <v>2</v>
      </c>
      <c r="AP1658" t="inlineStr">
        <is>
          <t>No</t>
        </is>
      </c>
      <c r="AQ1658" t="inlineStr">
        <is>
          <t>Yes</t>
        </is>
      </c>
      <c r="AR1658">
        <f>HYPERLINK("http://catalog.hathitrust.org/Record/000466815","HathiTrust Record")</f>
        <v/>
      </c>
      <c r="AS1658">
        <f>HYPERLINK("https://creighton-primo.hosted.exlibrisgroup.com/primo-explore/search?tab=default_tab&amp;search_scope=EVERYTHING&amp;vid=01CRU&amp;lang=en_US&amp;offset=0&amp;query=any,contains,991003418589702656","Catalog Record")</f>
        <v/>
      </c>
      <c r="AT1658">
        <f>HYPERLINK("http://www.worldcat.org/oclc/959889","WorldCat Record")</f>
        <v/>
      </c>
      <c r="AU1658" t="inlineStr">
        <is>
          <t>1910232:eng</t>
        </is>
      </c>
      <c r="AV1658" t="inlineStr">
        <is>
          <t>959889</t>
        </is>
      </c>
      <c r="AW1658" t="inlineStr">
        <is>
          <t>991003418589702656</t>
        </is>
      </c>
      <c r="AX1658" t="inlineStr">
        <is>
          <t>991003418589702656</t>
        </is>
      </c>
      <c r="AY1658" t="inlineStr">
        <is>
          <t>2266600510002656</t>
        </is>
      </c>
      <c r="AZ1658" t="inlineStr">
        <is>
          <t>BOOK</t>
        </is>
      </c>
      <c r="BB1658" t="inlineStr">
        <is>
          <t>9780913998007</t>
        </is>
      </c>
      <c r="BC1658" t="inlineStr">
        <is>
          <t>32285002562956</t>
        </is>
      </c>
      <c r="BD1658" t="inlineStr">
        <is>
          <t>893881138</t>
        </is>
      </c>
    </row>
    <row r="1659">
      <c r="A1659" t="inlineStr">
        <is>
          <t>No</t>
        </is>
      </c>
      <c r="B1659" t="inlineStr">
        <is>
          <t>E744.5 .B47 1995</t>
        </is>
      </c>
      <c r="C1659" t="inlineStr">
        <is>
          <t>0                      E  0744500B  47          1995</t>
        </is>
      </c>
      <c r="D1659" t="inlineStr">
        <is>
          <t>Cool words, cold war : a new look at USIA's Premises for propaganda / Leo Bogart ; abridged by Agnes Bogart.</t>
        </is>
      </c>
      <c r="F1659" t="inlineStr">
        <is>
          <t>No</t>
        </is>
      </c>
      <c r="G1659" t="inlineStr">
        <is>
          <t>1</t>
        </is>
      </c>
      <c r="H1659" t="inlineStr">
        <is>
          <t>No</t>
        </is>
      </c>
      <c r="I1659" t="inlineStr">
        <is>
          <t>No</t>
        </is>
      </c>
      <c r="J1659" t="inlineStr">
        <is>
          <t>0</t>
        </is>
      </c>
      <c r="K1659" t="inlineStr">
        <is>
          <t>Bogart, Leo.</t>
        </is>
      </c>
      <c r="L1659" t="inlineStr">
        <is>
          <t>Washington, D.C. : American University Press ; Lanham, MD : Distributed by arrangement with University Pub. Associates, c1995.</t>
        </is>
      </c>
      <c r="M1659" t="inlineStr">
        <is>
          <t>1995</t>
        </is>
      </c>
      <c r="N1659" t="inlineStr">
        <is>
          <t>Rev. ed.</t>
        </is>
      </c>
      <c r="O1659" t="inlineStr">
        <is>
          <t>eng</t>
        </is>
      </c>
      <c r="P1659" t="inlineStr">
        <is>
          <t>dcu</t>
        </is>
      </c>
      <c r="Q1659" t="inlineStr">
        <is>
          <t>American University Press journalism history series</t>
        </is>
      </c>
      <c r="R1659" t="inlineStr">
        <is>
          <t xml:space="preserve">E  </t>
        </is>
      </c>
      <c r="S1659" t="n">
        <v>6</v>
      </c>
      <c r="T1659" t="n">
        <v>6</v>
      </c>
      <c r="U1659" t="inlineStr">
        <is>
          <t>2003-03-29</t>
        </is>
      </c>
      <c r="V1659" t="inlineStr">
        <is>
          <t>2003-03-29</t>
        </is>
      </c>
      <c r="W1659" t="inlineStr">
        <is>
          <t>1996-12-11</t>
        </is>
      </c>
      <c r="X1659" t="inlineStr">
        <is>
          <t>1996-12-11</t>
        </is>
      </c>
      <c r="Y1659" t="n">
        <v>201</v>
      </c>
      <c r="Z1659" t="n">
        <v>171</v>
      </c>
      <c r="AA1659" t="n">
        <v>173</v>
      </c>
      <c r="AB1659" t="n">
        <v>1</v>
      </c>
      <c r="AC1659" t="n">
        <v>1</v>
      </c>
      <c r="AD1659" t="n">
        <v>11</v>
      </c>
      <c r="AE1659" t="n">
        <v>11</v>
      </c>
      <c r="AF1659" t="n">
        <v>1</v>
      </c>
      <c r="AG1659" t="n">
        <v>1</v>
      </c>
      <c r="AH1659" t="n">
        <v>4</v>
      </c>
      <c r="AI1659" t="n">
        <v>4</v>
      </c>
      <c r="AJ1659" t="n">
        <v>8</v>
      </c>
      <c r="AK1659" t="n">
        <v>8</v>
      </c>
      <c r="AL1659" t="n">
        <v>0</v>
      </c>
      <c r="AM1659" t="n">
        <v>0</v>
      </c>
      <c r="AN1659" t="n">
        <v>0</v>
      </c>
      <c r="AO1659" t="n">
        <v>0</v>
      </c>
      <c r="AP1659" t="inlineStr">
        <is>
          <t>No</t>
        </is>
      </c>
      <c r="AQ1659" t="inlineStr">
        <is>
          <t>Yes</t>
        </is>
      </c>
      <c r="AR1659">
        <f>HYPERLINK("http://catalog.hathitrust.org/Record/002991172","HathiTrust Record")</f>
        <v/>
      </c>
      <c r="AS1659">
        <f>HYPERLINK("https://creighton-primo.hosted.exlibrisgroup.com/primo-explore/search?tab=default_tab&amp;search_scope=EVERYTHING&amp;vid=01CRU&amp;lang=en_US&amp;offset=0&amp;query=any,contains,991002446309702656","Catalog Record")</f>
        <v/>
      </c>
      <c r="AT1659">
        <f>HYPERLINK("http://www.worldcat.org/oclc/31901069","WorldCat Record")</f>
        <v/>
      </c>
      <c r="AU1659" t="inlineStr">
        <is>
          <t>2864665645:eng</t>
        </is>
      </c>
      <c r="AV1659" t="inlineStr">
        <is>
          <t>31901069</t>
        </is>
      </c>
      <c r="AW1659" t="inlineStr">
        <is>
          <t>991002446309702656</t>
        </is>
      </c>
      <c r="AX1659" t="inlineStr">
        <is>
          <t>991002446309702656</t>
        </is>
      </c>
      <c r="AY1659" t="inlineStr">
        <is>
          <t>2262713300002656</t>
        </is>
      </c>
      <c r="AZ1659" t="inlineStr">
        <is>
          <t>BOOK</t>
        </is>
      </c>
      <c r="BB1659" t="inlineStr">
        <is>
          <t>9781879383340</t>
        </is>
      </c>
      <c r="BC1659" t="inlineStr">
        <is>
          <t>32285002392180</t>
        </is>
      </c>
      <c r="BD1659" t="inlineStr">
        <is>
          <t>893591354</t>
        </is>
      </c>
    </row>
    <row r="1660">
      <c r="A1660" t="inlineStr">
        <is>
          <t>No</t>
        </is>
      </c>
      <c r="B1660" t="inlineStr">
        <is>
          <t>E744.5 .B57</t>
        </is>
      </c>
      <c r="C1660" t="inlineStr">
        <is>
          <t>0                      E  0744500B  57</t>
        </is>
      </c>
      <c r="D1660" t="inlineStr">
        <is>
          <t>Premises for propaganda : the United States Information Agency's operating assumptions in the cold war / Leo Bogart ; abridged by Agnes Bogart.</t>
        </is>
      </c>
      <c r="F1660" t="inlineStr">
        <is>
          <t>No</t>
        </is>
      </c>
      <c r="G1660" t="inlineStr">
        <is>
          <t>1</t>
        </is>
      </c>
      <c r="H1660" t="inlineStr">
        <is>
          <t>No</t>
        </is>
      </c>
      <c r="I1660" t="inlineStr">
        <is>
          <t>No</t>
        </is>
      </c>
      <c r="J1660" t="inlineStr">
        <is>
          <t>0</t>
        </is>
      </c>
      <c r="K1660" t="inlineStr">
        <is>
          <t>Bogart, Leo.</t>
        </is>
      </c>
      <c r="L1660" t="inlineStr">
        <is>
          <t>New York : Free Press, c1976.</t>
        </is>
      </c>
      <c r="M1660" t="inlineStr">
        <is>
          <t>1976</t>
        </is>
      </c>
      <c r="O1660" t="inlineStr">
        <is>
          <t>eng</t>
        </is>
      </c>
      <c r="P1660" t="inlineStr">
        <is>
          <t>nyu</t>
        </is>
      </c>
      <c r="R1660" t="inlineStr">
        <is>
          <t xml:space="preserve">E  </t>
        </is>
      </c>
      <c r="S1660" t="n">
        <v>7</v>
      </c>
      <c r="T1660" t="n">
        <v>7</v>
      </c>
      <c r="U1660" t="inlineStr">
        <is>
          <t>2003-05-03</t>
        </is>
      </c>
      <c r="V1660" t="inlineStr">
        <is>
          <t>2003-05-03</t>
        </is>
      </c>
      <c r="W1660" t="inlineStr">
        <is>
          <t>1994-03-04</t>
        </is>
      </c>
      <c r="X1660" t="inlineStr">
        <is>
          <t>1994-03-04</t>
        </is>
      </c>
      <c r="Y1660" t="n">
        <v>486</v>
      </c>
      <c r="Z1660" t="n">
        <v>422</v>
      </c>
      <c r="AA1660" t="n">
        <v>424</v>
      </c>
      <c r="AB1660" t="n">
        <v>3</v>
      </c>
      <c r="AC1660" t="n">
        <v>3</v>
      </c>
      <c r="AD1660" t="n">
        <v>15</v>
      </c>
      <c r="AE1660" t="n">
        <v>15</v>
      </c>
      <c r="AF1660" t="n">
        <v>6</v>
      </c>
      <c r="AG1660" t="n">
        <v>6</v>
      </c>
      <c r="AH1660" t="n">
        <v>5</v>
      </c>
      <c r="AI1660" t="n">
        <v>5</v>
      </c>
      <c r="AJ1660" t="n">
        <v>6</v>
      </c>
      <c r="AK1660" t="n">
        <v>6</v>
      </c>
      <c r="AL1660" t="n">
        <v>2</v>
      </c>
      <c r="AM1660" t="n">
        <v>2</v>
      </c>
      <c r="AN1660" t="n">
        <v>0</v>
      </c>
      <c r="AO1660" t="n">
        <v>0</v>
      </c>
      <c r="AP1660" t="inlineStr">
        <is>
          <t>No</t>
        </is>
      </c>
      <c r="AQ1660" t="inlineStr">
        <is>
          <t>Yes</t>
        </is>
      </c>
      <c r="AR1660">
        <f>HYPERLINK("http://catalog.hathitrust.org/Record/000025241","HathiTrust Record")</f>
        <v/>
      </c>
      <c r="AS1660">
        <f>HYPERLINK("https://creighton-primo.hosted.exlibrisgroup.com/primo-explore/search?tab=default_tab&amp;search_scope=EVERYTHING&amp;vid=01CRU&amp;lang=en_US&amp;offset=0&amp;query=any,contains,991003871589702656","Catalog Record")</f>
        <v/>
      </c>
      <c r="AT1660">
        <f>HYPERLINK("http://www.worldcat.org/oclc/1693951","WorldCat Record")</f>
        <v/>
      </c>
      <c r="AU1660" t="inlineStr">
        <is>
          <t>292083905:eng</t>
        </is>
      </c>
      <c r="AV1660" t="inlineStr">
        <is>
          <t>1693951</t>
        </is>
      </c>
      <c r="AW1660" t="inlineStr">
        <is>
          <t>991003871589702656</t>
        </is>
      </c>
      <c r="AX1660" t="inlineStr">
        <is>
          <t>991003871589702656</t>
        </is>
      </c>
      <c r="AY1660" t="inlineStr">
        <is>
          <t>2255470290002656</t>
        </is>
      </c>
      <c r="AZ1660" t="inlineStr">
        <is>
          <t>BOOK</t>
        </is>
      </c>
      <c r="BB1660" t="inlineStr">
        <is>
          <t>9780029043905</t>
        </is>
      </c>
      <c r="BC1660" t="inlineStr">
        <is>
          <t>32285001851897</t>
        </is>
      </c>
      <c r="BD1660" t="inlineStr">
        <is>
          <t>893410813</t>
        </is>
      </c>
    </row>
    <row r="1661">
      <c r="A1661" t="inlineStr">
        <is>
          <t>No</t>
        </is>
      </c>
      <c r="B1661" t="inlineStr">
        <is>
          <t>E744.5 .S6</t>
        </is>
      </c>
      <c r="C1661" t="inlineStr">
        <is>
          <t>0                      E  0744500S  6</t>
        </is>
      </c>
      <c r="D1661" t="inlineStr">
        <is>
          <t>The word war; the story of American propaganda, by Thomas C. Sorensen.</t>
        </is>
      </c>
      <c r="F1661" t="inlineStr">
        <is>
          <t>No</t>
        </is>
      </c>
      <c r="G1661" t="inlineStr">
        <is>
          <t>1</t>
        </is>
      </c>
      <c r="H1661" t="inlineStr">
        <is>
          <t>No</t>
        </is>
      </c>
      <c r="I1661" t="inlineStr">
        <is>
          <t>No</t>
        </is>
      </c>
      <c r="J1661" t="inlineStr">
        <is>
          <t>0</t>
        </is>
      </c>
      <c r="K1661" t="inlineStr">
        <is>
          <t>Sorensen, Thomas C., 1926-1997.</t>
        </is>
      </c>
      <c r="L1661" t="inlineStr">
        <is>
          <t>New York, Harper &amp; Row [1968]</t>
        </is>
      </c>
      <c r="M1661" t="inlineStr">
        <is>
          <t>1968</t>
        </is>
      </c>
      <c r="N1661" t="inlineStr">
        <is>
          <t>[1st ed.]</t>
        </is>
      </c>
      <c r="O1661" t="inlineStr">
        <is>
          <t>eng</t>
        </is>
      </c>
      <c r="P1661" t="inlineStr">
        <is>
          <t>nyu</t>
        </is>
      </c>
      <c r="R1661" t="inlineStr">
        <is>
          <t xml:space="preserve">E  </t>
        </is>
      </c>
      <c r="S1661" t="n">
        <v>1</v>
      </c>
      <c r="T1661" t="n">
        <v>1</v>
      </c>
      <c r="U1661" t="inlineStr">
        <is>
          <t>1998-04-21</t>
        </is>
      </c>
      <c r="V1661" t="inlineStr">
        <is>
          <t>1998-04-21</t>
        </is>
      </c>
      <c r="W1661" t="inlineStr">
        <is>
          <t>1997-04-24</t>
        </is>
      </c>
      <c r="X1661" t="inlineStr">
        <is>
          <t>1997-04-24</t>
        </is>
      </c>
      <c r="Y1661" t="n">
        <v>1098</v>
      </c>
      <c r="Z1661" t="n">
        <v>1007</v>
      </c>
      <c r="AA1661" t="n">
        <v>1011</v>
      </c>
      <c r="AB1661" t="n">
        <v>6</v>
      </c>
      <c r="AC1661" t="n">
        <v>6</v>
      </c>
      <c r="AD1661" t="n">
        <v>36</v>
      </c>
      <c r="AE1661" t="n">
        <v>36</v>
      </c>
      <c r="AF1661" t="n">
        <v>17</v>
      </c>
      <c r="AG1661" t="n">
        <v>17</v>
      </c>
      <c r="AH1661" t="n">
        <v>5</v>
      </c>
      <c r="AI1661" t="n">
        <v>5</v>
      </c>
      <c r="AJ1661" t="n">
        <v>19</v>
      </c>
      <c r="AK1661" t="n">
        <v>19</v>
      </c>
      <c r="AL1661" t="n">
        <v>4</v>
      </c>
      <c r="AM1661" t="n">
        <v>4</v>
      </c>
      <c r="AN1661" t="n">
        <v>0</v>
      </c>
      <c r="AO1661" t="n">
        <v>0</v>
      </c>
      <c r="AP1661" t="inlineStr">
        <is>
          <t>No</t>
        </is>
      </c>
      <c r="AQ1661" t="inlineStr">
        <is>
          <t>Yes</t>
        </is>
      </c>
      <c r="AR1661">
        <f>HYPERLINK("http://catalog.hathitrust.org/Record/000466893","HathiTrust Record")</f>
        <v/>
      </c>
      <c r="AS1661">
        <f>HYPERLINK("https://creighton-primo.hosted.exlibrisgroup.com/primo-explore/search?tab=default_tab&amp;search_scope=EVERYTHING&amp;vid=01CRU&amp;lang=en_US&amp;offset=0&amp;query=any,contains,991002813389702656","Catalog Record")</f>
        <v/>
      </c>
      <c r="AT1661">
        <f>HYPERLINK("http://www.worldcat.org/oclc/456847","WorldCat Record")</f>
        <v/>
      </c>
      <c r="AU1661" t="inlineStr">
        <is>
          <t>1469595:eng</t>
        </is>
      </c>
      <c r="AV1661" t="inlineStr">
        <is>
          <t>456847</t>
        </is>
      </c>
      <c r="AW1661" t="inlineStr">
        <is>
          <t>991002813389702656</t>
        </is>
      </c>
      <c r="AX1661" t="inlineStr">
        <is>
          <t>991002813389702656</t>
        </is>
      </c>
      <c r="AY1661" t="inlineStr">
        <is>
          <t>2263045420002656</t>
        </is>
      </c>
      <c r="AZ1661" t="inlineStr">
        <is>
          <t>BOOK</t>
        </is>
      </c>
      <c r="BC1661" t="inlineStr">
        <is>
          <t>32285002563459</t>
        </is>
      </c>
      <c r="BD1661" t="inlineStr">
        <is>
          <t>893704556</t>
        </is>
      </c>
    </row>
    <row r="1662">
      <c r="A1662" t="inlineStr">
        <is>
          <t>No</t>
        </is>
      </c>
      <c r="B1662" t="inlineStr">
        <is>
          <t>E745 .C63 1991</t>
        </is>
      </c>
      <c r="C1662" t="inlineStr">
        <is>
          <t>0                      E  0745000C  63          1991</t>
        </is>
      </c>
      <c r="D1662" t="inlineStr">
        <is>
          <t>America's small wars : lessons for the future / John M. Collins, Frederick Hamerman and James P. Seevers, assistants.</t>
        </is>
      </c>
      <c r="F1662" t="inlineStr">
        <is>
          <t>No</t>
        </is>
      </c>
      <c r="G1662" t="inlineStr">
        <is>
          <t>1</t>
        </is>
      </c>
      <c r="H1662" t="inlineStr">
        <is>
          <t>No</t>
        </is>
      </c>
      <c r="I1662" t="inlineStr">
        <is>
          <t>No</t>
        </is>
      </c>
      <c r="J1662" t="inlineStr">
        <is>
          <t>0</t>
        </is>
      </c>
      <c r="K1662" t="inlineStr">
        <is>
          <t>Collins, John M., 1921-2018.</t>
        </is>
      </c>
      <c r="L1662" t="inlineStr">
        <is>
          <t>Washington : Brassey's (US), 1991.</t>
        </is>
      </c>
      <c r="M1662" t="inlineStr">
        <is>
          <t>1991</t>
        </is>
      </c>
      <c r="N1662" t="inlineStr">
        <is>
          <t>1st ed.</t>
        </is>
      </c>
      <c r="O1662" t="inlineStr">
        <is>
          <t>eng</t>
        </is>
      </c>
      <c r="P1662" t="inlineStr">
        <is>
          <t>dcu</t>
        </is>
      </c>
      <c r="Q1662" t="inlineStr">
        <is>
          <t>An AUSA book</t>
        </is>
      </c>
      <c r="R1662" t="inlineStr">
        <is>
          <t xml:space="preserve">E  </t>
        </is>
      </c>
      <c r="S1662" t="n">
        <v>4</v>
      </c>
      <c r="T1662" t="n">
        <v>4</v>
      </c>
      <c r="U1662" t="inlineStr">
        <is>
          <t>2004-02-21</t>
        </is>
      </c>
      <c r="V1662" t="inlineStr">
        <is>
          <t>2004-02-21</t>
        </is>
      </c>
      <c r="W1662" t="inlineStr">
        <is>
          <t>1991-12-02</t>
        </is>
      </c>
      <c r="X1662" t="inlineStr">
        <is>
          <t>1991-12-02</t>
        </is>
      </c>
      <c r="Y1662" t="n">
        <v>358</v>
      </c>
      <c r="Z1662" t="n">
        <v>307</v>
      </c>
      <c r="AA1662" t="n">
        <v>314</v>
      </c>
      <c r="AB1662" t="n">
        <v>2</v>
      </c>
      <c r="AC1662" t="n">
        <v>2</v>
      </c>
      <c r="AD1662" t="n">
        <v>11</v>
      </c>
      <c r="AE1662" t="n">
        <v>11</v>
      </c>
      <c r="AF1662" t="n">
        <v>4</v>
      </c>
      <c r="AG1662" t="n">
        <v>4</v>
      </c>
      <c r="AH1662" t="n">
        <v>3</v>
      </c>
      <c r="AI1662" t="n">
        <v>3</v>
      </c>
      <c r="AJ1662" t="n">
        <v>8</v>
      </c>
      <c r="AK1662" t="n">
        <v>8</v>
      </c>
      <c r="AL1662" t="n">
        <v>1</v>
      </c>
      <c r="AM1662" t="n">
        <v>1</v>
      </c>
      <c r="AN1662" t="n">
        <v>0</v>
      </c>
      <c r="AO1662" t="n">
        <v>0</v>
      </c>
      <c r="AP1662" t="inlineStr">
        <is>
          <t>No</t>
        </is>
      </c>
      <c r="AQ1662" t="inlineStr">
        <is>
          <t>Yes</t>
        </is>
      </c>
      <c r="AR1662">
        <f>HYPERLINK("http://catalog.hathitrust.org/Record/002461416","HathiTrust Record")</f>
        <v/>
      </c>
      <c r="AS1662">
        <f>HYPERLINK("https://creighton-primo.hosted.exlibrisgroup.com/primo-explore/search?tab=default_tab&amp;search_scope=EVERYTHING&amp;vid=01CRU&amp;lang=en_US&amp;offset=0&amp;query=any,contains,991001815709702656","Catalog Record")</f>
        <v/>
      </c>
      <c r="AT1662">
        <f>HYPERLINK("http://www.worldcat.org/oclc/22810957","WorldCat Record")</f>
        <v/>
      </c>
      <c r="AU1662" t="inlineStr">
        <is>
          <t>347343961:eng</t>
        </is>
      </c>
      <c r="AV1662" t="inlineStr">
        <is>
          <t>22810957</t>
        </is>
      </c>
      <c r="AW1662" t="inlineStr">
        <is>
          <t>991001815709702656</t>
        </is>
      </c>
      <c r="AX1662" t="inlineStr">
        <is>
          <t>991001815709702656</t>
        </is>
      </c>
      <c r="AY1662" t="inlineStr">
        <is>
          <t>2264577200002656</t>
        </is>
      </c>
      <c r="AZ1662" t="inlineStr">
        <is>
          <t>BOOK</t>
        </is>
      </c>
      <c r="BB1662" t="inlineStr">
        <is>
          <t>9780080405834</t>
        </is>
      </c>
      <c r="BC1662" t="inlineStr">
        <is>
          <t>32285000818558</t>
        </is>
      </c>
      <c r="BD1662" t="inlineStr">
        <is>
          <t>893352027</t>
        </is>
      </c>
    </row>
    <row r="1663">
      <c r="A1663" t="inlineStr">
        <is>
          <t>No</t>
        </is>
      </c>
      <c r="B1663" t="inlineStr">
        <is>
          <t>E745 .M3 J3 V.3</t>
        </is>
      </c>
      <c r="C1663" t="inlineStr">
        <is>
          <t>0                      E  0745000M  3                  J  3                                 V.3</t>
        </is>
      </c>
      <c r="D1663" t="inlineStr">
        <is>
          <t>The years of MacArthur / [by] D. Clayton James.</t>
        </is>
      </c>
      <c r="E1663" t="inlineStr">
        <is>
          <t>V.3*</t>
        </is>
      </c>
      <c r="F1663" t="inlineStr">
        <is>
          <t>Yes</t>
        </is>
      </c>
      <c r="G1663" t="inlineStr">
        <is>
          <t>1</t>
        </is>
      </c>
      <c r="H1663" t="inlineStr">
        <is>
          <t>No</t>
        </is>
      </c>
      <c r="I1663" t="inlineStr">
        <is>
          <t>No</t>
        </is>
      </c>
      <c r="J1663" t="inlineStr">
        <is>
          <t>0</t>
        </is>
      </c>
      <c r="K1663" t="inlineStr">
        <is>
          <t>James, Dorris Clayton, 1931-</t>
        </is>
      </c>
      <c r="L1663" t="inlineStr">
        <is>
          <t>Boston : Houghton Mifflin, 1970-1985.</t>
        </is>
      </c>
      <c r="M1663" t="inlineStr">
        <is>
          <t>1970</t>
        </is>
      </c>
      <c r="O1663" t="inlineStr">
        <is>
          <t>eng</t>
        </is>
      </c>
      <c r="P1663" t="inlineStr">
        <is>
          <t>mau</t>
        </is>
      </c>
      <c r="R1663" t="inlineStr">
        <is>
          <t xml:space="preserve">E  </t>
        </is>
      </c>
      <c r="S1663" t="n">
        <v>7</v>
      </c>
      <c r="T1663" t="n">
        <v>22</v>
      </c>
      <c r="U1663" t="inlineStr">
        <is>
          <t>1997-07-07</t>
        </is>
      </c>
      <c r="V1663" t="inlineStr">
        <is>
          <t>2009-02-18</t>
        </is>
      </c>
      <c r="W1663" t="inlineStr">
        <is>
          <t>1991-05-28</t>
        </is>
      </c>
      <c r="X1663" t="inlineStr">
        <is>
          <t>1991-05-28</t>
        </is>
      </c>
      <c r="Y1663" t="n">
        <v>1744</v>
      </c>
      <c r="Z1663" t="n">
        <v>1629</v>
      </c>
      <c r="AA1663" t="n">
        <v>1686</v>
      </c>
      <c r="AB1663" t="n">
        <v>14</v>
      </c>
      <c r="AC1663" t="n">
        <v>14</v>
      </c>
      <c r="AD1663" t="n">
        <v>52</v>
      </c>
      <c r="AE1663" t="n">
        <v>53</v>
      </c>
      <c r="AF1663" t="n">
        <v>23</v>
      </c>
      <c r="AG1663" t="n">
        <v>24</v>
      </c>
      <c r="AH1663" t="n">
        <v>10</v>
      </c>
      <c r="AI1663" t="n">
        <v>10</v>
      </c>
      <c r="AJ1663" t="n">
        <v>23</v>
      </c>
      <c r="AK1663" t="n">
        <v>23</v>
      </c>
      <c r="AL1663" t="n">
        <v>9</v>
      </c>
      <c r="AM1663" t="n">
        <v>9</v>
      </c>
      <c r="AN1663" t="n">
        <v>0</v>
      </c>
      <c r="AO1663" t="n">
        <v>0</v>
      </c>
      <c r="AP1663" t="inlineStr">
        <is>
          <t>No</t>
        </is>
      </c>
      <c r="AQ1663" t="inlineStr">
        <is>
          <t>Yes</t>
        </is>
      </c>
      <c r="AR1663">
        <f>HYPERLINK("http://catalog.hathitrust.org/Record/000155791","HathiTrust Record")</f>
        <v/>
      </c>
      <c r="AS1663">
        <f>HYPERLINK("https://creighton-primo.hosted.exlibrisgroup.com/primo-explore/search?tab=default_tab&amp;search_scope=EVERYTHING&amp;vid=01CRU&amp;lang=en_US&amp;offset=0&amp;query=any,contains,991000521549702656","Catalog Record")</f>
        <v/>
      </c>
      <c r="AT1663">
        <f>HYPERLINK("http://www.worldcat.org/oclc/88071","WorldCat Record")</f>
        <v/>
      </c>
      <c r="AU1663" t="inlineStr">
        <is>
          <t>4820497389:eng</t>
        </is>
      </c>
      <c r="AV1663" t="inlineStr">
        <is>
          <t>88071</t>
        </is>
      </c>
      <c r="AW1663" t="inlineStr">
        <is>
          <t>991000521549702656</t>
        </is>
      </c>
      <c r="AX1663" t="inlineStr">
        <is>
          <t>991000521549702656</t>
        </is>
      </c>
      <c r="AY1663" t="inlineStr">
        <is>
          <t>2269451950002656</t>
        </is>
      </c>
      <c r="AZ1663" t="inlineStr">
        <is>
          <t>BOOK</t>
        </is>
      </c>
      <c r="BC1663" t="inlineStr">
        <is>
          <t>32285000612761</t>
        </is>
      </c>
      <c r="BD1663" t="inlineStr">
        <is>
          <t>893871750</t>
        </is>
      </c>
    </row>
    <row r="1664">
      <c r="A1664" t="inlineStr">
        <is>
          <t>No</t>
        </is>
      </c>
      <c r="B1664" t="inlineStr">
        <is>
          <t>E745 .M37 1981, v...</t>
        </is>
      </c>
      <c r="C1664" t="inlineStr">
        <is>
          <t>0                      E  0745000M  37          1981                                        v...</t>
        </is>
      </c>
      <c r="D1664" t="inlineStr">
        <is>
          <t>The papers of George Catlett Marshall / Larry I. Bland, editor ; Sharon R. Ritenour, assistant editor.</t>
        </is>
      </c>
      <c r="E1664" t="inlineStr">
        <is>
          <t>V.1</t>
        </is>
      </c>
      <c r="F1664" t="inlineStr">
        <is>
          <t>No</t>
        </is>
      </c>
      <c r="G1664" t="inlineStr">
        <is>
          <t>1</t>
        </is>
      </c>
      <c r="H1664" t="inlineStr">
        <is>
          <t>No</t>
        </is>
      </c>
      <c r="I1664" t="inlineStr">
        <is>
          <t>No</t>
        </is>
      </c>
      <c r="J1664" t="inlineStr">
        <is>
          <t>0</t>
        </is>
      </c>
      <c r="K1664" t="inlineStr">
        <is>
          <t>Marshall, George C. (George Catlett), 1880-1959.</t>
        </is>
      </c>
      <c r="L1664" t="inlineStr">
        <is>
          <t>Baltimore : Johns Hopkins University Press, 1981-</t>
        </is>
      </c>
      <c r="M1664" t="inlineStr">
        <is>
          <t>1981</t>
        </is>
      </c>
      <c r="O1664" t="inlineStr">
        <is>
          <t>eng</t>
        </is>
      </c>
      <c r="P1664" t="inlineStr">
        <is>
          <t>mdu</t>
        </is>
      </c>
      <c r="R1664" t="inlineStr">
        <is>
          <t xml:space="preserve">E  </t>
        </is>
      </c>
      <c r="S1664" t="n">
        <v>4</v>
      </c>
      <c r="T1664" t="n">
        <v>4</v>
      </c>
      <c r="U1664" t="inlineStr">
        <is>
          <t>2002-09-13</t>
        </is>
      </c>
      <c r="V1664" t="inlineStr">
        <is>
          <t>2002-09-13</t>
        </is>
      </c>
      <c r="W1664" t="inlineStr">
        <is>
          <t>1991-05-28</t>
        </is>
      </c>
      <c r="X1664" t="inlineStr">
        <is>
          <t>1991-05-28</t>
        </is>
      </c>
      <c r="Y1664" t="n">
        <v>777</v>
      </c>
      <c r="Z1664" t="n">
        <v>693</v>
      </c>
      <c r="AA1664" t="n">
        <v>704</v>
      </c>
      <c r="AB1664" t="n">
        <v>7</v>
      </c>
      <c r="AC1664" t="n">
        <v>7</v>
      </c>
      <c r="AD1664" t="n">
        <v>31</v>
      </c>
      <c r="AE1664" t="n">
        <v>31</v>
      </c>
      <c r="AF1664" t="n">
        <v>10</v>
      </c>
      <c r="AG1664" t="n">
        <v>10</v>
      </c>
      <c r="AH1664" t="n">
        <v>7</v>
      </c>
      <c r="AI1664" t="n">
        <v>7</v>
      </c>
      <c r="AJ1664" t="n">
        <v>17</v>
      </c>
      <c r="AK1664" t="n">
        <v>17</v>
      </c>
      <c r="AL1664" t="n">
        <v>6</v>
      </c>
      <c r="AM1664" t="n">
        <v>6</v>
      </c>
      <c r="AN1664" t="n">
        <v>0</v>
      </c>
      <c r="AO1664" t="n">
        <v>0</v>
      </c>
      <c r="AP1664" t="inlineStr">
        <is>
          <t>No</t>
        </is>
      </c>
      <c r="AQ1664" t="inlineStr">
        <is>
          <t>Yes</t>
        </is>
      </c>
      <c r="AR1664">
        <f>HYPERLINK("http://catalog.hathitrust.org/Record/000261711","HathiTrust Record")</f>
        <v/>
      </c>
      <c r="AS1664">
        <f>HYPERLINK("https://creighton-primo.hosted.exlibrisgroup.com/primo-explore/search?tab=default_tab&amp;search_scope=EVERYTHING&amp;vid=01CRU&amp;lang=en_US&amp;offset=0&amp;query=any,contains,991005166539702656","Catalog Record")</f>
        <v/>
      </c>
      <c r="AT1664">
        <f>HYPERLINK("http://www.worldcat.org/oclc/7836073","WorldCat Record")</f>
        <v/>
      </c>
      <c r="AU1664" t="inlineStr">
        <is>
          <t>2864128623:eng</t>
        </is>
      </c>
      <c r="AV1664" t="inlineStr">
        <is>
          <t>7836073</t>
        </is>
      </c>
      <c r="AW1664" t="inlineStr">
        <is>
          <t>991005166539702656</t>
        </is>
      </c>
      <c r="AX1664" t="inlineStr">
        <is>
          <t>991005166539702656</t>
        </is>
      </c>
      <c r="AY1664" t="inlineStr">
        <is>
          <t>2255357330002656</t>
        </is>
      </c>
      <c r="AZ1664" t="inlineStr">
        <is>
          <t>BOOK</t>
        </is>
      </c>
      <c r="BB1664" t="inlineStr">
        <is>
          <t>9780801825521</t>
        </is>
      </c>
      <c r="BC1664" t="inlineStr">
        <is>
          <t>32285000612803</t>
        </is>
      </c>
      <c r="BD1664" t="inlineStr">
        <is>
          <t>893807918</t>
        </is>
      </c>
    </row>
    <row r="1665">
      <c r="A1665" t="inlineStr">
        <is>
          <t>No</t>
        </is>
      </c>
      <c r="B1665" t="inlineStr">
        <is>
          <t>E745 .S7</t>
        </is>
      </c>
      <c r="C1665" t="inlineStr">
        <is>
          <t>0                      E  0745000S  7</t>
        </is>
      </c>
      <c r="D1665" t="inlineStr">
        <is>
          <t>Prepare for Armageddon; survival in the nuclear age [by] Lydia R. Strother &amp; Claude L. Strother.</t>
        </is>
      </c>
      <c r="F1665" t="inlineStr">
        <is>
          <t>No</t>
        </is>
      </c>
      <c r="G1665" t="inlineStr">
        <is>
          <t>1</t>
        </is>
      </c>
      <c r="H1665" t="inlineStr">
        <is>
          <t>No</t>
        </is>
      </c>
      <c r="I1665" t="inlineStr">
        <is>
          <t>No</t>
        </is>
      </c>
      <c r="J1665" t="inlineStr">
        <is>
          <t>0</t>
        </is>
      </c>
      <c r="K1665" t="inlineStr">
        <is>
          <t>Strother, Lydia R.</t>
        </is>
      </c>
      <c r="L1665" t="inlineStr">
        <is>
          <t>Cardiff-by-the-Sea, Calif., Lee Press [1968]</t>
        </is>
      </c>
      <c r="M1665" t="inlineStr">
        <is>
          <t>1968</t>
        </is>
      </c>
      <c r="O1665" t="inlineStr">
        <is>
          <t>eng</t>
        </is>
      </c>
      <c r="P1665" t="inlineStr">
        <is>
          <t>cau</t>
        </is>
      </c>
      <c r="R1665" t="inlineStr">
        <is>
          <t xml:space="preserve">E  </t>
        </is>
      </c>
      <c r="S1665" t="n">
        <v>1</v>
      </c>
      <c r="T1665" t="n">
        <v>1</v>
      </c>
      <c r="U1665" t="inlineStr">
        <is>
          <t>2002-11-19</t>
        </is>
      </c>
      <c r="V1665" t="inlineStr">
        <is>
          <t>2002-11-19</t>
        </is>
      </c>
      <c r="W1665" t="inlineStr">
        <is>
          <t>1997-04-24</t>
        </is>
      </c>
      <c r="X1665" t="inlineStr">
        <is>
          <t>1997-04-24</t>
        </is>
      </c>
      <c r="Y1665" t="n">
        <v>53</v>
      </c>
      <c r="Z1665" t="n">
        <v>53</v>
      </c>
      <c r="AA1665" t="n">
        <v>196</v>
      </c>
      <c r="AB1665" t="n">
        <v>1</v>
      </c>
      <c r="AC1665" t="n">
        <v>5</v>
      </c>
      <c r="AD1665" t="n">
        <v>4</v>
      </c>
      <c r="AE1665" t="n">
        <v>12</v>
      </c>
      <c r="AF1665" t="n">
        <v>1</v>
      </c>
      <c r="AG1665" t="n">
        <v>5</v>
      </c>
      <c r="AH1665" t="n">
        <v>2</v>
      </c>
      <c r="AI1665" t="n">
        <v>3</v>
      </c>
      <c r="AJ1665" t="n">
        <v>1</v>
      </c>
      <c r="AK1665" t="n">
        <v>3</v>
      </c>
      <c r="AL1665" t="n">
        <v>0</v>
      </c>
      <c r="AM1665" t="n">
        <v>2</v>
      </c>
      <c r="AN1665" t="n">
        <v>1</v>
      </c>
      <c r="AO1665" t="n">
        <v>1</v>
      </c>
      <c r="AP1665" t="inlineStr">
        <is>
          <t>No</t>
        </is>
      </c>
      <c r="AQ1665" t="inlineStr">
        <is>
          <t>Yes</t>
        </is>
      </c>
      <c r="AR1665">
        <f>HYPERLINK("http://catalog.hathitrust.org/Record/000467493","HathiTrust Record")</f>
        <v/>
      </c>
      <c r="AS1665">
        <f>HYPERLINK("https://creighton-primo.hosted.exlibrisgroup.com/primo-explore/search?tab=default_tab&amp;search_scope=EVERYTHING&amp;vid=01CRU&amp;lang=en_US&amp;offset=0&amp;query=any,contains,991002765509702656","Catalog Record")</f>
        <v/>
      </c>
      <c r="AT1665">
        <f>HYPERLINK("http://www.worldcat.org/oclc/433285","WorldCat Record")</f>
        <v/>
      </c>
      <c r="AU1665" t="inlineStr">
        <is>
          <t>1545027:eng</t>
        </is>
      </c>
      <c r="AV1665" t="inlineStr">
        <is>
          <t>433285</t>
        </is>
      </c>
      <c r="AW1665" t="inlineStr">
        <is>
          <t>991002765509702656</t>
        </is>
      </c>
      <c r="AX1665" t="inlineStr">
        <is>
          <t>991002765509702656</t>
        </is>
      </c>
      <c r="AY1665" t="inlineStr">
        <is>
          <t>2270227880002656</t>
        </is>
      </c>
      <c r="AZ1665" t="inlineStr">
        <is>
          <t>BOOK</t>
        </is>
      </c>
      <c r="BC1665" t="inlineStr">
        <is>
          <t>32285002563533</t>
        </is>
      </c>
      <c r="BD1665" t="inlineStr">
        <is>
          <t>893591746</t>
        </is>
      </c>
    </row>
    <row r="1666">
      <c r="A1666" t="inlineStr">
        <is>
          <t>No</t>
        </is>
      </c>
      <c r="B1666" t="inlineStr">
        <is>
          <t>E745 .T317 1972</t>
        </is>
      </c>
      <c r="C1666" t="inlineStr">
        <is>
          <t>0                      E  0745000T  317         1972</t>
        </is>
      </c>
      <c r="D1666" t="inlineStr">
        <is>
          <t>Swords and plowshares / [by] Maxwell D. Taylor.</t>
        </is>
      </c>
      <c r="F1666" t="inlineStr">
        <is>
          <t>No</t>
        </is>
      </c>
      <c r="G1666" t="inlineStr">
        <is>
          <t>1</t>
        </is>
      </c>
      <c r="H1666" t="inlineStr">
        <is>
          <t>No</t>
        </is>
      </c>
      <c r="I1666" t="inlineStr">
        <is>
          <t>No</t>
        </is>
      </c>
      <c r="J1666" t="inlineStr">
        <is>
          <t>0</t>
        </is>
      </c>
      <c r="K1666" t="inlineStr">
        <is>
          <t>Taylor, Maxwell D. (Maxwell Davenport), 1901-1987.</t>
        </is>
      </c>
      <c r="L1666" t="inlineStr">
        <is>
          <t>New York : W. W. Norton, [1972]</t>
        </is>
      </c>
      <c r="M1666" t="inlineStr">
        <is>
          <t>1972</t>
        </is>
      </c>
      <c r="N1666" t="inlineStr">
        <is>
          <t>[1st ed.]</t>
        </is>
      </c>
      <c r="O1666" t="inlineStr">
        <is>
          <t>eng</t>
        </is>
      </c>
      <c r="P1666" t="inlineStr">
        <is>
          <t>nyu</t>
        </is>
      </c>
      <c r="R1666" t="inlineStr">
        <is>
          <t xml:space="preserve">E  </t>
        </is>
      </c>
      <c r="S1666" t="n">
        <v>5</v>
      </c>
      <c r="T1666" t="n">
        <v>5</v>
      </c>
      <c r="U1666" t="inlineStr">
        <is>
          <t>1995-04-11</t>
        </is>
      </c>
      <c r="V1666" t="inlineStr">
        <is>
          <t>1995-04-11</t>
        </is>
      </c>
      <c r="W1666" t="inlineStr">
        <is>
          <t>1992-01-24</t>
        </is>
      </c>
      <c r="X1666" t="inlineStr">
        <is>
          <t>1992-01-24</t>
        </is>
      </c>
      <c r="Y1666" t="n">
        <v>875</v>
      </c>
      <c r="Z1666" t="n">
        <v>807</v>
      </c>
      <c r="AA1666" t="n">
        <v>862</v>
      </c>
      <c r="AB1666" t="n">
        <v>5</v>
      </c>
      <c r="AC1666" t="n">
        <v>6</v>
      </c>
      <c r="AD1666" t="n">
        <v>30</v>
      </c>
      <c r="AE1666" t="n">
        <v>37</v>
      </c>
      <c r="AF1666" t="n">
        <v>13</v>
      </c>
      <c r="AG1666" t="n">
        <v>15</v>
      </c>
      <c r="AH1666" t="n">
        <v>7</v>
      </c>
      <c r="AI1666" t="n">
        <v>10</v>
      </c>
      <c r="AJ1666" t="n">
        <v>13</v>
      </c>
      <c r="AK1666" t="n">
        <v>16</v>
      </c>
      <c r="AL1666" t="n">
        <v>3</v>
      </c>
      <c r="AM1666" t="n">
        <v>4</v>
      </c>
      <c r="AN1666" t="n">
        <v>0</v>
      </c>
      <c r="AO1666" t="n">
        <v>0</v>
      </c>
      <c r="AP1666" t="inlineStr">
        <is>
          <t>No</t>
        </is>
      </c>
      <c r="AQ1666" t="inlineStr">
        <is>
          <t>Yes</t>
        </is>
      </c>
      <c r="AR1666">
        <f>HYPERLINK("http://catalog.hathitrust.org/Record/000467495","HathiTrust Record")</f>
        <v/>
      </c>
      <c r="AS1666">
        <f>HYPERLINK("https://creighton-primo.hosted.exlibrisgroup.com/primo-explore/search?tab=default_tab&amp;search_scope=EVERYTHING&amp;vid=01CRU&amp;lang=en_US&amp;offset=0&amp;query=any,contains,991002176619702656","Catalog Record")</f>
        <v/>
      </c>
      <c r="AT1666">
        <f>HYPERLINK("http://www.worldcat.org/oclc/278094","WorldCat Record")</f>
        <v/>
      </c>
      <c r="AU1666" t="inlineStr">
        <is>
          <t>1418693:eng</t>
        </is>
      </c>
      <c r="AV1666" t="inlineStr">
        <is>
          <t>278094</t>
        </is>
      </c>
      <c r="AW1666" t="inlineStr">
        <is>
          <t>991002176619702656</t>
        </is>
      </c>
      <c r="AX1666" t="inlineStr">
        <is>
          <t>991002176619702656</t>
        </is>
      </c>
      <c r="AY1666" t="inlineStr">
        <is>
          <t>2261200130002656</t>
        </is>
      </c>
      <c r="AZ1666" t="inlineStr">
        <is>
          <t>BOOK</t>
        </is>
      </c>
      <c r="BB1666" t="inlineStr">
        <is>
          <t>9780393074604</t>
        </is>
      </c>
      <c r="BC1666" t="inlineStr">
        <is>
          <t>32285000917608</t>
        </is>
      </c>
      <c r="BD1666" t="inlineStr">
        <is>
          <t>893445008</t>
        </is>
      </c>
    </row>
    <row r="1667">
      <c r="A1667" t="inlineStr">
        <is>
          <t>No</t>
        </is>
      </c>
      <c r="B1667" t="inlineStr">
        <is>
          <t>E745.C47 B3 1983</t>
        </is>
      </c>
      <c r="C1667" t="inlineStr">
        <is>
          <t>0                      E  0745000C  47                 B  3           1983</t>
        </is>
      </c>
      <c r="D1667" t="inlineStr">
        <is>
          <t>Winds of history : the German years of Lucius DuBignon Clay / John H. Backer.</t>
        </is>
      </c>
      <c r="F1667" t="inlineStr">
        <is>
          <t>No</t>
        </is>
      </c>
      <c r="G1667" t="inlineStr">
        <is>
          <t>1</t>
        </is>
      </c>
      <c r="H1667" t="inlineStr">
        <is>
          <t>No</t>
        </is>
      </c>
      <c r="I1667" t="inlineStr">
        <is>
          <t>No</t>
        </is>
      </c>
      <c r="J1667" t="inlineStr">
        <is>
          <t>0</t>
        </is>
      </c>
      <c r="K1667" t="inlineStr">
        <is>
          <t>Backer, John H., 1902-</t>
        </is>
      </c>
      <c r="L1667" t="inlineStr">
        <is>
          <t>New York : Van Nostrand Reinhold, c1983.</t>
        </is>
      </c>
      <c r="M1667" t="inlineStr">
        <is>
          <t>1983</t>
        </is>
      </c>
      <c r="O1667" t="inlineStr">
        <is>
          <t>eng</t>
        </is>
      </c>
      <c r="P1667" t="inlineStr">
        <is>
          <t>nyu</t>
        </is>
      </c>
      <c r="R1667" t="inlineStr">
        <is>
          <t xml:space="preserve">E  </t>
        </is>
      </c>
      <c r="S1667" t="n">
        <v>2</v>
      </c>
      <c r="T1667" t="n">
        <v>2</v>
      </c>
      <c r="U1667" t="inlineStr">
        <is>
          <t>1994-03-13</t>
        </is>
      </c>
      <c r="V1667" t="inlineStr">
        <is>
          <t>1994-03-13</t>
        </is>
      </c>
      <c r="W1667" t="inlineStr">
        <is>
          <t>1993-11-03</t>
        </is>
      </c>
      <c r="X1667" t="inlineStr">
        <is>
          <t>1993-11-03</t>
        </is>
      </c>
      <c r="Y1667" t="n">
        <v>511</v>
      </c>
      <c r="Z1667" t="n">
        <v>443</v>
      </c>
      <c r="AA1667" t="n">
        <v>444</v>
      </c>
      <c r="AB1667" t="n">
        <v>5</v>
      </c>
      <c r="AC1667" t="n">
        <v>5</v>
      </c>
      <c r="AD1667" t="n">
        <v>11</v>
      </c>
      <c r="AE1667" t="n">
        <v>11</v>
      </c>
      <c r="AF1667" t="n">
        <v>1</v>
      </c>
      <c r="AG1667" t="n">
        <v>1</v>
      </c>
      <c r="AH1667" t="n">
        <v>3</v>
      </c>
      <c r="AI1667" t="n">
        <v>3</v>
      </c>
      <c r="AJ1667" t="n">
        <v>4</v>
      </c>
      <c r="AK1667" t="n">
        <v>4</v>
      </c>
      <c r="AL1667" t="n">
        <v>4</v>
      </c>
      <c r="AM1667" t="n">
        <v>4</v>
      </c>
      <c r="AN1667" t="n">
        <v>0</v>
      </c>
      <c r="AO1667" t="n">
        <v>0</v>
      </c>
      <c r="AP1667" t="inlineStr">
        <is>
          <t>No</t>
        </is>
      </c>
      <c r="AQ1667" t="inlineStr">
        <is>
          <t>Yes</t>
        </is>
      </c>
      <c r="AR1667">
        <f>HYPERLINK("http://catalog.hathitrust.org/Record/000239176","HathiTrust Record")</f>
        <v/>
      </c>
      <c r="AS1667">
        <f>HYPERLINK("https://creighton-primo.hosted.exlibrisgroup.com/primo-explore/search?tab=default_tab&amp;search_scope=EVERYTHING&amp;vid=01CRU&amp;lang=en_US&amp;offset=0&amp;query=any,contains,991000050979702656","Catalog Record")</f>
        <v/>
      </c>
      <c r="AT1667">
        <f>HYPERLINK("http://www.worldcat.org/oclc/8688239","WorldCat Record")</f>
        <v/>
      </c>
      <c r="AU1667" t="inlineStr">
        <is>
          <t>43561897:eng</t>
        </is>
      </c>
      <c r="AV1667" t="inlineStr">
        <is>
          <t>8688239</t>
        </is>
      </c>
      <c r="AW1667" t="inlineStr">
        <is>
          <t>991000050979702656</t>
        </is>
      </c>
      <c r="AX1667" t="inlineStr">
        <is>
          <t>991000050979702656</t>
        </is>
      </c>
      <c r="AY1667" t="inlineStr">
        <is>
          <t>2272583600002656</t>
        </is>
      </c>
      <c r="AZ1667" t="inlineStr">
        <is>
          <t>BOOK</t>
        </is>
      </c>
      <c r="BB1667" t="inlineStr">
        <is>
          <t>9780442213824</t>
        </is>
      </c>
      <c r="BC1667" t="inlineStr">
        <is>
          <t>32285001796233</t>
        </is>
      </c>
      <c r="BD1667" t="inlineStr">
        <is>
          <t>893514953</t>
        </is>
      </c>
    </row>
    <row r="1668">
      <c r="A1668" t="inlineStr">
        <is>
          <t>No</t>
        </is>
      </c>
      <c r="B1668" t="inlineStr">
        <is>
          <t>E745.C47 S65 1990</t>
        </is>
      </c>
      <c r="C1668" t="inlineStr">
        <is>
          <t>0                      E  0745000C  47                 S  65          1990</t>
        </is>
      </c>
      <c r="D1668" t="inlineStr">
        <is>
          <t>Lucius D. Clay : an American life / by Jean Edward Smith.</t>
        </is>
      </c>
      <c r="F1668" t="inlineStr">
        <is>
          <t>No</t>
        </is>
      </c>
      <c r="G1668" t="inlineStr">
        <is>
          <t>1</t>
        </is>
      </c>
      <c r="H1668" t="inlineStr">
        <is>
          <t>No</t>
        </is>
      </c>
      <c r="I1668" t="inlineStr">
        <is>
          <t>No</t>
        </is>
      </c>
      <c r="J1668" t="inlineStr">
        <is>
          <t>0</t>
        </is>
      </c>
      <c r="K1668" t="inlineStr">
        <is>
          <t>Smith, Jean Edward.</t>
        </is>
      </c>
      <c r="L1668" t="inlineStr">
        <is>
          <t>New York : H. Holt, c1990.</t>
        </is>
      </c>
      <c r="M1668" t="inlineStr">
        <is>
          <t>1990</t>
        </is>
      </c>
      <c r="N1668" t="inlineStr">
        <is>
          <t>1st ed.</t>
        </is>
      </c>
      <c r="O1668" t="inlineStr">
        <is>
          <t>eng</t>
        </is>
      </c>
      <c r="P1668" t="inlineStr">
        <is>
          <t>nyu</t>
        </is>
      </c>
      <c r="R1668" t="inlineStr">
        <is>
          <t xml:space="preserve">E  </t>
        </is>
      </c>
      <c r="S1668" t="n">
        <v>2</v>
      </c>
      <c r="T1668" t="n">
        <v>2</v>
      </c>
      <c r="U1668" t="inlineStr">
        <is>
          <t>1994-03-13</t>
        </is>
      </c>
      <c r="V1668" t="inlineStr">
        <is>
          <t>1994-03-13</t>
        </is>
      </c>
      <c r="W1668" t="inlineStr">
        <is>
          <t>1990-10-17</t>
        </is>
      </c>
      <c r="X1668" t="inlineStr">
        <is>
          <t>1990-10-17</t>
        </is>
      </c>
      <c r="Y1668" t="n">
        <v>673</v>
      </c>
      <c r="Z1668" t="n">
        <v>617</v>
      </c>
      <c r="AA1668" t="n">
        <v>659</v>
      </c>
      <c r="AB1668" t="n">
        <v>4</v>
      </c>
      <c r="AC1668" t="n">
        <v>4</v>
      </c>
      <c r="AD1668" t="n">
        <v>21</v>
      </c>
      <c r="AE1668" t="n">
        <v>23</v>
      </c>
      <c r="AF1668" t="n">
        <v>6</v>
      </c>
      <c r="AG1668" t="n">
        <v>8</v>
      </c>
      <c r="AH1668" t="n">
        <v>5</v>
      </c>
      <c r="AI1668" t="n">
        <v>5</v>
      </c>
      <c r="AJ1668" t="n">
        <v>13</v>
      </c>
      <c r="AK1668" t="n">
        <v>14</v>
      </c>
      <c r="AL1668" t="n">
        <v>2</v>
      </c>
      <c r="AM1668" t="n">
        <v>2</v>
      </c>
      <c r="AN1668" t="n">
        <v>0</v>
      </c>
      <c r="AO1668" t="n">
        <v>0</v>
      </c>
      <c r="AP1668" t="inlineStr">
        <is>
          <t>No</t>
        </is>
      </c>
      <c r="AQ1668" t="inlineStr">
        <is>
          <t>No</t>
        </is>
      </c>
      <c r="AS1668">
        <f>HYPERLINK("https://creighton-primo.hosted.exlibrisgroup.com/primo-explore/search?tab=default_tab&amp;search_scope=EVERYTHING&amp;vid=01CRU&amp;lang=en_US&amp;offset=0&amp;query=any,contains,991001592759702656","Catalog Record")</f>
        <v/>
      </c>
      <c r="AT1668">
        <f>HYPERLINK("http://www.worldcat.org/oclc/20594128","WorldCat Record")</f>
        <v/>
      </c>
      <c r="AU1668" t="inlineStr">
        <is>
          <t>22717148:eng</t>
        </is>
      </c>
      <c r="AV1668" t="inlineStr">
        <is>
          <t>20594128</t>
        </is>
      </c>
      <c r="AW1668" t="inlineStr">
        <is>
          <t>991001592759702656</t>
        </is>
      </c>
      <c r="AX1668" t="inlineStr">
        <is>
          <t>991001592759702656</t>
        </is>
      </c>
      <c r="AY1668" t="inlineStr">
        <is>
          <t>2267484320002656</t>
        </is>
      </c>
      <c r="AZ1668" t="inlineStr">
        <is>
          <t>BOOK</t>
        </is>
      </c>
      <c r="BB1668" t="inlineStr">
        <is>
          <t>9780805009996</t>
        </is>
      </c>
      <c r="BC1668" t="inlineStr">
        <is>
          <t>32285000310937</t>
        </is>
      </c>
      <c r="BD1668" t="inlineStr">
        <is>
          <t>893497189</t>
        </is>
      </c>
    </row>
    <row r="1669">
      <c r="A1669" t="inlineStr">
        <is>
          <t>No</t>
        </is>
      </c>
      <c r="B1669" t="inlineStr">
        <is>
          <t>E745.L36 C87 1988</t>
        </is>
      </c>
      <c r="C1669" t="inlineStr">
        <is>
          <t>0                      E  0745000L  36                 C  87          1988</t>
        </is>
      </c>
      <c r="D1669" t="inlineStr">
        <is>
          <t>Edward Lansdale, the unquiet American / Cecil B. Currey.</t>
        </is>
      </c>
      <c r="F1669" t="inlineStr">
        <is>
          <t>No</t>
        </is>
      </c>
      <c r="G1669" t="inlineStr">
        <is>
          <t>1</t>
        </is>
      </c>
      <c r="H1669" t="inlineStr">
        <is>
          <t>No</t>
        </is>
      </c>
      <c r="I1669" t="inlineStr">
        <is>
          <t>No</t>
        </is>
      </c>
      <c r="J1669" t="inlineStr">
        <is>
          <t>0</t>
        </is>
      </c>
      <c r="K1669" t="inlineStr">
        <is>
          <t>Currey, Cecil B.</t>
        </is>
      </c>
      <c r="L1669" t="inlineStr">
        <is>
          <t>Boston : Houghton Mifflin, 1988.</t>
        </is>
      </c>
      <c r="M1669" t="inlineStr">
        <is>
          <t>1988</t>
        </is>
      </c>
      <c r="O1669" t="inlineStr">
        <is>
          <t>eng</t>
        </is>
      </c>
      <c r="P1669" t="inlineStr">
        <is>
          <t>mau</t>
        </is>
      </c>
      <c r="R1669" t="inlineStr">
        <is>
          <t xml:space="preserve">E  </t>
        </is>
      </c>
      <c r="S1669" t="n">
        <v>3</v>
      </c>
      <c r="T1669" t="n">
        <v>3</v>
      </c>
      <c r="U1669" t="inlineStr">
        <is>
          <t>2002-11-01</t>
        </is>
      </c>
      <c r="V1669" t="inlineStr">
        <is>
          <t>2002-11-01</t>
        </is>
      </c>
      <c r="W1669" t="inlineStr">
        <is>
          <t>1990-01-18</t>
        </is>
      </c>
      <c r="X1669" t="inlineStr">
        <is>
          <t>1990-01-18</t>
        </is>
      </c>
      <c r="Y1669" t="n">
        <v>472</v>
      </c>
      <c r="Z1669" t="n">
        <v>435</v>
      </c>
      <c r="AA1669" t="n">
        <v>474</v>
      </c>
      <c r="AB1669" t="n">
        <v>3</v>
      </c>
      <c r="AC1669" t="n">
        <v>3</v>
      </c>
      <c r="AD1669" t="n">
        <v>13</v>
      </c>
      <c r="AE1669" t="n">
        <v>14</v>
      </c>
      <c r="AF1669" t="n">
        <v>5</v>
      </c>
      <c r="AG1669" t="n">
        <v>5</v>
      </c>
      <c r="AH1669" t="n">
        <v>5</v>
      </c>
      <c r="AI1669" t="n">
        <v>5</v>
      </c>
      <c r="AJ1669" t="n">
        <v>6</v>
      </c>
      <c r="AK1669" t="n">
        <v>7</v>
      </c>
      <c r="AL1669" t="n">
        <v>1</v>
      </c>
      <c r="AM1669" t="n">
        <v>1</v>
      </c>
      <c r="AN1669" t="n">
        <v>0</v>
      </c>
      <c r="AO1669" t="n">
        <v>0</v>
      </c>
      <c r="AP1669" t="inlineStr">
        <is>
          <t>No</t>
        </is>
      </c>
      <c r="AQ1669" t="inlineStr">
        <is>
          <t>Yes</t>
        </is>
      </c>
      <c r="AR1669">
        <f>HYPERLINK("http://catalog.hathitrust.org/Record/001098118","HathiTrust Record")</f>
        <v/>
      </c>
      <c r="AS1669">
        <f>HYPERLINK("https://creighton-primo.hosted.exlibrisgroup.com/primo-explore/search?tab=default_tab&amp;search_scope=EVERYTHING&amp;vid=01CRU&amp;lang=en_US&amp;offset=0&amp;query=any,contains,991001304489702656","Catalog Record")</f>
        <v/>
      </c>
      <c r="AT1669">
        <f>HYPERLINK("http://www.worldcat.org/oclc/18105433","WorldCat Record")</f>
        <v/>
      </c>
      <c r="AU1669" t="inlineStr">
        <is>
          <t>16369528:eng</t>
        </is>
      </c>
      <c r="AV1669" t="inlineStr">
        <is>
          <t>18105433</t>
        </is>
      </c>
      <c r="AW1669" t="inlineStr">
        <is>
          <t>991001304489702656</t>
        </is>
      </c>
      <c r="AX1669" t="inlineStr">
        <is>
          <t>991001304489702656</t>
        </is>
      </c>
      <c r="AY1669" t="inlineStr">
        <is>
          <t>2259557990002656</t>
        </is>
      </c>
      <c r="AZ1669" t="inlineStr">
        <is>
          <t>BOOK</t>
        </is>
      </c>
      <c r="BB1669" t="inlineStr">
        <is>
          <t>9780395385104</t>
        </is>
      </c>
      <c r="BC1669" t="inlineStr">
        <is>
          <t>32285000029560</t>
        </is>
      </c>
      <c r="BD1669" t="inlineStr">
        <is>
          <t>893503307</t>
        </is>
      </c>
    </row>
    <row r="1670">
      <c r="A1670" t="inlineStr">
        <is>
          <t>No</t>
        </is>
      </c>
      <c r="B1670" t="inlineStr">
        <is>
          <t>E745.L4 A3</t>
        </is>
      </c>
      <c r="C1670" t="inlineStr">
        <is>
          <t>0                      E  0745000L  4                  A  3</t>
        </is>
      </c>
      <c r="D1670" t="inlineStr">
        <is>
          <t>Mission with LeMay : my story / by Curtis E. LeMay with MacKinlay Kantor.</t>
        </is>
      </c>
      <c r="F1670" t="inlineStr">
        <is>
          <t>No</t>
        </is>
      </c>
      <c r="G1670" t="inlineStr">
        <is>
          <t>1</t>
        </is>
      </c>
      <c r="H1670" t="inlineStr">
        <is>
          <t>No</t>
        </is>
      </c>
      <c r="I1670" t="inlineStr">
        <is>
          <t>No</t>
        </is>
      </c>
      <c r="J1670" t="inlineStr">
        <is>
          <t>0</t>
        </is>
      </c>
      <c r="K1670" t="inlineStr">
        <is>
          <t>LeMay, Curtis E.</t>
        </is>
      </c>
      <c r="L1670" t="inlineStr">
        <is>
          <t>Garden City, N.Y. : Doubleday, 1965.</t>
        </is>
      </c>
      <c r="M1670" t="inlineStr">
        <is>
          <t>1965</t>
        </is>
      </c>
      <c r="N1670" t="inlineStr">
        <is>
          <t>[1st ed.]</t>
        </is>
      </c>
      <c r="O1670" t="inlineStr">
        <is>
          <t>eng</t>
        </is>
      </c>
      <c r="P1670" t="inlineStr">
        <is>
          <t>nyu</t>
        </is>
      </c>
      <c r="R1670" t="inlineStr">
        <is>
          <t xml:space="preserve">E  </t>
        </is>
      </c>
      <c r="S1670" t="n">
        <v>8</v>
      </c>
      <c r="T1670" t="n">
        <v>8</v>
      </c>
      <c r="U1670" t="inlineStr">
        <is>
          <t>2002-01-28</t>
        </is>
      </c>
      <c r="V1670" t="inlineStr">
        <is>
          <t>2002-01-28</t>
        </is>
      </c>
      <c r="W1670" t="inlineStr">
        <is>
          <t>1993-10-18</t>
        </is>
      </c>
      <c r="X1670" t="inlineStr">
        <is>
          <t>1993-10-18</t>
        </is>
      </c>
      <c r="Y1670" t="n">
        <v>1036</v>
      </c>
      <c r="Z1670" t="n">
        <v>995</v>
      </c>
      <c r="AA1670" t="n">
        <v>1008</v>
      </c>
      <c r="AB1670" t="n">
        <v>18</v>
      </c>
      <c r="AC1670" t="n">
        <v>18</v>
      </c>
      <c r="AD1670" t="n">
        <v>28</v>
      </c>
      <c r="AE1670" t="n">
        <v>29</v>
      </c>
      <c r="AF1670" t="n">
        <v>11</v>
      </c>
      <c r="AG1670" t="n">
        <v>12</v>
      </c>
      <c r="AH1670" t="n">
        <v>4</v>
      </c>
      <c r="AI1670" t="n">
        <v>4</v>
      </c>
      <c r="AJ1670" t="n">
        <v>10</v>
      </c>
      <c r="AK1670" t="n">
        <v>10</v>
      </c>
      <c r="AL1670" t="n">
        <v>7</v>
      </c>
      <c r="AM1670" t="n">
        <v>7</v>
      </c>
      <c r="AN1670" t="n">
        <v>0</v>
      </c>
      <c r="AO1670" t="n">
        <v>0</v>
      </c>
      <c r="AP1670" t="inlineStr">
        <is>
          <t>No</t>
        </is>
      </c>
      <c r="AQ1670" t="inlineStr">
        <is>
          <t>No</t>
        </is>
      </c>
      <c r="AS1670">
        <f>HYPERLINK("https://creighton-primo.hosted.exlibrisgroup.com/primo-explore/search?tab=default_tab&amp;search_scope=EVERYTHING&amp;vid=01CRU&amp;lang=en_US&amp;offset=0&amp;query=any,contains,991002813359702656","Catalog Record")</f>
        <v/>
      </c>
      <c r="AT1670">
        <f>HYPERLINK("http://www.worldcat.org/oclc/456846","WorldCat Record")</f>
        <v/>
      </c>
      <c r="AU1670" t="inlineStr">
        <is>
          <t>196657096:eng</t>
        </is>
      </c>
      <c r="AV1670" t="inlineStr">
        <is>
          <t>456846</t>
        </is>
      </c>
      <c r="AW1670" t="inlineStr">
        <is>
          <t>991002813359702656</t>
        </is>
      </c>
      <c r="AX1670" t="inlineStr">
        <is>
          <t>991002813359702656</t>
        </is>
      </c>
      <c r="AY1670" t="inlineStr">
        <is>
          <t>2263045580002656</t>
        </is>
      </c>
      <c r="AZ1670" t="inlineStr">
        <is>
          <t>BOOK</t>
        </is>
      </c>
      <c r="BC1670" t="inlineStr">
        <is>
          <t>32285001793602</t>
        </is>
      </c>
      <c r="BD1670" t="inlineStr">
        <is>
          <t>893421831</t>
        </is>
      </c>
    </row>
    <row r="1671">
      <c r="A1671" t="inlineStr">
        <is>
          <t>No</t>
        </is>
      </c>
      <c r="B1671" t="inlineStr">
        <is>
          <t>E745.L4 C64 1986</t>
        </is>
      </c>
      <c r="C1671" t="inlineStr">
        <is>
          <t>0                      E  0745000L  4                  C  64          1986</t>
        </is>
      </c>
      <c r="D1671" t="inlineStr">
        <is>
          <t>Iron eagle : the turbulent life of General Curtis LeMay / Thomas M. Coffey.</t>
        </is>
      </c>
      <c r="F1671" t="inlineStr">
        <is>
          <t>No</t>
        </is>
      </c>
      <c r="G1671" t="inlineStr">
        <is>
          <t>1</t>
        </is>
      </c>
      <c r="H1671" t="inlineStr">
        <is>
          <t>No</t>
        </is>
      </c>
      <c r="I1671" t="inlineStr">
        <is>
          <t>No</t>
        </is>
      </c>
      <c r="J1671" t="inlineStr">
        <is>
          <t>0</t>
        </is>
      </c>
      <c r="K1671" t="inlineStr">
        <is>
          <t>Coffey, Thomas M., 1921-2000.</t>
        </is>
      </c>
      <c r="L1671" t="inlineStr">
        <is>
          <t>New York : Crown Publishers, 1986.</t>
        </is>
      </c>
      <c r="M1671" t="inlineStr">
        <is>
          <t>1986</t>
        </is>
      </c>
      <c r="O1671" t="inlineStr">
        <is>
          <t>eng</t>
        </is>
      </c>
      <c r="P1671" t="inlineStr">
        <is>
          <t>nyu</t>
        </is>
      </c>
      <c r="R1671" t="inlineStr">
        <is>
          <t xml:space="preserve">E  </t>
        </is>
      </c>
      <c r="S1671" t="n">
        <v>5</v>
      </c>
      <c r="T1671" t="n">
        <v>5</v>
      </c>
      <c r="U1671" t="inlineStr">
        <is>
          <t>2000-10-02</t>
        </is>
      </c>
      <c r="V1671" t="inlineStr">
        <is>
          <t>2000-10-02</t>
        </is>
      </c>
      <c r="W1671" t="inlineStr">
        <is>
          <t>1991-05-28</t>
        </is>
      </c>
      <c r="X1671" t="inlineStr">
        <is>
          <t>1991-05-28</t>
        </is>
      </c>
      <c r="Y1671" t="n">
        <v>926</v>
      </c>
      <c r="Z1671" t="n">
        <v>894</v>
      </c>
      <c r="AA1671" t="n">
        <v>926</v>
      </c>
      <c r="AB1671" t="n">
        <v>10</v>
      </c>
      <c r="AC1671" t="n">
        <v>10</v>
      </c>
      <c r="AD1671" t="n">
        <v>17</v>
      </c>
      <c r="AE1671" t="n">
        <v>18</v>
      </c>
      <c r="AF1671" t="n">
        <v>9</v>
      </c>
      <c r="AG1671" t="n">
        <v>9</v>
      </c>
      <c r="AH1671" t="n">
        <v>2</v>
      </c>
      <c r="AI1671" t="n">
        <v>3</v>
      </c>
      <c r="AJ1671" t="n">
        <v>9</v>
      </c>
      <c r="AK1671" t="n">
        <v>9</v>
      </c>
      <c r="AL1671" t="n">
        <v>2</v>
      </c>
      <c r="AM1671" t="n">
        <v>2</v>
      </c>
      <c r="AN1671" t="n">
        <v>0</v>
      </c>
      <c r="AO1671" t="n">
        <v>0</v>
      </c>
      <c r="AP1671" t="inlineStr">
        <is>
          <t>No</t>
        </is>
      </c>
      <c r="AQ1671" t="inlineStr">
        <is>
          <t>Yes</t>
        </is>
      </c>
      <c r="AR1671">
        <f>HYPERLINK("http://catalog.hathitrust.org/Record/000592024","HathiTrust Record")</f>
        <v/>
      </c>
      <c r="AS1671">
        <f>HYPERLINK("https://creighton-primo.hosted.exlibrisgroup.com/primo-explore/search?tab=default_tab&amp;search_scope=EVERYTHING&amp;vid=01CRU&amp;lang=en_US&amp;offset=0&amp;query=any,contains,991000817449702656","Catalog Record")</f>
        <v/>
      </c>
      <c r="AT1671">
        <f>HYPERLINK("http://www.worldcat.org/oclc/13360039","WorldCat Record")</f>
        <v/>
      </c>
      <c r="AU1671" t="inlineStr">
        <is>
          <t>6915512:eng</t>
        </is>
      </c>
      <c r="AV1671" t="inlineStr">
        <is>
          <t>13360039</t>
        </is>
      </c>
      <c r="AW1671" t="inlineStr">
        <is>
          <t>991000817449702656</t>
        </is>
      </c>
      <c r="AX1671" t="inlineStr">
        <is>
          <t>991000817449702656</t>
        </is>
      </c>
      <c r="AY1671" t="inlineStr">
        <is>
          <t>2269692400002656</t>
        </is>
      </c>
      <c r="AZ1671" t="inlineStr">
        <is>
          <t>BOOK</t>
        </is>
      </c>
      <c r="BB1671" t="inlineStr">
        <is>
          <t>9780517551882</t>
        </is>
      </c>
      <c r="BC1671" t="inlineStr">
        <is>
          <t>32285000612738</t>
        </is>
      </c>
      <c r="BD1671" t="inlineStr">
        <is>
          <t>893438627</t>
        </is>
      </c>
    </row>
    <row r="1672">
      <c r="A1672" t="inlineStr">
        <is>
          <t>No</t>
        </is>
      </c>
      <c r="B1672" t="inlineStr">
        <is>
          <t>E745.M3 A5</t>
        </is>
      </c>
      <c r="C1672" t="inlineStr">
        <is>
          <t>0                      E  0745000M  3                  A  5</t>
        </is>
      </c>
      <c r="D1672" t="inlineStr">
        <is>
          <t>Revitalizing a nation : a statement of beliefs, opinions, and policies embodied in the public pronouncements of Douglas MacArthur / correlation and captions by John M. Pratt. Introd. by Norman Vincent Peal.</t>
        </is>
      </c>
      <c r="F1672" t="inlineStr">
        <is>
          <t>No</t>
        </is>
      </c>
      <c r="G1672" t="inlineStr">
        <is>
          <t>1</t>
        </is>
      </c>
      <c r="H1672" t="inlineStr">
        <is>
          <t>No</t>
        </is>
      </c>
      <c r="I1672" t="inlineStr">
        <is>
          <t>No</t>
        </is>
      </c>
      <c r="J1672" t="inlineStr">
        <is>
          <t>0</t>
        </is>
      </c>
      <c r="K1672" t="inlineStr">
        <is>
          <t>MacArthur, Douglas, 1880-1964.</t>
        </is>
      </c>
      <c r="L1672" t="inlineStr">
        <is>
          <t>Chicago : Heritage Foundation ; distributed by Garden City Books, Garden City, N.Y., [1952]</t>
        </is>
      </c>
      <c r="M1672" t="inlineStr">
        <is>
          <t>1952</t>
        </is>
      </c>
      <c r="O1672" t="inlineStr">
        <is>
          <t>eng</t>
        </is>
      </c>
      <c r="P1672" t="inlineStr">
        <is>
          <t>ilu</t>
        </is>
      </c>
      <c r="R1672" t="inlineStr">
        <is>
          <t xml:space="preserve">E  </t>
        </is>
      </c>
      <c r="S1672" t="n">
        <v>6</v>
      </c>
      <c r="T1672" t="n">
        <v>6</v>
      </c>
      <c r="U1672" t="inlineStr">
        <is>
          <t>2004-04-18</t>
        </is>
      </c>
      <c r="V1672" t="inlineStr">
        <is>
          <t>2004-04-18</t>
        </is>
      </c>
      <c r="W1672" t="inlineStr">
        <is>
          <t>1995-04-03</t>
        </is>
      </c>
      <c r="X1672" t="inlineStr">
        <is>
          <t>1995-04-03</t>
        </is>
      </c>
      <c r="Y1672" t="n">
        <v>561</v>
      </c>
      <c r="Z1672" t="n">
        <v>543</v>
      </c>
      <c r="AA1672" t="n">
        <v>558</v>
      </c>
      <c r="AB1672" t="n">
        <v>6</v>
      </c>
      <c r="AC1672" t="n">
        <v>6</v>
      </c>
      <c r="AD1672" t="n">
        <v>33</v>
      </c>
      <c r="AE1672" t="n">
        <v>33</v>
      </c>
      <c r="AF1672" t="n">
        <v>14</v>
      </c>
      <c r="AG1672" t="n">
        <v>14</v>
      </c>
      <c r="AH1672" t="n">
        <v>4</v>
      </c>
      <c r="AI1672" t="n">
        <v>4</v>
      </c>
      <c r="AJ1672" t="n">
        <v>14</v>
      </c>
      <c r="AK1672" t="n">
        <v>14</v>
      </c>
      <c r="AL1672" t="n">
        <v>5</v>
      </c>
      <c r="AM1672" t="n">
        <v>5</v>
      </c>
      <c r="AN1672" t="n">
        <v>1</v>
      </c>
      <c r="AO1672" t="n">
        <v>1</v>
      </c>
      <c r="AP1672" t="inlineStr">
        <is>
          <t>Yes</t>
        </is>
      </c>
      <c r="AQ1672" t="inlineStr">
        <is>
          <t>No</t>
        </is>
      </c>
      <c r="AR1672">
        <f>HYPERLINK("http://catalog.hathitrust.org/Record/000468169","HathiTrust Record")</f>
        <v/>
      </c>
      <c r="AS1672">
        <f>HYPERLINK("https://creighton-primo.hosted.exlibrisgroup.com/primo-explore/search?tab=default_tab&amp;search_scope=EVERYTHING&amp;vid=01CRU&amp;lang=en_US&amp;offset=0&amp;query=any,contains,991002813609702656","Catalog Record")</f>
        <v/>
      </c>
      <c r="AT1672">
        <f>HYPERLINK("http://www.worldcat.org/oclc/456989","WorldCat Record")</f>
        <v/>
      </c>
      <c r="AU1672" t="inlineStr">
        <is>
          <t>890627529:eng</t>
        </is>
      </c>
      <c r="AV1672" t="inlineStr">
        <is>
          <t>456989</t>
        </is>
      </c>
      <c r="AW1672" t="inlineStr">
        <is>
          <t>991002813609702656</t>
        </is>
      </c>
      <c r="AX1672" t="inlineStr">
        <is>
          <t>991002813609702656</t>
        </is>
      </c>
      <c r="AY1672" t="inlineStr">
        <is>
          <t>2262986150002656</t>
        </is>
      </c>
      <c r="AZ1672" t="inlineStr">
        <is>
          <t>BOOK</t>
        </is>
      </c>
      <c r="BC1672" t="inlineStr">
        <is>
          <t>32285002025764</t>
        </is>
      </c>
      <c r="BD1672" t="inlineStr">
        <is>
          <t>893323412</t>
        </is>
      </c>
    </row>
    <row r="1673">
      <c r="A1673" t="inlineStr">
        <is>
          <t>No</t>
        </is>
      </c>
      <c r="B1673" t="inlineStr">
        <is>
          <t>E745.M3 G8 1974</t>
        </is>
      </c>
      <c r="C1673" t="inlineStr">
        <is>
          <t>0                      E  0745000M  3                  G  8           1974</t>
        </is>
      </c>
      <c r="D1673" t="inlineStr">
        <is>
          <t>The riddle of MacArthur : Japan, Korea, and the Far East.</t>
        </is>
      </c>
      <c r="F1673" t="inlineStr">
        <is>
          <t>No</t>
        </is>
      </c>
      <c r="G1673" t="inlineStr">
        <is>
          <t>1</t>
        </is>
      </c>
      <c r="H1673" t="inlineStr">
        <is>
          <t>No</t>
        </is>
      </c>
      <c r="I1673" t="inlineStr">
        <is>
          <t>No</t>
        </is>
      </c>
      <c r="J1673" t="inlineStr">
        <is>
          <t>0</t>
        </is>
      </c>
      <c r="K1673" t="inlineStr">
        <is>
          <t>Gunther, John, 1901-1970.</t>
        </is>
      </c>
      <c r="L1673" t="inlineStr">
        <is>
          <t>Westport, Conn. : Greenwood Press, [1974, c1951]</t>
        </is>
      </c>
      <c r="M1673" t="inlineStr">
        <is>
          <t>1974</t>
        </is>
      </c>
      <c r="O1673" t="inlineStr">
        <is>
          <t>eng</t>
        </is>
      </c>
      <c r="P1673" t="inlineStr">
        <is>
          <t>ctu</t>
        </is>
      </c>
      <c r="R1673" t="inlineStr">
        <is>
          <t xml:space="preserve">E  </t>
        </is>
      </c>
      <c r="S1673" t="n">
        <v>14</v>
      </c>
      <c r="T1673" t="n">
        <v>14</v>
      </c>
      <c r="U1673" t="inlineStr">
        <is>
          <t>2004-04-18</t>
        </is>
      </c>
      <c r="V1673" t="inlineStr">
        <is>
          <t>2004-04-18</t>
        </is>
      </c>
      <c r="W1673" t="inlineStr">
        <is>
          <t>1992-03-03</t>
        </is>
      </c>
      <c r="X1673" t="inlineStr">
        <is>
          <t>1992-03-03</t>
        </is>
      </c>
      <c r="Y1673" t="n">
        <v>101</v>
      </c>
      <c r="Z1673" t="n">
        <v>92</v>
      </c>
      <c r="AA1673" t="n">
        <v>1095</v>
      </c>
      <c r="AB1673" t="n">
        <v>1</v>
      </c>
      <c r="AC1673" t="n">
        <v>12</v>
      </c>
      <c r="AD1673" t="n">
        <v>4</v>
      </c>
      <c r="AE1673" t="n">
        <v>40</v>
      </c>
      <c r="AF1673" t="n">
        <v>1</v>
      </c>
      <c r="AG1673" t="n">
        <v>16</v>
      </c>
      <c r="AH1673" t="n">
        <v>4</v>
      </c>
      <c r="AI1673" t="n">
        <v>9</v>
      </c>
      <c r="AJ1673" t="n">
        <v>1</v>
      </c>
      <c r="AK1673" t="n">
        <v>14</v>
      </c>
      <c r="AL1673" t="n">
        <v>0</v>
      </c>
      <c r="AM1673" t="n">
        <v>8</v>
      </c>
      <c r="AN1673" t="n">
        <v>0</v>
      </c>
      <c r="AO1673" t="n">
        <v>0</v>
      </c>
      <c r="AP1673" t="inlineStr">
        <is>
          <t>No</t>
        </is>
      </c>
      <c r="AQ1673" t="inlineStr">
        <is>
          <t>No</t>
        </is>
      </c>
      <c r="AS1673">
        <f>HYPERLINK("https://creighton-primo.hosted.exlibrisgroup.com/primo-explore/search?tab=default_tab&amp;search_scope=EVERYTHING&amp;vid=01CRU&amp;lang=en_US&amp;offset=0&amp;query=any,contains,991003495339702656","Catalog Record")</f>
        <v/>
      </c>
      <c r="AT1673">
        <f>HYPERLINK("http://www.worldcat.org/oclc/1045972","WorldCat Record")</f>
        <v/>
      </c>
      <c r="AU1673" t="inlineStr">
        <is>
          <t>501120:eng</t>
        </is>
      </c>
      <c r="AV1673" t="inlineStr">
        <is>
          <t>1045972</t>
        </is>
      </c>
      <c r="AW1673" t="inlineStr">
        <is>
          <t>991003495339702656</t>
        </is>
      </c>
      <c r="AX1673" t="inlineStr">
        <is>
          <t>991003495339702656</t>
        </is>
      </c>
      <c r="AY1673" t="inlineStr">
        <is>
          <t>2268770050002656</t>
        </is>
      </c>
      <c r="AZ1673" t="inlineStr">
        <is>
          <t>BOOK</t>
        </is>
      </c>
      <c r="BB1673" t="inlineStr">
        <is>
          <t>9780837177014</t>
        </is>
      </c>
      <c r="BC1673" t="inlineStr">
        <is>
          <t>32285000990621</t>
        </is>
      </c>
      <c r="BD1673" t="inlineStr">
        <is>
          <t>893518524</t>
        </is>
      </c>
    </row>
    <row r="1674">
      <c r="A1674" t="inlineStr">
        <is>
          <t>No</t>
        </is>
      </c>
      <c r="B1674" t="inlineStr">
        <is>
          <t>E745.M3 H29 2006</t>
        </is>
      </c>
      <c r="C1674" t="inlineStr">
        <is>
          <t>0                      E  0745000M  3                  H  29          2006</t>
        </is>
      </c>
      <c r="D1674" t="inlineStr">
        <is>
          <t>American shogun : General MacArthur, Emperor Hirohito and the drama of modern Japan / Robert Harvey.</t>
        </is>
      </c>
      <c r="F1674" t="inlineStr">
        <is>
          <t>No</t>
        </is>
      </c>
      <c r="G1674" t="inlineStr">
        <is>
          <t>1</t>
        </is>
      </c>
      <c r="H1674" t="inlineStr">
        <is>
          <t>No</t>
        </is>
      </c>
      <c r="I1674" t="inlineStr">
        <is>
          <t>No</t>
        </is>
      </c>
      <c r="J1674" t="inlineStr">
        <is>
          <t>0</t>
        </is>
      </c>
      <c r="K1674" t="inlineStr">
        <is>
          <t>Harvey, Robert, 1953-</t>
        </is>
      </c>
      <c r="L1674" t="inlineStr">
        <is>
          <t>Woodstock, NY : Overlook Press, 2006.</t>
        </is>
      </c>
      <c r="M1674" t="inlineStr">
        <is>
          <t>2006</t>
        </is>
      </c>
      <c r="O1674" t="inlineStr">
        <is>
          <t>eng</t>
        </is>
      </c>
      <c r="P1674" t="inlineStr">
        <is>
          <t>nyu</t>
        </is>
      </c>
      <c r="R1674" t="inlineStr">
        <is>
          <t xml:space="preserve">E  </t>
        </is>
      </c>
      <c r="S1674" t="n">
        <v>4</v>
      </c>
      <c r="T1674" t="n">
        <v>4</v>
      </c>
      <c r="U1674" t="inlineStr">
        <is>
          <t>2010-09-22</t>
        </is>
      </c>
      <c r="V1674" t="inlineStr">
        <is>
          <t>2010-09-22</t>
        </is>
      </c>
      <c r="W1674" t="inlineStr">
        <is>
          <t>2008-04-21</t>
        </is>
      </c>
      <c r="X1674" t="inlineStr">
        <is>
          <t>2008-04-21</t>
        </is>
      </c>
      <c r="Y1674" t="n">
        <v>458</v>
      </c>
      <c r="Z1674" t="n">
        <v>427</v>
      </c>
      <c r="AA1674" t="n">
        <v>437</v>
      </c>
      <c r="AB1674" t="n">
        <v>3</v>
      </c>
      <c r="AC1674" t="n">
        <v>3</v>
      </c>
      <c r="AD1674" t="n">
        <v>12</v>
      </c>
      <c r="AE1674" t="n">
        <v>12</v>
      </c>
      <c r="AF1674" t="n">
        <v>5</v>
      </c>
      <c r="AG1674" t="n">
        <v>5</v>
      </c>
      <c r="AH1674" t="n">
        <v>4</v>
      </c>
      <c r="AI1674" t="n">
        <v>4</v>
      </c>
      <c r="AJ1674" t="n">
        <v>5</v>
      </c>
      <c r="AK1674" t="n">
        <v>5</v>
      </c>
      <c r="AL1674" t="n">
        <v>1</v>
      </c>
      <c r="AM1674" t="n">
        <v>1</v>
      </c>
      <c r="AN1674" t="n">
        <v>0</v>
      </c>
      <c r="AO1674" t="n">
        <v>0</v>
      </c>
      <c r="AP1674" t="inlineStr">
        <is>
          <t>No</t>
        </is>
      </c>
      <c r="AQ1674" t="inlineStr">
        <is>
          <t>No</t>
        </is>
      </c>
      <c r="AS1674">
        <f>HYPERLINK("https://creighton-primo.hosted.exlibrisgroup.com/primo-explore/search?tab=default_tab&amp;search_scope=EVERYTHING&amp;vid=01CRU&amp;lang=en_US&amp;offset=0&amp;query=any,contains,991005207679702656","Catalog Record")</f>
        <v/>
      </c>
      <c r="AT1674">
        <f>HYPERLINK("http://www.worldcat.org/oclc/62134797","WorldCat Record")</f>
        <v/>
      </c>
      <c r="AU1674" t="inlineStr">
        <is>
          <t>896865449:eng</t>
        </is>
      </c>
      <c r="AV1674" t="inlineStr">
        <is>
          <t>62134797</t>
        </is>
      </c>
      <c r="AW1674" t="inlineStr">
        <is>
          <t>991005207679702656</t>
        </is>
      </c>
      <c r="AX1674" t="inlineStr">
        <is>
          <t>991005207679702656</t>
        </is>
      </c>
      <c r="AY1674" t="inlineStr">
        <is>
          <t>2269495080002656</t>
        </is>
      </c>
      <c r="AZ1674" t="inlineStr">
        <is>
          <t>BOOK</t>
        </is>
      </c>
      <c r="BB1674" t="inlineStr">
        <is>
          <t>9781585676828</t>
        </is>
      </c>
      <c r="BC1674" t="inlineStr">
        <is>
          <t>32285005403802</t>
        </is>
      </c>
      <c r="BD1674" t="inlineStr">
        <is>
          <t>893707448</t>
        </is>
      </c>
    </row>
    <row r="1675">
      <c r="A1675" t="inlineStr">
        <is>
          <t>No</t>
        </is>
      </c>
      <c r="B1675" t="inlineStr">
        <is>
          <t>E745.M3 H8</t>
        </is>
      </c>
      <c r="C1675" t="inlineStr">
        <is>
          <t>0                      E  0745000M  3                  H  8</t>
        </is>
      </c>
      <c r="D1675" t="inlineStr">
        <is>
          <t>The untold story of Douglas MacArthur / Frazier Hunt.</t>
        </is>
      </c>
      <c r="F1675" t="inlineStr">
        <is>
          <t>No</t>
        </is>
      </c>
      <c r="G1675" t="inlineStr">
        <is>
          <t>1</t>
        </is>
      </c>
      <c r="H1675" t="inlineStr">
        <is>
          <t>No</t>
        </is>
      </c>
      <c r="I1675" t="inlineStr">
        <is>
          <t>No</t>
        </is>
      </c>
      <c r="J1675" t="inlineStr">
        <is>
          <t>0</t>
        </is>
      </c>
      <c r="K1675" t="inlineStr">
        <is>
          <t>Hunt, Frazier, 1885-1967.</t>
        </is>
      </c>
      <c r="L1675" t="inlineStr">
        <is>
          <t>New York : Devin-Adair Co., 1954.</t>
        </is>
      </c>
      <c r="M1675" t="inlineStr">
        <is>
          <t>1954</t>
        </is>
      </c>
      <c r="O1675" t="inlineStr">
        <is>
          <t>eng</t>
        </is>
      </c>
      <c r="P1675" t="inlineStr">
        <is>
          <t>nyu</t>
        </is>
      </c>
      <c r="R1675" t="inlineStr">
        <is>
          <t xml:space="preserve">E  </t>
        </is>
      </c>
      <c r="S1675" t="n">
        <v>15</v>
      </c>
      <c r="T1675" t="n">
        <v>15</v>
      </c>
      <c r="U1675" t="inlineStr">
        <is>
          <t>2004-04-18</t>
        </is>
      </c>
      <c r="V1675" t="inlineStr">
        <is>
          <t>2004-04-18</t>
        </is>
      </c>
      <c r="W1675" t="inlineStr">
        <is>
          <t>1990-08-02</t>
        </is>
      </c>
      <c r="X1675" t="inlineStr">
        <is>
          <t>1990-08-02</t>
        </is>
      </c>
      <c r="Y1675" t="n">
        <v>922</v>
      </c>
      <c r="Z1675" t="n">
        <v>870</v>
      </c>
      <c r="AA1675" t="n">
        <v>918</v>
      </c>
      <c r="AB1675" t="n">
        <v>9</v>
      </c>
      <c r="AC1675" t="n">
        <v>9</v>
      </c>
      <c r="AD1675" t="n">
        <v>36</v>
      </c>
      <c r="AE1675" t="n">
        <v>36</v>
      </c>
      <c r="AF1675" t="n">
        <v>15</v>
      </c>
      <c r="AG1675" t="n">
        <v>15</v>
      </c>
      <c r="AH1675" t="n">
        <v>6</v>
      </c>
      <c r="AI1675" t="n">
        <v>6</v>
      </c>
      <c r="AJ1675" t="n">
        <v>20</v>
      </c>
      <c r="AK1675" t="n">
        <v>20</v>
      </c>
      <c r="AL1675" t="n">
        <v>3</v>
      </c>
      <c r="AM1675" t="n">
        <v>3</v>
      </c>
      <c r="AN1675" t="n">
        <v>0</v>
      </c>
      <c r="AO1675" t="n">
        <v>0</v>
      </c>
      <c r="AP1675" t="inlineStr">
        <is>
          <t>No</t>
        </is>
      </c>
      <c r="AQ1675" t="inlineStr">
        <is>
          <t>Yes</t>
        </is>
      </c>
      <c r="AR1675">
        <f>HYPERLINK("http://catalog.hathitrust.org/Record/000468174","HathiTrust Record")</f>
        <v/>
      </c>
      <c r="AS1675">
        <f>HYPERLINK("https://creighton-primo.hosted.exlibrisgroup.com/primo-explore/search?tab=default_tab&amp;search_scope=EVERYTHING&amp;vid=01CRU&amp;lang=en_US&amp;offset=0&amp;query=any,contains,991002370089702656","Catalog Record")</f>
        <v/>
      </c>
      <c r="AT1675">
        <f>HYPERLINK("http://www.worldcat.org/oclc/326836","WorldCat Record")</f>
        <v/>
      </c>
      <c r="AU1675" t="inlineStr">
        <is>
          <t>1417607:eng</t>
        </is>
      </c>
      <c r="AV1675" t="inlineStr">
        <is>
          <t>326836</t>
        </is>
      </c>
      <c r="AW1675" t="inlineStr">
        <is>
          <t>991002370089702656</t>
        </is>
      </c>
      <c r="AX1675" t="inlineStr">
        <is>
          <t>991002370089702656</t>
        </is>
      </c>
      <c r="AY1675" t="inlineStr">
        <is>
          <t>2272016190002656</t>
        </is>
      </c>
      <c r="AZ1675" t="inlineStr">
        <is>
          <t>BOOK</t>
        </is>
      </c>
      <c r="BC1675" t="inlineStr">
        <is>
          <t>32285000263573</t>
        </is>
      </c>
      <c r="BD1675" t="inlineStr">
        <is>
          <t>893523528</t>
        </is>
      </c>
    </row>
    <row r="1676">
      <c r="A1676" t="inlineStr">
        <is>
          <t>No</t>
        </is>
      </c>
      <c r="B1676" t="inlineStr">
        <is>
          <t>E745.M3 J3</t>
        </is>
      </c>
      <c r="C1676" t="inlineStr">
        <is>
          <t>0                      E  0745000M  3                  J  3</t>
        </is>
      </c>
      <c r="D1676" t="inlineStr">
        <is>
          <t>The years of MacArthur / [by] D. Clayton James.</t>
        </is>
      </c>
      <c r="F1676" t="inlineStr">
        <is>
          <t>Yes</t>
        </is>
      </c>
      <c r="G1676" t="inlineStr">
        <is>
          <t>1</t>
        </is>
      </c>
      <c r="H1676" t="inlineStr">
        <is>
          <t>Yes</t>
        </is>
      </c>
      <c r="I1676" t="inlineStr">
        <is>
          <t>No</t>
        </is>
      </c>
      <c r="J1676" t="inlineStr">
        <is>
          <t>0</t>
        </is>
      </c>
      <c r="K1676" t="inlineStr">
        <is>
          <t>James, Dorris Clayton, 1931-</t>
        </is>
      </c>
      <c r="L1676" t="inlineStr">
        <is>
          <t>Boston : Houghton Mifflin, 1970-1985.</t>
        </is>
      </c>
      <c r="M1676" t="inlineStr">
        <is>
          <t>1970</t>
        </is>
      </c>
      <c r="O1676" t="inlineStr">
        <is>
          <t>eng</t>
        </is>
      </c>
      <c r="P1676" t="inlineStr">
        <is>
          <t>mau</t>
        </is>
      </c>
      <c r="R1676" t="inlineStr">
        <is>
          <t xml:space="preserve">E  </t>
        </is>
      </c>
      <c r="S1676" t="n">
        <v>7</v>
      </c>
      <c r="T1676" t="n">
        <v>22</v>
      </c>
      <c r="U1676" t="inlineStr">
        <is>
          <t>1999-04-11</t>
        </is>
      </c>
      <c r="V1676" t="inlineStr">
        <is>
          <t>2009-02-18</t>
        </is>
      </c>
      <c r="W1676" t="inlineStr">
        <is>
          <t>1991-05-28</t>
        </is>
      </c>
      <c r="X1676" t="inlineStr">
        <is>
          <t>1991-05-28</t>
        </is>
      </c>
      <c r="Y1676" t="n">
        <v>1744</v>
      </c>
      <c r="Z1676" t="n">
        <v>1629</v>
      </c>
      <c r="AA1676" t="n">
        <v>1686</v>
      </c>
      <c r="AB1676" t="n">
        <v>14</v>
      </c>
      <c r="AC1676" t="n">
        <v>14</v>
      </c>
      <c r="AD1676" t="n">
        <v>52</v>
      </c>
      <c r="AE1676" t="n">
        <v>53</v>
      </c>
      <c r="AF1676" t="n">
        <v>23</v>
      </c>
      <c r="AG1676" t="n">
        <v>24</v>
      </c>
      <c r="AH1676" t="n">
        <v>10</v>
      </c>
      <c r="AI1676" t="n">
        <v>10</v>
      </c>
      <c r="AJ1676" t="n">
        <v>23</v>
      </c>
      <c r="AK1676" t="n">
        <v>23</v>
      </c>
      <c r="AL1676" t="n">
        <v>9</v>
      </c>
      <c r="AM1676" t="n">
        <v>9</v>
      </c>
      <c r="AN1676" t="n">
        <v>0</v>
      </c>
      <c r="AO1676" t="n">
        <v>0</v>
      </c>
      <c r="AP1676" t="inlineStr">
        <is>
          <t>No</t>
        </is>
      </c>
      <c r="AQ1676" t="inlineStr">
        <is>
          <t>Yes</t>
        </is>
      </c>
      <c r="AR1676">
        <f>HYPERLINK("http://catalog.hathitrust.org/Record/000155791","HathiTrust Record")</f>
        <v/>
      </c>
      <c r="AS1676">
        <f>HYPERLINK("https://creighton-primo.hosted.exlibrisgroup.com/primo-explore/search?tab=default_tab&amp;search_scope=EVERYTHING&amp;vid=01CRU&amp;lang=en_US&amp;offset=0&amp;query=any,contains,991000521549702656","Catalog Record")</f>
        <v/>
      </c>
      <c r="AT1676">
        <f>HYPERLINK("http://www.worldcat.org/oclc/88071","WorldCat Record")</f>
        <v/>
      </c>
      <c r="AU1676" t="inlineStr">
        <is>
          <t>4820497389:eng</t>
        </is>
      </c>
      <c r="AV1676" t="inlineStr">
        <is>
          <t>88071</t>
        </is>
      </c>
      <c r="AW1676" t="inlineStr">
        <is>
          <t>991000521549702656</t>
        </is>
      </c>
      <c r="AX1676" t="inlineStr">
        <is>
          <t>991000521549702656</t>
        </is>
      </c>
      <c r="AY1676" t="inlineStr">
        <is>
          <t>2269451950002656</t>
        </is>
      </c>
      <c r="AZ1676" t="inlineStr">
        <is>
          <t>BOOK</t>
        </is>
      </c>
      <c r="BC1676" t="inlineStr">
        <is>
          <t>32285000612746</t>
        </is>
      </c>
      <c r="BD1676" t="inlineStr">
        <is>
          <t>893878109</t>
        </is>
      </c>
    </row>
    <row r="1677">
      <c r="A1677" t="inlineStr">
        <is>
          <t>No</t>
        </is>
      </c>
      <c r="B1677" t="inlineStr">
        <is>
          <t>E745.M3 P42 1996</t>
        </is>
      </c>
      <c r="C1677" t="inlineStr">
        <is>
          <t>0                      E  0745000M  3                  P  42          1996</t>
        </is>
      </c>
      <c r="D1677" t="inlineStr">
        <is>
          <t>Old soldiers never die : the life of Douglas MacArthur / Geoffrey Perret.</t>
        </is>
      </c>
      <c r="F1677" t="inlineStr">
        <is>
          <t>No</t>
        </is>
      </c>
      <c r="G1677" t="inlineStr">
        <is>
          <t>1</t>
        </is>
      </c>
      <c r="H1677" t="inlineStr">
        <is>
          <t>No</t>
        </is>
      </c>
      <c r="I1677" t="inlineStr">
        <is>
          <t>No</t>
        </is>
      </c>
      <c r="J1677" t="inlineStr">
        <is>
          <t>0</t>
        </is>
      </c>
      <c r="K1677" t="inlineStr">
        <is>
          <t>Perret, Geoffrey.</t>
        </is>
      </c>
      <c r="L1677" t="inlineStr">
        <is>
          <t>New York : Random House, c1996.</t>
        </is>
      </c>
      <c r="M1677" t="inlineStr">
        <is>
          <t>1996</t>
        </is>
      </c>
      <c r="N1677" t="inlineStr">
        <is>
          <t>1st ed.</t>
        </is>
      </c>
      <c r="O1677" t="inlineStr">
        <is>
          <t>eng</t>
        </is>
      </c>
      <c r="P1677" t="inlineStr">
        <is>
          <t>nyu</t>
        </is>
      </c>
      <c r="R1677" t="inlineStr">
        <is>
          <t xml:space="preserve">E  </t>
        </is>
      </c>
      <c r="S1677" t="n">
        <v>13</v>
      </c>
      <c r="T1677" t="n">
        <v>13</v>
      </c>
      <c r="U1677" t="inlineStr">
        <is>
          <t>2004-11-19</t>
        </is>
      </c>
      <c r="V1677" t="inlineStr">
        <is>
          <t>2004-11-19</t>
        </is>
      </c>
      <c r="W1677" t="inlineStr">
        <is>
          <t>1996-05-06</t>
        </is>
      </c>
      <c r="X1677" t="inlineStr">
        <is>
          <t>1996-05-06</t>
        </is>
      </c>
      <c r="Y1677" t="n">
        <v>1438</v>
      </c>
      <c r="Z1677" t="n">
        <v>1382</v>
      </c>
      <c r="AA1677" t="n">
        <v>1542</v>
      </c>
      <c r="AB1677" t="n">
        <v>14</v>
      </c>
      <c r="AC1677" t="n">
        <v>14</v>
      </c>
      <c r="AD1677" t="n">
        <v>38</v>
      </c>
      <c r="AE1677" t="n">
        <v>41</v>
      </c>
      <c r="AF1677" t="n">
        <v>15</v>
      </c>
      <c r="AG1677" t="n">
        <v>17</v>
      </c>
      <c r="AH1677" t="n">
        <v>9</v>
      </c>
      <c r="AI1677" t="n">
        <v>9</v>
      </c>
      <c r="AJ1677" t="n">
        <v>17</v>
      </c>
      <c r="AK1677" t="n">
        <v>19</v>
      </c>
      <c r="AL1677" t="n">
        <v>7</v>
      </c>
      <c r="AM1677" t="n">
        <v>7</v>
      </c>
      <c r="AN1677" t="n">
        <v>0</v>
      </c>
      <c r="AO1677" t="n">
        <v>0</v>
      </c>
      <c r="AP1677" t="inlineStr">
        <is>
          <t>No</t>
        </is>
      </c>
      <c r="AQ1677" t="inlineStr">
        <is>
          <t>Yes</t>
        </is>
      </c>
      <c r="AR1677">
        <f>HYPERLINK("http://catalog.hathitrust.org/Record/003061601","HathiTrust Record")</f>
        <v/>
      </c>
      <c r="AS1677">
        <f>HYPERLINK("https://creighton-primo.hosted.exlibrisgroup.com/primo-explore/search?tab=default_tab&amp;search_scope=EVERYTHING&amp;vid=01CRU&amp;lang=en_US&amp;offset=0&amp;query=any,contains,991002490129702656","Catalog Record")</f>
        <v/>
      </c>
      <c r="AT1677">
        <f>HYPERLINK("http://www.worldcat.org/oclc/32396366","WorldCat Record")</f>
        <v/>
      </c>
      <c r="AU1677" t="inlineStr">
        <is>
          <t>37089944:eng</t>
        </is>
      </c>
      <c r="AV1677" t="inlineStr">
        <is>
          <t>32396366</t>
        </is>
      </c>
      <c r="AW1677" t="inlineStr">
        <is>
          <t>991002490129702656</t>
        </is>
      </c>
      <c r="AX1677" t="inlineStr">
        <is>
          <t>991002490129702656</t>
        </is>
      </c>
      <c r="AY1677" t="inlineStr">
        <is>
          <t>2256495180002656</t>
        </is>
      </c>
      <c r="AZ1677" t="inlineStr">
        <is>
          <t>BOOK</t>
        </is>
      </c>
      <c r="BB1677" t="inlineStr">
        <is>
          <t>9780679428824</t>
        </is>
      </c>
      <c r="BC1677" t="inlineStr">
        <is>
          <t>32285002159878</t>
        </is>
      </c>
      <c r="BD1677" t="inlineStr">
        <is>
          <t>893697866</t>
        </is>
      </c>
    </row>
    <row r="1678">
      <c r="A1678" t="inlineStr">
        <is>
          <t>No</t>
        </is>
      </c>
      <c r="B1678" t="inlineStr">
        <is>
          <t>E745.M3 R6</t>
        </is>
      </c>
      <c r="C1678" t="inlineStr">
        <is>
          <t>0                      E  0745000M  3                  R  6</t>
        </is>
      </c>
      <c r="D1678" t="inlineStr">
        <is>
          <t>The general and the President, and the future of American foreign policy / by Richard H. Rovere &amp; Arthur M. Schlesinger, Jr.</t>
        </is>
      </c>
      <c r="F1678" t="inlineStr">
        <is>
          <t>No</t>
        </is>
      </c>
      <c r="G1678" t="inlineStr">
        <is>
          <t>1</t>
        </is>
      </c>
      <c r="H1678" t="inlineStr">
        <is>
          <t>No</t>
        </is>
      </c>
      <c r="I1678" t="inlineStr">
        <is>
          <t>No</t>
        </is>
      </c>
      <c r="J1678" t="inlineStr">
        <is>
          <t>0</t>
        </is>
      </c>
      <c r="K1678" t="inlineStr">
        <is>
          <t>Rovere, Richard H. (Richard Halworth), 1915-1979.</t>
        </is>
      </c>
      <c r="L1678" t="inlineStr">
        <is>
          <t>[New York] : Farrar, Straus and Young, [1951]</t>
        </is>
      </c>
      <c r="M1678" t="inlineStr">
        <is>
          <t>1951</t>
        </is>
      </c>
      <c r="O1678" t="inlineStr">
        <is>
          <t>eng</t>
        </is>
      </c>
      <c r="P1678" t="inlineStr">
        <is>
          <t>nyu</t>
        </is>
      </c>
      <c r="R1678" t="inlineStr">
        <is>
          <t xml:space="preserve">E  </t>
        </is>
      </c>
      <c r="S1678" t="n">
        <v>6</v>
      </c>
      <c r="T1678" t="n">
        <v>6</v>
      </c>
      <c r="U1678" t="inlineStr">
        <is>
          <t>1999-05-05</t>
        </is>
      </c>
      <c r="V1678" t="inlineStr">
        <is>
          <t>1999-05-05</t>
        </is>
      </c>
      <c r="W1678" t="inlineStr">
        <is>
          <t>1993-12-09</t>
        </is>
      </c>
      <c r="X1678" t="inlineStr">
        <is>
          <t>1993-12-09</t>
        </is>
      </c>
      <c r="Y1678" t="n">
        <v>583</v>
      </c>
      <c r="Z1678" t="n">
        <v>533</v>
      </c>
      <c r="AA1678" t="n">
        <v>545</v>
      </c>
      <c r="AB1678" t="n">
        <v>5</v>
      </c>
      <c r="AC1678" t="n">
        <v>5</v>
      </c>
      <c r="AD1678" t="n">
        <v>17</v>
      </c>
      <c r="AE1678" t="n">
        <v>17</v>
      </c>
      <c r="AF1678" t="n">
        <v>4</v>
      </c>
      <c r="AG1678" t="n">
        <v>4</v>
      </c>
      <c r="AH1678" t="n">
        <v>2</v>
      </c>
      <c r="AI1678" t="n">
        <v>2</v>
      </c>
      <c r="AJ1678" t="n">
        <v>9</v>
      </c>
      <c r="AK1678" t="n">
        <v>9</v>
      </c>
      <c r="AL1678" t="n">
        <v>3</v>
      </c>
      <c r="AM1678" t="n">
        <v>3</v>
      </c>
      <c r="AN1678" t="n">
        <v>2</v>
      </c>
      <c r="AO1678" t="n">
        <v>2</v>
      </c>
      <c r="AP1678" t="inlineStr">
        <is>
          <t>No</t>
        </is>
      </c>
      <c r="AQ1678" t="inlineStr">
        <is>
          <t>Yes</t>
        </is>
      </c>
      <c r="AR1678">
        <f>HYPERLINK("http://catalog.hathitrust.org/Record/000850641","HathiTrust Record")</f>
        <v/>
      </c>
      <c r="AS1678">
        <f>HYPERLINK("https://creighton-primo.hosted.exlibrisgroup.com/primo-explore/search?tab=default_tab&amp;search_scope=EVERYTHING&amp;vid=01CRU&amp;lang=en_US&amp;offset=0&amp;query=any,contains,991002011929702656","Catalog Record")</f>
        <v/>
      </c>
      <c r="AT1678">
        <f>HYPERLINK("http://www.worldcat.org/oclc/258896","WorldCat Record")</f>
        <v/>
      </c>
      <c r="AU1678" t="inlineStr">
        <is>
          <t>132742187:eng</t>
        </is>
      </c>
      <c r="AV1678" t="inlineStr">
        <is>
          <t>258896</t>
        </is>
      </c>
      <c r="AW1678" t="inlineStr">
        <is>
          <t>991002011929702656</t>
        </is>
      </c>
      <c r="AX1678" t="inlineStr">
        <is>
          <t>991002011929702656</t>
        </is>
      </c>
      <c r="AY1678" t="inlineStr">
        <is>
          <t>2271624820002656</t>
        </is>
      </c>
      <c r="AZ1678" t="inlineStr">
        <is>
          <t>BOOK</t>
        </is>
      </c>
      <c r="BC1678" t="inlineStr">
        <is>
          <t>32285001807428</t>
        </is>
      </c>
      <c r="BD1678" t="inlineStr">
        <is>
          <t>893433389</t>
        </is>
      </c>
    </row>
    <row r="1679">
      <c r="A1679" t="inlineStr">
        <is>
          <t>No</t>
        </is>
      </c>
      <c r="B1679" t="inlineStr">
        <is>
          <t>E745.M3 R6 1965</t>
        </is>
      </c>
      <c r="C1679" t="inlineStr">
        <is>
          <t>0                      E  0745000M  3                  R  6           1965</t>
        </is>
      </c>
      <c r="D1679" t="inlineStr">
        <is>
          <t>The MacArthur controversy and American foreign policy / [by] Richard H. Rovere and Arthur Schlesinger, Jr.</t>
        </is>
      </c>
      <c r="F1679" t="inlineStr">
        <is>
          <t>No</t>
        </is>
      </c>
      <c r="G1679" t="inlineStr">
        <is>
          <t>1</t>
        </is>
      </c>
      <c r="H1679" t="inlineStr">
        <is>
          <t>No</t>
        </is>
      </c>
      <c r="I1679" t="inlineStr">
        <is>
          <t>No</t>
        </is>
      </c>
      <c r="J1679" t="inlineStr">
        <is>
          <t>0</t>
        </is>
      </c>
      <c r="K1679" t="inlineStr">
        <is>
          <t>Rovere, Richard H. (Richard Halworth), 1915-1979.</t>
        </is>
      </c>
      <c r="L1679" t="inlineStr">
        <is>
          <t>New York : Farrar, Straus and Giroux, [1965]</t>
        </is>
      </c>
      <c r="M1679" t="inlineStr">
        <is>
          <t>1965</t>
        </is>
      </c>
      <c r="O1679" t="inlineStr">
        <is>
          <t>eng</t>
        </is>
      </c>
      <c r="P1679" t="inlineStr">
        <is>
          <t>nyu</t>
        </is>
      </c>
      <c r="R1679" t="inlineStr">
        <is>
          <t xml:space="preserve">E  </t>
        </is>
      </c>
      <c r="S1679" t="n">
        <v>5</v>
      </c>
      <c r="T1679" t="n">
        <v>5</v>
      </c>
      <c r="U1679" t="inlineStr">
        <is>
          <t>1997-07-07</t>
        </is>
      </c>
      <c r="V1679" t="inlineStr">
        <is>
          <t>1997-07-07</t>
        </is>
      </c>
      <c r="W1679" t="inlineStr">
        <is>
          <t>1990-10-02</t>
        </is>
      </c>
      <c r="X1679" t="inlineStr">
        <is>
          <t>1990-10-02</t>
        </is>
      </c>
      <c r="Y1679" t="n">
        <v>478</v>
      </c>
      <c r="Z1679" t="n">
        <v>436</v>
      </c>
      <c r="AA1679" t="n">
        <v>462</v>
      </c>
      <c r="AB1679" t="n">
        <v>6</v>
      </c>
      <c r="AC1679" t="n">
        <v>7</v>
      </c>
      <c r="AD1679" t="n">
        <v>20</v>
      </c>
      <c r="AE1679" t="n">
        <v>21</v>
      </c>
      <c r="AF1679" t="n">
        <v>5</v>
      </c>
      <c r="AG1679" t="n">
        <v>5</v>
      </c>
      <c r="AH1679" t="n">
        <v>3</v>
      </c>
      <c r="AI1679" t="n">
        <v>3</v>
      </c>
      <c r="AJ1679" t="n">
        <v>10</v>
      </c>
      <c r="AK1679" t="n">
        <v>10</v>
      </c>
      <c r="AL1679" t="n">
        <v>5</v>
      </c>
      <c r="AM1679" t="n">
        <v>6</v>
      </c>
      <c r="AN1679" t="n">
        <v>0</v>
      </c>
      <c r="AO1679" t="n">
        <v>0</v>
      </c>
      <c r="AP1679" t="inlineStr">
        <is>
          <t>No</t>
        </is>
      </c>
      <c r="AQ1679" t="inlineStr">
        <is>
          <t>Yes</t>
        </is>
      </c>
      <c r="AR1679">
        <f>HYPERLINK("http://catalog.hathitrust.org/Record/000470627","HathiTrust Record")</f>
        <v/>
      </c>
      <c r="AS1679">
        <f>HYPERLINK("https://creighton-primo.hosted.exlibrisgroup.com/primo-explore/search?tab=default_tab&amp;search_scope=EVERYTHING&amp;vid=01CRU&amp;lang=en_US&amp;offset=0&amp;query=any,contains,991003895239702656","Catalog Record")</f>
        <v/>
      </c>
      <c r="AT1679">
        <f>HYPERLINK("http://www.worldcat.org/oclc/1807604","WorldCat Record")</f>
        <v/>
      </c>
      <c r="AU1679" t="inlineStr">
        <is>
          <t>2564903063:eng</t>
        </is>
      </c>
      <c r="AV1679" t="inlineStr">
        <is>
          <t>1807604</t>
        </is>
      </c>
      <c r="AW1679" t="inlineStr">
        <is>
          <t>991003895239702656</t>
        </is>
      </c>
      <c r="AX1679" t="inlineStr">
        <is>
          <t>991003895239702656</t>
        </is>
      </c>
      <c r="AY1679" t="inlineStr">
        <is>
          <t>2271482930002656</t>
        </is>
      </c>
      <c r="AZ1679" t="inlineStr">
        <is>
          <t>BOOK</t>
        </is>
      </c>
      <c r="BC1679" t="inlineStr">
        <is>
          <t>32285000324631</t>
        </is>
      </c>
      <c r="BD1679" t="inlineStr">
        <is>
          <t>893775364</t>
        </is>
      </c>
    </row>
    <row r="1680">
      <c r="A1680" t="inlineStr">
        <is>
          <t>No</t>
        </is>
      </c>
      <c r="B1680" t="inlineStr">
        <is>
          <t>E745.M3 S26 1989</t>
        </is>
      </c>
      <c r="C1680" t="inlineStr">
        <is>
          <t>0                      E  0745000M  3                  S  26          1989</t>
        </is>
      </c>
      <c r="D1680" t="inlineStr">
        <is>
          <t>Douglas MacArthur : the Far Eastern general / Michael Schaller.</t>
        </is>
      </c>
      <c r="F1680" t="inlineStr">
        <is>
          <t>No</t>
        </is>
      </c>
      <c r="G1680" t="inlineStr">
        <is>
          <t>1</t>
        </is>
      </c>
      <c r="H1680" t="inlineStr">
        <is>
          <t>No</t>
        </is>
      </c>
      <c r="I1680" t="inlineStr">
        <is>
          <t>No</t>
        </is>
      </c>
      <c r="J1680" t="inlineStr">
        <is>
          <t>0</t>
        </is>
      </c>
      <c r="K1680" t="inlineStr">
        <is>
          <t>Schaller, Michael, 1947-</t>
        </is>
      </c>
      <c r="L1680" t="inlineStr">
        <is>
          <t>New York : Oxford University Press, 1989.</t>
        </is>
      </c>
      <c r="M1680" t="inlineStr">
        <is>
          <t>1989</t>
        </is>
      </c>
      <c r="O1680" t="inlineStr">
        <is>
          <t>eng</t>
        </is>
      </c>
      <c r="P1680" t="inlineStr">
        <is>
          <t>nyu</t>
        </is>
      </c>
      <c r="R1680" t="inlineStr">
        <is>
          <t xml:space="preserve">E  </t>
        </is>
      </c>
      <c r="S1680" t="n">
        <v>27</v>
      </c>
      <c r="T1680" t="n">
        <v>27</v>
      </c>
      <c r="U1680" t="inlineStr">
        <is>
          <t>2008-10-29</t>
        </is>
      </c>
      <c r="V1680" t="inlineStr">
        <is>
          <t>2008-10-29</t>
        </is>
      </c>
      <c r="W1680" t="inlineStr">
        <is>
          <t>1990-05-01</t>
        </is>
      </c>
      <c r="X1680" t="inlineStr">
        <is>
          <t>1990-05-01</t>
        </is>
      </c>
      <c r="Y1680" t="n">
        <v>1281</v>
      </c>
      <c r="Z1680" t="n">
        <v>1120</v>
      </c>
      <c r="AA1680" t="n">
        <v>1132</v>
      </c>
      <c r="AB1680" t="n">
        <v>8</v>
      </c>
      <c r="AC1680" t="n">
        <v>8</v>
      </c>
      <c r="AD1680" t="n">
        <v>36</v>
      </c>
      <c r="AE1680" t="n">
        <v>37</v>
      </c>
      <c r="AF1680" t="n">
        <v>14</v>
      </c>
      <c r="AG1680" t="n">
        <v>14</v>
      </c>
      <c r="AH1680" t="n">
        <v>7</v>
      </c>
      <c r="AI1680" t="n">
        <v>8</v>
      </c>
      <c r="AJ1680" t="n">
        <v>18</v>
      </c>
      <c r="AK1680" t="n">
        <v>18</v>
      </c>
      <c r="AL1680" t="n">
        <v>6</v>
      </c>
      <c r="AM1680" t="n">
        <v>6</v>
      </c>
      <c r="AN1680" t="n">
        <v>0</v>
      </c>
      <c r="AO1680" t="n">
        <v>0</v>
      </c>
      <c r="AP1680" t="inlineStr">
        <is>
          <t>No</t>
        </is>
      </c>
      <c r="AQ1680" t="inlineStr">
        <is>
          <t>Yes</t>
        </is>
      </c>
      <c r="AR1680">
        <f>HYPERLINK("http://catalog.hathitrust.org/Record/001290367","HathiTrust Record")</f>
        <v/>
      </c>
      <c r="AS1680">
        <f>HYPERLINK("https://creighton-primo.hosted.exlibrisgroup.com/primo-explore/search?tab=default_tab&amp;search_scope=EVERYTHING&amp;vid=01CRU&amp;lang=en_US&amp;offset=0&amp;query=any,contains,991001332429702656","Catalog Record")</f>
        <v/>
      </c>
      <c r="AT1680">
        <f>HYPERLINK("http://www.worldcat.org/oclc/18325485","WorldCat Record")</f>
        <v/>
      </c>
      <c r="AU1680" t="inlineStr">
        <is>
          <t>17622246:eng</t>
        </is>
      </c>
      <c r="AV1680" t="inlineStr">
        <is>
          <t>18325485</t>
        </is>
      </c>
      <c r="AW1680" t="inlineStr">
        <is>
          <t>991001332429702656</t>
        </is>
      </c>
      <c r="AX1680" t="inlineStr">
        <is>
          <t>991001332429702656</t>
        </is>
      </c>
      <c r="AY1680" t="inlineStr">
        <is>
          <t>2259260660002656</t>
        </is>
      </c>
      <c r="AZ1680" t="inlineStr">
        <is>
          <t>BOOK</t>
        </is>
      </c>
      <c r="BB1680" t="inlineStr">
        <is>
          <t>9780195038866</t>
        </is>
      </c>
      <c r="BC1680" t="inlineStr">
        <is>
          <t>32285000146125</t>
        </is>
      </c>
      <c r="BD1680" t="inlineStr">
        <is>
          <t>893885232</t>
        </is>
      </c>
    </row>
    <row r="1681">
      <c r="A1681" t="inlineStr">
        <is>
          <t>No</t>
        </is>
      </c>
      <c r="B1681" t="inlineStr">
        <is>
          <t>E745.M3 S57</t>
        </is>
      </c>
      <c r="C1681" t="inlineStr">
        <is>
          <t>0                      E  0745000M  3                  S  57</t>
        </is>
      </c>
      <c r="D1681" t="inlineStr">
        <is>
          <t>Macarthur in Korea : the naked emperor / Robert Smith.</t>
        </is>
      </c>
      <c r="F1681" t="inlineStr">
        <is>
          <t>No</t>
        </is>
      </c>
      <c r="G1681" t="inlineStr">
        <is>
          <t>1</t>
        </is>
      </c>
      <c r="H1681" t="inlineStr">
        <is>
          <t>No</t>
        </is>
      </c>
      <c r="I1681" t="inlineStr">
        <is>
          <t>No</t>
        </is>
      </c>
      <c r="J1681" t="inlineStr">
        <is>
          <t>0</t>
        </is>
      </c>
      <c r="K1681" t="inlineStr">
        <is>
          <t>Smith, Robert, 1905-</t>
        </is>
      </c>
      <c r="L1681" t="inlineStr">
        <is>
          <t>New York : Simon and Schuster, c1982.</t>
        </is>
      </c>
      <c r="M1681" t="inlineStr">
        <is>
          <t>1982</t>
        </is>
      </c>
      <c r="O1681" t="inlineStr">
        <is>
          <t>eng</t>
        </is>
      </c>
      <c r="P1681" t="inlineStr">
        <is>
          <t>nyu</t>
        </is>
      </c>
      <c r="R1681" t="inlineStr">
        <is>
          <t xml:space="preserve">E  </t>
        </is>
      </c>
      <c r="S1681" t="n">
        <v>10</v>
      </c>
      <c r="T1681" t="n">
        <v>10</v>
      </c>
      <c r="U1681" t="inlineStr">
        <is>
          <t>2004-04-18</t>
        </is>
      </c>
      <c r="V1681" t="inlineStr">
        <is>
          <t>2004-04-18</t>
        </is>
      </c>
      <c r="W1681" t="inlineStr">
        <is>
          <t>1991-05-28</t>
        </is>
      </c>
      <c r="X1681" t="inlineStr">
        <is>
          <t>1991-05-28</t>
        </is>
      </c>
      <c r="Y1681" t="n">
        <v>649</v>
      </c>
      <c r="Z1681" t="n">
        <v>605</v>
      </c>
      <c r="AA1681" t="n">
        <v>608</v>
      </c>
      <c r="AB1681" t="n">
        <v>3</v>
      </c>
      <c r="AC1681" t="n">
        <v>3</v>
      </c>
      <c r="AD1681" t="n">
        <v>15</v>
      </c>
      <c r="AE1681" t="n">
        <v>15</v>
      </c>
      <c r="AF1681" t="n">
        <v>7</v>
      </c>
      <c r="AG1681" t="n">
        <v>7</v>
      </c>
      <c r="AH1681" t="n">
        <v>4</v>
      </c>
      <c r="AI1681" t="n">
        <v>4</v>
      </c>
      <c r="AJ1681" t="n">
        <v>9</v>
      </c>
      <c r="AK1681" t="n">
        <v>9</v>
      </c>
      <c r="AL1681" t="n">
        <v>1</v>
      </c>
      <c r="AM1681" t="n">
        <v>1</v>
      </c>
      <c r="AN1681" t="n">
        <v>0</v>
      </c>
      <c r="AO1681" t="n">
        <v>0</v>
      </c>
      <c r="AP1681" t="inlineStr">
        <is>
          <t>No</t>
        </is>
      </c>
      <c r="AQ1681" t="inlineStr">
        <is>
          <t>Yes</t>
        </is>
      </c>
      <c r="AR1681">
        <f>HYPERLINK("http://catalog.hathitrust.org/Record/000227081","HathiTrust Record")</f>
        <v/>
      </c>
      <c r="AS1681">
        <f>HYPERLINK("https://creighton-primo.hosted.exlibrisgroup.com/primo-explore/search?tab=default_tab&amp;search_scope=EVERYTHING&amp;vid=01CRU&amp;lang=en_US&amp;offset=0&amp;query=any,contains,991005243879702656","Catalog Record")</f>
        <v/>
      </c>
      <c r="AT1681">
        <f>HYPERLINK("http://www.worldcat.org/oclc/7811933","WorldCat Record")</f>
        <v/>
      </c>
      <c r="AU1681" t="inlineStr">
        <is>
          <t>196744176:eng</t>
        </is>
      </c>
      <c r="AV1681" t="inlineStr">
        <is>
          <t>7811933</t>
        </is>
      </c>
      <c r="AW1681" t="inlineStr">
        <is>
          <t>991005243879702656</t>
        </is>
      </c>
      <c r="AX1681" t="inlineStr">
        <is>
          <t>991005243879702656</t>
        </is>
      </c>
      <c r="AY1681" t="inlineStr">
        <is>
          <t>2260727100002656</t>
        </is>
      </c>
      <c r="AZ1681" t="inlineStr">
        <is>
          <t>BOOK</t>
        </is>
      </c>
      <c r="BB1681" t="inlineStr">
        <is>
          <t>9780671240622</t>
        </is>
      </c>
      <c r="BC1681" t="inlineStr">
        <is>
          <t>32285000612787</t>
        </is>
      </c>
      <c r="BD1681" t="inlineStr">
        <is>
          <t>893877183</t>
        </is>
      </c>
    </row>
    <row r="1682">
      <c r="A1682" t="inlineStr">
        <is>
          <t>No</t>
        </is>
      </c>
      <c r="B1682" t="inlineStr">
        <is>
          <t>E745.M3 W48 1977</t>
        </is>
      </c>
      <c r="C1682" t="inlineStr">
        <is>
          <t>0                      E  0745000M  3                  W  48          1977</t>
        </is>
      </c>
      <c r="D1682" t="inlineStr">
        <is>
          <t>MacArthur : his rendezvous with history / by Courtney Whitney.</t>
        </is>
      </c>
      <c r="F1682" t="inlineStr">
        <is>
          <t>No</t>
        </is>
      </c>
      <c r="G1682" t="inlineStr">
        <is>
          <t>1</t>
        </is>
      </c>
      <c r="H1682" t="inlineStr">
        <is>
          <t>No</t>
        </is>
      </c>
      <c r="I1682" t="inlineStr">
        <is>
          <t>No</t>
        </is>
      </c>
      <c r="J1682" t="inlineStr">
        <is>
          <t>0</t>
        </is>
      </c>
      <c r="K1682" t="inlineStr">
        <is>
          <t>Whitney, Courtney.</t>
        </is>
      </c>
      <c r="L1682" t="inlineStr">
        <is>
          <t>Westport, Conn. : Greenwood Press, 1977, c1955.</t>
        </is>
      </c>
      <c r="M1682" t="inlineStr">
        <is>
          <t>1977</t>
        </is>
      </c>
      <c r="O1682" t="inlineStr">
        <is>
          <t>eng</t>
        </is>
      </c>
      <c r="P1682" t="inlineStr">
        <is>
          <t>ctu</t>
        </is>
      </c>
      <c r="R1682" t="inlineStr">
        <is>
          <t xml:space="preserve">E  </t>
        </is>
      </c>
      <c r="S1682" t="n">
        <v>12</v>
      </c>
      <c r="T1682" t="n">
        <v>12</v>
      </c>
      <c r="U1682" t="inlineStr">
        <is>
          <t>2001-03-13</t>
        </is>
      </c>
      <c r="V1682" t="inlineStr">
        <is>
          <t>2001-03-13</t>
        </is>
      </c>
      <c r="W1682" t="inlineStr">
        <is>
          <t>1993-12-01</t>
        </is>
      </c>
      <c r="X1682" t="inlineStr">
        <is>
          <t>1993-12-01</t>
        </is>
      </c>
      <c r="Y1682" t="n">
        <v>80</v>
      </c>
      <c r="Z1682" t="n">
        <v>65</v>
      </c>
      <c r="AA1682" t="n">
        <v>1206</v>
      </c>
      <c r="AB1682" t="n">
        <v>1</v>
      </c>
      <c r="AC1682" t="n">
        <v>17</v>
      </c>
      <c r="AD1682" t="n">
        <v>1</v>
      </c>
      <c r="AE1682" t="n">
        <v>42</v>
      </c>
      <c r="AF1682" t="n">
        <v>1</v>
      </c>
      <c r="AG1682" t="n">
        <v>20</v>
      </c>
      <c r="AH1682" t="n">
        <v>0</v>
      </c>
      <c r="AI1682" t="n">
        <v>8</v>
      </c>
      <c r="AJ1682" t="n">
        <v>0</v>
      </c>
      <c r="AK1682" t="n">
        <v>19</v>
      </c>
      <c r="AL1682" t="n">
        <v>0</v>
      </c>
      <c r="AM1682" t="n">
        <v>5</v>
      </c>
      <c r="AN1682" t="n">
        <v>0</v>
      </c>
      <c r="AO1682" t="n">
        <v>1</v>
      </c>
      <c r="AP1682" t="inlineStr">
        <is>
          <t>No</t>
        </is>
      </c>
      <c r="AQ1682" t="inlineStr">
        <is>
          <t>No</t>
        </is>
      </c>
      <c r="AS1682">
        <f>HYPERLINK("https://creighton-primo.hosted.exlibrisgroup.com/primo-explore/search?tab=default_tab&amp;search_scope=EVERYTHING&amp;vid=01CRU&amp;lang=en_US&amp;offset=0&amp;query=any,contains,991004253179702656","Catalog Record")</f>
        <v/>
      </c>
      <c r="AT1682">
        <f>HYPERLINK("http://www.worldcat.org/oclc/2818259","WorldCat Record")</f>
        <v/>
      </c>
      <c r="AU1682" t="inlineStr">
        <is>
          <t>502143:eng</t>
        </is>
      </c>
      <c r="AV1682" t="inlineStr">
        <is>
          <t>2818259</t>
        </is>
      </c>
      <c r="AW1682" t="inlineStr">
        <is>
          <t>991004253179702656</t>
        </is>
      </c>
      <c r="AX1682" t="inlineStr">
        <is>
          <t>991004253179702656</t>
        </is>
      </c>
      <c r="AY1682" t="inlineStr">
        <is>
          <t>2265198920002656</t>
        </is>
      </c>
      <c r="AZ1682" t="inlineStr">
        <is>
          <t>BOOK</t>
        </is>
      </c>
      <c r="BB1682" t="inlineStr">
        <is>
          <t>9780837195643</t>
        </is>
      </c>
      <c r="BC1682" t="inlineStr">
        <is>
          <t>32285001805349</t>
        </is>
      </c>
      <c r="BD1682" t="inlineStr">
        <is>
          <t>893429841</t>
        </is>
      </c>
    </row>
    <row r="1683">
      <c r="A1683" t="inlineStr">
        <is>
          <t>No</t>
        </is>
      </c>
      <c r="B1683" t="inlineStr">
        <is>
          <t>E745.M3 W55</t>
        </is>
      </c>
      <c r="C1683" t="inlineStr">
        <is>
          <t>0                      E  0745000M  3                  W  55</t>
        </is>
      </c>
      <c r="D1683" t="inlineStr">
        <is>
          <t>MacArthur / edited by Lawrence S. Wittner.</t>
        </is>
      </c>
      <c r="F1683" t="inlineStr">
        <is>
          <t>No</t>
        </is>
      </c>
      <c r="G1683" t="inlineStr">
        <is>
          <t>1</t>
        </is>
      </c>
      <c r="H1683" t="inlineStr">
        <is>
          <t>No</t>
        </is>
      </c>
      <c r="I1683" t="inlineStr">
        <is>
          <t>No</t>
        </is>
      </c>
      <c r="J1683" t="inlineStr">
        <is>
          <t>0</t>
        </is>
      </c>
      <c r="K1683" t="inlineStr">
        <is>
          <t>Wittner, Lawrence S. compiler.</t>
        </is>
      </c>
      <c r="L1683" t="inlineStr">
        <is>
          <t>Englewood Cliffs, N.J. : Prentice-Hall, [1971]</t>
        </is>
      </c>
      <c r="M1683" t="inlineStr">
        <is>
          <t>1971</t>
        </is>
      </c>
      <c r="O1683" t="inlineStr">
        <is>
          <t>eng</t>
        </is>
      </c>
      <c r="P1683" t="inlineStr">
        <is>
          <t>nju</t>
        </is>
      </c>
      <c r="Q1683" t="inlineStr">
        <is>
          <t>Great lives observed</t>
        </is>
      </c>
      <c r="R1683" t="inlineStr">
        <is>
          <t xml:space="preserve">E  </t>
        </is>
      </c>
      <c r="S1683" t="n">
        <v>30</v>
      </c>
      <c r="T1683" t="n">
        <v>30</v>
      </c>
      <c r="U1683" t="inlineStr">
        <is>
          <t>2009-04-14</t>
        </is>
      </c>
      <c r="V1683" t="inlineStr">
        <is>
          <t>2009-04-14</t>
        </is>
      </c>
      <c r="W1683" t="inlineStr">
        <is>
          <t>1991-05-28</t>
        </is>
      </c>
      <c r="X1683" t="inlineStr">
        <is>
          <t>1991-05-28</t>
        </is>
      </c>
      <c r="Y1683" t="n">
        <v>731</v>
      </c>
      <c r="Z1683" t="n">
        <v>676</v>
      </c>
      <c r="AA1683" t="n">
        <v>679</v>
      </c>
      <c r="AB1683" t="n">
        <v>9</v>
      </c>
      <c r="AC1683" t="n">
        <v>9</v>
      </c>
      <c r="AD1683" t="n">
        <v>25</v>
      </c>
      <c r="AE1683" t="n">
        <v>25</v>
      </c>
      <c r="AF1683" t="n">
        <v>8</v>
      </c>
      <c r="AG1683" t="n">
        <v>8</v>
      </c>
      <c r="AH1683" t="n">
        <v>4</v>
      </c>
      <c r="AI1683" t="n">
        <v>4</v>
      </c>
      <c r="AJ1683" t="n">
        <v>11</v>
      </c>
      <c r="AK1683" t="n">
        <v>11</v>
      </c>
      <c r="AL1683" t="n">
        <v>7</v>
      </c>
      <c r="AM1683" t="n">
        <v>7</v>
      </c>
      <c r="AN1683" t="n">
        <v>0</v>
      </c>
      <c r="AO1683" t="n">
        <v>0</v>
      </c>
      <c r="AP1683" t="inlineStr">
        <is>
          <t>No</t>
        </is>
      </c>
      <c r="AQ1683" t="inlineStr">
        <is>
          <t>Yes</t>
        </is>
      </c>
      <c r="AR1683">
        <f>HYPERLINK("http://catalog.hathitrust.org/Record/000467468","HathiTrust Record")</f>
        <v/>
      </c>
      <c r="AS1683">
        <f>HYPERLINK("https://creighton-primo.hosted.exlibrisgroup.com/primo-explore/search?tab=default_tab&amp;search_scope=EVERYTHING&amp;vid=01CRU&amp;lang=en_US&amp;offset=0&amp;query=any,contains,991001246329702656","Catalog Record")</f>
        <v/>
      </c>
      <c r="AT1683">
        <f>HYPERLINK("http://www.worldcat.org/oclc/208229","WorldCat Record")</f>
        <v/>
      </c>
      <c r="AU1683" t="inlineStr">
        <is>
          <t>1275928:eng</t>
        </is>
      </c>
      <c r="AV1683" t="inlineStr">
        <is>
          <t>208229</t>
        </is>
      </c>
      <c r="AW1683" t="inlineStr">
        <is>
          <t>991001246329702656</t>
        </is>
      </c>
      <c r="AX1683" t="inlineStr">
        <is>
          <t>991001246329702656</t>
        </is>
      </c>
      <c r="AY1683" t="inlineStr">
        <is>
          <t>2270249970002656</t>
        </is>
      </c>
      <c r="AZ1683" t="inlineStr">
        <is>
          <t>BOOK</t>
        </is>
      </c>
      <c r="BB1683" t="inlineStr">
        <is>
          <t>9780135414255</t>
        </is>
      </c>
      <c r="BC1683" t="inlineStr">
        <is>
          <t>32285000612795</t>
        </is>
      </c>
      <c r="BD1683" t="inlineStr">
        <is>
          <t>893784965</t>
        </is>
      </c>
    </row>
    <row r="1684">
      <c r="A1684" t="inlineStr">
        <is>
          <t>No</t>
        </is>
      </c>
      <c r="B1684" t="inlineStr">
        <is>
          <t>E745.M37 C73 1990</t>
        </is>
      </c>
      <c r="C1684" t="inlineStr">
        <is>
          <t>0                      E  0745000M  37                 C  73          1990</t>
        </is>
      </c>
      <c r="D1684" t="inlineStr">
        <is>
          <t>General of the Army : George C. Marshall, soldier and statesman / Ed Cray.</t>
        </is>
      </c>
      <c r="F1684" t="inlineStr">
        <is>
          <t>No</t>
        </is>
      </c>
      <c r="G1684" t="inlineStr">
        <is>
          <t>1</t>
        </is>
      </c>
      <c r="H1684" t="inlineStr">
        <is>
          <t>No</t>
        </is>
      </c>
      <c r="I1684" t="inlineStr">
        <is>
          <t>No</t>
        </is>
      </c>
      <c r="J1684" t="inlineStr">
        <is>
          <t>0</t>
        </is>
      </c>
      <c r="K1684" t="inlineStr">
        <is>
          <t>Cray, Ed.</t>
        </is>
      </c>
      <c r="L1684" t="inlineStr">
        <is>
          <t>New York : Norton, c1990.</t>
        </is>
      </c>
      <c r="M1684" t="inlineStr">
        <is>
          <t>1990</t>
        </is>
      </c>
      <c r="N1684" t="inlineStr">
        <is>
          <t>1st ed.</t>
        </is>
      </c>
      <c r="O1684" t="inlineStr">
        <is>
          <t>eng</t>
        </is>
      </c>
      <c r="P1684" t="inlineStr">
        <is>
          <t>nyu</t>
        </is>
      </c>
      <c r="R1684" t="inlineStr">
        <is>
          <t xml:space="preserve">E  </t>
        </is>
      </c>
      <c r="S1684" t="n">
        <v>13</v>
      </c>
      <c r="T1684" t="n">
        <v>13</v>
      </c>
      <c r="U1684" t="inlineStr">
        <is>
          <t>2004-11-22</t>
        </is>
      </c>
      <c r="V1684" t="inlineStr">
        <is>
          <t>2004-11-22</t>
        </is>
      </c>
      <c r="W1684" t="inlineStr">
        <is>
          <t>1991-07-25</t>
        </is>
      </c>
      <c r="X1684" t="inlineStr">
        <is>
          <t>1991-07-25</t>
        </is>
      </c>
      <c r="Y1684" t="n">
        <v>1193</v>
      </c>
      <c r="Z1684" t="n">
        <v>1115</v>
      </c>
      <c r="AA1684" t="n">
        <v>1372</v>
      </c>
      <c r="AB1684" t="n">
        <v>7</v>
      </c>
      <c r="AC1684" t="n">
        <v>7</v>
      </c>
      <c r="AD1684" t="n">
        <v>31</v>
      </c>
      <c r="AE1684" t="n">
        <v>36</v>
      </c>
      <c r="AF1684" t="n">
        <v>14</v>
      </c>
      <c r="AG1684" t="n">
        <v>17</v>
      </c>
      <c r="AH1684" t="n">
        <v>6</v>
      </c>
      <c r="AI1684" t="n">
        <v>8</v>
      </c>
      <c r="AJ1684" t="n">
        <v>14</v>
      </c>
      <c r="AK1684" t="n">
        <v>17</v>
      </c>
      <c r="AL1684" t="n">
        <v>5</v>
      </c>
      <c r="AM1684" t="n">
        <v>5</v>
      </c>
      <c r="AN1684" t="n">
        <v>0</v>
      </c>
      <c r="AO1684" t="n">
        <v>0</v>
      </c>
      <c r="AP1684" t="inlineStr">
        <is>
          <t>No</t>
        </is>
      </c>
      <c r="AQ1684" t="inlineStr">
        <is>
          <t>No</t>
        </is>
      </c>
      <c r="AS1684">
        <f>HYPERLINK("https://creighton-primo.hosted.exlibrisgroup.com/primo-explore/search?tab=default_tab&amp;search_scope=EVERYTHING&amp;vid=01CRU&amp;lang=en_US&amp;offset=0&amp;query=any,contains,991001501609702656","Catalog Record")</f>
        <v/>
      </c>
      <c r="AT1684">
        <f>HYPERLINK("http://www.worldcat.org/oclc/19810775","WorldCat Record")</f>
        <v/>
      </c>
      <c r="AU1684" t="inlineStr">
        <is>
          <t>907667:eng</t>
        </is>
      </c>
      <c r="AV1684" t="inlineStr">
        <is>
          <t>19810775</t>
        </is>
      </c>
      <c r="AW1684" t="inlineStr">
        <is>
          <t>991001501609702656</t>
        </is>
      </c>
      <c r="AX1684" t="inlineStr">
        <is>
          <t>991001501609702656</t>
        </is>
      </c>
      <c r="AY1684" t="inlineStr">
        <is>
          <t>2265777320002656</t>
        </is>
      </c>
      <c r="AZ1684" t="inlineStr">
        <is>
          <t>BOOK</t>
        </is>
      </c>
      <c r="BB1684" t="inlineStr">
        <is>
          <t>9780393027754</t>
        </is>
      </c>
      <c r="BC1684" t="inlineStr">
        <is>
          <t>32285000662147</t>
        </is>
      </c>
      <c r="BD1684" t="inlineStr">
        <is>
          <t>893878916</t>
        </is>
      </c>
    </row>
    <row r="1685">
      <c r="A1685" t="inlineStr">
        <is>
          <t>No</t>
        </is>
      </c>
      <c r="B1685" t="inlineStr">
        <is>
          <t>E745.M37 M2 1954</t>
        </is>
      </c>
      <c r="C1685" t="inlineStr">
        <is>
          <t>0                      E  0745000M  37                 M  2           1954</t>
        </is>
      </c>
      <c r="D1685" t="inlineStr">
        <is>
          <t>America's retreat from victory : the story of George Catlett Marshall / by Senator Joseph R. McCarthy.</t>
        </is>
      </c>
      <c r="F1685" t="inlineStr">
        <is>
          <t>No</t>
        </is>
      </c>
      <c r="G1685" t="inlineStr">
        <is>
          <t>1</t>
        </is>
      </c>
      <c r="H1685" t="inlineStr">
        <is>
          <t>No</t>
        </is>
      </c>
      <c r="I1685" t="inlineStr">
        <is>
          <t>No</t>
        </is>
      </c>
      <c r="J1685" t="inlineStr">
        <is>
          <t>0</t>
        </is>
      </c>
      <c r="K1685" t="inlineStr">
        <is>
          <t>McCarthy, Joseph, 1908-1957.</t>
        </is>
      </c>
      <c r="L1685" t="inlineStr">
        <is>
          <t>New York : Devin-Adair, 1954.</t>
        </is>
      </c>
      <c r="M1685" t="inlineStr">
        <is>
          <t>1954</t>
        </is>
      </c>
      <c r="O1685" t="inlineStr">
        <is>
          <t>eng</t>
        </is>
      </c>
      <c r="P1685" t="inlineStr">
        <is>
          <t>___</t>
        </is>
      </c>
      <c r="R1685" t="inlineStr">
        <is>
          <t xml:space="preserve">E  </t>
        </is>
      </c>
      <c r="S1685" t="n">
        <v>4</v>
      </c>
      <c r="T1685" t="n">
        <v>4</v>
      </c>
      <c r="U1685" t="inlineStr">
        <is>
          <t>2002-09-13</t>
        </is>
      </c>
      <c r="V1685" t="inlineStr">
        <is>
          <t>2002-09-13</t>
        </is>
      </c>
      <c r="W1685" t="inlineStr">
        <is>
          <t>1991-05-28</t>
        </is>
      </c>
      <c r="X1685" t="inlineStr">
        <is>
          <t>1991-05-28</t>
        </is>
      </c>
      <c r="Y1685" t="n">
        <v>84</v>
      </c>
      <c r="Z1685" t="n">
        <v>78</v>
      </c>
      <c r="AA1685" t="n">
        <v>760</v>
      </c>
      <c r="AB1685" t="n">
        <v>1</v>
      </c>
      <c r="AC1685" t="n">
        <v>3</v>
      </c>
      <c r="AD1685" t="n">
        <v>6</v>
      </c>
      <c r="AE1685" t="n">
        <v>34</v>
      </c>
      <c r="AF1685" t="n">
        <v>3</v>
      </c>
      <c r="AG1685" t="n">
        <v>17</v>
      </c>
      <c r="AH1685" t="n">
        <v>0</v>
      </c>
      <c r="AI1685" t="n">
        <v>7</v>
      </c>
      <c r="AJ1685" t="n">
        <v>5</v>
      </c>
      <c r="AK1685" t="n">
        <v>19</v>
      </c>
      <c r="AL1685" t="n">
        <v>0</v>
      </c>
      <c r="AM1685" t="n">
        <v>1</v>
      </c>
      <c r="AN1685" t="n">
        <v>0</v>
      </c>
      <c r="AO1685" t="n">
        <v>0</v>
      </c>
      <c r="AP1685" t="inlineStr">
        <is>
          <t>No</t>
        </is>
      </c>
      <c r="AQ1685" t="inlineStr">
        <is>
          <t>No</t>
        </is>
      </c>
      <c r="AS1685">
        <f>HYPERLINK("https://creighton-primo.hosted.exlibrisgroup.com/primo-explore/search?tab=default_tab&amp;search_scope=EVERYTHING&amp;vid=01CRU&amp;lang=en_US&amp;offset=0&amp;query=any,contains,991002642589702656","Catalog Record")</f>
        <v/>
      </c>
      <c r="AT1685">
        <f>HYPERLINK("http://www.worldcat.org/oclc/384866","WorldCat Record")</f>
        <v/>
      </c>
      <c r="AU1685" t="inlineStr">
        <is>
          <t>1505304:eng</t>
        </is>
      </c>
      <c r="AV1685" t="inlineStr">
        <is>
          <t>384866</t>
        </is>
      </c>
      <c r="AW1685" t="inlineStr">
        <is>
          <t>991002642589702656</t>
        </is>
      </c>
      <c r="AX1685" t="inlineStr">
        <is>
          <t>991002642589702656</t>
        </is>
      </c>
      <c r="AY1685" t="inlineStr">
        <is>
          <t>2258534910002656</t>
        </is>
      </c>
      <c r="AZ1685" t="inlineStr">
        <is>
          <t>BOOK</t>
        </is>
      </c>
      <c r="BC1685" t="inlineStr">
        <is>
          <t>32285000612811</t>
        </is>
      </c>
      <c r="BD1685" t="inlineStr">
        <is>
          <t>893773848</t>
        </is>
      </c>
    </row>
    <row r="1686">
      <c r="A1686" t="inlineStr">
        <is>
          <t>No</t>
        </is>
      </c>
      <c r="B1686" t="inlineStr">
        <is>
          <t>E745.M37 M67 1982</t>
        </is>
      </c>
      <c r="C1686" t="inlineStr">
        <is>
          <t>0                      E  0745000M  37                 M  67          1982</t>
        </is>
      </c>
      <c r="D1686" t="inlineStr">
        <is>
          <t>Marshall, hero for our times / Leonard Mosley.</t>
        </is>
      </c>
      <c r="F1686" t="inlineStr">
        <is>
          <t>No</t>
        </is>
      </c>
      <c r="G1686" t="inlineStr">
        <is>
          <t>1</t>
        </is>
      </c>
      <c r="H1686" t="inlineStr">
        <is>
          <t>No</t>
        </is>
      </c>
      <c r="I1686" t="inlineStr">
        <is>
          <t>No</t>
        </is>
      </c>
      <c r="J1686" t="inlineStr">
        <is>
          <t>0</t>
        </is>
      </c>
      <c r="K1686" t="inlineStr">
        <is>
          <t>Mosley, Leonard, 1913-1992.</t>
        </is>
      </c>
      <c r="L1686" t="inlineStr">
        <is>
          <t>New York : Hearst Books, c1982.</t>
        </is>
      </c>
      <c r="M1686" t="inlineStr">
        <is>
          <t>1982</t>
        </is>
      </c>
      <c r="O1686" t="inlineStr">
        <is>
          <t>eng</t>
        </is>
      </c>
      <c r="P1686" t="inlineStr">
        <is>
          <t>nyu</t>
        </is>
      </c>
      <c r="R1686" t="inlineStr">
        <is>
          <t xml:space="preserve">E  </t>
        </is>
      </c>
      <c r="S1686" t="n">
        <v>6</v>
      </c>
      <c r="T1686" t="n">
        <v>6</v>
      </c>
      <c r="U1686" t="inlineStr">
        <is>
          <t>2002-11-17</t>
        </is>
      </c>
      <c r="V1686" t="inlineStr">
        <is>
          <t>2002-11-17</t>
        </is>
      </c>
      <c r="W1686" t="inlineStr">
        <is>
          <t>1991-05-28</t>
        </is>
      </c>
      <c r="X1686" t="inlineStr">
        <is>
          <t>1991-05-28</t>
        </is>
      </c>
      <c r="Y1686" t="n">
        <v>1694</v>
      </c>
      <c r="Z1686" t="n">
        <v>1608</v>
      </c>
      <c r="AA1686" t="n">
        <v>1626</v>
      </c>
      <c r="AB1686" t="n">
        <v>9</v>
      </c>
      <c r="AC1686" t="n">
        <v>9</v>
      </c>
      <c r="AD1686" t="n">
        <v>36</v>
      </c>
      <c r="AE1686" t="n">
        <v>36</v>
      </c>
      <c r="AF1686" t="n">
        <v>17</v>
      </c>
      <c r="AG1686" t="n">
        <v>17</v>
      </c>
      <c r="AH1686" t="n">
        <v>7</v>
      </c>
      <c r="AI1686" t="n">
        <v>7</v>
      </c>
      <c r="AJ1686" t="n">
        <v>19</v>
      </c>
      <c r="AK1686" t="n">
        <v>19</v>
      </c>
      <c r="AL1686" t="n">
        <v>2</v>
      </c>
      <c r="AM1686" t="n">
        <v>2</v>
      </c>
      <c r="AN1686" t="n">
        <v>0</v>
      </c>
      <c r="AO1686" t="n">
        <v>0</v>
      </c>
      <c r="AP1686" t="inlineStr">
        <is>
          <t>No</t>
        </is>
      </c>
      <c r="AQ1686" t="inlineStr">
        <is>
          <t>Yes</t>
        </is>
      </c>
      <c r="AR1686">
        <f>HYPERLINK("http://catalog.hathitrust.org/Record/000108058","HathiTrust Record")</f>
        <v/>
      </c>
      <c r="AS1686">
        <f>HYPERLINK("https://creighton-primo.hosted.exlibrisgroup.com/primo-explore/search?tab=default_tab&amp;search_scope=EVERYTHING&amp;vid=01CRU&amp;lang=en_US&amp;offset=0&amp;query=any,contains,991005219489702656","Catalog Record")</f>
        <v/>
      </c>
      <c r="AT1686">
        <f>HYPERLINK("http://www.worldcat.org/oclc/8219365","WorldCat Record")</f>
        <v/>
      </c>
      <c r="AU1686" t="inlineStr">
        <is>
          <t>112258913:eng</t>
        </is>
      </c>
      <c r="AV1686" t="inlineStr">
        <is>
          <t>8219365</t>
        </is>
      </c>
      <c r="AW1686" t="inlineStr">
        <is>
          <t>991005219489702656</t>
        </is>
      </c>
      <c r="AX1686" t="inlineStr">
        <is>
          <t>991005219489702656</t>
        </is>
      </c>
      <c r="AY1686" t="inlineStr">
        <is>
          <t>2255156910002656</t>
        </is>
      </c>
      <c r="AZ1686" t="inlineStr">
        <is>
          <t>BOOK</t>
        </is>
      </c>
      <c r="BB1686" t="inlineStr">
        <is>
          <t>9780878513048</t>
        </is>
      </c>
      <c r="BC1686" t="inlineStr">
        <is>
          <t>32285000612829</t>
        </is>
      </c>
      <c r="BD1686" t="inlineStr">
        <is>
          <t>893520657</t>
        </is>
      </c>
    </row>
    <row r="1687">
      <c r="A1687" t="inlineStr">
        <is>
          <t>No</t>
        </is>
      </c>
      <c r="B1687" t="inlineStr">
        <is>
          <t>E745.M37 P6</t>
        </is>
      </c>
      <c r="C1687" t="inlineStr">
        <is>
          <t>0                      E  0745000M  37                 P  6</t>
        </is>
      </c>
      <c r="D1687" t="inlineStr">
        <is>
          <t>George C. Marshall / by Forrest C. Pogue. With the editorial assistance of Gordon Harrison. Foreword by Omar N. Bradley.</t>
        </is>
      </c>
      <c r="E1687" t="inlineStr">
        <is>
          <t>V.3</t>
        </is>
      </c>
      <c r="F1687" t="inlineStr">
        <is>
          <t>Yes</t>
        </is>
      </c>
      <c r="G1687" t="inlineStr">
        <is>
          <t>1</t>
        </is>
      </c>
      <c r="H1687" t="inlineStr">
        <is>
          <t>No</t>
        </is>
      </c>
      <c r="I1687" t="inlineStr">
        <is>
          <t>No</t>
        </is>
      </c>
      <c r="J1687" t="inlineStr">
        <is>
          <t>0</t>
        </is>
      </c>
      <c r="K1687" t="inlineStr">
        <is>
          <t>Pogue, Forrest C.</t>
        </is>
      </c>
      <c r="L1687" t="inlineStr">
        <is>
          <t>New York : Viking Press, 1963-1987.</t>
        </is>
      </c>
      <c r="M1687" t="inlineStr">
        <is>
          <t>1963</t>
        </is>
      </c>
      <c r="O1687" t="inlineStr">
        <is>
          <t>eng</t>
        </is>
      </c>
      <c r="P1687" t="inlineStr">
        <is>
          <t>nyu</t>
        </is>
      </c>
      <c r="R1687" t="inlineStr">
        <is>
          <t xml:space="preserve">E  </t>
        </is>
      </c>
      <c r="S1687" t="n">
        <v>2</v>
      </c>
      <c r="T1687" t="n">
        <v>10</v>
      </c>
      <c r="U1687" t="inlineStr">
        <is>
          <t>1994-06-10</t>
        </is>
      </c>
      <c r="V1687" t="inlineStr">
        <is>
          <t>2010-06-30</t>
        </is>
      </c>
      <c r="W1687" t="inlineStr">
        <is>
          <t>1991-05-28</t>
        </is>
      </c>
      <c r="X1687" t="inlineStr">
        <is>
          <t>1991-05-28</t>
        </is>
      </c>
      <c r="Y1687" t="n">
        <v>2154</v>
      </c>
      <c r="Z1687" t="n">
        <v>2049</v>
      </c>
      <c r="AA1687" t="n">
        <v>2112</v>
      </c>
      <c r="AB1687" t="n">
        <v>16</v>
      </c>
      <c r="AC1687" t="n">
        <v>16</v>
      </c>
      <c r="AD1687" t="n">
        <v>65</v>
      </c>
      <c r="AE1687" t="n">
        <v>65</v>
      </c>
      <c r="AF1687" t="n">
        <v>27</v>
      </c>
      <c r="AG1687" t="n">
        <v>27</v>
      </c>
      <c r="AH1687" t="n">
        <v>10</v>
      </c>
      <c r="AI1687" t="n">
        <v>10</v>
      </c>
      <c r="AJ1687" t="n">
        <v>25</v>
      </c>
      <c r="AK1687" t="n">
        <v>25</v>
      </c>
      <c r="AL1687" t="n">
        <v>15</v>
      </c>
      <c r="AM1687" t="n">
        <v>15</v>
      </c>
      <c r="AN1687" t="n">
        <v>1</v>
      </c>
      <c r="AO1687" t="n">
        <v>1</v>
      </c>
      <c r="AP1687" t="inlineStr">
        <is>
          <t>No</t>
        </is>
      </c>
      <c r="AQ1687" t="inlineStr">
        <is>
          <t>Yes</t>
        </is>
      </c>
      <c r="AR1687">
        <f>HYPERLINK("http://catalog.hathitrust.org/Record/000768424","HathiTrust Record")</f>
        <v/>
      </c>
      <c r="AS1687">
        <f>HYPERLINK("https://creighton-primo.hosted.exlibrisgroup.com/primo-explore/search?tab=default_tab&amp;search_scope=EVERYTHING&amp;vid=01CRU&amp;lang=en_US&amp;offset=0&amp;query=any,contains,991003104339702656","Catalog Record")</f>
        <v/>
      </c>
      <c r="AT1687">
        <f>HYPERLINK("http://www.worldcat.org/oclc/653179","WorldCat Record")</f>
        <v/>
      </c>
      <c r="AU1687" t="inlineStr">
        <is>
          <t>4926133968:eng</t>
        </is>
      </c>
      <c r="AV1687" t="inlineStr">
        <is>
          <t>653179</t>
        </is>
      </c>
      <c r="AW1687" t="inlineStr">
        <is>
          <t>991003104339702656</t>
        </is>
      </c>
      <c r="AX1687" t="inlineStr">
        <is>
          <t>991003104339702656</t>
        </is>
      </c>
      <c r="AY1687" t="inlineStr">
        <is>
          <t>2264179120002656</t>
        </is>
      </c>
      <c r="AZ1687" t="inlineStr">
        <is>
          <t>BOOK</t>
        </is>
      </c>
      <c r="BC1687" t="inlineStr">
        <is>
          <t>32285000612852</t>
        </is>
      </c>
      <c r="BD1687" t="inlineStr">
        <is>
          <t>893627458</t>
        </is>
      </c>
    </row>
    <row r="1688">
      <c r="A1688" t="inlineStr">
        <is>
          <t>No</t>
        </is>
      </c>
      <c r="B1688" t="inlineStr">
        <is>
          <t>E745.M37 S75 1989</t>
        </is>
      </c>
      <c r="C1688" t="inlineStr">
        <is>
          <t>0                      E  0745000M  37                 S  75          1989</t>
        </is>
      </c>
      <c r="D1688" t="inlineStr">
        <is>
          <t>George C. Marshall : soldier-statesman of the American century / Mark A. Stoler.</t>
        </is>
      </c>
      <c r="F1688" t="inlineStr">
        <is>
          <t>No</t>
        </is>
      </c>
      <c r="G1688" t="inlineStr">
        <is>
          <t>1</t>
        </is>
      </c>
      <c r="H1688" t="inlineStr">
        <is>
          <t>No</t>
        </is>
      </c>
      <c r="I1688" t="inlineStr">
        <is>
          <t>No</t>
        </is>
      </c>
      <c r="J1688" t="inlineStr">
        <is>
          <t>0</t>
        </is>
      </c>
      <c r="K1688" t="inlineStr">
        <is>
          <t>Stoler, Mark A.</t>
        </is>
      </c>
      <c r="L1688" t="inlineStr">
        <is>
          <t>Boston : Twayne Publishers, c1989.</t>
        </is>
      </c>
      <c r="M1688" t="inlineStr">
        <is>
          <t>1989</t>
        </is>
      </c>
      <c r="O1688" t="inlineStr">
        <is>
          <t>eng</t>
        </is>
      </c>
      <c r="P1688" t="inlineStr">
        <is>
          <t>mau</t>
        </is>
      </c>
      <c r="Q1688" t="inlineStr">
        <is>
          <t>Twayne's twentieth-century American biography series ; 10</t>
        </is>
      </c>
      <c r="R1688" t="inlineStr">
        <is>
          <t xml:space="preserve">E  </t>
        </is>
      </c>
      <c r="S1688" t="n">
        <v>11</v>
      </c>
      <c r="T1688" t="n">
        <v>11</v>
      </c>
      <c r="U1688" t="inlineStr">
        <is>
          <t>2002-11-17</t>
        </is>
      </c>
      <c r="V1688" t="inlineStr">
        <is>
          <t>2002-11-17</t>
        </is>
      </c>
      <c r="W1688" t="inlineStr">
        <is>
          <t>1989-10-24</t>
        </is>
      </c>
      <c r="X1688" t="inlineStr">
        <is>
          <t>1989-10-24</t>
        </is>
      </c>
      <c r="Y1688" t="n">
        <v>988</v>
      </c>
      <c r="Z1688" t="n">
        <v>906</v>
      </c>
      <c r="AA1688" t="n">
        <v>913</v>
      </c>
      <c r="AB1688" t="n">
        <v>3</v>
      </c>
      <c r="AC1688" t="n">
        <v>3</v>
      </c>
      <c r="AD1688" t="n">
        <v>33</v>
      </c>
      <c r="AE1688" t="n">
        <v>33</v>
      </c>
      <c r="AF1688" t="n">
        <v>14</v>
      </c>
      <c r="AG1688" t="n">
        <v>14</v>
      </c>
      <c r="AH1688" t="n">
        <v>7</v>
      </c>
      <c r="AI1688" t="n">
        <v>7</v>
      </c>
      <c r="AJ1688" t="n">
        <v>19</v>
      </c>
      <c r="AK1688" t="n">
        <v>19</v>
      </c>
      <c r="AL1688" t="n">
        <v>2</v>
      </c>
      <c r="AM1688" t="n">
        <v>2</v>
      </c>
      <c r="AN1688" t="n">
        <v>0</v>
      </c>
      <c r="AO1688" t="n">
        <v>0</v>
      </c>
      <c r="AP1688" t="inlineStr">
        <is>
          <t>No</t>
        </is>
      </c>
      <c r="AQ1688" t="inlineStr">
        <is>
          <t>No</t>
        </is>
      </c>
      <c r="AS1688">
        <f>HYPERLINK("https://creighton-primo.hosted.exlibrisgroup.com/primo-explore/search?tab=default_tab&amp;search_scope=EVERYTHING&amp;vid=01CRU&amp;lang=en_US&amp;offset=0&amp;query=any,contains,991001363829702656","Catalog Record")</f>
        <v/>
      </c>
      <c r="AT1688">
        <f>HYPERLINK("http://www.worldcat.org/oclc/18557053","WorldCat Record")</f>
        <v/>
      </c>
      <c r="AU1688" t="inlineStr">
        <is>
          <t>3943457387:eng</t>
        </is>
      </c>
      <c r="AV1688" t="inlineStr">
        <is>
          <t>18557053</t>
        </is>
      </c>
      <c r="AW1688" t="inlineStr">
        <is>
          <t>991001363829702656</t>
        </is>
      </c>
      <c r="AX1688" t="inlineStr">
        <is>
          <t>991001363829702656</t>
        </is>
      </c>
      <c r="AY1688" t="inlineStr">
        <is>
          <t>2264075190002656</t>
        </is>
      </c>
      <c r="AZ1688" t="inlineStr">
        <is>
          <t>BOOK</t>
        </is>
      </c>
      <c r="BB1688" t="inlineStr">
        <is>
          <t>9780805777857</t>
        </is>
      </c>
      <c r="BC1688" t="inlineStr">
        <is>
          <t>32285000010537</t>
        </is>
      </c>
      <c r="BD1688" t="inlineStr">
        <is>
          <t>893590225</t>
        </is>
      </c>
    </row>
    <row r="1689">
      <c r="A1689" t="inlineStr">
        <is>
          <t>No</t>
        </is>
      </c>
      <c r="B1689" t="inlineStr">
        <is>
          <t>E745.P3 A9</t>
        </is>
      </c>
      <c r="C1689" t="inlineStr">
        <is>
          <t>0                      E  0745000P  3                  A  9</t>
        </is>
      </c>
      <c r="D1689" t="inlineStr">
        <is>
          <t>Before the colors fade : a portrait of a soldier : George S. Patton, Jr. / by Fred Ayer, Jr. With a foreword by Omar N. Bradley.</t>
        </is>
      </c>
      <c r="F1689" t="inlineStr">
        <is>
          <t>No</t>
        </is>
      </c>
      <c r="G1689" t="inlineStr">
        <is>
          <t>1</t>
        </is>
      </c>
      <c r="H1689" t="inlineStr">
        <is>
          <t>No</t>
        </is>
      </c>
      <c r="I1689" t="inlineStr">
        <is>
          <t>No</t>
        </is>
      </c>
      <c r="J1689" t="inlineStr">
        <is>
          <t>0</t>
        </is>
      </c>
      <c r="K1689" t="inlineStr">
        <is>
          <t>Ayer, Frederick, 1917-1974.</t>
        </is>
      </c>
      <c r="L1689" t="inlineStr">
        <is>
          <t>Boston : Houghton Mifflin, 1964.</t>
        </is>
      </c>
      <c r="M1689" t="inlineStr">
        <is>
          <t>1964</t>
        </is>
      </c>
      <c r="O1689" t="inlineStr">
        <is>
          <t>eng</t>
        </is>
      </c>
      <c r="P1689" t="inlineStr">
        <is>
          <t>mau</t>
        </is>
      </c>
      <c r="R1689" t="inlineStr">
        <is>
          <t xml:space="preserve">E  </t>
        </is>
      </c>
      <c r="S1689" t="n">
        <v>16</v>
      </c>
      <c r="T1689" t="n">
        <v>16</v>
      </c>
      <c r="U1689" t="inlineStr">
        <is>
          <t>2004-09-28</t>
        </is>
      </c>
      <c r="V1689" t="inlineStr">
        <is>
          <t>2004-09-28</t>
        </is>
      </c>
      <c r="W1689" t="inlineStr">
        <is>
          <t>1992-12-10</t>
        </is>
      </c>
      <c r="X1689" t="inlineStr">
        <is>
          <t>1992-12-10</t>
        </is>
      </c>
      <c r="Y1689" t="n">
        <v>803</v>
      </c>
      <c r="Z1689" t="n">
        <v>786</v>
      </c>
      <c r="AA1689" t="n">
        <v>878</v>
      </c>
      <c r="AB1689" t="n">
        <v>8</v>
      </c>
      <c r="AC1689" t="n">
        <v>8</v>
      </c>
      <c r="AD1689" t="n">
        <v>19</v>
      </c>
      <c r="AE1689" t="n">
        <v>21</v>
      </c>
      <c r="AF1689" t="n">
        <v>6</v>
      </c>
      <c r="AG1689" t="n">
        <v>6</v>
      </c>
      <c r="AH1689" t="n">
        <v>4</v>
      </c>
      <c r="AI1689" t="n">
        <v>6</v>
      </c>
      <c r="AJ1689" t="n">
        <v>10</v>
      </c>
      <c r="AK1689" t="n">
        <v>11</v>
      </c>
      <c r="AL1689" t="n">
        <v>4</v>
      </c>
      <c r="AM1689" t="n">
        <v>4</v>
      </c>
      <c r="AN1689" t="n">
        <v>1</v>
      </c>
      <c r="AO1689" t="n">
        <v>1</v>
      </c>
      <c r="AP1689" t="inlineStr">
        <is>
          <t>No</t>
        </is>
      </c>
      <c r="AQ1689" t="inlineStr">
        <is>
          <t>Yes</t>
        </is>
      </c>
      <c r="AR1689">
        <f>HYPERLINK("http://catalog.hathitrust.org/Record/000467481","HathiTrust Record")</f>
        <v/>
      </c>
      <c r="AS1689">
        <f>HYPERLINK("https://creighton-primo.hosted.exlibrisgroup.com/primo-explore/search?tab=default_tab&amp;search_scope=EVERYTHING&amp;vid=01CRU&amp;lang=en_US&amp;offset=0&amp;query=any,contains,991002684859702656","Catalog Record")</f>
        <v/>
      </c>
      <c r="AT1689">
        <f>HYPERLINK("http://www.worldcat.org/oclc/399591","WorldCat Record")</f>
        <v/>
      </c>
      <c r="AU1689" t="inlineStr">
        <is>
          <t>198830595:eng</t>
        </is>
      </c>
      <c r="AV1689" t="inlineStr">
        <is>
          <t>399591</t>
        </is>
      </c>
      <c r="AW1689" t="inlineStr">
        <is>
          <t>991002684859702656</t>
        </is>
      </c>
      <c r="AX1689" t="inlineStr">
        <is>
          <t>991002684859702656</t>
        </is>
      </c>
      <c r="AY1689" t="inlineStr">
        <is>
          <t>2257821160002656</t>
        </is>
      </c>
      <c r="AZ1689" t="inlineStr">
        <is>
          <t>BOOK</t>
        </is>
      </c>
      <c r="BC1689" t="inlineStr">
        <is>
          <t>32285001440402</t>
        </is>
      </c>
      <c r="BD1689" t="inlineStr">
        <is>
          <t>893804888</t>
        </is>
      </c>
    </row>
    <row r="1690">
      <c r="A1690" t="inlineStr">
        <is>
          <t>No</t>
        </is>
      </c>
      <c r="B1690" t="inlineStr">
        <is>
          <t>E745.P3 F28</t>
        </is>
      </c>
      <c r="C1690" t="inlineStr">
        <is>
          <t>0                      E  0745000P  3                  F  28</t>
        </is>
      </c>
      <c r="D1690" t="inlineStr">
        <is>
          <t>The last days of Patton / Ladislas Farago.</t>
        </is>
      </c>
      <c r="F1690" t="inlineStr">
        <is>
          <t>No</t>
        </is>
      </c>
      <c r="G1690" t="inlineStr">
        <is>
          <t>1</t>
        </is>
      </c>
      <c r="H1690" t="inlineStr">
        <is>
          <t>No</t>
        </is>
      </c>
      <c r="I1690" t="inlineStr">
        <is>
          <t>No</t>
        </is>
      </c>
      <c r="J1690" t="inlineStr">
        <is>
          <t>0</t>
        </is>
      </c>
      <c r="K1690" t="inlineStr">
        <is>
          <t>Farago, Ladislas.</t>
        </is>
      </c>
      <c r="L1690" t="inlineStr">
        <is>
          <t>New York : McGraw-Hill, c1981.</t>
        </is>
      </c>
      <c r="M1690" t="inlineStr">
        <is>
          <t>1981</t>
        </is>
      </c>
      <c r="O1690" t="inlineStr">
        <is>
          <t>eng</t>
        </is>
      </c>
      <c r="P1690" t="inlineStr">
        <is>
          <t>nyu</t>
        </is>
      </c>
      <c r="R1690" t="inlineStr">
        <is>
          <t xml:space="preserve">E  </t>
        </is>
      </c>
      <c r="S1690" t="n">
        <v>15</v>
      </c>
      <c r="T1690" t="n">
        <v>15</v>
      </c>
      <c r="U1690" t="inlineStr">
        <is>
          <t>2002-04-17</t>
        </is>
      </c>
      <c r="V1690" t="inlineStr">
        <is>
          <t>2002-04-17</t>
        </is>
      </c>
      <c r="W1690" t="inlineStr">
        <is>
          <t>1990-03-21</t>
        </is>
      </c>
      <c r="X1690" t="inlineStr">
        <is>
          <t>1990-03-21</t>
        </is>
      </c>
      <c r="Y1690" t="n">
        <v>1406</v>
      </c>
      <c r="Z1690" t="n">
        <v>1348</v>
      </c>
      <c r="AA1690" t="n">
        <v>1440</v>
      </c>
      <c r="AB1690" t="n">
        <v>11</v>
      </c>
      <c r="AC1690" t="n">
        <v>12</v>
      </c>
      <c r="AD1690" t="n">
        <v>18</v>
      </c>
      <c r="AE1690" t="n">
        <v>20</v>
      </c>
      <c r="AF1690" t="n">
        <v>8</v>
      </c>
      <c r="AG1690" t="n">
        <v>10</v>
      </c>
      <c r="AH1690" t="n">
        <v>1</v>
      </c>
      <c r="AI1690" t="n">
        <v>1</v>
      </c>
      <c r="AJ1690" t="n">
        <v>11</v>
      </c>
      <c r="AK1690" t="n">
        <v>12</v>
      </c>
      <c r="AL1690" t="n">
        <v>3</v>
      </c>
      <c r="AM1690" t="n">
        <v>3</v>
      </c>
      <c r="AN1690" t="n">
        <v>0</v>
      </c>
      <c r="AO1690" t="n">
        <v>0</v>
      </c>
      <c r="AP1690" t="inlineStr">
        <is>
          <t>No</t>
        </is>
      </c>
      <c r="AQ1690" t="inlineStr">
        <is>
          <t>Yes</t>
        </is>
      </c>
      <c r="AR1690">
        <f>HYPERLINK("http://catalog.hathitrust.org/Record/000087162","HathiTrust Record")</f>
        <v/>
      </c>
      <c r="AS1690">
        <f>HYPERLINK("https://creighton-primo.hosted.exlibrisgroup.com/primo-explore/search?tab=default_tab&amp;search_scope=EVERYTHING&amp;vid=01CRU&amp;lang=en_US&amp;offset=0&amp;query=any,contains,991005040259702656","Catalog Record")</f>
        <v/>
      </c>
      <c r="AT1690">
        <f>HYPERLINK("http://www.worldcat.org/oclc/6789920","WorldCat Record")</f>
        <v/>
      </c>
      <c r="AU1690" t="inlineStr">
        <is>
          <t>405228:eng</t>
        </is>
      </c>
      <c r="AV1690" t="inlineStr">
        <is>
          <t>6789920</t>
        </is>
      </c>
      <c r="AW1690" t="inlineStr">
        <is>
          <t>991005040259702656</t>
        </is>
      </c>
      <c r="AX1690" t="inlineStr">
        <is>
          <t>991005040259702656</t>
        </is>
      </c>
      <c r="AY1690" t="inlineStr">
        <is>
          <t>2263767770002656</t>
        </is>
      </c>
      <c r="AZ1690" t="inlineStr">
        <is>
          <t>BOOK</t>
        </is>
      </c>
      <c r="BC1690" t="inlineStr">
        <is>
          <t>32285000089671</t>
        </is>
      </c>
      <c r="BD1690" t="inlineStr">
        <is>
          <t>893713351</t>
        </is>
      </c>
    </row>
    <row r="1691">
      <c r="A1691" t="inlineStr">
        <is>
          <t>No</t>
        </is>
      </c>
      <c r="B1691" t="inlineStr">
        <is>
          <t>E746 .R327</t>
        </is>
      </c>
      <c r="C1691" t="inlineStr">
        <is>
          <t>0                      E  0746000R  327</t>
        </is>
      </c>
      <c r="D1691" t="inlineStr">
        <is>
          <t>From Pearl Harbor to Vietnam : the memoirs of Admiral Arthur W. Radford / edited by Stephen Jurika, Jr. ; foreword by George W. Anderson, Jr.</t>
        </is>
      </c>
      <c r="F1691" t="inlineStr">
        <is>
          <t>No</t>
        </is>
      </c>
      <c r="G1691" t="inlineStr">
        <is>
          <t>1</t>
        </is>
      </c>
      <c r="H1691" t="inlineStr">
        <is>
          <t>No</t>
        </is>
      </c>
      <c r="I1691" t="inlineStr">
        <is>
          <t>No</t>
        </is>
      </c>
      <c r="J1691" t="inlineStr">
        <is>
          <t>0</t>
        </is>
      </c>
      <c r="K1691" t="inlineStr">
        <is>
          <t>Radford, Arthur William, 1896-</t>
        </is>
      </c>
      <c r="L1691" t="inlineStr">
        <is>
          <t>Stanford, Calif. : Hoover Institution Press, c1980.</t>
        </is>
      </c>
      <c r="M1691" t="inlineStr">
        <is>
          <t>1980</t>
        </is>
      </c>
      <c r="O1691" t="inlineStr">
        <is>
          <t>eng</t>
        </is>
      </c>
      <c r="P1691" t="inlineStr">
        <is>
          <t>cau</t>
        </is>
      </c>
      <c r="Q1691" t="inlineStr">
        <is>
          <t>Hoover Institute publication ; 221</t>
        </is>
      </c>
      <c r="R1691" t="inlineStr">
        <is>
          <t xml:space="preserve">E  </t>
        </is>
      </c>
      <c r="S1691" t="n">
        <v>2</v>
      </c>
      <c r="T1691" t="n">
        <v>2</v>
      </c>
      <c r="U1691" t="inlineStr">
        <is>
          <t>1997-04-03</t>
        </is>
      </c>
      <c r="V1691" t="inlineStr">
        <is>
          <t>1997-04-03</t>
        </is>
      </c>
      <c r="W1691" t="inlineStr">
        <is>
          <t>1991-05-28</t>
        </is>
      </c>
      <c r="X1691" t="inlineStr">
        <is>
          <t>1991-05-28</t>
        </is>
      </c>
      <c r="Y1691" t="n">
        <v>495</v>
      </c>
      <c r="Z1691" t="n">
        <v>424</v>
      </c>
      <c r="AA1691" t="n">
        <v>430</v>
      </c>
      <c r="AB1691" t="n">
        <v>3</v>
      </c>
      <c r="AC1691" t="n">
        <v>3</v>
      </c>
      <c r="AD1691" t="n">
        <v>21</v>
      </c>
      <c r="AE1691" t="n">
        <v>21</v>
      </c>
      <c r="AF1691" t="n">
        <v>9</v>
      </c>
      <c r="AG1691" t="n">
        <v>9</v>
      </c>
      <c r="AH1691" t="n">
        <v>5</v>
      </c>
      <c r="AI1691" t="n">
        <v>5</v>
      </c>
      <c r="AJ1691" t="n">
        <v>12</v>
      </c>
      <c r="AK1691" t="n">
        <v>12</v>
      </c>
      <c r="AL1691" t="n">
        <v>2</v>
      </c>
      <c r="AM1691" t="n">
        <v>2</v>
      </c>
      <c r="AN1691" t="n">
        <v>0</v>
      </c>
      <c r="AO1691" t="n">
        <v>0</v>
      </c>
      <c r="AP1691" t="inlineStr">
        <is>
          <t>No</t>
        </is>
      </c>
      <c r="AQ1691" t="inlineStr">
        <is>
          <t>Yes</t>
        </is>
      </c>
      <c r="AR1691">
        <f>HYPERLINK("http://catalog.hathitrust.org/Record/000689222","HathiTrust Record")</f>
        <v/>
      </c>
      <c r="AS1691">
        <f>HYPERLINK("https://creighton-primo.hosted.exlibrisgroup.com/primo-explore/search?tab=default_tab&amp;search_scope=EVERYTHING&amp;vid=01CRU&amp;lang=en_US&amp;offset=0&amp;query=any,contains,991004977229702656","Catalog Record")</f>
        <v/>
      </c>
      <c r="AT1691">
        <f>HYPERLINK("http://www.worldcat.org/oclc/6402257","WorldCat Record")</f>
        <v/>
      </c>
      <c r="AU1691" t="inlineStr">
        <is>
          <t>298177604:eng</t>
        </is>
      </c>
      <c r="AV1691" t="inlineStr">
        <is>
          <t>6402257</t>
        </is>
      </c>
      <c r="AW1691" t="inlineStr">
        <is>
          <t>991004977229702656</t>
        </is>
      </c>
      <c r="AX1691" t="inlineStr">
        <is>
          <t>991004977229702656</t>
        </is>
      </c>
      <c r="AY1691" t="inlineStr">
        <is>
          <t>2264985740002656</t>
        </is>
      </c>
      <c r="AZ1691" t="inlineStr">
        <is>
          <t>BOOK</t>
        </is>
      </c>
      <c r="BB1691" t="inlineStr">
        <is>
          <t>9780817972110</t>
        </is>
      </c>
      <c r="BC1691" t="inlineStr">
        <is>
          <t>32285000612886</t>
        </is>
      </c>
      <c r="BD1691" t="inlineStr">
        <is>
          <t>893700879</t>
        </is>
      </c>
    </row>
    <row r="1692">
      <c r="A1692" t="inlineStr">
        <is>
          <t>No</t>
        </is>
      </c>
      <c r="B1692" t="inlineStr">
        <is>
          <t>E746.H3 A3</t>
        </is>
      </c>
      <c r="C1692" t="inlineStr">
        <is>
          <t>0                      E  0746000H  3                  A  3</t>
        </is>
      </c>
      <c r="D1692" t="inlineStr">
        <is>
          <t>Admiral Halsey's story / [by] Fleet Admiral William F. Halsey and Lieutenant Commander J. Bryan III.</t>
        </is>
      </c>
      <c r="F1692" t="inlineStr">
        <is>
          <t>No</t>
        </is>
      </c>
      <c r="G1692" t="inlineStr">
        <is>
          <t>1</t>
        </is>
      </c>
      <c r="H1692" t="inlineStr">
        <is>
          <t>No</t>
        </is>
      </c>
      <c r="I1692" t="inlineStr">
        <is>
          <t>No</t>
        </is>
      </c>
      <c r="J1692" t="inlineStr">
        <is>
          <t>0</t>
        </is>
      </c>
      <c r="K1692" t="inlineStr">
        <is>
          <t>Halsey, William F. (William Frederick), 1882-1959.</t>
        </is>
      </c>
      <c r="L1692" t="inlineStr">
        <is>
          <t>New York : Whittlesey House, [1947]</t>
        </is>
      </c>
      <c r="M1692" t="inlineStr">
        <is>
          <t>1947</t>
        </is>
      </c>
      <c r="O1692" t="inlineStr">
        <is>
          <t>eng</t>
        </is>
      </c>
      <c r="P1692" t="inlineStr">
        <is>
          <t>nyu</t>
        </is>
      </c>
      <c r="R1692" t="inlineStr">
        <is>
          <t xml:space="preserve">E  </t>
        </is>
      </c>
      <c r="S1692" t="n">
        <v>7</v>
      </c>
      <c r="T1692" t="n">
        <v>7</v>
      </c>
      <c r="U1692" t="inlineStr">
        <is>
          <t>1999-03-04</t>
        </is>
      </c>
      <c r="V1692" t="inlineStr">
        <is>
          <t>1999-03-04</t>
        </is>
      </c>
      <c r="W1692" t="inlineStr">
        <is>
          <t>1991-04-10</t>
        </is>
      </c>
      <c r="X1692" t="inlineStr">
        <is>
          <t>1991-04-10</t>
        </is>
      </c>
      <c r="Y1692" t="n">
        <v>684</v>
      </c>
      <c r="Z1692" t="n">
        <v>642</v>
      </c>
      <c r="AA1692" t="n">
        <v>724</v>
      </c>
      <c r="AB1692" t="n">
        <v>7</v>
      </c>
      <c r="AC1692" t="n">
        <v>7</v>
      </c>
      <c r="AD1692" t="n">
        <v>24</v>
      </c>
      <c r="AE1692" t="n">
        <v>26</v>
      </c>
      <c r="AF1692" t="n">
        <v>9</v>
      </c>
      <c r="AG1692" t="n">
        <v>9</v>
      </c>
      <c r="AH1692" t="n">
        <v>3</v>
      </c>
      <c r="AI1692" t="n">
        <v>5</v>
      </c>
      <c r="AJ1692" t="n">
        <v>11</v>
      </c>
      <c r="AK1692" t="n">
        <v>12</v>
      </c>
      <c r="AL1692" t="n">
        <v>5</v>
      </c>
      <c r="AM1692" t="n">
        <v>5</v>
      </c>
      <c r="AN1692" t="n">
        <v>0</v>
      </c>
      <c r="AO1692" t="n">
        <v>0</v>
      </c>
      <c r="AP1692" t="inlineStr">
        <is>
          <t>Yes</t>
        </is>
      </c>
      <c r="AQ1692" t="inlineStr">
        <is>
          <t>No</t>
        </is>
      </c>
      <c r="AR1692">
        <f>HYPERLINK("http://catalog.hathitrust.org/Record/000469761","HathiTrust Record")</f>
        <v/>
      </c>
      <c r="AS1692">
        <f>HYPERLINK("https://creighton-primo.hosted.exlibrisgroup.com/primo-explore/search?tab=default_tab&amp;search_scope=EVERYTHING&amp;vid=01CRU&amp;lang=en_US&amp;offset=0&amp;query=any,contains,991002814259702656","Catalog Record")</f>
        <v/>
      </c>
      <c r="AT1692">
        <f>HYPERLINK("http://www.worldcat.org/oclc/457135","WorldCat Record")</f>
        <v/>
      </c>
      <c r="AU1692" t="inlineStr">
        <is>
          <t>439129:eng</t>
        </is>
      </c>
      <c r="AV1692" t="inlineStr">
        <is>
          <t>457135</t>
        </is>
      </c>
      <c r="AW1692" t="inlineStr">
        <is>
          <t>991002814259702656</t>
        </is>
      </c>
      <c r="AX1692" t="inlineStr">
        <is>
          <t>991002814259702656</t>
        </is>
      </c>
      <c r="AY1692" t="inlineStr">
        <is>
          <t>2262887930002656</t>
        </is>
      </c>
      <c r="AZ1692" t="inlineStr">
        <is>
          <t>BOOK</t>
        </is>
      </c>
      <c r="BC1692" t="inlineStr">
        <is>
          <t>32285000580273</t>
        </is>
      </c>
      <c r="BD1692" t="inlineStr">
        <is>
          <t>893799051</t>
        </is>
      </c>
    </row>
    <row r="1693">
      <c r="A1693" t="inlineStr">
        <is>
          <t>No</t>
        </is>
      </c>
      <c r="B1693" t="inlineStr">
        <is>
          <t>E747 .A677 1987</t>
        </is>
      </c>
      <c r="C1693" t="inlineStr">
        <is>
          <t>0                      E  0747000A  677         1987</t>
        </is>
      </c>
      <c r="D1693" t="inlineStr">
        <is>
          <t>Ambassadors in foreign policy : the influence of individuals on U.S.-Latin American Policy / edited by C. Neale Ronning, Albert P. Vannucci.</t>
        </is>
      </c>
      <c r="F1693" t="inlineStr">
        <is>
          <t>No</t>
        </is>
      </c>
      <c r="G1693" t="inlineStr">
        <is>
          <t>1</t>
        </is>
      </c>
      <c r="H1693" t="inlineStr">
        <is>
          <t>No</t>
        </is>
      </c>
      <c r="I1693" t="inlineStr">
        <is>
          <t>No</t>
        </is>
      </c>
      <c r="J1693" t="inlineStr">
        <is>
          <t>0</t>
        </is>
      </c>
      <c r="L1693" t="inlineStr">
        <is>
          <t>New York : Praeger, 1987.</t>
        </is>
      </c>
      <c r="M1693" t="inlineStr">
        <is>
          <t>1987</t>
        </is>
      </c>
      <c r="O1693" t="inlineStr">
        <is>
          <t>eng</t>
        </is>
      </c>
      <c r="P1693" t="inlineStr">
        <is>
          <t>nyu</t>
        </is>
      </c>
      <c r="R1693" t="inlineStr">
        <is>
          <t xml:space="preserve">E  </t>
        </is>
      </c>
      <c r="S1693" t="n">
        <v>7</v>
      </c>
      <c r="T1693" t="n">
        <v>7</v>
      </c>
      <c r="U1693" t="inlineStr">
        <is>
          <t>2003-03-30</t>
        </is>
      </c>
      <c r="V1693" t="inlineStr">
        <is>
          <t>2003-03-30</t>
        </is>
      </c>
      <c r="W1693" t="inlineStr">
        <is>
          <t>1991-05-28</t>
        </is>
      </c>
      <c r="X1693" t="inlineStr">
        <is>
          <t>1991-05-28</t>
        </is>
      </c>
      <c r="Y1693" t="n">
        <v>335</v>
      </c>
      <c r="Z1693" t="n">
        <v>283</v>
      </c>
      <c r="AA1693" t="n">
        <v>285</v>
      </c>
      <c r="AB1693" t="n">
        <v>3</v>
      </c>
      <c r="AC1693" t="n">
        <v>3</v>
      </c>
      <c r="AD1693" t="n">
        <v>15</v>
      </c>
      <c r="AE1693" t="n">
        <v>15</v>
      </c>
      <c r="AF1693" t="n">
        <v>5</v>
      </c>
      <c r="AG1693" t="n">
        <v>5</v>
      </c>
      <c r="AH1693" t="n">
        <v>4</v>
      </c>
      <c r="AI1693" t="n">
        <v>4</v>
      </c>
      <c r="AJ1693" t="n">
        <v>10</v>
      </c>
      <c r="AK1693" t="n">
        <v>10</v>
      </c>
      <c r="AL1693" t="n">
        <v>2</v>
      </c>
      <c r="AM1693" t="n">
        <v>2</v>
      </c>
      <c r="AN1693" t="n">
        <v>0</v>
      </c>
      <c r="AO1693" t="n">
        <v>0</v>
      </c>
      <c r="AP1693" t="inlineStr">
        <is>
          <t>No</t>
        </is>
      </c>
      <c r="AQ1693" t="inlineStr">
        <is>
          <t>Yes</t>
        </is>
      </c>
      <c r="AR1693">
        <f>HYPERLINK("http://catalog.hathitrust.org/Record/000883055","HathiTrust Record")</f>
        <v/>
      </c>
      <c r="AS1693">
        <f>HYPERLINK("https://creighton-primo.hosted.exlibrisgroup.com/primo-explore/search?tab=default_tab&amp;search_scope=EVERYTHING&amp;vid=01CRU&amp;lang=en_US&amp;offset=0&amp;query=any,contains,991001042829702656","Catalog Record")</f>
        <v/>
      </c>
      <c r="AT1693">
        <f>HYPERLINK("http://www.worldcat.org/oclc/15591873","WorldCat Record")</f>
        <v/>
      </c>
      <c r="AU1693" t="inlineStr">
        <is>
          <t>836722051:eng</t>
        </is>
      </c>
      <c r="AV1693" t="inlineStr">
        <is>
          <t>15591873</t>
        </is>
      </c>
      <c r="AW1693" t="inlineStr">
        <is>
          <t>991001042829702656</t>
        </is>
      </c>
      <c r="AX1693" t="inlineStr">
        <is>
          <t>991001042829702656</t>
        </is>
      </c>
      <c r="AY1693" t="inlineStr">
        <is>
          <t>2263998800002656</t>
        </is>
      </c>
      <c r="AZ1693" t="inlineStr">
        <is>
          <t>BOOK</t>
        </is>
      </c>
      <c r="BB1693" t="inlineStr">
        <is>
          <t>9780275923938</t>
        </is>
      </c>
      <c r="BC1693" t="inlineStr">
        <is>
          <t>32285000612894</t>
        </is>
      </c>
      <c r="BD1693" t="inlineStr">
        <is>
          <t>893797233</t>
        </is>
      </c>
    </row>
    <row r="1694">
      <c r="A1694" t="inlineStr">
        <is>
          <t>No</t>
        </is>
      </c>
      <c r="B1694" t="inlineStr">
        <is>
          <t>E747 .D5</t>
        </is>
      </c>
      <c r="C1694" t="inlineStr">
        <is>
          <t>0                      E  0747000D  5</t>
        </is>
      </c>
      <c r="D1694" t="inlineStr">
        <is>
          <t>The Kennedy family.</t>
        </is>
      </c>
      <c r="F1694" t="inlineStr">
        <is>
          <t>No</t>
        </is>
      </c>
      <c r="G1694" t="inlineStr">
        <is>
          <t>1</t>
        </is>
      </c>
      <c r="H1694" t="inlineStr">
        <is>
          <t>No</t>
        </is>
      </c>
      <c r="I1694" t="inlineStr">
        <is>
          <t>No</t>
        </is>
      </c>
      <c r="J1694" t="inlineStr">
        <is>
          <t>0</t>
        </is>
      </c>
      <c r="K1694" t="inlineStr">
        <is>
          <t>Dinneen, Joseph F. (Joseph Francis), 1897-1964.</t>
        </is>
      </c>
      <c r="L1694" t="inlineStr">
        <is>
          <t>Boston : Little, Brown, [1960, c1959]</t>
        </is>
      </c>
      <c r="M1694" t="inlineStr">
        <is>
          <t>1960</t>
        </is>
      </c>
      <c r="N1694" t="inlineStr">
        <is>
          <t>[1st ed.]</t>
        </is>
      </c>
      <c r="O1694" t="inlineStr">
        <is>
          <t>eng</t>
        </is>
      </c>
      <c r="P1694" t="inlineStr">
        <is>
          <t>mau</t>
        </is>
      </c>
      <c r="R1694" t="inlineStr">
        <is>
          <t xml:space="preserve">E  </t>
        </is>
      </c>
      <c r="S1694" t="n">
        <v>2</v>
      </c>
      <c r="T1694" t="n">
        <v>2</v>
      </c>
      <c r="U1694" t="inlineStr">
        <is>
          <t>1995-01-23</t>
        </is>
      </c>
      <c r="V1694" t="inlineStr">
        <is>
          <t>1995-01-23</t>
        </is>
      </c>
      <c r="W1694" t="inlineStr">
        <is>
          <t>1991-02-22</t>
        </is>
      </c>
      <c r="X1694" t="inlineStr">
        <is>
          <t>1991-02-22</t>
        </is>
      </c>
      <c r="Y1694" t="n">
        <v>380</v>
      </c>
      <c r="Z1694" t="n">
        <v>369</v>
      </c>
      <c r="AA1694" t="n">
        <v>388</v>
      </c>
      <c r="AB1694" t="n">
        <v>5</v>
      </c>
      <c r="AC1694" t="n">
        <v>5</v>
      </c>
      <c r="AD1694" t="n">
        <v>20</v>
      </c>
      <c r="AE1694" t="n">
        <v>21</v>
      </c>
      <c r="AF1694" t="n">
        <v>4</v>
      </c>
      <c r="AG1694" t="n">
        <v>4</v>
      </c>
      <c r="AH1694" t="n">
        <v>5</v>
      </c>
      <c r="AI1694" t="n">
        <v>6</v>
      </c>
      <c r="AJ1694" t="n">
        <v>10</v>
      </c>
      <c r="AK1694" t="n">
        <v>10</v>
      </c>
      <c r="AL1694" t="n">
        <v>4</v>
      </c>
      <c r="AM1694" t="n">
        <v>4</v>
      </c>
      <c r="AN1694" t="n">
        <v>0</v>
      </c>
      <c r="AO1694" t="n">
        <v>0</v>
      </c>
      <c r="AP1694" t="inlineStr">
        <is>
          <t>No</t>
        </is>
      </c>
      <c r="AQ1694" t="inlineStr">
        <is>
          <t>Yes</t>
        </is>
      </c>
      <c r="AR1694">
        <f>HYPERLINK("http://catalog.hathitrust.org/Record/000468020","HathiTrust Record")</f>
        <v/>
      </c>
      <c r="AS1694">
        <f>HYPERLINK("https://creighton-primo.hosted.exlibrisgroup.com/primo-explore/search?tab=default_tab&amp;search_scope=EVERYTHING&amp;vid=01CRU&amp;lang=en_US&amp;offset=0&amp;query=any,contains,991003150619702656","Catalog Record")</f>
        <v/>
      </c>
      <c r="AT1694">
        <f>HYPERLINK("http://www.worldcat.org/oclc/689996","WorldCat Record")</f>
        <v/>
      </c>
      <c r="AU1694" t="inlineStr">
        <is>
          <t>1782533:eng</t>
        </is>
      </c>
      <c r="AV1694" t="inlineStr">
        <is>
          <t>689996</t>
        </is>
      </c>
      <c r="AW1694" t="inlineStr">
        <is>
          <t>991003150619702656</t>
        </is>
      </c>
      <c r="AX1694" t="inlineStr">
        <is>
          <t>991003150619702656</t>
        </is>
      </c>
      <c r="AY1694" t="inlineStr">
        <is>
          <t>2272601430002656</t>
        </is>
      </c>
      <c r="AZ1694" t="inlineStr">
        <is>
          <t>BOOK</t>
        </is>
      </c>
      <c r="BC1694" t="inlineStr">
        <is>
          <t>32285000499698</t>
        </is>
      </c>
      <c r="BD1694" t="inlineStr">
        <is>
          <t>893409966</t>
        </is>
      </c>
    </row>
    <row r="1695">
      <c r="A1695" t="inlineStr">
        <is>
          <t>No</t>
        </is>
      </c>
      <c r="B1695" t="inlineStr">
        <is>
          <t>E747 .H85 2003</t>
        </is>
      </c>
      <c r="C1695" t="inlineStr">
        <is>
          <t>0                      E  0747000H  85          2003</t>
        </is>
      </c>
      <c r="D1695" t="inlineStr">
        <is>
          <t>The human tradition in America since 1945 / edited by David L. Anderson.</t>
        </is>
      </c>
      <c r="F1695" t="inlineStr">
        <is>
          <t>No</t>
        </is>
      </c>
      <c r="G1695" t="inlineStr">
        <is>
          <t>1</t>
        </is>
      </c>
      <c r="H1695" t="inlineStr">
        <is>
          <t>No</t>
        </is>
      </c>
      <c r="I1695" t="inlineStr">
        <is>
          <t>No</t>
        </is>
      </c>
      <c r="J1695" t="inlineStr">
        <is>
          <t>0</t>
        </is>
      </c>
      <c r="L1695" t="inlineStr">
        <is>
          <t>Wilmington, Del. : Scholarly Resources, 2003.</t>
        </is>
      </c>
      <c r="M1695" t="inlineStr">
        <is>
          <t>2003</t>
        </is>
      </c>
      <c r="O1695" t="inlineStr">
        <is>
          <t>eng</t>
        </is>
      </c>
      <c r="P1695" t="inlineStr">
        <is>
          <t>deu</t>
        </is>
      </c>
      <c r="Q1695" t="inlineStr">
        <is>
          <t>The human tradition in America ; no. 18</t>
        </is>
      </c>
      <c r="R1695" t="inlineStr">
        <is>
          <t xml:space="preserve">E  </t>
        </is>
      </c>
      <c r="S1695" t="n">
        <v>1</v>
      </c>
      <c r="T1695" t="n">
        <v>1</v>
      </c>
      <c r="U1695" t="inlineStr">
        <is>
          <t>2004-02-16</t>
        </is>
      </c>
      <c r="V1695" t="inlineStr">
        <is>
          <t>2004-02-16</t>
        </is>
      </c>
      <c r="W1695" t="inlineStr">
        <is>
          <t>2004-02-16</t>
        </is>
      </c>
      <c r="X1695" t="inlineStr">
        <is>
          <t>2004-02-16</t>
        </is>
      </c>
      <c r="Y1695" t="n">
        <v>158</v>
      </c>
      <c r="Z1695" t="n">
        <v>140</v>
      </c>
      <c r="AA1695" t="n">
        <v>147</v>
      </c>
      <c r="AB1695" t="n">
        <v>1</v>
      </c>
      <c r="AC1695" t="n">
        <v>1</v>
      </c>
      <c r="AD1695" t="n">
        <v>8</v>
      </c>
      <c r="AE1695" t="n">
        <v>8</v>
      </c>
      <c r="AF1695" t="n">
        <v>2</v>
      </c>
      <c r="AG1695" t="n">
        <v>2</v>
      </c>
      <c r="AH1695" t="n">
        <v>4</v>
      </c>
      <c r="AI1695" t="n">
        <v>4</v>
      </c>
      <c r="AJ1695" t="n">
        <v>5</v>
      </c>
      <c r="AK1695" t="n">
        <v>5</v>
      </c>
      <c r="AL1695" t="n">
        <v>0</v>
      </c>
      <c r="AM1695" t="n">
        <v>0</v>
      </c>
      <c r="AN1695" t="n">
        <v>0</v>
      </c>
      <c r="AO1695" t="n">
        <v>0</v>
      </c>
      <c r="AP1695" t="inlineStr">
        <is>
          <t>No</t>
        </is>
      </c>
      <c r="AQ1695" t="inlineStr">
        <is>
          <t>Yes</t>
        </is>
      </c>
      <c r="AR1695">
        <f>HYPERLINK("http://catalog.hathitrust.org/Record/004353231","HathiTrust Record")</f>
        <v/>
      </c>
      <c r="AS1695">
        <f>HYPERLINK("https://creighton-primo.hosted.exlibrisgroup.com/primo-explore/search?tab=default_tab&amp;search_scope=EVERYTHING&amp;vid=01CRU&amp;lang=en_US&amp;offset=0&amp;query=any,contains,991004219369702656","Catalog Record")</f>
        <v/>
      </c>
      <c r="AT1695">
        <f>HYPERLINK("http://www.worldcat.org/oclc/51983549","WorldCat Record")</f>
        <v/>
      </c>
      <c r="AU1695" t="inlineStr">
        <is>
          <t>724044:eng</t>
        </is>
      </c>
      <c r="AV1695" t="inlineStr">
        <is>
          <t>51983549</t>
        </is>
      </c>
      <c r="AW1695" t="inlineStr">
        <is>
          <t>991004219369702656</t>
        </is>
      </c>
      <c r="AX1695" t="inlineStr">
        <is>
          <t>991004219369702656</t>
        </is>
      </c>
      <c r="AY1695" t="inlineStr">
        <is>
          <t>2268224320002656</t>
        </is>
      </c>
      <c r="AZ1695" t="inlineStr">
        <is>
          <t>BOOK</t>
        </is>
      </c>
      <c r="BB1695" t="inlineStr">
        <is>
          <t>9780842029421</t>
        </is>
      </c>
      <c r="BC1695" t="inlineStr">
        <is>
          <t>32285004639315</t>
        </is>
      </c>
      <c r="BD1695" t="inlineStr">
        <is>
          <t>893618401</t>
        </is>
      </c>
    </row>
    <row r="1696">
      <c r="A1696" t="inlineStr">
        <is>
          <t>No</t>
        </is>
      </c>
      <c r="B1696" t="inlineStr">
        <is>
          <t>E747 .H86 2002</t>
        </is>
      </c>
      <c r="C1696" t="inlineStr">
        <is>
          <t>0                      E  0747000H  86          2002</t>
        </is>
      </c>
      <c r="D1696" t="inlineStr">
        <is>
          <t>The human tradition in America between the wars, 1920-1945 / edited by Donald W. Whisenhunt.</t>
        </is>
      </c>
      <c r="F1696" t="inlineStr">
        <is>
          <t>No</t>
        </is>
      </c>
      <c r="G1696" t="inlineStr">
        <is>
          <t>1</t>
        </is>
      </c>
      <c r="H1696" t="inlineStr">
        <is>
          <t>No</t>
        </is>
      </c>
      <c r="I1696" t="inlineStr">
        <is>
          <t>No</t>
        </is>
      </c>
      <c r="J1696" t="inlineStr">
        <is>
          <t>0</t>
        </is>
      </c>
      <c r="L1696" t="inlineStr">
        <is>
          <t>Wilmington, Del. : S.R. Books, 2002.</t>
        </is>
      </c>
      <c r="M1696" t="inlineStr">
        <is>
          <t>2002</t>
        </is>
      </c>
      <c r="O1696" t="inlineStr">
        <is>
          <t>eng</t>
        </is>
      </c>
      <c r="P1696" t="inlineStr">
        <is>
          <t>deu</t>
        </is>
      </c>
      <c r="Q1696" t="inlineStr">
        <is>
          <t>The human tradition in America ; no. 12</t>
        </is>
      </c>
      <c r="R1696" t="inlineStr">
        <is>
          <t xml:space="preserve">E  </t>
        </is>
      </c>
      <c r="S1696" t="n">
        <v>1</v>
      </c>
      <c r="T1696" t="n">
        <v>1</v>
      </c>
      <c r="U1696" t="inlineStr">
        <is>
          <t>2002-04-12</t>
        </is>
      </c>
      <c r="V1696" t="inlineStr">
        <is>
          <t>2002-04-12</t>
        </is>
      </c>
      <c r="W1696" t="inlineStr">
        <is>
          <t>2002-03-27</t>
        </is>
      </c>
      <c r="X1696" t="inlineStr">
        <is>
          <t>2002-03-27</t>
        </is>
      </c>
      <c r="Y1696" t="n">
        <v>183</v>
      </c>
      <c r="Z1696" t="n">
        <v>168</v>
      </c>
      <c r="AA1696" t="n">
        <v>190</v>
      </c>
      <c r="AB1696" t="n">
        <v>1</v>
      </c>
      <c r="AC1696" t="n">
        <v>1</v>
      </c>
      <c r="AD1696" t="n">
        <v>7</v>
      </c>
      <c r="AE1696" t="n">
        <v>8</v>
      </c>
      <c r="AF1696" t="n">
        <v>3</v>
      </c>
      <c r="AG1696" t="n">
        <v>4</v>
      </c>
      <c r="AH1696" t="n">
        <v>1</v>
      </c>
      <c r="AI1696" t="n">
        <v>2</v>
      </c>
      <c r="AJ1696" t="n">
        <v>6</v>
      </c>
      <c r="AK1696" t="n">
        <v>6</v>
      </c>
      <c r="AL1696" t="n">
        <v>0</v>
      </c>
      <c r="AM1696" t="n">
        <v>0</v>
      </c>
      <c r="AN1696" t="n">
        <v>0</v>
      </c>
      <c r="AO1696" t="n">
        <v>0</v>
      </c>
      <c r="AP1696" t="inlineStr">
        <is>
          <t>No</t>
        </is>
      </c>
      <c r="AQ1696" t="inlineStr">
        <is>
          <t>Yes</t>
        </is>
      </c>
      <c r="AR1696">
        <f>HYPERLINK("http://catalog.hathitrust.org/Record/004245782","HathiTrust Record")</f>
        <v/>
      </c>
      <c r="AS1696">
        <f>HYPERLINK("https://creighton-primo.hosted.exlibrisgroup.com/primo-explore/search?tab=default_tab&amp;search_scope=EVERYTHING&amp;vid=01CRU&amp;lang=en_US&amp;offset=0&amp;query=any,contains,991003698539702656","Catalog Record")</f>
        <v/>
      </c>
      <c r="AT1696">
        <f>HYPERLINK("http://www.worldcat.org/oclc/48100156","WorldCat Record")</f>
        <v/>
      </c>
      <c r="AU1696" t="inlineStr">
        <is>
          <t>5091349641:eng</t>
        </is>
      </c>
      <c r="AV1696" t="inlineStr">
        <is>
          <t>48100156</t>
        </is>
      </c>
      <c r="AW1696" t="inlineStr">
        <is>
          <t>991003698539702656</t>
        </is>
      </c>
      <c r="AX1696" t="inlineStr">
        <is>
          <t>991003698539702656</t>
        </is>
      </c>
      <c r="AY1696" t="inlineStr">
        <is>
          <t>2258177760002656</t>
        </is>
      </c>
      <c r="AZ1696" t="inlineStr">
        <is>
          <t>BOOK</t>
        </is>
      </c>
      <c r="BB1696" t="inlineStr">
        <is>
          <t>9780842050111</t>
        </is>
      </c>
      <c r="BC1696" t="inlineStr">
        <is>
          <t>32285004464482</t>
        </is>
      </c>
      <c r="BD1696" t="inlineStr">
        <is>
          <t>893617653</t>
        </is>
      </c>
    </row>
    <row r="1697">
      <c r="A1697" t="inlineStr">
        <is>
          <t>No</t>
        </is>
      </c>
      <c r="B1697" t="inlineStr">
        <is>
          <t>E747 .I77 1988</t>
        </is>
      </c>
      <c r="C1697" t="inlineStr">
        <is>
          <t>0                      E  0747000I  77          1988</t>
        </is>
      </c>
      <c r="D1697" t="inlineStr">
        <is>
          <t>The wise men : six friends and the world they made / by Walter Isaacson and Evan Thomas.</t>
        </is>
      </c>
      <c r="F1697" t="inlineStr">
        <is>
          <t>No</t>
        </is>
      </c>
      <c r="G1697" t="inlineStr">
        <is>
          <t>1</t>
        </is>
      </c>
      <c r="H1697" t="inlineStr">
        <is>
          <t>No</t>
        </is>
      </c>
      <c r="I1697" t="inlineStr">
        <is>
          <t>No</t>
        </is>
      </c>
      <c r="J1697" t="inlineStr">
        <is>
          <t>0</t>
        </is>
      </c>
      <c r="K1697" t="inlineStr">
        <is>
          <t>Isaacson, Walter.</t>
        </is>
      </c>
      <c r="L1697" t="inlineStr">
        <is>
          <t>New York : Simon and Schuster, 1988, c1986.</t>
        </is>
      </c>
      <c r="M1697" t="inlineStr">
        <is>
          <t>1988</t>
        </is>
      </c>
      <c r="N1697" t="inlineStr">
        <is>
          <t>1st Touchstone ed.</t>
        </is>
      </c>
      <c r="O1697" t="inlineStr">
        <is>
          <t>eng</t>
        </is>
      </c>
      <c r="P1697" t="inlineStr">
        <is>
          <t>nyu</t>
        </is>
      </c>
      <c r="Q1697" t="inlineStr">
        <is>
          <t>A Touchstone book</t>
        </is>
      </c>
      <c r="R1697" t="inlineStr">
        <is>
          <t xml:space="preserve">E  </t>
        </is>
      </c>
      <c r="S1697" t="n">
        <v>2</v>
      </c>
      <c r="T1697" t="n">
        <v>2</v>
      </c>
      <c r="U1697" t="inlineStr">
        <is>
          <t>2001-11-07</t>
        </is>
      </c>
      <c r="V1697" t="inlineStr">
        <is>
          <t>2001-11-07</t>
        </is>
      </c>
      <c r="W1697" t="inlineStr">
        <is>
          <t>1998-05-28</t>
        </is>
      </c>
      <c r="X1697" t="inlineStr">
        <is>
          <t>1998-05-28</t>
        </is>
      </c>
      <c r="Y1697" t="n">
        <v>162</v>
      </c>
      <c r="Z1697" t="n">
        <v>147</v>
      </c>
      <c r="AA1697" t="n">
        <v>1419</v>
      </c>
      <c r="AB1697" t="n">
        <v>3</v>
      </c>
      <c r="AC1697" t="n">
        <v>7</v>
      </c>
      <c r="AD1697" t="n">
        <v>2</v>
      </c>
      <c r="AE1697" t="n">
        <v>40</v>
      </c>
      <c r="AF1697" t="n">
        <v>0</v>
      </c>
      <c r="AG1697" t="n">
        <v>15</v>
      </c>
      <c r="AH1697" t="n">
        <v>0</v>
      </c>
      <c r="AI1697" t="n">
        <v>10</v>
      </c>
      <c r="AJ1697" t="n">
        <v>0</v>
      </c>
      <c r="AK1697" t="n">
        <v>23</v>
      </c>
      <c r="AL1697" t="n">
        <v>2</v>
      </c>
      <c r="AM1697" t="n">
        <v>3</v>
      </c>
      <c r="AN1697" t="n">
        <v>0</v>
      </c>
      <c r="AO1697" t="n">
        <v>0</v>
      </c>
      <c r="AP1697" t="inlineStr">
        <is>
          <t>No</t>
        </is>
      </c>
      <c r="AQ1697" t="inlineStr">
        <is>
          <t>Yes</t>
        </is>
      </c>
      <c r="AR1697">
        <f>HYPERLINK("http://catalog.hathitrust.org/Record/008318876","HathiTrust Record")</f>
        <v/>
      </c>
      <c r="AS1697">
        <f>HYPERLINK("https://creighton-primo.hosted.exlibrisgroup.com/primo-explore/search?tab=default_tab&amp;search_scope=EVERYTHING&amp;vid=01CRU&amp;lang=en_US&amp;offset=0&amp;query=any,contains,991001307519702656","Catalog Record")</f>
        <v/>
      </c>
      <c r="AT1697">
        <f>HYPERLINK("http://www.worldcat.org/oclc/18121496","WorldCat Record")</f>
        <v/>
      </c>
      <c r="AU1697" t="inlineStr">
        <is>
          <t>827743170:eng</t>
        </is>
      </c>
      <c r="AV1697" t="inlineStr">
        <is>
          <t>18121496</t>
        </is>
      </c>
      <c r="AW1697" t="inlineStr">
        <is>
          <t>991001307519702656</t>
        </is>
      </c>
      <c r="AX1697" t="inlineStr">
        <is>
          <t>991001307519702656</t>
        </is>
      </c>
      <c r="AY1697" t="inlineStr">
        <is>
          <t>2263639670002656</t>
        </is>
      </c>
      <c r="AZ1697" t="inlineStr">
        <is>
          <t>BOOK</t>
        </is>
      </c>
      <c r="BB1697" t="inlineStr">
        <is>
          <t>9780684837710</t>
        </is>
      </c>
      <c r="BC1697" t="inlineStr">
        <is>
          <t>32285003412516</t>
        </is>
      </c>
      <c r="BD1697" t="inlineStr">
        <is>
          <t>893225780</t>
        </is>
      </c>
    </row>
    <row r="1698">
      <c r="A1698" t="inlineStr">
        <is>
          <t>No</t>
        </is>
      </c>
      <c r="B1698" t="inlineStr">
        <is>
          <t>E747 .W18 2000</t>
        </is>
      </c>
      <c r="C1698" t="inlineStr">
        <is>
          <t>0                      E  0747000W  18          2000</t>
        </is>
      </c>
      <c r="D1698" t="inlineStr">
        <is>
          <t>America reborn : a twentieth-century narrative in twenty-six lives / Martin Walker.</t>
        </is>
      </c>
      <c r="F1698" t="inlineStr">
        <is>
          <t>No</t>
        </is>
      </c>
      <c r="G1698" t="inlineStr">
        <is>
          <t>1</t>
        </is>
      </c>
      <c r="H1698" t="inlineStr">
        <is>
          <t>No</t>
        </is>
      </c>
      <c r="I1698" t="inlineStr">
        <is>
          <t>No</t>
        </is>
      </c>
      <c r="J1698" t="inlineStr">
        <is>
          <t>0</t>
        </is>
      </c>
      <c r="K1698" t="inlineStr">
        <is>
          <t>Walker, Martin J., 1947-</t>
        </is>
      </c>
      <c r="L1698" t="inlineStr">
        <is>
          <t>New York : Knopf : Distributed by Random House, 2000.</t>
        </is>
      </c>
      <c r="M1698" t="inlineStr">
        <is>
          <t>2000</t>
        </is>
      </c>
      <c r="N1698" t="inlineStr">
        <is>
          <t>1st ed.</t>
        </is>
      </c>
      <c r="O1698" t="inlineStr">
        <is>
          <t>eng</t>
        </is>
      </c>
      <c r="P1698" t="inlineStr">
        <is>
          <t>nyu</t>
        </is>
      </c>
      <c r="R1698" t="inlineStr">
        <is>
          <t xml:space="preserve">E  </t>
        </is>
      </c>
      <c r="S1698" t="n">
        <v>4</v>
      </c>
      <c r="T1698" t="n">
        <v>4</v>
      </c>
      <c r="U1698" t="inlineStr">
        <is>
          <t>2004-11-22</t>
        </is>
      </c>
      <c r="V1698" t="inlineStr">
        <is>
          <t>2004-11-22</t>
        </is>
      </c>
      <c r="W1698" t="inlineStr">
        <is>
          <t>2000-11-16</t>
        </is>
      </c>
      <c r="X1698" t="inlineStr">
        <is>
          <t>2000-11-16</t>
        </is>
      </c>
      <c r="Y1698" t="n">
        <v>610</v>
      </c>
      <c r="Z1698" t="n">
        <v>586</v>
      </c>
      <c r="AA1698" t="n">
        <v>638</v>
      </c>
      <c r="AB1698" t="n">
        <v>4</v>
      </c>
      <c r="AC1698" t="n">
        <v>5</v>
      </c>
      <c r="AD1698" t="n">
        <v>13</v>
      </c>
      <c r="AE1698" t="n">
        <v>15</v>
      </c>
      <c r="AF1698" t="n">
        <v>3</v>
      </c>
      <c r="AG1698" t="n">
        <v>4</v>
      </c>
      <c r="AH1698" t="n">
        <v>5</v>
      </c>
      <c r="AI1698" t="n">
        <v>5</v>
      </c>
      <c r="AJ1698" t="n">
        <v>7</v>
      </c>
      <c r="AK1698" t="n">
        <v>7</v>
      </c>
      <c r="AL1698" t="n">
        <v>3</v>
      </c>
      <c r="AM1698" t="n">
        <v>4</v>
      </c>
      <c r="AN1698" t="n">
        <v>0</v>
      </c>
      <c r="AO1698" t="n">
        <v>0</v>
      </c>
      <c r="AP1698" t="inlineStr">
        <is>
          <t>No</t>
        </is>
      </c>
      <c r="AQ1698" t="inlineStr">
        <is>
          <t>Yes</t>
        </is>
      </c>
      <c r="AR1698">
        <f>HYPERLINK("http://catalog.hathitrust.org/Record/004099019","HathiTrust Record")</f>
        <v/>
      </c>
      <c r="AS1698">
        <f>HYPERLINK("https://creighton-primo.hosted.exlibrisgroup.com/primo-explore/search?tab=default_tab&amp;search_scope=EVERYTHING&amp;vid=01CRU&amp;lang=en_US&amp;offset=0&amp;query=any,contains,991003331539702656","Catalog Record")</f>
        <v/>
      </c>
      <c r="AT1698">
        <f>HYPERLINK("http://www.worldcat.org/oclc/42641752","WorldCat Record")</f>
        <v/>
      </c>
      <c r="AU1698" t="inlineStr">
        <is>
          <t>1008583:eng</t>
        </is>
      </c>
      <c r="AV1698" t="inlineStr">
        <is>
          <t>42641752</t>
        </is>
      </c>
      <c r="AW1698" t="inlineStr">
        <is>
          <t>991003331539702656</t>
        </is>
      </c>
      <c r="AX1698" t="inlineStr">
        <is>
          <t>991003331539702656</t>
        </is>
      </c>
      <c r="AY1698" t="inlineStr">
        <is>
          <t>2258614440002656</t>
        </is>
      </c>
      <c r="AZ1698" t="inlineStr">
        <is>
          <t>BOOK</t>
        </is>
      </c>
      <c r="BB1698" t="inlineStr">
        <is>
          <t>9780375403163</t>
        </is>
      </c>
      <c r="BC1698" t="inlineStr">
        <is>
          <t>32285004266630</t>
        </is>
      </c>
      <c r="BD1698" t="inlineStr">
        <is>
          <t>893627547</t>
        </is>
      </c>
    </row>
    <row r="1699">
      <c r="A1699" t="inlineStr">
        <is>
          <t>No</t>
        </is>
      </c>
      <c r="B1699" t="inlineStr">
        <is>
          <t>E748.A15 A597 1993</t>
        </is>
      </c>
      <c r="C1699" t="inlineStr">
        <is>
          <t>0                      E  0748000A  15                 A  597         1993</t>
        </is>
      </c>
      <c r="D1699" t="inlineStr">
        <is>
          <t>Acheson country : a memoir / David C. Acheson.</t>
        </is>
      </c>
      <c r="F1699" t="inlineStr">
        <is>
          <t>No</t>
        </is>
      </c>
      <c r="G1699" t="inlineStr">
        <is>
          <t>1</t>
        </is>
      </c>
      <c r="H1699" t="inlineStr">
        <is>
          <t>No</t>
        </is>
      </c>
      <c r="I1699" t="inlineStr">
        <is>
          <t>No</t>
        </is>
      </c>
      <c r="J1699" t="inlineStr">
        <is>
          <t>0</t>
        </is>
      </c>
      <c r="K1699" t="inlineStr">
        <is>
          <t>Acheson, David C.</t>
        </is>
      </c>
      <c r="L1699" t="inlineStr">
        <is>
          <t>New York : W.W. Norton, c1993.</t>
        </is>
      </c>
      <c r="M1699" t="inlineStr">
        <is>
          <t>1993</t>
        </is>
      </c>
      <c r="O1699" t="inlineStr">
        <is>
          <t>eng</t>
        </is>
      </c>
      <c r="P1699" t="inlineStr">
        <is>
          <t>nyu</t>
        </is>
      </c>
      <c r="R1699" t="inlineStr">
        <is>
          <t xml:space="preserve">E  </t>
        </is>
      </c>
      <c r="S1699" t="n">
        <v>2</v>
      </c>
      <c r="T1699" t="n">
        <v>2</v>
      </c>
      <c r="U1699" t="inlineStr">
        <is>
          <t>1994-08-29</t>
        </is>
      </c>
      <c r="V1699" t="inlineStr">
        <is>
          <t>1994-08-29</t>
        </is>
      </c>
      <c r="W1699" t="inlineStr">
        <is>
          <t>1994-08-03</t>
        </is>
      </c>
      <c r="X1699" t="inlineStr">
        <is>
          <t>1994-08-03</t>
        </is>
      </c>
      <c r="Y1699" t="n">
        <v>329</v>
      </c>
      <c r="Z1699" t="n">
        <v>308</v>
      </c>
      <c r="AA1699" t="n">
        <v>309</v>
      </c>
      <c r="AB1699" t="n">
        <v>2</v>
      </c>
      <c r="AC1699" t="n">
        <v>2</v>
      </c>
      <c r="AD1699" t="n">
        <v>10</v>
      </c>
      <c r="AE1699" t="n">
        <v>10</v>
      </c>
      <c r="AF1699" t="n">
        <v>1</v>
      </c>
      <c r="AG1699" t="n">
        <v>1</v>
      </c>
      <c r="AH1699" t="n">
        <v>4</v>
      </c>
      <c r="AI1699" t="n">
        <v>4</v>
      </c>
      <c r="AJ1699" t="n">
        <v>6</v>
      </c>
      <c r="AK1699" t="n">
        <v>6</v>
      </c>
      <c r="AL1699" t="n">
        <v>1</v>
      </c>
      <c r="AM1699" t="n">
        <v>1</v>
      </c>
      <c r="AN1699" t="n">
        <v>0</v>
      </c>
      <c r="AO1699" t="n">
        <v>0</v>
      </c>
      <c r="AP1699" t="inlineStr">
        <is>
          <t>No</t>
        </is>
      </c>
      <c r="AQ1699" t="inlineStr">
        <is>
          <t>No</t>
        </is>
      </c>
      <c r="AS1699">
        <f>HYPERLINK("https://creighton-primo.hosted.exlibrisgroup.com/primo-explore/search?tab=default_tab&amp;search_scope=EVERYTHING&amp;vid=01CRU&amp;lang=en_US&amp;offset=0&amp;query=any,contains,991002105429702656","Catalog Record")</f>
        <v/>
      </c>
      <c r="AT1699">
        <f>HYPERLINK("http://www.worldcat.org/oclc/27012413","WorldCat Record")</f>
        <v/>
      </c>
      <c r="AU1699" t="inlineStr">
        <is>
          <t>836876560:eng</t>
        </is>
      </c>
      <c r="AV1699" t="inlineStr">
        <is>
          <t>27012413</t>
        </is>
      </c>
      <c r="AW1699" t="inlineStr">
        <is>
          <t>991002105429702656</t>
        </is>
      </c>
      <c r="AX1699" t="inlineStr">
        <is>
          <t>991002105429702656</t>
        </is>
      </c>
      <c r="AY1699" t="inlineStr">
        <is>
          <t>2259394220002656</t>
        </is>
      </c>
      <c r="AZ1699" t="inlineStr">
        <is>
          <t>BOOK</t>
        </is>
      </c>
      <c r="BB1699" t="inlineStr">
        <is>
          <t>9780393035308</t>
        </is>
      </c>
      <c r="BC1699" t="inlineStr">
        <is>
          <t>32285001941052</t>
        </is>
      </c>
      <c r="BD1699" t="inlineStr">
        <is>
          <t>893873110</t>
        </is>
      </c>
    </row>
    <row r="1700">
      <c r="A1700" t="inlineStr">
        <is>
          <t>No</t>
        </is>
      </c>
      <c r="B1700" t="inlineStr">
        <is>
          <t>E748.A15 C43 1998</t>
        </is>
      </c>
      <c r="C1700" t="inlineStr">
        <is>
          <t>0                      E  0748000A  15                 C  43          1998</t>
        </is>
      </c>
      <c r="D1700" t="inlineStr">
        <is>
          <t>Acheson : the Secretary of State who created the American world / James Chace.</t>
        </is>
      </c>
      <c r="F1700" t="inlineStr">
        <is>
          <t>No</t>
        </is>
      </c>
      <c r="G1700" t="inlineStr">
        <is>
          <t>1</t>
        </is>
      </c>
      <c r="H1700" t="inlineStr">
        <is>
          <t>No</t>
        </is>
      </c>
      <c r="I1700" t="inlineStr">
        <is>
          <t>No</t>
        </is>
      </c>
      <c r="J1700" t="inlineStr">
        <is>
          <t>0</t>
        </is>
      </c>
      <c r="K1700" t="inlineStr">
        <is>
          <t>Chace, James.</t>
        </is>
      </c>
      <c r="L1700" t="inlineStr">
        <is>
          <t>New York : Simon &amp; Schuster, c1998.</t>
        </is>
      </c>
      <c r="M1700" t="inlineStr">
        <is>
          <t>1998</t>
        </is>
      </c>
      <c r="O1700" t="inlineStr">
        <is>
          <t>eng</t>
        </is>
      </c>
      <c r="P1700" t="inlineStr">
        <is>
          <t>nyu</t>
        </is>
      </c>
      <c r="R1700" t="inlineStr">
        <is>
          <t xml:space="preserve">E  </t>
        </is>
      </c>
      <c r="S1700" t="n">
        <v>1</v>
      </c>
      <c r="T1700" t="n">
        <v>1</v>
      </c>
      <c r="U1700" t="inlineStr">
        <is>
          <t>2002-05-09</t>
        </is>
      </c>
      <c r="V1700" t="inlineStr">
        <is>
          <t>2002-05-09</t>
        </is>
      </c>
      <c r="W1700" t="inlineStr">
        <is>
          <t>1998-09-10</t>
        </is>
      </c>
      <c r="X1700" t="inlineStr">
        <is>
          <t>1998-09-10</t>
        </is>
      </c>
      <c r="Y1700" t="n">
        <v>1197</v>
      </c>
      <c r="Z1700" t="n">
        <v>1070</v>
      </c>
      <c r="AA1700" t="n">
        <v>1134</v>
      </c>
      <c r="AB1700" t="n">
        <v>12</v>
      </c>
      <c r="AC1700" t="n">
        <v>12</v>
      </c>
      <c r="AD1700" t="n">
        <v>39</v>
      </c>
      <c r="AE1700" t="n">
        <v>42</v>
      </c>
      <c r="AF1700" t="n">
        <v>10</v>
      </c>
      <c r="AG1700" t="n">
        <v>13</v>
      </c>
      <c r="AH1700" t="n">
        <v>8</v>
      </c>
      <c r="AI1700" t="n">
        <v>8</v>
      </c>
      <c r="AJ1700" t="n">
        <v>17</v>
      </c>
      <c r="AK1700" t="n">
        <v>18</v>
      </c>
      <c r="AL1700" t="n">
        <v>9</v>
      </c>
      <c r="AM1700" t="n">
        <v>9</v>
      </c>
      <c r="AN1700" t="n">
        <v>2</v>
      </c>
      <c r="AO1700" t="n">
        <v>2</v>
      </c>
      <c r="AP1700" t="inlineStr">
        <is>
          <t>No</t>
        </is>
      </c>
      <c r="AQ1700" t="inlineStr">
        <is>
          <t>Yes</t>
        </is>
      </c>
      <c r="AR1700">
        <f>HYPERLINK("http://catalog.hathitrust.org/Record/004044083","HathiTrust Record")</f>
        <v/>
      </c>
      <c r="AS1700">
        <f>HYPERLINK("https://creighton-primo.hosted.exlibrisgroup.com/primo-explore/search?tab=default_tab&amp;search_scope=EVERYTHING&amp;vid=01CRU&amp;lang=en_US&amp;offset=0&amp;query=any,contains,991002920959702656","Catalog Record")</f>
        <v/>
      </c>
      <c r="AT1700">
        <f>HYPERLINK("http://www.worldcat.org/oclc/38752901","WorldCat Record")</f>
        <v/>
      </c>
      <c r="AU1700" t="inlineStr">
        <is>
          <t>27779892:eng</t>
        </is>
      </c>
      <c r="AV1700" t="inlineStr">
        <is>
          <t>38752901</t>
        </is>
      </c>
      <c r="AW1700" t="inlineStr">
        <is>
          <t>991002920959702656</t>
        </is>
      </c>
      <c r="AX1700" t="inlineStr">
        <is>
          <t>991002920959702656</t>
        </is>
      </c>
      <c r="AY1700" t="inlineStr">
        <is>
          <t>2269311740002656</t>
        </is>
      </c>
      <c r="AZ1700" t="inlineStr">
        <is>
          <t>BOOK</t>
        </is>
      </c>
      <c r="BB1700" t="inlineStr">
        <is>
          <t>9780684808437</t>
        </is>
      </c>
      <c r="BC1700" t="inlineStr">
        <is>
          <t>32285003467031</t>
        </is>
      </c>
      <c r="BD1700" t="inlineStr">
        <is>
          <t>893692172</t>
        </is>
      </c>
    </row>
    <row r="1701">
      <c r="A1701" t="inlineStr">
        <is>
          <t>No</t>
        </is>
      </c>
      <c r="B1701" t="inlineStr">
        <is>
          <t>E748.A15 M3 1993</t>
        </is>
      </c>
      <c r="C1701" t="inlineStr">
        <is>
          <t>0                      E  0748000A  15                 M  3           1993</t>
        </is>
      </c>
      <c r="D1701" t="inlineStr">
        <is>
          <t>Controlling the waves : Dean Acheson and U.S. foreign policy in Asia / Ronald L. McGlothlen.</t>
        </is>
      </c>
      <c r="F1701" t="inlineStr">
        <is>
          <t>No</t>
        </is>
      </c>
      <c r="G1701" t="inlineStr">
        <is>
          <t>1</t>
        </is>
      </c>
      <c r="H1701" t="inlineStr">
        <is>
          <t>No</t>
        </is>
      </c>
      <c r="I1701" t="inlineStr">
        <is>
          <t>No</t>
        </is>
      </c>
      <c r="J1701" t="inlineStr">
        <is>
          <t>0</t>
        </is>
      </c>
      <c r="K1701" t="inlineStr">
        <is>
          <t>McGlothlen, Ronald L.</t>
        </is>
      </c>
      <c r="L1701" t="inlineStr">
        <is>
          <t>New York : Norton, 1993.</t>
        </is>
      </c>
      <c r="M1701" t="inlineStr">
        <is>
          <t>1993</t>
        </is>
      </c>
      <c r="N1701" t="inlineStr">
        <is>
          <t>1st ed.</t>
        </is>
      </c>
      <c r="O1701" t="inlineStr">
        <is>
          <t>eng</t>
        </is>
      </c>
      <c r="P1701" t="inlineStr">
        <is>
          <t>nyu</t>
        </is>
      </c>
      <c r="R1701" t="inlineStr">
        <is>
          <t xml:space="preserve">E  </t>
        </is>
      </c>
      <c r="S1701" t="n">
        <v>2</v>
      </c>
      <c r="T1701" t="n">
        <v>2</v>
      </c>
      <c r="U1701" t="inlineStr">
        <is>
          <t>1994-02-24</t>
        </is>
      </c>
      <c r="V1701" t="inlineStr">
        <is>
          <t>1994-02-24</t>
        </is>
      </c>
      <c r="W1701" t="inlineStr">
        <is>
          <t>1993-08-20</t>
        </is>
      </c>
      <c r="X1701" t="inlineStr">
        <is>
          <t>1993-08-20</t>
        </is>
      </c>
      <c r="Y1701" t="n">
        <v>575</v>
      </c>
      <c r="Z1701" t="n">
        <v>486</v>
      </c>
      <c r="AA1701" t="n">
        <v>491</v>
      </c>
      <c r="AB1701" t="n">
        <v>4</v>
      </c>
      <c r="AC1701" t="n">
        <v>4</v>
      </c>
      <c r="AD1701" t="n">
        <v>29</v>
      </c>
      <c r="AE1701" t="n">
        <v>29</v>
      </c>
      <c r="AF1701" t="n">
        <v>13</v>
      </c>
      <c r="AG1701" t="n">
        <v>13</v>
      </c>
      <c r="AH1701" t="n">
        <v>8</v>
      </c>
      <c r="AI1701" t="n">
        <v>8</v>
      </c>
      <c r="AJ1701" t="n">
        <v>14</v>
      </c>
      <c r="AK1701" t="n">
        <v>14</v>
      </c>
      <c r="AL1701" t="n">
        <v>3</v>
      </c>
      <c r="AM1701" t="n">
        <v>3</v>
      </c>
      <c r="AN1701" t="n">
        <v>0</v>
      </c>
      <c r="AO1701" t="n">
        <v>0</v>
      </c>
      <c r="AP1701" t="inlineStr">
        <is>
          <t>No</t>
        </is>
      </c>
      <c r="AQ1701" t="inlineStr">
        <is>
          <t>No</t>
        </is>
      </c>
      <c r="AS1701">
        <f>HYPERLINK("https://creighton-primo.hosted.exlibrisgroup.com/primo-explore/search?tab=default_tab&amp;search_scope=EVERYTHING&amp;vid=01CRU&amp;lang=en_US&amp;offset=0&amp;query=any,contains,991002105079702656","Catalog Record")</f>
        <v/>
      </c>
      <c r="AT1701">
        <f>HYPERLINK("http://www.worldcat.org/oclc/27012095","WorldCat Record")</f>
        <v/>
      </c>
      <c r="AU1701" t="inlineStr">
        <is>
          <t>836876199:eng</t>
        </is>
      </c>
      <c r="AV1701" t="inlineStr">
        <is>
          <t>27012095</t>
        </is>
      </c>
      <c r="AW1701" t="inlineStr">
        <is>
          <t>991002105079702656</t>
        </is>
      </c>
      <c r="AX1701" t="inlineStr">
        <is>
          <t>991002105079702656</t>
        </is>
      </c>
      <c r="AY1701" t="inlineStr">
        <is>
          <t>2258780260002656</t>
        </is>
      </c>
      <c r="AZ1701" t="inlineStr">
        <is>
          <t>BOOK</t>
        </is>
      </c>
      <c r="BB1701" t="inlineStr">
        <is>
          <t>9780393035209</t>
        </is>
      </c>
      <c r="BC1701" t="inlineStr">
        <is>
          <t>32285001727709</t>
        </is>
      </c>
      <c r="BD1701" t="inlineStr">
        <is>
          <t>893603204</t>
        </is>
      </c>
    </row>
    <row r="1702">
      <c r="A1702" t="inlineStr">
        <is>
          <t>No</t>
        </is>
      </c>
      <c r="B1702" t="inlineStr">
        <is>
          <t>E748.A15 M32</t>
        </is>
      </c>
      <c r="C1702" t="inlineStr">
        <is>
          <t>0                      E  0748000A  15                 M  32</t>
        </is>
      </c>
      <c r="D1702" t="inlineStr">
        <is>
          <t>Dean Acheson : the State Department years / by David S. McLellan.</t>
        </is>
      </c>
      <c r="F1702" t="inlineStr">
        <is>
          <t>No</t>
        </is>
      </c>
      <c r="G1702" t="inlineStr">
        <is>
          <t>1</t>
        </is>
      </c>
      <c r="H1702" t="inlineStr">
        <is>
          <t>No</t>
        </is>
      </c>
      <c r="I1702" t="inlineStr">
        <is>
          <t>No</t>
        </is>
      </c>
      <c r="J1702" t="inlineStr">
        <is>
          <t>0</t>
        </is>
      </c>
      <c r="K1702" t="inlineStr">
        <is>
          <t>McLellan, David S.</t>
        </is>
      </c>
      <c r="L1702" t="inlineStr">
        <is>
          <t>New York : Dodd, Mead &amp; Co., c1976.</t>
        </is>
      </c>
      <c r="M1702" t="inlineStr">
        <is>
          <t>1976</t>
        </is>
      </c>
      <c r="O1702" t="inlineStr">
        <is>
          <t>eng</t>
        </is>
      </c>
      <c r="P1702" t="inlineStr">
        <is>
          <t>nyu</t>
        </is>
      </c>
      <c r="R1702" t="inlineStr">
        <is>
          <t xml:space="preserve">E  </t>
        </is>
      </c>
      <c r="S1702" t="n">
        <v>4</v>
      </c>
      <c r="T1702" t="n">
        <v>4</v>
      </c>
      <c r="U1702" t="inlineStr">
        <is>
          <t>2000-02-15</t>
        </is>
      </c>
      <c r="V1702" t="inlineStr">
        <is>
          <t>2000-02-15</t>
        </is>
      </c>
      <c r="W1702" t="inlineStr">
        <is>
          <t>1997-04-24</t>
        </is>
      </c>
      <c r="X1702" t="inlineStr">
        <is>
          <t>1997-04-24</t>
        </is>
      </c>
      <c r="Y1702" t="n">
        <v>1160</v>
      </c>
      <c r="Z1702" t="n">
        <v>1031</v>
      </c>
      <c r="AA1702" t="n">
        <v>1038</v>
      </c>
      <c r="AB1702" t="n">
        <v>7</v>
      </c>
      <c r="AC1702" t="n">
        <v>7</v>
      </c>
      <c r="AD1702" t="n">
        <v>43</v>
      </c>
      <c r="AE1702" t="n">
        <v>43</v>
      </c>
      <c r="AF1702" t="n">
        <v>18</v>
      </c>
      <c r="AG1702" t="n">
        <v>18</v>
      </c>
      <c r="AH1702" t="n">
        <v>9</v>
      </c>
      <c r="AI1702" t="n">
        <v>9</v>
      </c>
      <c r="AJ1702" t="n">
        <v>15</v>
      </c>
      <c r="AK1702" t="n">
        <v>15</v>
      </c>
      <c r="AL1702" t="n">
        <v>5</v>
      </c>
      <c r="AM1702" t="n">
        <v>5</v>
      </c>
      <c r="AN1702" t="n">
        <v>3</v>
      </c>
      <c r="AO1702" t="n">
        <v>3</v>
      </c>
      <c r="AP1702" t="inlineStr">
        <is>
          <t>No</t>
        </is>
      </c>
      <c r="AQ1702" t="inlineStr">
        <is>
          <t>Yes</t>
        </is>
      </c>
      <c r="AR1702">
        <f>HYPERLINK("http://catalog.hathitrust.org/Record/000715521","HathiTrust Record")</f>
        <v/>
      </c>
      <c r="AS1702">
        <f>HYPERLINK("https://creighton-primo.hosted.exlibrisgroup.com/primo-explore/search?tab=default_tab&amp;search_scope=EVERYTHING&amp;vid=01CRU&amp;lang=en_US&amp;offset=0&amp;query=any,contains,991004020899702656","Catalog Record")</f>
        <v/>
      </c>
      <c r="AT1702">
        <f>HYPERLINK("http://www.worldcat.org/oclc/2121441","WorldCat Record")</f>
        <v/>
      </c>
      <c r="AU1702" t="inlineStr">
        <is>
          <t>4012227:eng</t>
        </is>
      </c>
      <c r="AV1702" t="inlineStr">
        <is>
          <t>2121441</t>
        </is>
      </c>
      <c r="AW1702" t="inlineStr">
        <is>
          <t>991004020899702656</t>
        </is>
      </c>
      <c r="AX1702" t="inlineStr">
        <is>
          <t>991004020899702656</t>
        </is>
      </c>
      <c r="AY1702" t="inlineStr">
        <is>
          <t>2267100280002656</t>
        </is>
      </c>
      <c r="AZ1702" t="inlineStr">
        <is>
          <t>BOOK</t>
        </is>
      </c>
      <c r="BB1702" t="inlineStr">
        <is>
          <t>9780396073130</t>
        </is>
      </c>
      <c r="BC1702" t="inlineStr">
        <is>
          <t>32285002563699</t>
        </is>
      </c>
      <c r="BD1702" t="inlineStr">
        <is>
          <t>893349516</t>
        </is>
      </c>
    </row>
    <row r="1703">
      <c r="A1703" t="inlineStr">
        <is>
          <t>No</t>
        </is>
      </c>
      <c r="B1703" t="inlineStr">
        <is>
          <t>E748.B265 B4</t>
        </is>
      </c>
      <c r="C1703" t="inlineStr">
        <is>
          <t>0                      E  0748000B  265                B  4</t>
        </is>
      </c>
      <c r="D1703" t="inlineStr">
        <is>
          <t>Newton D. Baker and the American War effort, 1917-1919 [by] Daniel R. Beaver.</t>
        </is>
      </c>
      <c r="F1703" t="inlineStr">
        <is>
          <t>No</t>
        </is>
      </c>
      <c r="G1703" t="inlineStr">
        <is>
          <t>1</t>
        </is>
      </c>
      <c r="H1703" t="inlineStr">
        <is>
          <t>No</t>
        </is>
      </c>
      <c r="I1703" t="inlineStr">
        <is>
          <t>No</t>
        </is>
      </c>
      <c r="J1703" t="inlineStr">
        <is>
          <t>0</t>
        </is>
      </c>
      <c r="K1703" t="inlineStr">
        <is>
          <t>Beaver, Daniel R.</t>
        </is>
      </c>
      <c r="L1703" t="inlineStr">
        <is>
          <t>Lincoln, University of Nebraska Press [1966]</t>
        </is>
      </c>
      <c r="M1703" t="inlineStr">
        <is>
          <t>1966</t>
        </is>
      </c>
      <c r="O1703" t="inlineStr">
        <is>
          <t>eng</t>
        </is>
      </c>
      <c r="P1703" t="inlineStr">
        <is>
          <t>nbu</t>
        </is>
      </c>
      <c r="R1703" t="inlineStr">
        <is>
          <t xml:space="preserve">E  </t>
        </is>
      </c>
      <c r="S1703" t="n">
        <v>1</v>
      </c>
      <c r="T1703" t="n">
        <v>1</v>
      </c>
      <c r="U1703" t="inlineStr">
        <is>
          <t>1997-05-20</t>
        </is>
      </c>
      <c r="V1703" t="inlineStr">
        <is>
          <t>1997-05-20</t>
        </is>
      </c>
      <c r="W1703" t="inlineStr">
        <is>
          <t>1997-04-24</t>
        </is>
      </c>
      <c r="X1703" t="inlineStr">
        <is>
          <t>1997-04-24</t>
        </is>
      </c>
      <c r="Y1703" t="n">
        <v>690</v>
      </c>
      <c r="Z1703" t="n">
        <v>630</v>
      </c>
      <c r="AA1703" t="n">
        <v>632</v>
      </c>
      <c r="AB1703" t="n">
        <v>13</v>
      </c>
      <c r="AC1703" t="n">
        <v>13</v>
      </c>
      <c r="AD1703" t="n">
        <v>34</v>
      </c>
      <c r="AE1703" t="n">
        <v>34</v>
      </c>
      <c r="AF1703" t="n">
        <v>12</v>
      </c>
      <c r="AG1703" t="n">
        <v>12</v>
      </c>
      <c r="AH1703" t="n">
        <v>7</v>
      </c>
      <c r="AI1703" t="n">
        <v>7</v>
      </c>
      <c r="AJ1703" t="n">
        <v>14</v>
      </c>
      <c r="AK1703" t="n">
        <v>14</v>
      </c>
      <c r="AL1703" t="n">
        <v>9</v>
      </c>
      <c r="AM1703" t="n">
        <v>9</v>
      </c>
      <c r="AN1703" t="n">
        <v>0</v>
      </c>
      <c r="AO1703" t="n">
        <v>0</v>
      </c>
      <c r="AP1703" t="inlineStr">
        <is>
          <t>No</t>
        </is>
      </c>
      <c r="AQ1703" t="inlineStr">
        <is>
          <t>Yes</t>
        </is>
      </c>
      <c r="AR1703">
        <f>HYPERLINK("http://catalog.hathitrust.org/Record/000467263","HathiTrust Record")</f>
        <v/>
      </c>
      <c r="AS1703">
        <f>HYPERLINK("https://creighton-primo.hosted.exlibrisgroup.com/primo-explore/search?tab=default_tab&amp;search_scope=EVERYTHING&amp;vid=01CRU&amp;lang=en_US&amp;offset=0&amp;query=any,contains,991002813579702656","Catalog Record")</f>
        <v/>
      </c>
      <c r="AT1703">
        <f>HYPERLINK("http://www.worldcat.org/oclc/456987","WorldCat Record")</f>
        <v/>
      </c>
      <c r="AU1703" t="inlineStr">
        <is>
          <t>366888756:eng</t>
        </is>
      </c>
      <c r="AV1703" t="inlineStr">
        <is>
          <t>456987</t>
        </is>
      </c>
      <c r="AW1703" t="inlineStr">
        <is>
          <t>991002813579702656</t>
        </is>
      </c>
      <c r="AX1703" t="inlineStr">
        <is>
          <t>991002813579702656</t>
        </is>
      </c>
      <c r="AY1703" t="inlineStr">
        <is>
          <t>2262985970002656</t>
        </is>
      </c>
      <c r="AZ1703" t="inlineStr">
        <is>
          <t>BOOK</t>
        </is>
      </c>
      <c r="BC1703" t="inlineStr">
        <is>
          <t>32285002563715</t>
        </is>
      </c>
      <c r="BD1703" t="inlineStr">
        <is>
          <t>893233449</t>
        </is>
      </c>
    </row>
    <row r="1704">
      <c r="A1704" t="inlineStr">
        <is>
          <t>No</t>
        </is>
      </c>
      <c r="B1704" t="inlineStr">
        <is>
          <t>E748.B265 C7</t>
        </is>
      </c>
      <c r="C1704" t="inlineStr">
        <is>
          <t>0                      E  0748000B  265                C  7</t>
        </is>
      </c>
      <c r="D1704" t="inlineStr">
        <is>
          <t>Newton D. Baker, a biography.</t>
        </is>
      </c>
      <c r="F1704" t="inlineStr">
        <is>
          <t>No</t>
        </is>
      </c>
      <c r="G1704" t="inlineStr">
        <is>
          <t>1</t>
        </is>
      </c>
      <c r="H1704" t="inlineStr">
        <is>
          <t>No</t>
        </is>
      </c>
      <c r="I1704" t="inlineStr">
        <is>
          <t>No</t>
        </is>
      </c>
      <c r="J1704" t="inlineStr">
        <is>
          <t>0</t>
        </is>
      </c>
      <c r="K1704" t="inlineStr">
        <is>
          <t>Cramer, C. H. (Clarence Henley), 1905-1982.</t>
        </is>
      </c>
      <c r="L1704" t="inlineStr">
        <is>
          <t>Cleveland, World Pub. Co. [1961]</t>
        </is>
      </c>
      <c r="M1704" t="inlineStr">
        <is>
          <t>1961</t>
        </is>
      </c>
      <c r="N1704" t="inlineStr">
        <is>
          <t>[1st ed.]</t>
        </is>
      </c>
      <c r="O1704" t="inlineStr">
        <is>
          <t>eng</t>
        </is>
      </c>
      <c r="P1704" t="inlineStr">
        <is>
          <t>ohu</t>
        </is>
      </c>
      <c r="R1704" t="inlineStr">
        <is>
          <t xml:space="preserve">E  </t>
        </is>
      </c>
      <c r="S1704" t="n">
        <v>2</v>
      </c>
      <c r="T1704" t="n">
        <v>2</v>
      </c>
      <c r="U1704" t="inlineStr">
        <is>
          <t>1997-05-20</t>
        </is>
      </c>
      <c r="V1704" t="inlineStr">
        <is>
          <t>1997-05-20</t>
        </is>
      </c>
      <c r="W1704" t="inlineStr">
        <is>
          <t>1997-04-24</t>
        </is>
      </c>
      <c r="X1704" t="inlineStr">
        <is>
          <t>1997-04-24</t>
        </is>
      </c>
      <c r="Y1704" t="n">
        <v>644</v>
      </c>
      <c r="Z1704" t="n">
        <v>605</v>
      </c>
      <c r="AA1704" t="n">
        <v>641</v>
      </c>
      <c r="AB1704" t="n">
        <v>6</v>
      </c>
      <c r="AC1704" t="n">
        <v>6</v>
      </c>
      <c r="AD1704" t="n">
        <v>37</v>
      </c>
      <c r="AE1704" t="n">
        <v>39</v>
      </c>
      <c r="AF1704" t="n">
        <v>15</v>
      </c>
      <c r="AG1704" t="n">
        <v>15</v>
      </c>
      <c r="AH1704" t="n">
        <v>4</v>
      </c>
      <c r="AI1704" t="n">
        <v>6</v>
      </c>
      <c r="AJ1704" t="n">
        <v>17</v>
      </c>
      <c r="AK1704" t="n">
        <v>19</v>
      </c>
      <c r="AL1704" t="n">
        <v>5</v>
      </c>
      <c r="AM1704" t="n">
        <v>5</v>
      </c>
      <c r="AN1704" t="n">
        <v>3</v>
      </c>
      <c r="AO1704" t="n">
        <v>3</v>
      </c>
      <c r="AP1704" t="inlineStr">
        <is>
          <t>Yes</t>
        </is>
      </c>
      <c r="AQ1704" t="inlineStr">
        <is>
          <t>No</t>
        </is>
      </c>
      <c r="AR1704">
        <f>HYPERLINK("http://catalog.hathitrust.org/Record/000467258","HathiTrust Record")</f>
        <v/>
      </c>
      <c r="AS1704">
        <f>HYPERLINK("https://creighton-primo.hosted.exlibrisgroup.com/primo-explore/search?tab=default_tab&amp;search_scope=EVERYTHING&amp;vid=01CRU&amp;lang=en_US&amp;offset=0&amp;query=any,contains,991002984309702656","Catalog Record")</f>
        <v/>
      </c>
      <c r="AT1704">
        <f>HYPERLINK("http://www.worldcat.org/oclc/556685","WorldCat Record")</f>
        <v/>
      </c>
      <c r="AU1704" t="inlineStr">
        <is>
          <t>14754657:eng</t>
        </is>
      </c>
      <c r="AV1704" t="inlineStr">
        <is>
          <t>556685</t>
        </is>
      </c>
      <c r="AW1704" t="inlineStr">
        <is>
          <t>991002984309702656</t>
        </is>
      </c>
      <c r="AX1704" t="inlineStr">
        <is>
          <t>991002984309702656</t>
        </is>
      </c>
      <c r="AY1704" t="inlineStr">
        <is>
          <t>2259866340002656</t>
        </is>
      </c>
      <c r="AZ1704" t="inlineStr">
        <is>
          <t>BOOK</t>
        </is>
      </c>
      <c r="BC1704" t="inlineStr">
        <is>
          <t>32285002563723</t>
        </is>
      </c>
      <c r="BD1704" t="inlineStr">
        <is>
          <t>893622995</t>
        </is>
      </c>
    </row>
    <row r="1705">
      <c r="A1705" t="inlineStr">
        <is>
          <t>No</t>
        </is>
      </c>
      <c r="B1705" t="inlineStr">
        <is>
          <t>E748.B5 M67 1985</t>
        </is>
      </c>
      <c r="C1705" t="inlineStr">
        <is>
          <t>0                      E  0748000B  5                  M  67          1985</t>
        </is>
      </c>
      <c r="D1705" t="inlineStr">
        <is>
          <t>Redneck liberal : Theodore G. Bilbo and the New Deal / Chester M. Morgan.</t>
        </is>
      </c>
      <c r="F1705" t="inlineStr">
        <is>
          <t>No</t>
        </is>
      </c>
      <c r="G1705" t="inlineStr">
        <is>
          <t>1</t>
        </is>
      </c>
      <c r="H1705" t="inlineStr">
        <is>
          <t>No</t>
        </is>
      </c>
      <c r="I1705" t="inlineStr">
        <is>
          <t>No</t>
        </is>
      </c>
      <c r="J1705" t="inlineStr">
        <is>
          <t>0</t>
        </is>
      </c>
      <c r="K1705" t="inlineStr">
        <is>
          <t>Morgan, Chester M.</t>
        </is>
      </c>
      <c r="L1705" t="inlineStr">
        <is>
          <t>Baton Rouge : Louisiana State University Press, c1985.</t>
        </is>
      </c>
      <c r="M1705" t="inlineStr">
        <is>
          <t>1985</t>
        </is>
      </c>
      <c r="O1705" t="inlineStr">
        <is>
          <t>eng</t>
        </is>
      </c>
      <c r="P1705" t="inlineStr">
        <is>
          <t>lau</t>
        </is>
      </c>
      <c r="R1705" t="inlineStr">
        <is>
          <t xml:space="preserve">E  </t>
        </is>
      </c>
      <c r="S1705" t="n">
        <v>0</v>
      </c>
      <c r="T1705" t="n">
        <v>0</v>
      </c>
      <c r="U1705" t="inlineStr">
        <is>
          <t>2001-10-31</t>
        </is>
      </c>
      <c r="V1705" t="inlineStr">
        <is>
          <t>2001-10-31</t>
        </is>
      </c>
      <c r="W1705" t="inlineStr">
        <is>
          <t>1990-04-04</t>
        </is>
      </c>
      <c r="X1705" t="inlineStr">
        <is>
          <t>1990-04-04</t>
        </is>
      </c>
      <c r="Y1705" t="n">
        <v>497</v>
      </c>
      <c r="Z1705" t="n">
        <v>455</v>
      </c>
      <c r="AA1705" t="n">
        <v>612</v>
      </c>
      <c r="AB1705" t="n">
        <v>4</v>
      </c>
      <c r="AC1705" t="n">
        <v>6</v>
      </c>
      <c r="AD1705" t="n">
        <v>22</v>
      </c>
      <c r="AE1705" t="n">
        <v>33</v>
      </c>
      <c r="AF1705" t="n">
        <v>9</v>
      </c>
      <c r="AG1705" t="n">
        <v>14</v>
      </c>
      <c r="AH1705" t="n">
        <v>6</v>
      </c>
      <c r="AI1705" t="n">
        <v>8</v>
      </c>
      <c r="AJ1705" t="n">
        <v>10</v>
      </c>
      <c r="AK1705" t="n">
        <v>15</v>
      </c>
      <c r="AL1705" t="n">
        <v>3</v>
      </c>
      <c r="AM1705" t="n">
        <v>5</v>
      </c>
      <c r="AN1705" t="n">
        <v>0</v>
      </c>
      <c r="AO1705" t="n">
        <v>0</v>
      </c>
      <c r="AP1705" t="inlineStr">
        <is>
          <t>No</t>
        </is>
      </c>
      <c r="AQ1705" t="inlineStr">
        <is>
          <t>No</t>
        </is>
      </c>
      <c r="AS1705">
        <f>HYPERLINK("https://creighton-primo.hosted.exlibrisgroup.com/primo-explore/search?tab=default_tab&amp;search_scope=EVERYTHING&amp;vid=01CRU&amp;lang=en_US&amp;offset=0&amp;query=any,contains,991000630769702656","Catalog Record")</f>
        <v/>
      </c>
      <c r="AT1705">
        <f>HYPERLINK("http://www.worldcat.org/oclc/12052289","WorldCat Record")</f>
        <v/>
      </c>
      <c r="AU1705" t="inlineStr">
        <is>
          <t>4376085:eng</t>
        </is>
      </c>
      <c r="AV1705" t="inlineStr">
        <is>
          <t>12052289</t>
        </is>
      </c>
      <c r="AW1705" t="inlineStr">
        <is>
          <t>991000630769702656</t>
        </is>
      </c>
      <c r="AX1705" t="inlineStr">
        <is>
          <t>991000630769702656</t>
        </is>
      </c>
      <c r="AY1705" t="inlineStr">
        <is>
          <t>2258239090002656</t>
        </is>
      </c>
      <c r="AZ1705" t="inlineStr">
        <is>
          <t>BOOK</t>
        </is>
      </c>
      <c r="BB1705" t="inlineStr">
        <is>
          <t>9780807112434</t>
        </is>
      </c>
      <c r="BC1705" t="inlineStr">
        <is>
          <t>32285000110873</t>
        </is>
      </c>
      <c r="BD1705" t="inlineStr">
        <is>
          <t>893339735</t>
        </is>
      </c>
    </row>
    <row r="1706">
      <c r="A1706" t="inlineStr">
        <is>
          <t>No</t>
        </is>
      </c>
      <c r="B1706" t="inlineStr">
        <is>
          <t>E748.C15 A33</t>
        </is>
      </c>
      <c r="C1706" t="inlineStr">
        <is>
          <t>0                      E  0748000C  15                 A  33</t>
        </is>
      </c>
      <c r="D1706" t="inlineStr">
        <is>
          <t>First line of defense : forty years' experiences of a career diplomat / John Moors Cabot.</t>
        </is>
      </c>
      <c r="F1706" t="inlineStr">
        <is>
          <t>No</t>
        </is>
      </c>
      <c r="G1706" t="inlineStr">
        <is>
          <t>1</t>
        </is>
      </c>
      <c r="H1706" t="inlineStr">
        <is>
          <t>No</t>
        </is>
      </c>
      <c r="I1706" t="inlineStr">
        <is>
          <t>No</t>
        </is>
      </c>
      <c r="J1706" t="inlineStr">
        <is>
          <t>0</t>
        </is>
      </c>
      <c r="K1706" t="inlineStr">
        <is>
          <t>Cabot, John M. (John Moors), 1901-1981.</t>
        </is>
      </c>
      <c r="L1706" t="inlineStr">
        <is>
          <t>[Washington] : School of Foreign Service, Georgetown University, [1979?]</t>
        </is>
      </c>
      <c r="M1706" t="inlineStr">
        <is>
          <t>1979</t>
        </is>
      </c>
      <c r="O1706" t="inlineStr">
        <is>
          <t>eng</t>
        </is>
      </c>
      <c r="P1706" t="inlineStr">
        <is>
          <t>dcu</t>
        </is>
      </c>
      <c r="R1706" t="inlineStr">
        <is>
          <t xml:space="preserve">E  </t>
        </is>
      </c>
      <c r="S1706" t="n">
        <v>1</v>
      </c>
      <c r="T1706" t="n">
        <v>1</v>
      </c>
      <c r="U1706" t="inlineStr">
        <is>
          <t>1997-11-10</t>
        </is>
      </c>
      <c r="V1706" t="inlineStr">
        <is>
          <t>1997-11-10</t>
        </is>
      </c>
      <c r="W1706" t="inlineStr">
        <is>
          <t>1991-05-30</t>
        </is>
      </c>
      <c r="X1706" t="inlineStr">
        <is>
          <t>1991-05-30</t>
        </is>
      </c>
      <c r="Y1706" t="n">
        <v>140</v>
      </c>
      <c r="Z1706" t="n">
        <v>124</v>
      </c>
      <c r="AA1706" t="n">
        <v>126</v>
      </c>
      <c r="AB1706" t="n">
        <v>1</v>
      </c>
      <c r="AC1706" t="n">
        <v>1</v>
      </c>
      <c r="AD1706" t="n">
        <v>8</v>
      </c>
      <c r="AE1706" t="n">
        <v>8</v>
      </c>
      <c r="AF1706" t="n">
        <v>0</v>
      </c>
      <c r="AG1706" t="n">
        <v>0</v>
      </c>
      <c r="AH1706" t="n">
        <v>1</v>
      </c>
      <c r="AI1706" t="n">
        <v>1</v>
      </c>
      <c r="AJ1706" t="n">
        <v>8</v>
      </c>
      <c r="AK1706" t="n">
        <v>8</v>
      </c>
      <c r="AL1706" t="n">
        <v>0</v>
      </c>
      <c r="AM1706" t="n">
        <v>0</v>
      </c>
      <c r="AN1706" t="n">
        <v>0</v>
      </c>
      <c r="AO1706" t="n">
        <v>0</v>
      </c>
      <c r="AP1706" t="inlineStr">
        <is>
          <t>No</t>
        </is>
      </c>
      <c r="AQ1706" t="inlineStr">
        <is>
          <t>No</t>
        </is>
      </c>
      <c r="AS1706">
        <f>HYPERLINK("https://creighton-primo.hosted.exlibrisgroup.com/primo-explore/search?tab=default_tab&amp;search_scope=EVERYTHING&amp;vid=01CRU&amp;lang=en_US&amp;offset=0&amp;query=any,contains,991004894009702656","Catalog Record")</f>
        <v/>
      </c>
      <c r="AT1706">
        <f>HYPERLINK("http://www.worldcat.org/oclc/5890145","WorldCat Record")</f>
        <v/>
      </c>
      <c r="AU1706" t="inlineStr">
        <is>
          <t>20279673:eng</t>
        </is>
      </c>
      <c r="AV1706" t="inlineStr">
        <is>
          <t>5890145</t>
        </is>
      </c>
      <c r="AW1706" t="inlineStr">
        <is>
          <t>991004894009702656</t>
        </is>
      </c>
      <c r="AX1706" t="inlineStr">
        <is>
          <t>991004894009702656</t>
        </is>
      </c>
      <c r="AY1706" t="inlineStr">
        <is>
          <t>2262000800002656</t>
        </is>
      </c>
      <c r="AZ1706" t="inlineStr">
        <is>
          <t>BOOK</t>
        </is>
      </c>
      <c r="BC1706" t="inlineStr">
        <is>
          <t>32285000613017</t>
        </is>
      </c>
      <c r="BD1706" t="inlineStr">
        <is>
          <t>893254197</t>
        </is>
      </c>
    </row>
    <row r="1707">
      <c r="A1707" t="inlineStr">
        <is>
          <t>No</t>
        </is>
      </c>
      <c r="B1707" t="inlineStr">
        <is>
          <t>E748.C59 A38</t>
        </is>
      </c>
      <c r="C1707" t="inlineStr">
        <is>
          <t>0                      E  0748000C  59                 A  38</t>
        </is>
      </c>
      <c r="D1707" t="inlineStr">
        <is>
          <t>The witness and I [by] O. Edmund Clubb.</t>
        </is>
      </c>
      <c r="F1707" t="inlineStr">
        <is>
          <t>No</t>
        </is>
      </c>
      <c r="G1707" t="inlineStr">
        <is>
          <t>1</t>
        </is>
      </c>
      <c r="H1707" t="inlineStr">
        <is>
          <t>No</t>
        </is>
      </c>
      <c r="I1707" t="inlineStr">
        <is>
          <t>No</t>
        </is>
      </c>
      <c r="J1707" t="inlineStr">
        <is>
          <t>0</t>
        </is>
      </c>
      <c r="K1707" t="inlineStr">
        <is>
          <t>Clubb, O. Edmund (Oliver Edmund), 1901-1989.</t>
        </is>
      </c>
      <c r="L1707" t="inlineStr">
        <is>
          <t>New York, Columbia University Press, 1974 [c1975]</t>
        </is>
      </c>
      <c r="M1707" t="inlineStr">
        <is>
          <t>1974</t>
        </is>
      </c>
      <c r="O1707" t="inlineStr">
        <is>
          <t>eng</t>
        </is>
      </c>
      <c r="P1707" t="inlineStr">
        <is>
          <t>nyu</t>
        </is>
      </c>
      <c r="R1707" t="inlineStr">
        <is>
          <t xml:space="preserve">E  </t>
        </is>
      </c>
      <c r="S1707" t="n">
        <v>4</v>
      </c>
      <c r="T1707" t="n">
        <v>4</v>
      </c>
      <c r="U1707" t="inlineStr">
        <is>
          <t>1999-12-09</t>
        </is>
      </c>
      <c r="V1707" t="inlineStr">
        <is>
          <t>1999-12-09</t>
        </is>
      </c>
      <c r="W1707" t="inlineStr">
        <is>
          <t>1997-04-24</t>
        </is>
      </c>
      <c r="X1707" t="inlineStr">
        <is>
          <t>1997-04-24</t>
        </is>
      </c>
      <c r="Y1707" t="n">
        <v>841</v>
      </c>
      <c r="Z1707" t="n">
        <v>756</v>
      </c>
      <c r="AA1707" t="n">
        <v>763</v>
      </c>
      <c r="AB1707" t="n">
        <v>6</v>
      </c>
      <c r="AC1707" t="n">
        <v>6</v>
      </c>
      <c r="AD1707" t="n">
        <v>36</v>
      </c>
      <c r="AE1707" t="n">
        <v>36</v>
      </c>
      <c r="AF1707" t="n">
        <v>11</v>
      </c>
      <c r="AG1707" t="n">
        <v>11</v>
      </c>
      <c r="AH1707" t="n">
        <v>8</v>
      </c>
      <c r="AI1707" t="n">
        <v>8</v>
      </c>
      <c r="AJ1707" t="n">
        <v>18</v>
      </c>
      <c r="AK1707" t="n">
        <v>18</v>
      </c>
      <c r="AL1707" t="n">
        <v>3</v>
      </c>
      <c r="AM1707" t="n">
        <v>3</v>
      </c>
      <c r="AN1707" t="n">
        <v>5</v>
      </c>
      <c r="AO1707" t="n">
        <v>5</v>
      </c>
      <c r="AP1707" t="inlineStr">
        <is>
          <t>No</t>
        </is>
      </c>
      <c r="AQ1707" t="inlineStr">
        <is>
          <t>No</t>
        </is>
      </c>
      <c r="AS1707">
        <f>HYPERLINK("https://creighton-primo.hosted.exlibrisgroup.com/primo-explore/search?tab=default_tab&amp;search_scope=EVERYTHING&amp;vid=01CRU&amp;lang=en_US&amp;offset=0&amp;query=any,contains,991003409989702656","Catalog Record")</f>
        <v/>
      </c>
      <c r="AT1707">
        <f>HYPERLINK("http://www.worldcat.org/oclc/948179","WorldCat Record")</f>
        <v/>
      </c>
      <c r="AU1707" t="inlineStr">
        <is>
          <t>571606:eng</t>
        </is>
      </c>
      <c r="AV1707" t="inlineStr">
        <is>
          <t>948179</t>
        </is>
      </c>
      <c r="AW1707" t="inlineStr">
        <is>
          <t>991003409989702656</t>
        </is>
      </c>
      <c r="AX1707" t="inlineStr">
        <is>
          <t>991003409989702656</t>
        </is>
      </c>
      <c r="AY1707" t="inlineStr">
        <is>
          <t>2264855840002656</t>
        </is>
      </c>
      <c r="AZ1707" t="inlineStr">
        <is>
          <t>BOOK</t>
        </is>
      </c>
      <c r="BB1707" t="inlineStr">
        <is>
          <t>9780231038591</t>
        </is>
      </c>
      <c r="BC1707" t="inlineStr">
        <is>
          <t>32285002563889</t>
        </is>
      </c>
      <c r="BD1707" t="inlineStr">
        <is>
          <t>893692700</t>
        </is>
      </c>
    </row>
    <row r="1708">
      <c r="A1708" t="inlineStr">
        <is>
          <t>No</t>
        </is>
      </c>
      <c r="B1708" t="inlineStr">
        <is>
          <t>E748.C937 A3</t>
        </is>
      </c>
      <c r="C1708" t="inlineStr">
        <is>
          <t>0                      E  0748000C  937                A  3</t>
        </is>
      </c>
      <c r="D1708" t="inlineStr">
        <is>
          <t>Rebel at large: recollections of fifty crowded years.</t>
        </is>
      </c>
      <c r="F1708" t="inlineStr">
        <is>
          <t>No</t>
        </is>
      </c>
      <c r="G1708" t="inlineStr">
        <is>
          <t>1</t>
        </is>
      </c>
      <c r="H1708" t="inlineStr">
        <is>
          <t>No</t>
        </is>
      </c>
      <c r="I1708" t="inlineStr">
        <is>
          <t>No</t>
        </is>
      </c>
      <c r="J1708" t="inlineStr">
        <is>
          <t>0</t>
        </is>
      </c>
      <c r="K1708" t="inlineStr">
        <is>
          <t>Creel, George, 1876-1953.</t>
        </is>
      </c>
      <c r="L1708" t="inlineStr">
        <is>
          <t>New York, G. P. Putnam's Sons [1947]</t>
        </is>
      </c>
      <c r="M1708" t="inlineStr">
        <is>
          <t>1947</t>
        </is>
      </c>
      <c r="O1708" t="inlineStr">
        <is>
          <t>eng</t>
        </is>
      </c>
      <c r="P1708" t="inlineStr">
        <is>
          <t>nyu</t>
        </is>
      </c>
      <c r="R1708" t="inlineStr">
        <is>
          <t xml:space="preserve">E  </t>
        </is>
      </c>
      <c r="S1708" t="n">
        <v>2</v>
      </c>
      <c r="T1708" t="n">
        <v>2</v>
      </c>
      <c r="U1708" t="inlineStr">
        <is>
          <t>1997-05-20</t>
        </is>
      </c>
      <c r="V1708" t="inlineStr">
        <is>
          <t>1997-05-20</t>
        </is>
      </c>
      <c r="W1708" t="inlineStr">
        <is>
          <t>1997-04-24</t>
        </is>
      </c>
      <c r="X1708" t="inlineStr">
        <is>
          <t>1997-04-24</t>
        </is>
      </c>
      <c r="Y1708" t="n">
        <v>622</v>
      </c>
      <c r="Z1708" t="n">
        <v>580</v>
      </c>
      <c r="AA1708" t="n">
        <v>597</v>
      </c>
      <c r="AB1708" t="n">
        <v>6</v>
      </c>
      <c r="AC1708" t="n">
        <v>6</v>
      </c>
      <c r="AD1708" t="n">
        <v>39</v>
      </c>
      <c r="AE1708" t="n">
        <v>39</v>
      </c>
      <c r="AF1708" t="n">
        <v>15</v>
      </c>
      <c r="AG1708" t="n">
        <v>15</v>
      </c>
      <c r="AH1708" t="n">
        <v>8</v>
      </c>
      <c r="AI1708" t="n">
        <v>8</v>
      </c>
      <c r="AJ1708" t="n">
        <v>20</v>
      </c>
      <c r="AK1708" t="n">
        <v>20</v>
      </c>
      <c r="AL1708" t="n">
        <v>5</v>
      </c>
      <c r="AM1708" t="n">
        <v>5</v>
      </c>
      <c r="AN1708" t="n">
        <v>1</v>
      </c>
      <c r="AO1708" t="n">
        <v>1</v>
      </c>
      <c r="AP1708" t="inlineStr">
        <is>
          <t>Yes</t>
        </is>
      </c>
      <c r="AQ1708" t="inlineStr">
        <is>
          <t>No</t>
        </is>
      </c>
      <c r="AR1708">
        <f>HYPERLINK("http://catalog.hathitrust.org/Record/000469431","HathiTrust Record")</f>
        <v/>
      </c>
      <c r="AS1708">
        <f>HYPERLINK("https://creighton-primo.hosted.exlibrisgroup.com/primo-explore/search?tab=default_tab&amp;search_scope=EVERYTHING&amp;vid=01CRU&amp;lang=en_US&amp;offset=0&amp;query=any,contains,991002812729702656","Catalog Record")</f>
        <v/>
      </c>
      <c r="AT1708">
        <f>HYPERLINK("http://www.worldcat.org/oclc/456631","WorldCat Record")</f>
        <v/>
      </c>
      <c r="AU1708" t="inlineStr">
        <is>
          <t>1468637:eng</t>
        </is>
      </c>
      <c r="AV1708" t="inlineStr">
        <is>
          <t>456631</t>
        </is>
      </c>
      <c r="AW1708" t="inlineStr">
        <is>
          <t>991002812729702656</t>
        </is>
      </c>
      <c r="AX1708" t="inlineStr">
        <is>
          <t>991002812729702656</t>
        </is>
      </c>
      <c r="AY1708" t="inlineStr">
        <is>
          <t>2260865430002656</t>
        </is>
      </c>
      <c r="AZ1708" t="inlineStr">
        <is>
          <t>BOOK</t>
        </is>
      </c>
      <c r="BC1708" t="inlineStr">
        <is>
          <t>32285002563913</t>
        </is>
      </c>
      <c r="BD1708" t="inlineStr">
        <is>
          <t>893329573</t>
        </is>
      </c>
    </row>
    <row r="1709">
      <c r="A1709" t="inlineStr">
        <is>
          <t>No</t>
        </is>
      </c>
      <c r="B1709" t="inlineStr">
        <is>
          <t>E748.D22 T55</t>
        </is>
      </c>
      <c r="C1709" t="inlineStr">
        <is>
          <t>0                      E  0748000D  22                 T  55</t>
        </is>
      </c>
      <c r="D1709" t="inlineStr">
        <is>
          <t>Portrait of an American: Charles G. Dawes.</t>
        </is>
      </c>
      <c r="F1709" t="inlineStr">
        <is>
          <t>No</t>
        </is>
      </c>
      <c r="G1709" t="inlineStr">
        <is>
          <t>1</t>
        </is>
      </c>
      <c r="H1709" t="inlineStr">
        <is>
          <t>No</t>
        </is>
      </c>
      <c r="I1709" t="inlineStr">
        <is>
          <t>No</t>
        </is>
      </c>
      <c r="J1709" t="inlineStr">
        <is>
          <t>0</t>
        </is>
      </c>
      <c r="K1709" t="inlineStr">
        <is>
          <t>Timmons, Bascom N. (Bascom Nolly), 1890-1987.</t>
        </is>
      </c>
      <c r="L1709" t="inlineStr">
        <is>
          <t>New York, Holt [1953]</t>
        </is>
      </c>
      <c r="M1709" t="inlineStr">
        <is>
          <t>1953</t>
        </is>
      </c>
      <c r="N1709" t="inlineStr">
        <is>
          <t>[1st ed.]</t>
        </is>
      </c>
      <c r="O1709" t="inlineStr">
        <is>
          <t>eng</t>
        </is>
      </c>
      <c r="P1709" t="inlineStr">
        <is>
          <t>nyu</t>
        </is>
      </c>
      <c r="R1709" t="inlineStr">
        <is>
          <t xml:space="preserve">E  </t>
        </is>
      </c>
      <c r="S1709" t="n">
        <v>1</v>
      </c>
      <c r="T1709" t="n">
        <v>1</v>
      </c>
      <c r="U1709" t="inlineStr">
        <is>
          <t>1995-01-18</t>
        </is>
      </c>
      <c r="V1709" t="inlineStr">
        <is>
          <t>1995-01-18</t>
        </is>
      </c>
      <c r="W1709" t="inlineStr">
        <is>
          <t>1990-02-01</t>
        </is>
      </c>
      <c r="X1709" t="inlineStr">
        <is>
          <t>1990-02-01</t>
        </is>
      </c>
      <c r="Y1709" t="n">
        <v>410</v>
      </c>
      <c r="Z1709" t="n">
        <v>389</v>
      </c>
      <c r="AA1709" t="n">
        <v>395</v>
      </c>
      <c r="AB1709" t="n">
        <v>7</v>
      </c>
      <c r="AC1709" t="n">
        <v>7</v>
      </c>
      <c r="AD1709" t="n">
        <v>23</v>
      </c>
      <c r="AE1709" t="n">
        <v>23</v>
      </c>
      <c r="AF1709" t="n">
        <v>8</v>
      </c>
      <c r="AG1709" t="n">
        <v>8</v>
      </c>
      <c r="AH1709" t="n">
        <v>3</v>
      </c>
      <c r="AI1709" t="n">
        <v>3</v>
      </c>
      <c r="AJ1709" t="n">
        <v>11</v>
      </c>
      <c r="AK1709" t="n">
        <v>11</v>
      </c>
      <c r="AL1709" t="n">
        <v>5</v>
      </c>
      <c r="AM1709" t="n">
        <v>5</v>
      </c>
      <c r="AN1709" t="n">
        <v>1</v>
      </c>
      <c r="AO1709" t="n">
        <v>1</v>
      </c>
      <c r="AP1709" t="inlineStr">
        <is>
          <t>No</t>
        </is>
      </c>
      <c r="AQ1709" t="inlineStr">
        <is>
          <t>No</t>
        </is>
      </c>
      <c r="AR1709">
        <f>HYPERLINK("http://catalog.hathitrust.org/Record/000468078","HathiTrust Record")</f>
        <v/>
      </c>
      <c r="AS1709">
        <f>HYPERLINK("https://creighton-primo.hosted.exlibrisgroup.com/primo-explore/search?tab=default_tab&amp;search_scope=EVERYTHING&amp;vid=01CRU&amp;lang=en_US&amp;offset=0&amp;query=any,contains,991003417819702656","Catalog Record")</f>
        <v/>
      </c>
      <c r="AT1709">
        <f>HYPERLINK("http://www.worldcat.org/oclc/959256","WorldCat Record")</f>
        <v/>
      </c>
      <c r="AU1709" t="inlineStr">
        <is>
          <t>899118742:eng</t>
        </is>
      </c>
      <c r="AV1709" t="inlineStr">
        <is>
          <t>959256</t>
        </is>
      </c>
      <c r="AW1709" t="inlineStr">
        <is>
          <t>991003417819702656</t>
        </is>
      </c>
      <c r="AX1709" t="inlineStr">
        <is>
          <t>991003417819702656</t>
        </is>
      </c>
      <c r="AY1709" t="inlineStr">
        <is>
          <t>2268753540002656</t>
        </is>
      </c>
      <c r="AZ1709" t="inlineStr">
        <is>
          <t>BOOK</t>
        </is>
      </c>
      <c r="BC1709" t="inlineStr">
        <is>
          <t>32285000031699</t>
        </is>
      </c>
      <c r="BD1709" t="inlineStr">
        <is>
          <t>893805763</t>
        </is>
      </c>
    </row>
    <row r="1710">
      <c r="A1710" t="inlineStr">
        <is>
          <t>No</t>
        </is>
      </c>
      <c r="B1710" t="inlineStr">
        <is>
          <t>E748.D557 S33 1985</t>
        </is>
      </c>
      <c r="C1710" t="inlineStr">
        <is>
          <t>0                      E  0748000D  557                S  33          1985</t>
        </is>
      </c>
      <c r="D1710" t="inlineStr">
        <is>
          <t>Dirksen of Illinois : senatorial statesman / Edward L. Schapsmeier and Frederick H. Schapsmeier.</t>
        </is>
      </c>
      <c r="F1710" t="inlineStr">
        <is>
          <t>No</t>
        </is>
      </c>
      <c r="G1710" t="inlineStr">
        <is>
          <t>1</t>
        </is>
      </c>
      <c r="H1710" t="inlineStr">
        <is>
          <t>No</t>
        </is>
      </c>
      <c r="I1710" t="inlineStr">
        <is>
          <t>No</t>
        </is>
      </c>
      <c r="J1710" t="inlineStr">
        <is>
          <t>0</t>
        </is>
      </c>
      <c r="K1710" t="inlineStr">
        <is>
          <t>Schapsmeier, Edward L.</t>
        </is>
      </c>
      <c r="L1710" t="inlineStr">
        <is>
          <t>Urbana : University of Illinois Press, c1985.</t>
        </is>
      </c>
      <c r="M1710" t="inlineStr">
        <is>
          <t>1985</t>
        </is>
      </c>
      <c r="O1710" t="inlineStr">
        <is>
          <t>eng</t>
        </is>
      </c>
      <c r="P1710" t="inlineStr">
        <is>
          <t>ilu</t>
        </is>
      </c>
      <c r="R1710" t="inlineStr">
        <is>
          <t xml:space="preserve">E  </t>
        </is>
      </c>
      <c r="S1710" t="n">
        <v>3</v>
      </c>
      <c r="T1710" t="n">
        <v>3</v>
      </c>
      <c r="U1710" t="inlineStr">
        <is>
          <t>1993-11-11</t>
        </is>
      </c>
      <c r="V1710" t="inlineStr">
        <is>
          <t>1993-11-11</t>
        </is>
      </c>
      <c r="W1710" t="inlineStr">
        <is>
          <t>1991-05-30</t>
        </is>
      </c>
      <c r="X1710" t="inlineStr">
        <is>
          <t>1991-05-30</t>
        </is>
      </c>
      <c r="Y1710" t="n">
        <v>789</v>
      </c>
      <c r="Z1710" t="n">
        <v>765</v>
      </c>
      <c r="AA1710" t="n">
        <v>766</v>
      </c>
      <c r="AB1710" t="n">
        <v>5</v>
      </c>
      <c r="AC1710" t="n">
        <v>5</v>
      </c>
      <c r="AD1710" t="n">
        <v>37</v>
      </c>
      <c r="AE1710" t="n">
        <v>37</v>
      </c>
      <c r="AF1710" t="n">
        <v>14</v>
      </c>
      <c r="AG1710" t="n">
        <v>14</v>
      </c>
      <c r="AH1710" t="n">
        <v>9</v>
      </c>
      <c r="AI1710" t="n">
        <v>9</v>
      </c>
      <c r="AJ1710" t="n">
        <v>21</v>
      </c>
      <c r="AK1710" t="n">
        <v>21</v>
      </c>
      <c r="AL1710" t="n">
        <v>4</v>
      </c>
      <c r="AM1710" t="n">
        <v>4</v>
      </c>
      <c r="AN1710" t="n">
        <v>2</v>
      </c>
      <c r="AO1710" t="n">
        <v>2</v>
      </c>
      <c r="AP1710" t="inlineStr">
        <is>
          <t>No</t>
        </is>
      </c>
      <c r="AQ1710" t="inlineStr">
        <is>
          <t>No</t>
        </is>
      </c>
      <c r="AS1710">
        <f>HYPERLINK("https://creighton-primo.hosted.exlibrisgroup.com/primo-explore/search?tab=default_tab&amp;search_scope=EVERYTHING&amp;vid=01CRU&amp;lang=en_US&amp;offset=0&amp;query=any,contains,991000297439702656","Catalog Record")</f>
        <v/>
      </c>
      <c r="AT1710">
        <f>HYPERLINK("http://www.worldcat.org/oclc/10018300","WorldCat Record")</f>
        <v/>
      </c>
      <c r="AU1710" t="inlineStr">
        <is>
          <t>945841711:eng</t>
        </is>
      </c>
      <c r="AV1710" t="inlineStr">
        <is>
          <t>10018300</t>
        </is>
      </c>
      <c r="AW1710" t="inlineStr">
        <is>
          <t>991000297439702656</t>
        </is>
      </c>
      <c r="AX1710" t="inlineStr">
        <is>
          <t>991000297439702656</t>
        </is>
      </c>
      <c r="AY1710" t="inlineStr">
        <is>
          <t>2269513960002656</t>
        </is>
      </c>
      <c r="AZ1710" t="inlineStr">
        <is>
          <t>BOOK</t>
        </is>
      </c>
      <c r="BB1710" t="inlineStr">
        <is>
          <t>9780252011009</t>
        </is>
      </c>
      <c r="BC1710" t="inlineStr">
        <is>
          <t>32285000613041</t>
        </is>
      </c>
      <c r="BD1710" t="inlineStr">
        <is>
          <t>893589325</t>
        </is>
      </c>
    </row>
    <row r="1711">
      <c r="A1711" t="inlineStr">
        <is>
          <t>No</t>
        </is>
      </c>
      <c r="B1711" t="inlineStr">
        <is>
          <t>E748.D68 B45 2002</t>
        </is>
      </c>
      <c r="C1711" t="inlineStr">
        <is>
          <t>0                      E  0748000D  68                 B  45          2002</t>
        </is>
      </c>
      <c r="D1711" t="inlineStr">
        <is>
          <t>Crusading liberal : Paul H. Douglas of Illinois / Roger Biles.</t>
        </is>
      </c>
      <c r="F1711" t="inlineStr">
        <is>
          <t>No</t>
        </is>
      </c>
      <c r="G1711" t="inlineStr">
        <is>
          <t>1</t>
        </is>
      </c>
      <c r="H1711" t="inlineStr">
        <is>
          <t>No</t>
        </is>
      </c>
      <c r="I1711" t="inlineStr">
        <is>
          <t>No</t>
        </is>
      </c>
      <c r="J1711" t="inlineStr">
        <is>
          <t>0</t>
        </is>
      </c>
      <c r="K1711" t="inlineStr">
        <is>
          <t>Biles, Roger, 1950-</t>
        </is>
      </c>
      <c r="L1711" t="inlineStr">
        <is>
          <t>DeKalb, Ill. : Northern Illinois University Press, c2002.</t>
        </is>
      </c>
      <c r="M1711" t="inlineStr">
        <is>
          <t>2002</t>
        </is>
      </c>
      <c r="O1711" t="inlineStr">
        <is>
          <t>eng</t>
        </is>
      </c>
      <c r="P1711" t="inlineStr">
        <is>
          <t>ilu</t>
        </is>
      </c>
      <c r="R1711" t="inlineStr">
        <is>
          <t xml:space="preserve">E  </t>
        </is>
      </c>
      <c r="S1711" t="n">
        <v>1</v>
      </c>
      <c r="T1711" t="n">
        <v>1</v>
      </c>
      <c r="U1711" t="inlineStr">
        <is>
          <t>2005-02-28</t>
        </is>
      </c>
      <c r="V1711" t="inlineStr">
        <is>
          <t>2005-02-28</t>
        </is>
      </c>
      <c r="W1711" t="inlineStr">
        <is>
          <t>2005-02-28</t>
        </is>
      </c>
      <c r="X1711" t="inlineStr">
        <is>
          <t>2005-02-28</t>
        </is>
      </c>
      <c r="Y1711" t="n">
        <v>299</v>
      </c>
      <c r="Z1711" t="n">
        <v>283</v>
      </c>
      <c r="AA1711" t="n">
        <v>283</v>
      </c>
      <c r="AB1711" t="n">
        <v>3</v>
      </c>
      <c r="AC1711" t="n">
        <v>3</v>
      </c>
      <c r="AD1711" t="n">
        <v>17</v>
      </c>
      <c r="AE1711" t="n">
        <v>17</v>
      </c>
      <c r="AF1711" t="n">
        <v>7</v>
      </c>
      <c r="AG1711" t="n">
        <v>7</v>
      </c>
      <c r="AH1711" t="n">
        <v>5</v>
      </c>
      <c r="AI1711" t="n">
        <v>5</v>
      </c>
      <c r="AJ1711" t="n">
        <v>9</v>
      </c>
      <c r="AK1711" t="n">
        <v>9</v>
      </c>
      <c r="AL1711" t="n">
        <v>2</v>
      </c>
      <c r="AM1711" t="n">
        <v>2</v>
      </c>
      <c r="AN1711" t="n">
        <v>0</v>
      </c>
      <c r="AO1711" t="n">
        <v>0</v>
      </c>
      <c r="AP1711" t="inlineStr">
        <is>
          <t>No</t>
        </is>
      </c>
      <c r="AQ1711" t="inlineStr">
        <is>
          <t>No</t>
        </is>
      </c>
      <c r="AS1711">
        <f>HYPERLINK("https://creighton-primo.hosted.exlibrisgroup.com/primo-explore/search?tab=default_tab&amp;search_scope=EVERYTHING&amp;vid=01CRU&amp;lang=en_US&amp;offset=0&amp;query=any,contains,991004359319702656","Catalog Record")</f>
        <v/>
      </c>
      <c r="AT1711">
        <f>HYPERLINK("http://www.worldcat.org/oclc/49565275","WorldCat Record")</f>
        <v/>
      </c>
      <c r="AU1711" t="inlineStr">
        <is>
          <t>140964613:eng</t>
        </is>
      </c>
      <c r="AV1711" t="inlineStr">
        <is>
          <t>49565275</t>
        </is>
      </c>
      <c r="AW1711" t="inlineStr">
        <is>
          <t>991004359319702656</t>
        </is>
      </c>
      <c r="AX1711" t="inlineStr">
        <is>
          <t>991004359319702656</t>
        </is>
      </c>
      <c r="AY1711" t="inlineStr">
        <is>
          <t>2260314390002656</t>
        </is>
      </c>
      <c r="AZ1711" t="inlineStr">
        <is>
          <t>BOOK</t>
        </is>
      </c>
      <c r="BB1711" t="inlineStr">
        <is>
          <t>9780875803043</t>
        </is>
      </c>
      <c r="BC1711" t="inlineStr">
        <is>
          <t>32285005027973</t>
        </is>
      </c>
      <c r="BD1711" t="inlineStr">
        <is>
          <t>893500461</t>
        </is>
      </c>
    </row>
    <row r="1712">
      <c r="A1712" t="inlineStr">
        <is>
          <t>No</t>
        </is>
      </c>
      <c r="B1712" t="inlineStr">
        <is>
          <t>E748.D865 G76 1994</t>
        </is>
      </c>
      <c r="C1712" t="inlineStr">
        <is>
          <t>0                      E  0748000D  865                G  76          1994</t>
        </is>
      </c>
      <c r="D1712" t="inlineStr">
        <is>
          <t>Gentleman spy : the life of Allen Dulles / Peter Grose.</t>
        </is>
      </c>
      <c r="F1712" t="inlineStr">
        <is>
          <t>No</t>
        </is>
      </c>
      <c r="G1712" t="inlineStr">
        <is>
          <t>1</t>
        </is>
      </c>
      <c r="H1712" t="inlineStr">
        <is>
          <t>No</t>
        </is>
      </c>
      <c r="I1712" t="inlineStr">
        <is>
          <t>No</t>
        </is>
      </c>
      <c r="J1712" t="inlineStr">
        <is>
          <t>0</t>
        </is>
      </c>
      <c r="K1712" t="inlineStr">
        <is>
          <t>Grose, Peter, 1934-</t>
        </is>
      </c>
      <c r="L1712" t="inlineStr">
        <is>
          <t>Boston : Houghton Mifflin, 1994.</t>
        </is>
      </c>
      <c r="M1712" t="inlineStr">
        <is>
          <t>1994</t>
        </is>
      </c>
      <c r="O1712" t="inlineStr">
        <is>
          <t>eng</t>
        </is>
      </c>
      <c r="P1712" t="inlineStr">
        <is>
          <t>mau</t>
        </is>
      </c>
      <c r="R1712" t="inlineStr">
        <is>
          <t xml:space="preserve">E  </t>
        </is>
      </c>
      <c r="S1712" t="n">
        <v>5</v>
      </c>
      <c r="T1712" t="n">
        <v>5</v>
      </c>
      <c r="U1712" t="inlineStr">
        <is>
          <t>2000-09-22</t>
        </is>
      </c>
      <c r="V1712" t="inlineStr">
        <is>
          <t>2000-09-22</t>
        </is>
      </c>
      <c r="W1712" t="inlineStr">
        <is>
          <t>1995-04-03</t>
        </is>
      </c>
      <c r="X1712" t="inlineStr">
        <is>
          <t>1995-04-03</t>
        </is>
      </c>
      <c r="Y1712" t="n">
        <v>1053</v>
      </c>
      <c r="Z1712" t="n">
        <v>979</v>
      </c>
      <c r="AA1712" t="n">
        <v>1067</v>
      </c>
      <c r="AB1712" t="n">
        <v>7</v>
      </c>
      <c r="AC1712" t="n">
        <v>8</v>
      </c>
      <c r="AD1712" t="n">
        <v>38</v>
      </c>
      <c r="AE1712" t="n">
        <v>40</v>
      </c>
      <c r="AF1712" t="n">
        <v>15</v>
      </c>
      <c r="AG1712" t="n">
        <v>15</v>
      </c>
      <c r="AH1712" t="n">
        <v>10</v>
      </c>
      <c r="AI1712" t="n">
        <v>10</v>
      </c>
      <c r="AJ1712" t="n">
        <v>19</v>
      </c>
      <c r="AK1712" t="n">
        <v>20</v>
      </c>
      <c r="AL1712" t="n">
        <v>3</v>
      </c>
      <c r="AM1712" t="n">
        <v>4</v>
      </c>
      <c r="AN1712" t="n">
        <v>2</v>
      </c>
      <c r="AO1712" t="n">
        <v>2</v>
      </c>
      <c r="AP1712" t="inlineStr">
        <is>
          <t>No</t>
        </is>
      </c>
      <c r="AQ1712" t="inlineStr">
        <is>
          <t>Yes</t>
        </is>
      </c>
      <c r="AR1712">
        <f>HYPERLINK("http://catalog.hathitrust.org/Record/002935033","HathiTrust Record")</f>
        <v/>
      </c>
      <c r="AS1712">
        <f>HYPERLINK("https://creighton-primo.hosted.exlibrisgroup.com/primo-explore/search?tab=default_tab&amp;search_scope=EVERYTHING&amp;vid=01CRU&amp;lang=en_US&amp;offset=0&amp;query=any,contains,991002373849702656","Catalog Record")</f>
        <v/>
      </c>
      <c r="AT1712">
        <f>HYPERLINK("http://www.worldcat.org/oclc/30892618","WorldCat Record")</f>
        <v/>
      </c>
      <c r="AU1712" t="inlineStr">
        <is>
          <t>2051916:eng</t>
        </is>
      </c>
      <c r="AV1712" t="inlineStr">
        <is>
          <t>30892618</t>
        </is>
      </c>
      <c r="AW1712" t="inlineStr">
        <is>
          <t>991002373849702656</t>
        </is>
      </c>
      <c r="AX1712" t="inlineStr">
        <is>
          <t>991002373849702656</t>
        </is>
      </c>
      <c r="AY1712" t="inlineStr">
        <is>
          <t>2270092680002656</t>
        </is>
      </c>
      <c r="AZ1712" t="inlineStr">
        <is>
          <t>BOOK</t>
        </is>
      </c>
      <c r="BB1712" t="inlineStr">
        <is>
          <t>9780395516072</t>
        </is>
      </c>
      <c r="BC1712" t="inlineStr">
        <is>
          <t>32285002016383</t>
        </is>
      </c>
      <c r="BD1712" t="inlineStr">
        <is>
          <t>893529899</t>
        </is>
      </c>
    </row>
    <row r="1713">
      <c r="A1713" t="inlineStr">
        <is>
          <t>No</t>
        </is>
      </c>
      <c r="B1713" t="inlineStr">
        <is>
          <t>E748.D868 T68 1985</t>
        </is>
      </c>
      <c r="C1713" t="inlineStr">
        <is>
          <t>0                      E  0748000D  868                T  68          1985</t>
        </is>
      </c>
      <c r="D1713" t="inlineStr">
        <is>
          <t>The transformation of John Foster Dulles : from prophet of realism to priest of nationalism / Mark G. Toulouse.</t>
        </is>
      </c>
      <c r="F1713" t="inlineStr">
        <is>
          <t>No</t>
        </is>
      </c>
      <c r="G1713" t="inlineStr">
        <is>
          <t>1</t>
        </is>
      </c>
      <c r="H1713" t="inlineStr">
        <is>
          <t>No</t>
        </is>
      </c>
      <c r="I1713" t="inlineStr">
        <is>
          <t>No</t>
        </is>
      </c>
      <c r="J1713" t="inlineStr">
        <is>
          <t>0</t>
        </is>
      </c>
      <c r="K1713" t="inlineStr">
        <is>
          <t>Toulouse, Mark G., 1952-</t>
        </is>
      </c>
      <c r="L1713" t="inlineStr">
        <is>
          <t>[Macon, GA] : Mercer University Press, c1985.</t>
        </is>
      </c>
      <c r="M1713" t="inlineStr">
        <is>
          <t>1985</t>
        </is>
      </c>
      <c r="O1713" t="inlineStr">
        <is>
          <t>eng</t>
        </is>
      </c>
      <c r="P1713" t="inlineStr">
        <is>
          <t>gau</t>
        </is>
      </c>
      <c r="R1713" t="inlineStr">
        <is>
          <t xml:space="preserve">E  </t>
        </is>
      </c>
      <c r="S1713" t="n">
        <v>5</v>
      </c>
      <c r="T1713" t="n">
        <v>5</v>
      </c>
      <c r="U1713" t="inlineStr">
        <is>
          <t>2000-09-22</t>
        </is>
      </c>
      <c r="V1713" t="inlineStr">
        <is>
          <t>2000-09-22</t>
        </is>
      </c>
      <c r="W1713" t="inlineStr">
        <is>
          <t>1991-05-30</t>
        </is>
      </c>
      <c r="X1713" t="inlineStr">
        <is>
          <t>1991-05-30</t>
        </is>
      </c>
      <c r="Y1713" t="n">
        <v>465</v>
      </c>
      <c r="Z1713" t="n">
        <v>403</v>
      </c>
      <c r="AA1713" t="n">
        <v>406</v>
      </c>
      <c r="AB1713" t="n">
        <v>3</v>
      </c>
      <c r="AC1713" t="n">
        <v>3</v>
      </c>
      <c r="AD1713" t="n">
        <v>22</v>
      </c>
      <c r="AE1713" t="n">
        <v>22</v>
      </c>
      <c r="AF1713" t="n">
        <v>9</v>
      </c>
      <c r="AG1713" t="n">
        <v>9</v>
      </c>
      <c r="AH1713" t="n">
        <v>5</v>
      </c>
      <c r="AI1713" t="n">
        <v>5</v>
      </c>
      <c r="AJ1713" t="n">
        <v>14</v>
      </c>
      <c r="AK1713" t="n">
        <v>14</v>
      </c>
      <c r="AL1713" t="n">
        <v>2</v>
      </c>
      <c r="AM1713" t="n">
        <v>2</v>
      </c>
      <c r="AN1713" t="n">
        <v>0</v>
      </c>
      <c r="AO1713" t="n">
        <v>0</v>
      </c>
      <c r="AP1713" t="inlineStr">
        <is>
          <t>No</t>
        </is>
      </c>
      <c r="AQ1713" t="inlineStr">
        <is>
          <t>Yes</t>
        </is>
      </c>
      <c r="AR1713">
        <f>HYPERLINK("http://catalog.hathitrust.org/Record/000382496","HathiTrust Record")</f>
        <v/>
      </c>
      <c r="AS1713">
        <f>HYPERLINK("https://creighton-primo.hosted.exlibrisgroup.com/primo-explore/search?tab=default_tab&amp;search_scope=EVERYTHING&amp;vid=01CRU&amp;lang=en_US&amp;offset=0&amp;query=any,contains,991000637109702656","Catalog Record")</f>
        <v/>
      </c>
      <c r="AT1713">
        <f>HYPERLINK("http://www.worldcat.org/oclc/12082055","WorldCat Record")</f>
        <v/>
      </c>
      <c r="AU1713" t="inlineStr">
        <is>
          <t>4719077:eng</t>
        </is>
      </c>
      <c r="AV1713" t="inlineStr">
        <is>
          <t>12082055</t>
        </is>
      </c>
      <c r="AW1713" t="inlineStr">
        <is>
          <t>991000637109702656</t>
        </is>
      </c>
      <c r="AX1713" t="inlineStr">
        <is>
          <t>991000637109702656</t>
        </is>
      </c>
      <c r="AY1713" t="inlineStr">
        <is>
          <t>2264709240002656</t>
        </is>
      </c>
      <c r="AZ1713" t="inlineStr">
        <is>
          <t>BOOK</t>
        </is>
      </c>
      <c r="BB1713" t="inlineStr">
        <is>
          <t>9780865541603</t>
        </is>
      </c>
      <c r="BC1713" t="inlineStr">
        <is>
          <t>32285000613066</t>
        </is>
      </c>
      <c r="BD1713" t="inlineStr">
        <is>
          <t>893315116</t>
        </is>
      </c>
    </row>
    <row r="1714">
      <c r="A1714" t="inlineStr">
        <is>
          <t>No</t>
        </is>
      </c>
      <c r="B1714" t="inlineStr">
        <is>
          <t>E748.F88 W67 1998</t>
        </is>
      </c>
      <c r="C1714" t="inlineStr">
        <is>
          <t>0                      E  0748000F  88                 W  67          1998</t>
        </is>
      </c>
      <c r="D1714" t="inlineStr">
        <is>
          <t>J. William Fulbright, Vietnam, and the search for a cold war foreign policy / Randall Bennett Woods.</t>
        </is>
      </c>
      <c r="F1714" t="inlineStr">
        <is>
          <t>No</t>
        </is>
      </c>
      <c r="G1714" t="inlineStr">
        <is>
          <t>1</t>
        </is>
      </c>
      <c r="H1714" t="inlineStr">
        <is>
          <t>No</t>
        </is>
      </c>
      <c r="I1714" t="inlineStr">
        <is>
          <t>No</t>
        </is>
      </c>
      <c r="J1714" t="inlineStr">
        <is>
          <t>0</t>
        </is>
      </c>
      <c r="K1714" t="inlineStr">
        <is>
          <t>Woods, Randall Bennett, 1944-</t>
        </is>
      </c>
      <c r="L1714" t="inlineStr">
        <is>
          <t>Cambridge ; New York : Cambridge University Press, 1998.</t>
        </is>
      </c>
      <c r="M1714" t="inlineStr">
        <is>
          <t>1998</t>
        </is>
      </c>
      <c r="O1714" t="inlineStr">
        <is>
          <t>eng</t>
        </is>
      </c>
      <c r="P1714" t="inlineStr">
        <is>
          <t>enk</t>
        </is>
      </c>
      <c r="R1714" t="inlineStr">
        <is>
          <t xml:space="preserve">E  </t>
        </is>
      </c>
      <c r="S1714" t="n">
        <v>2</v>
      </c>
      <c r="T1714" t="n">
        <v>2</v>
      </c>
      <c r="U1714" t="inlineStr">
        <is>
          <t>2001-08-10</t>
        </is>
      </c>
      <c r="V1714" t="inlineStr">
        <is>
          <t>2001-08-10</t>
        </is>
      </c>
      <c r="W1714" t="inlineStr">
        <is>
          <t>1998-04-13</t>
        </is>
      </c>
      <c r="X1714" t="inlineStr">
        <is>
          <t>1998-04-13</t>
        </is>
      </c>
      <c r="Y1714" t="n">
        <v>386</v>
      </c>
      <c r="Z1714" t="n">
        <v>289</v>
      </c>
      <c r="AA1714" t="n">
        <v>298</v>
      </c>
      <c r="AB1714" t="n">
        <v>4</v>
      </c>
      <c r="AC1714" t="n">
        <v>4</v>
      </c>
      <c r="AD1714" t="n">
        <v>21</v>
      </c>
      <c r="AE1714" t="n">
        <v>22</v>
      </c>
      <c r="AF1714" t="n">
        <v>6</v>
      </c>
      <c r="AG1714" t="n">
        <v>7</v>
      </c>
      <c r="AH1714" t="n">
        <v>6</v>
      </c>
      <c r="AI1714" t="n">
        <v>6</v>
      </c>
      <c r="AJ1714" t="n">
        <v>11</v>
      </c>
      <c r="AK1714" t="n">
        <v>11</v>
      </c>
      <c r="AL1714" t="n">
        <v>3</v>
      </c>
      <c r="AM1714" t="n">
        <v>3</v>
      </c>
      <c r="AN1714" t="n">
        <v>1</v>
      </c>
      <c r="AO1714" t="n">
        <v>1</v>
      </c>
      <c r="AP1714" t="inlineStr">
        <is>
          <t>No</t>
        </is>
      </c>
      <c r="AQ1714" t="inlineStr">
        <is>
          <t>No</t>
        </is>
      </c>
      <c r="AS1714">
        <f>HYPERLINK("https://creighton-primo.hosted.exlibrisgroup.com/primo-explore/search?tab=default_tab&amp;search_scope=EVERYTHING&amp;vid=01CRU&amp;lang=en_US&amp;offset=0&amp;query=any,contains,991002808709702656","Catalog Record")</f>
        <v/>
      </c>
      <c r="AT1714">
        <f>HYPERLINK("http://www.worldcat.org/oclc/36900806","WorldCat Record")</f>
        <v/>
      </c>
      <c r="AU1714" t="inlineStr">
        <is>
          <t>557584:eng</t>
        </is>
      </c>
      <c r="AV1714" t="inlineStr">
        <is>
          <t>36900806</t>
        </is>
      </c>
      <c r="AW1714" t="inlineStr">
        <is>
          <t>991002808709702656</t>
        </is>
      </c>
      <c r="AX1714" t="inlineStr">
        <is>
          <t>991002808709702656</t>
        </is>
      </c>
      <c r="AY1714" t="inlineStr">
        <is>
          <t>2271945670002656</t>
        </is>
      </c>
      <c r="AZ1714" t="inlineStr">
        <is>
          <t>BOOK</t>
        </is>
      </c>
      <c r="BB1714" t="inlineStr">
        <is>
          <t>9780521588003</t>
        </is>
      </c>
      <c r="BC1714" t="inlineStr">
        <is>
          <t>32285003384459</t>
        </is>
      </c>
      <c r="BD1714" t="inlineStr">
        <is>
          <t>893251636</t>
        </is>
      </c>
    </row>
    <row r="1715">
      <c r="A1715" t="inlineStr">
        <is>
          <t>No</t>
        </is>
      </c>
      <c r="B1715" t="inlineStr">
        <is>
          <t>E748.G64 G65 1995</t>
        </is>
      </c>
      <c r="C1715" t="inlineStr">
        <is>
          <t>0                      E  0748000G  64                 G  65          1995</t>
        </is>
      </c>
      <c r="D1715" t="inlineStr">
        <is>
          <t>Barry Goldwater / Robert Alan Goldberg.</t>
        </is>
      </c>
      <c r="F1715" t="inlineStr">
        <is>
          <t>No</t>
        </is>
      </c>
      <c r="G1715" t="inlineStr">
        <is>
          <t>1</t>
        </is>
      </c>
      <c r="H1715" t="inlineStr">
        <is>
          <t>No</t>
        </is>
      </c>
      <c r="I1715" t="inlineStr">
        <is>
          <t>No</t>
        </is>
      </c>
      <c r="J1715" t="inlineStr">
        <is>
          <t>0</t>
        </is>
      </c>
      <c r="K1715" t="inlineStr">
        <is>
          <t>Goldberg, Robert Alan, 1949-</t>
        </is>
      </c>
      <c r="L1715" t="inlineStr">
        <is>
          <t>New Haven : Yale University Press, c1995.</t>
        </is>
      </c>
      <c r="M1715" t="inlineStr">
        <is>
          <t>1995</t>
        </is>
      </c>
      <c r="O1715" t="inlineStr">
        <is>
          <t>eng</t>
        </is>
      </c>
      <c r="P1715" t="inlineStr">
        <is>
          <t>ctu</t>
        </is>
      </c>
      <c r="R1715" t="inlineStr">
        <is>
          <t xml:space="preserve">E  </t>
        </is>
      </c>
      <c r="S1715" t="n">
        <v>1</v>
      </c>
      <c r="T1715" t="n">
        <v>1</v>
      </c>
      <c r="U1715" t="inlineStr">
        <is>
          <t>2003-11-23</t>
        </is>
      </c>
      <c r="V1715" t="inlineStr">
        <is>
          <t>2003-11-23</t>
        </is>
      </c>
      <c r="W1715" t="inlineStr">
        <is>
          <t>1995-12-18</t>
        </is>
      </c>
      <c r="X1715" t="inlineStr">
        <is>
          <t>1995-12-18</t>
        </is>
      </c>
      <c r="Y1715" t="n">
        <v>1166</v>
      </c>
      <c r="Z1715" t="n">
        <v>1076</v>
      </c>
      <c r="AA1715" t="n">
        <v>1080</v>
      </c>
      <c r="AB1715" t="n">
        <v>9</v>
      </c>
      <c r="AC1715" t="n">
        <v>9</v>
      </c>
      <c r="AD1715" t="n">
        <v>43</v>
      </c>
      <c r="AE1715" t="n">
        <v>43</v>
      </c>
      <c r="AF1715" t="n">
        <v>18</v>
      </c>
      <c r="AG1715" t="n">
        <v>18</v>
      </c>
      <c r="AH1715" t="n">
        <v>8</v>
      </c>
      <c r="AI1715" t="n">
        <v>8</v>
      </c>
      <c r="AJ1715" t="n">
        <v>18</v>
      </c>
      <c r="AK1715" t="n">
        <v>18</v>
      </c>
      <c r="AL1715" t="n">
        <v>6</v>
      </c>
      <c r="AM1715" t="n">
        <v>6</v>
      </c>
      <c r="AN1715" t="n">
        <v>4</v>
      </c>
      <c r="AO1715" t="n">
        <v>4</v>
      </c>
      <c r="AP1715" t="inlineStr">
        <is>
          <t>No</t>
        </is>
      </c>
      <c r="AQ1715" t="inlineStr">
        <is>
          <t>No</t>
        </is>
      </c>
      <c r="AS1715">
        <f>HYPERLINK("https://creighton-primo.hosted.exlibrisgroup.com/primo-explore/search?tab=default_tab&amp;search_scope=EVERYTHING&amp;vid=01CRU&amp;lang=en_US&amp;offset=0&amp;query=any,contains,991002436789702656","Catalog Record")</f>
        <v/>
      </c>
      <c r="AT1715">
        <f>HYPERLINK("http://www.worldcat.org/oclc/31754773","WorldCat Record")</f>
        <v/>
      </c>
      <c r="AU1715" t="inlineStr">
        <is>
          <t>33615980:eng</t>
        </is>
      </c>
      <c r="AV1715" t="inlineStr">
        <is>
          <t>31754773</t>
        </is>
      </c>
      <c r="AW1715" t="inlineStr">
        <is>
          <t>991002436789702656</t>
        </is>
      </c>
      <c r="AX1715" t="inlineStr">
        <is>
          <t>991002436789702656</t>
        </is>
      </c>
      <c r="AY1715" t="inlineStr">
        <is>
          <t>2270975090002656</t>
        </is>
      </c>
      <c r="AZ1715" t="inlineStr">
        <is>
          <t>BOOK</t>
        </is>
      </c>
      <c r="BB1715" t="inlineStr">
        <is>
          <t>9780300062618</t>
        </is>
      </c>
      <c r="BC1715" t="inlineStr">
        <is>
          <t>32285002111598</t>
        </is>
      </c>
      <c r="BD1715" t="inlineStr">
        <is>
          <t>893529988</t>
        </is>
      </c>
    </row>
    <row r="1716">
      <c r="A1716" t="inlineStr">
        <is>
          <t>No</t>
        </is>
      </c>
      <c r="B1716" t="inlineStr">
        <is>
          <t>E748.H385 S9</t>
        </is>
      </c>
      <c r="C1716" t="inlineStr">
        <is>
          <t>0                      E  0748000H  385                S  9</t>
        </is>
      </c>
      <c r="D1716" t="inlineStr">
        <is>
          <t>Pat Harrison : the New Deal years / Martha H. Swain.</t>
        </is>
      </c>
      <c r="F1716" t="inlineStr">
        <is>
          <t>No</t>
        </is>
      </c>
      <c r="G1716" t="inlineStr">
        <is>
          <t>1</t>
        </is>
      </c>
      <c r="H1716" t="inlineStr">
        <is>
          <t>No</t>
        </is>
      </c>
      <c r="I1716" t="inlineStr">
        <is>
          <t>No</t>
        </is>
      </c>
      <c r="J1716" t="inlineStr">
        <is>
          <t>0</t>
        </is>
      </c>
      <c r="K1716" t="inlineStr">
        <is>
          <t>Swain, Martha H., 1929-</t>
        </is>
      </c>
      <c r="L1716" t="inlineStr">
        <is>
          <t>Jackson : University Press of Mississippi, 1978.</t>
        </is>
      </c>
      <c r="M1716" t="inlineStr">
        <is>
          <t>1978</t>
        </is>
      </c>
      <c r="O1716" t="inlineStr">
        <is>
          <t>eng</t>
        </is>
      </c>
      <c r="P1716" t="inlineStr">
        <is>
          <t>msu</t>
        </is>
      </c>
      <c r="R1716" t="inlineStr">
        <is>
          <t xml:space="preserve">E  </t>
        </is>
      </c>
      <c r="S1716" t="n">
        <v>2</v>
      </c>
      <c r="T1716" t="n">
        <v>2</v>
      </c>
      <c r="U1716" t="inlineStr">
        <is>
          <t>1996-02-01</t>
        </is>
      </c>
      <c r="V1716" t="inlineStr">
        <is>
          <t>1996-02-01</t>
        </is>
      </c>
      <c r="W1716" t="inlineStr">
        <is>
          <t>1991-05-30</t>
        </is>
      </c>
      <c r="X1716" t="inlineStr">
        <is>
          <t>1991-05-30</t>
        </is>
      </c>
      <c r="Y1716" t="n">
        <v>414</v>
      </c>
      <c r="Z1716" t="n">
        <v>379</v>
      </c>
      <c r="AA1716" t="n">
        <v>382</v>
      </c>
      <c r="AB1716" t="n">
        <v>4</v>
      </c>
      <c r="AC1716" t="n">
        <v>4</v>
      </c>
      <c r="AD1716" t="n">
        <v>16</v>
      </c>
      <c r="AE1716" t="n">
        <v>16</v>
      </c>
      <c r="AF1716" t="n">
        <v>4</v>
      </c>
      <c r="AG1716" t="n">
        <v>4</v>
      </c>
      <c r="AH1716" t="n">
        <v>4</v>
      </c>
      <c r="AI1716" t="n">
        <v>4</v>
      </c>
      <c r="AJ1716" t="n">
        <v>7</v>
      </c>
      <c r="AK1716" t="n">
        <v>7</v>
      </c>
      <c r="AL1716" t="n">
        <v>3</v>
      </c>
      <c r="AM1716" t="n">
        <v>3</v>
      </c>
      <c r="AN1716" t="n">
        <v>0</v>
      </c>
      <c r="AO1716" t="n">
        <v>0</v>
      </c>
      <c r="AP1716" t="inlineStr">
        <is>
          <t>No</t>
        </is>
      </c>
      <c r="AQ1716" t="inlineStr">
        <is>
          <t>Yes</t>
        </is>
      </c>
      <c r="AR1716">
        <f>HYPERLINK("http://catalog.hathitrust.org/Record/000135536","HathiTrust Record")</f>
        <v/>
      </c>
      <c r="AS1716">
        <f>HYPERLINK("https://creighton-primo.hosted.exlibrisgroup.com/primo-explore/search?tab=default_tab&amp;search_scope=EVERYTHING&amp;vid=01CRU&amp;lang=en_US&amp;offset=0&amp;query=any,contains,991004529349702656","Catalog Record")</f>
        <v/>
      </c>
      <c r="AT1716">
        <f>HYPERLINK("http://www.worldcat.org/oclc/3844645","WorldCat Record")</f>
        <v/>
      </c>
      <c r="AU1716" t="inlineStr">
        <is>
          <t>537464:eng</t>
        </is>
      </c>
      <c r="AV1716" t="inlineStr">
        <is>
          <t>3844645</t>
        </is>
      </c>
      <c r="AW1716" t="inlineStr">
        <is>
          <t>991004529349702656</t>
        </is>
      </c>
      <c r="AX1716" t="inlineStr">
        <is>
          <t>991004529349702656</t>
        </is>
      </c>
      <c r="AY1716" t="inlineStr">
        <is>
          <t>2264886460002656</t>
        </is>
      </c>
      <c r="AZ1716" t="inlineStr">
        <is>
          <t>BOOK</t>
        </is>
      </c>
      <c r="BB1716" t="inlineStr">
        <is>
          <t>9780878050765</t>
        </is>
      </c>
      <c r="BC1716" t="inlineStr">
        <is>
          <t>32285000613116</t>
        </is>
      </c>
      <c r="BD1716" t="inlineStr">
        <is>
          <t>893895107</t>
        </is>
      </c>
    </row>
    <row r="1717">
      <c r="A1717" t="inlineStr">
        <is>
          <t>No</t>
        </is>
      </c>
      <c r="B1717" t="inlineStr">
        <is>
          <t>E748.H412 A36 1986</t>
        </is>
      </c>
      <c r="C1717" t="inlineStr">
        <is>
          <t>0                      E  0748000H  412                A  36          1986</t>
        </is>
      </c>
      <c r="D1717" t="inlineStr">
        <is>
          <t>A question of trust : the origins of U.S.-Soviet diplomatic relations : the memoirs of Loy W. Henderson / edited, with an introduction, by George W. Baer.</t>
        </is>
      </c>
      <c r="F1717" t="inlineStr">
        <is>
          <t>No</t>
        </is>
      </c>
      <c r="G1717" t="inlineStr">
        <is>
          <t>1</t>
        </is>
      </c>
      <c r="H1717" t="inlineStr">
        <is>
          <t>No</t>
        </is>
      </c>
      <c r="I1717" t="inlineStr">
        <is>
          <t>No</t>
        </is>
      </c>
      <c r="J1717" t="inlineStr">
        <is>
          <t>0</t>
        </is>
      </c>
      <c r="K1717" t="inlineStr">
        <is>
          <t>Henderson, Loy W. (Loy Wesley), 1892-1986.</t>
        </is>
      </c>
      <c r="L1717" t="inlineStr">
        <is>
          <t>Stanford, Calif. : Hoover Institution Press, Stanford University, c1986.</t>
        </is>
      </c>
      <c r="M1717" t="inlineStr">
        <is>
          <t>1986</t>
        </is>
      </c>
      <c r="O1717" t="inlineStr">
        <is>
          <t>eng</t>
        </is>
      </c>
      <c r="P1717" t="inlineStr">
        <is>
          <t>cau</t>
        </is>
      </c>
      <c r="Q1717" t="inlineStr">
        <is>
          <t>Hoover archival documentaries</t>
        </is>
      </c>
      <c r="R1717" t="inlineStr">
        <is>
          <t xml:space="preserve">E  </t>
        </is>
      </c>
      <c r="S1717" t="n">
        <v>1</v>
      </c>
      <c r="T1717" t="n">
        <v>1</v>
      </c>
      <c r="U1717" t="inlineStr">
        <is>
          <t>1992-03-26</t>
        </is>
      </c>
      <c r="V1717" t="inlineStr">
        <is>
          <t>1992-03-26</t>
        </is>
      </c>
      <c r="W1717" t="inlineStr">
        <is>
          <t>1991-05-30</t>
        </is>
      </c>
      <c r="X1717" t="inlineStr">
        <is>
          <t>1991-05-30</t>
        </is>
      </c>
      <c r="Y1717" t="n">
        <v>456</v>
      </c>
      <c r="Z1717" t="n">
        <v>394</v>
      </c>
      <c r="AA1717" t="n">
        <v>395</v>
      </c>
      <c r="AB1717" t="n">
        <v>3</v>
      </c>
      <c r="AC1717" t="n">
        <v>3</v>
      </c>
      <c r="AD1717" t="n">
        <v>23</v>
      </c>
      <c r="AE1717" t="n">
        <v>23</v>
      </c>
      <c r="AF1717" t="n">
        <v>5</v>
      </c>
      <c r="AG1717" t="n">
        <v>5</v>
      </c>
      <c r="AH1717" t="n">
        <v>9</v>
      </c>
      <c r="AI1717" t="n">
        <v>9</v>
      </c>
      <c r="AJ1717" t="n">
        <v>14</v>
      </c>
      <c r="AK1717" t="n">
        <v>14</v>
      </c>
      <c r="AL1717" t="n">
        <v>2</v>
      </c>
      <c r="AM1717" t="n">
        <v>2</v>
      </c>
      <c r="AN1717" t="n">
        <v>0</v>
      </c>
      <c r="AO1717" t="n">
        <v>0</v>
      </c>
      <c r="AP1717" t="inlineStr">
        <is>
          <t>No</t>
        </is>
      </c>
      <c r="AQ1717" t="inlineStr">
        <is>
          <t>Yes</t>
        </is>
      </c>
      <c r="AR1717">
        <f>HYPERLINK("http://catalog.hathitrust.org/Record/000834774","HathiTrust Record")</f>
        <v/>
      </c>
      <c r="AS1717">
        <f>HYPERLINK("https://creighton-primo.hosted.exlibrisgroup.com/primo-explore/search?tab=default_tab&amp;search_scope=EVERYTHING&amp;vid=01CRU&amp;lang=en_US&amp;offset=0&amp;query=any,contains,991000837159702656","Catalog Record")</f>
        <v/>
      </c>
      <c r="AT1717">
        <f>HYPERLINK("http://www.worldcat.org/oclc/13498458","WorldCat Record")</f>
        <v/>
      </c>
      <c r="AU1717" t="inlineStr">
        <is>
          <t>438840009:eng</t>
        </is>
      </c>
      <c r="AV1717" t="inlineStr">
        <is>
          <t>13498458</t>
        </is>
      </c>
      <c r="AW1717" t="inlineStr">
        <is>
          <t>991000837159702656</t>
        </is>
      </c>
      <c r="AX1717" t="inlineStr">
        <is>
          <t>991000837159702656</t>
        </is>
      </c>
      <c r="AY1717" t="inlineStr">
        <is>
          <t>2263792940002656</t>
        </is>
      </c>
      <c r="AZ1717" t="inlineStr">
        <is>
          <t>BOOK</t>
        </is>
      </c>
      <c r="BB1717" t="inlineStr">
        <is>
          <t>9780817983314</t>
        </is>
      </c>
      <c r="BC1717" t="inlineStr">
        <is>
          <t>32285000613124</t>
        </is>
      </c>
      <c r="BD1717" t="inlineStr">
        <is>
          <t>893225359</t>
        </is>
      </c>
    </row>
    <row r="1718">
      <c r="A1718" t="inlineStr">
        <is>
          <t>No</t>
        </is>
      </c>
      <c r="B1718" t="inlineStr">
        <is>
          <t>E748.H59 S6 1977</t>
        </is>
      </c>
      <c r="C1718" t="inlineStr">
        <is>
          <t>0                      E  0748000H  59                 S  6           1977</t>
        </is>
      </c>
      <c r="D1718" t="inlineStr">
        <is>
          <t>Alger Hiss : the true story / John Chabot Smith.</t>
        </is>
      </c>
      <c r="F1718" t="inlineStr">
        <is>
          <t>No</t>
        </is>
      </c>
      <c r="G1718" t="inlineStr">
        <is>
          <t>1</t>
        </is>
      </c>
      <c r="H1718" t="inlineStr">
        <is>
          <t>No</t>
        </is>
      </c>
      <c r="I1718" t="inlineStr">
        <is>
          <t>No</t>
        </is>
      </c>
      <c r="J1718" t="inlineStr">
        <is>
          <t>0</t>
        </is>
      </c>
      <c r="K1718" t="inlineStr">
        <is>
          <t>Smith, John Chabot.</t>
        </is>
      </c>
      <c r="L1718" t="inlineStr">
        <is>
          <t>New York : Penguin Books, 1977.</t>
        </is>
      </c>
      <c r="M1718" t="inlineStr">
        <is>
          <t>1977</t>
        </is>
      </c>
      <c r="O1718" t="inlineStr">
        <is>
          <t>eng</t>
        </is>
      </c>
      <c r="P1718" t="inlineStr">
        <is>
          <t>nyu</t>
        </is>
      </c>
      <c r="R1718" t="inlineStr">
        <is>
          <t xml:space="preserve">E  </t>
        </is>
      </c>
      <c r="S1718" t="n">
        <v>2</v>
      </c>
      <c r="T1718" t="n">
        <v>2</v>
      </c>
      <c r="U1718" t="inlineStr">
        <is>
          <t>1998-03-22</t>
        </is>
      </c>
      <c r="V1718" t="inlineStr">
        <is>
          <t>1998-03-22</t>
        </is>
      </c>
      <c r="W1718" t="inlineStr">
        <is>
          <t>1997-04-24</t>
        </is>
      </c>
      <c r="X1718" t="inlineStr">
        <is>
          <t>1997-04-24</t>
        </is>
      </c>
      <c r="Y1718" t="n">
        <v>114</v>
      </c>
      <c r="Z1718" t="n">
        <v>102</v>
      </c>
      <c r="AA1718" t="n">
        <v>1114</v>
      </c>
      <c r="AB1718" t="n">
        <v>2</v>
      </c>
      <c r="AC1718" t="n">
        <v>9</v>
      </c>
      <c r="AD1718" t="n">
        <v>4</v>
      </c>
      <c r="AE1718" t="n">
        <v>41</v>
      </c>
      <c r="AF1718" t="n">
        <v>0</v>
      </c>
      <c r="AG1718" t="n">
        <v>13</v>
      </c>
      <c r="AH1718" t="n">
        <v>1</v>
      </c>
      <c r="AI1718" t="n">
        <v>9</v>
      </c>
      <c r="AJ1718" t="n">
        <v>3</v>
      </c>
      <c r="AK1718" t="n">
        <v>15</v>
      </c>
      <c r="AL1718" t="n">
        <v>1</v>
      </c>
      <c r="AM1718" t="n">
        <v>5</v>
      </c>
      <c r="AN1718" t="n">
        <v>0</v>
      </c>
      <c r="AO1718" t="n">
        <v>8</v>
      </c>
      <c r="AP1718" t="inlineStr">
        <is>
          <t>No</t>
        </is>
      </c>
      <c r="AQ1718" t="inlineStr">
        <is>
          <t>Yes</t>
        </is>
      </c>
      <c r="AR1718">
        <f>HYPERLINK("http://catalog.hathitrust.org/Record/004389244","HathiTrust Record")</f>
        <v/>
      </c>
      <c r="AS1718">
        <f>HYPERLINK("https://creighton-primo.hosted.exlibrisgroup.com/primo-explore/search?tab=default_tab&amp;search_scope=EVERYTHING&amp;vid=01CRU&amp;lang=en_US&amp;offset=0&amp;query=any,contains,991004178809702656","Catalog Record")</f>
        <v/>
      </c>
      <c r="AT1718">
        <f>HYPERLINK("http://www.worldcat.org/oclc/2598502","WorldCat Record")</f>
        <v/>
      </c>
      <c r="AU1718" t="inlineStr">
        <is>
          <t>2383939:eng</t>
        </is>
      </c>
      <c r="AV1718" t="inlineStr">
        <is>
          <t>2598502</t>
        </is>
      </c>
      <c r="AW1718" t="inlineStr">
        <is>
          <t>991004178809702656</t>
        </is>
      </c>
      <c r="AX1718" t="inlineStr">
        <is>
          <t>991004178809702656</t>
        </is>
      </c>
      <c r="AY1718" t="inlineStr">
        <is>
          <t>2265872800002656</t>
        </is>
      </c>
      <c r="AZ1718" t="inlineStr">
        <is>
          <t>BOOK</t>
        </is>
      </c>
      <c r="BB1718" t="inlineStr">
        <is>
          <t>9780140044270</t>
        </is>
      </c>
      <c r="BC1718" t="inlineStr">
        <is>
          <t>32285002564119</t>
        </is>
      </c>
      <c r="BD1718" t="inlineStr">
        <is>
          <t>893875778</t>
        </is>
      </c>
    </row>
    <row r="1719">
      <c r="A1719" t="inlineStr">
        <is>
          <t>No</t>
        </is>
      </c>
      <c r="B1719" t="inlineStr">
        <is>
          <t>E748.H67 A63 1977</t>
        </is>
      </c>
      <c r="C1719" t="inlineStr">
        <is>
          <t>0                      E  0748000H  67                 A  63          1977</t>
        </is>
      </c>
      <c r="D1719" t="inlineStr">
        <is>
          <t>Harry Hopkins : a biography / by Henry H. Adams ; foreword by W. Averell Harriman.</t>
        </is>
      </c>
      <c r="F1719" t="inlineStr">
        <is>
          <t>No</t>
        </is>
      </c>
      <c r="G1719" t="inlineStr">
        <is>
          <t>1</t>
        </is>
      </c>
      <c r="H1719" t="inlineStr">
        <is>
          <t>No</t>
        </is>
      </c>
      <c r="I1719" t="inlineStr">
        <is>
          <t>No</t>
        </is>
      </c>
      <c r="J1719" t="inlineStr">
        <is>
          <t>0</t>
        </is>
      </c>
      <c r="K1719" t="inlineStr">
        <is>
          <t>Adams, Henry Hitch, 1917-2002.</t>
        </is>
      </c>
      <c r="L1719" t="inlineStr">
        <is>
          <t>New York : Putnam, c1977.</t>
        </is>
      </c>
      <c r="M1719" t="inlineStr">
        <is>
          <t>1977</t>
        </is>
      </c>
      <c r="O1719" t="inlineStr">
        <is>
          <t>eng</t>
        </is>
      </c>
      <c r="P1719" t="inlineStr">
        <is>
          <t>nyu</t>
        </is>
      </c>
      <c r="R1719" t="inlineStr">
        <is>
          <t xml:space="preserve">E  </t>
        </is>
      </c>
      <c r="S1719" t="n">
        <v>1</v>
      </c>
      <c r="T1719" t="n">
        <v>1</v>
      </c>
      <c r="U1719" t="inlineStr">
        <is>
          <t>1995-04-10</t>
        </is>
      </c>
      <c r="V1719" t="inlineStr">
        <is>
          <t>1995-04-10</t>
        </is>
      </c>
      <c r="W1719" t="inlineStr">
        <is>
          <t>1993-12-08</t>
        </is>
      </c>
      <c r="X1719" t="inlineStr">
        <is>
          <t>1993-12-08</t>
        </is>
      </c>
      <c r="Y1719" t="n">
        <v>950</v>
      </c>
      <c r="Z1719" t="n">
        <v>878</v>
      </c>
      <c r="AA1719" t="n">
        <v>880</v>
      </c>
      <c r="AB1719" t="n">
        <v>12</v>
      </c>
      <c r="AC1719" t="n">
        <v>12</v>
      </c>
      <c r="AD1719" t="n">
        <v>34</v>
      </c>
      <c r="AE1719" t="n">
        <v>34</v>
      </c>
      <c r="AF1719" t="n">
        <v>10</v>
      </c>
      <c r="AG1719" t="n">
        <v>10</v>
      </c>
      <c r="AH1719" t="n">
        <v>8</v>
      </c>
      <c r="AI1719" t="n">
        <v>8</v>
      </c>
      <c r="AJ1719" t="n">
        <v>17</v>
      </c>
      <c r="AK1719" t="n">
        <v>17</v>
      </c>
      <c r="AL1719" t="n">
        <v>8</v>
      </c>
      <c r="AM1719" t="n">
        <v>8</v>
      </c>
      <c r="AN1719" t="n">
        <v>0</v>
      </c>
      <c r="AO1719" t="n">
        <v>0</v>
      </c>
      <c r="AP1719" t="inlineStr">
        <is>
          <t>No</t>
        </is>
      </c>
      <c r="AQ1719" t="inlineStr">
        <is>
          <t>Yes</t>
        </is>
      </c>
      <c r="AR1719">
        <f>HYPERLINK("http://catalog.hathitrust.org/Record/000732814","HathiTrust Record")</f>
        <v/>
      </c>
      <c r="AS1719">
        <f>HYPERLINK("https://creighton-primo.hosted.exlibrisgroup.com/primo-explore/search?tab=default_tab&amp;search_scope=EVERYTHING&amp;vid=01CRU&amp;lang=en_US&amp;offset=0&amp;query=any,contains,991004158809702656","Catalog Record")</f>
        <v/>
      </c>
      <c r="AT1719">
        <f>HYPERLINK("http://www.worldcat.org/oclc/2542992","WorldCat Record")</f>
        <v/>
      </c>
      <c r="AU1719" t="inlineStr">
        <is>
          <t>5637929:eng</t>
        </is>
      </c>
      <c r="AV1719" t="inlineStr">
        <is>
          <t>2542992</t>
        </is>
      </c>
      <c r="AW1719" t="inlineStr">
        <is>
          <t>991004158809702656</t>
        </is>
      </c>
      <c r="AX1719" t="inlineStr">
        <is>
          <t>991004158809702656</t>
        </is>
      </c>
      <c r="AY1719" t="inlineStr">
        <is>
          <t>2272181130002656</t>
        </is>
      </c>
      <c r="AZ1719" t="inlineStr">
        <is>
          <t>BOOK</t>
        </is>
      </c>
      <c r="BB1719" t="inlineStr">
        <is>
          <t>9780399118333</t>
        </is>
      </c>
      <c r="BC1719" t="inlineStr">
        <is>
          <t>32285001806115</t>
        </is>
      </c>
      <c r="BD1719" t="inlineStr">
        <is>
          <t>893618321</t>
        </is>
      </c>
    </row>
    <row r="1720">
      <c r="A1720" t="inlineStr">
        <is>
          <t>No</t>
        </is>
      </c>
      <c r="B1720" t="inlineStr">
        <is>
          <t>E748.H67 M35 1987</t>
        </is>
      </c>
      <c r="C1720" t="inlineStr">
        <is>
          <t>0                      E  0748000H  67                 M  35          1987</t>
        </is>
      </c>
      <c r="D1720" t="inlineStr">
        <is>
          <t>Harry Hopkins : ally of the poor and defender of Democracy / George McJimsey.</t>
        </is>
      </c>
      <c r="F1720" t="inlineStr">
        <is>
          <t>No</t>
        </is>
      </c>
      <c r="G1720" t="inlineStr">
        <is>
          <t>1</t>
        </is>
      </c>
      <c r="H1720" t="inlineStr">
        <is>
          <t>No</t>
        </is>
      </c>
      <c r="I1720" t="inlineStr">
        <is>
          <t>No</t>
        </is>
      </c>
      <c r="J1720" t="inlineStr">
        <is>
          <t>0</t>
        </is>
      </c>
      <c r="K1720" t="inlineStr">
        <is>
          <t>McJimsey, George T.</t>
        </is>
      </c>
      <c r="L1720" t="inlineStr">
        <is>
          <t>Cambridge, Mass. : Harvard University Press, 1987.</t>
        </is>
      </c>
      <c r="M1720" t="inlineStr">
        <is>
          <t>1987</t>
        </is>
      </c>
      <c r="O1720" t="inlineStr">
        <is>
          <t>eng</t>
        </is>
      </c>
      <c r="P1720" t="inlineStr">
        <is>
          <t>mau</t>
        </is>
      </c>
      <c r="R1720" t="inlineStr">
        <is>
          <t xml:space="preserve">E  </t>
        </is>
      </c>
      <c r="S1720" t="n">
        <v>6</v>
      </c>
      <c r="T1720" t="n">
        <v>6</v>
      </c>
      <c r="U1720" t="inlineStr">
        <is>
          <t>1995-04-10</t>
        </is>
      </c>
      <c r="V1720" t="inlineStr">
        <is>
          <t>1995-04-10</t>
        </is>
      </c>
      <c r="W1720" t="inlineStr">
        <is>
          <t>1991-05-30</t>
        </is>
      </c>
      <c r="X1720" t="inlineStr">
        <is>
          <t>1991-05-30</t>
        </is>
      </c>
      <c r="Y1720" t="n">
        <v>907</v>
      </c>
      <c r="Z1720" t="n">
        <v>824</v>
      </c>
      <c r="AA1720" t="n">
        <v>833</v>
      </c>
      <c r="AB1720" t="n">
        <v>3</v>
      </c>
      <c r="AC1720" t="n">
        <v>3</v>
      </c>
      <c r="AD1720" t="n">
        <v>31</v>
      </c>
      <c r="AE1720" t="n">
        <v>31</v>
      </c>
      <c r="AF1720" t="n">
        <v>13</v>
      </c>
      <c r="AG1720" t="n">
        <v>13</v>
      </c>
      <c r="AH1720" t="n">
        <v>8</v>
      </c>
      <c r="AI1720" t="n">
        <v>8</v>
      </c>
      <c r="AJ1720" t="n">
        <v>17</v>
      </c>
      <c r="AK1720" t="n">
        <v>17</v>
      </c>
      <c r="AL1720" t="n">
        <v>2</v>
      </c>
      <c r="AM1720" t="n">
        <v>2</v>
      </c>
      <c r="AN1720" t="n">
        <v>0</v>
      </c>
      <c r="AO1720" t="n">
        <v>0</v>
      </c>
      <c r="AP1720" t="inlineStr">
        <is>
          <t>No</t>
        </is>
      </c>
      <c r="AQ1720" t="inlineStr">
        <is>
          <t>Yes</t>
        </is>
      </c>
      <c r="AR1720">
        <f>HYPERLINK("http://catalog.hathitrust.org/Record/000596102","HathiTrust Record")</f>
        <v/>
      </c>
      <c r="AS1720">
        <f>HYPERLINK("https://creighton-primo.hosted.exlibrisgroup.com/primo-explore/search?tab=default_tab&amp;search_scope=EVERYTHING&amp;vid=01CRU&amp;lang=en_US&amp;offset=0&amp;query=any,contains,991000918099702656","Catalog Record")</f>
        <v/>
      </c>
      <c r="AT1720">
        <f>HYPERLINK("http://www.worldcat.org/oclc/14188099","WorldCat Record")</f>
        <v/>
      </c>
      <c r="AU1720" t="inlineStr">
        <is>
          <t>836670561:eng</t>
        </is>
      </c>
      <c r="AV1720" t="inlineStr">
        <is>
          <t>14188099</t>
        </is>
      </c>
      <c r="AW1720" t="inlineStr">
        <is>
          <t>991000918099702656</t>
        </is>
      </c>
      <c r="AX1720" t="inlineStr">
        <is>
          <t>991000918099702656</t>
        </is>
      </c>
      <c r="AY1720" t="inlineStr">
        <is>
          <t>2261838340002656</t>
        </is>
      </c>
      <c r="AZ1720" t="inlineStr">
        <is>
          <t>BOOK</t>
        </is>
      </c>
      <c r="BB1720" t="inlineStr">
        <is>
          <t>9780674372870</t>
        </is>
      </c>
      <c r="BC1720" t="inlineStr">
        <is>
          <t>32285000613132</t>
        </is>
      </c>
      <c r="BD1720" t="inlineStr">
        <is>
          <t>893620918</t>
        </is>
      </c>
    </row>
    <row r="1721">
      <c r="A1721" t="inlineStr">
        <is>
          <t>No</t>
        </is>
      </c>
      <c r="B1721" t="inlineStr">
        <is>
          <t>E748.H77 R5</t>
        </is>
      </c>
      <c r="C1721" t="inlineStr">
        <is>
          <t>0                      E  0748000H  77                 R  5</t>
        </is>
      </c>
      <c r="D1721" t="inlineStr">
        <is>
          <t>Colonel Edward M. House.</t>
        </is>
      </c>
      <c r="F1721" t="inlineStr">
        <is>
          <t>No</t>
        </is>
      </c>
      <c r="G1721" t="inlineStr">
        <is>
          <t>1</t>
        </is>
      </c>
      <c r="H1721" t="inlineStr">
        <is>
          <t>No</t>
        </is>
      </c>
      <c r="I1721" t="inlineStr">
        <is>
          <t>No</t>
        </is>
      </c>
      <c r="J1721" t="inlineStr">
        <is>
          <t>0</t>
        </is>
      </c>
      <c r="K1721" t="inlineStr">
        <is>
          <t>Richardson, Rupert Norval, 1891-1988.</t>
        </is>
      </c>
      <c r="M1721" t="inlineStr">
        <is>
          <t>1964</t>
        </is>
      </c>
      <c r="O1721" t="inlineStr">
        <is>
          <t>eng</t>
        </is>
      </c>
      <c r="P1721" t="inlineStr">
        <is>
          <t>txu</t>
        </is>
      </c>
      <c r="Q1721" t="inlineStr">
        <is>
          <t>Hardin-Simmons University. Publications in history, v. 1</t>
        </is>
      </c>
      <c r="R1721" t="inlineStr">
        <is>
          <t xml:space="preserve">E  </t>
        </is>
      </c>
      <c r="S1721" t="n">
        <v>1</v>
      </c>
      <c r="T1721" t="n">
        <v>1</v>
      </c>
      <c r="U1721" t="inlineStr">
        <is>
          <t>2003-02-13</t>
        </is>
      </c>
      <c r="V1721" t="inlineStr">
        <is>
          <t>2003-02-13</t>
        </is>
      </c>
      <c r="W1721" t="inlineStr">
        <is>
          <t>1997-04-24</t>
        </is>
      </c>
      <c r="X1721" t="inlineStr">
        <is>
          <t>1997-04-24</t>
        </is>
      </c>
      <c r="Y1721" t="n">
        <v>179</v>
      </c>
      <c r="Z1721" t="n">
        <v>169</v>
      </c>
      <c r="AA1721" t="n">
        <v>170</v>
      </c>
      <c r="AB1721" t="n">
        <v>3</v>
      </c>
      <c r="AC1721" t="n">
        <v>3</v>
      </c>
      <c r="AD1721" t="n">
        <v>9</v>
      </c>
      <c r="AE1721" t="n">
        <v>9</v>
      </c>
      <c r="AF1721" t="n">
        <v>1</v>
      </c>
      <c r="AG1721" t="n">
        <v>1</v>
      </c>
      <c r="AH1721" t="n">
        <v>4</v>
      </c>
      <c r="AI1721" t="n">
        <v>4</v>
      </c>
      <c r="AJ1721" t="n">
        <v>4</v>
      </c>
      <c r="AK1721" t="n">
        <v>4</v>
      </c>
      <c r="AL1721" t="n">
        <v>2</v>
      </c>
      <c r="AM1721" t="n">
        <v>2</v>
      </c>
      <c r="AN1721" t="n">
        <v>0</v>
      </c>
      <c r="AO1721" t="n">
        <v>0</v>
      </c>
      <c r="AP1721" t="inlineStr">
        <is>
          <t>No</t>
        </is>
      </c>
      <c r="AQ1721" t="inlineStr">
        <is>
          <t>Yes</t>
        </is>
      </c>
      <c r="AR1721">
        <f>HYPERLINK("http://catalog.hathitrust.org/Record/001652712","HathiTrust Record")</f>
        <v/>
      </c>
      <c r="AS1721">
        <f>HYPERLINK("https://creighton-primo.hosted.exlibrisgroup.com/primo-explore/search?tab=default_tab&amp;search_scope=EVERYTHING&amp;vid=01CRU&amp;lang=en_US&amp;offset=0&amp;query=any,contains,991004134569702656","Catalog Record")</f>
        <v/>
      </c>
      <c r="AT1721">
        <f>HYPERLINK("http://www.worldcat.org/oclc/2481529","WorldCat Record")</f>
        <v/>
      </c>
      <c r="AU1721" t="inlineStr">
        <is>
          <t>8907812798:eng</t>
        </is>
      </c>
      <c r="AV1721" t="inlineStr">
        <is>
          <t>2481529</t>
        </is>
      </c>
      <c r="AW1721" t="inlineStr">
        <is>
          <t>991004134569702656</t>
        </is>
      </c>
      <c r="AX1721" t="inlineStr">
        <is>
          <t>991004134569702656</t>
        </is>
      </c>
      <c r="AY1721" t="inlineStr">
        <is>
          <t>2263597750002656</t>
        </is>
      </c>
      <c r="AZ1721" t="inlineStr">
        <is>
          <t>BOOK</t>
        </is>
      </c>
      <c r="BC1721" t="inlineStr">
        <is>
          <t>32285002564135</t>
        </is>
      </c>
      <c r="BD1721" t="inlineStr">
        <is>
          <t>893228968</t>
        </is>
      </c>
    </row>
    <row r="1722">
      <c r="A1722" t="inlineStr">
        <is>
          <t>No</t>
        </is>
      </c>
      <c r="B1722" t="inlineStr">
        <is>
          <t>E748.H787 S8</t>
        </is>
      </c>
      <c r="C1722" t="inlineStr">
        <is>
          <t>0                      E  0748000H  787                S  8</t>
        </is>
      </c>
      <c r="D1722" t="inlineStr">
        <is>
          <t>The man behind Roosevelt ; the story of Louis McHenry Howe / by Lela Stiles.</t>
        </is>
      </c>
      <c r="F1722" t="inlineStr">
        <is>
          <t>No</t>
        </is>
      </c>
      <c r="G1722" t="inlineStr">
        <is>
          <t>1</t>
        </is>
      </c>
      <c r="H1722" t="inlineStr">
        <is>
          <t>No</t>
        </is>
      </c>
      <c r="I1722" t="inlineStr">
        <is>
          <t>No</t>
        </is>
      </c>
      <c r="J1722" t="inlineStr">
        <is>
          <t>0</t>
        </is>
      </c>
      <c r="K1722" t="inlineStr">
        <is>
          <t>Stiles, Lela Mae, approximately 1900-1988.</t>
        </is>
      </c>
      <c r="L1722" t="inlineStr">
        <is>
          <t>Cleveland, World Pub. Co. [1954]</t>
        </is>
      </c>
      <c r="M1722" t="inlineStr">
        <is>
          <t>1954</t>
        </is>
      </c>
      <c r="N1722" t="inlineStr">
        <is>
          <t>[1st ed.]</t>
        </is>
      </c>
      <c r="O1722" t="inlineStr">
        <is>
          <t>eng</t>
        </is>
      </c>
      <c r="P1722" t="inlineStr">
        <is>
          <t>___</t>
        </is>
      </c>
      <c r="R1722" t="inlineStr">
        <is>
          <t xml:space="preserve">E  </t>
        </is>
      </c>
      <c r="S1722" t="n">
        <v>3</v>
      </c>
      <c r="T1722" t="n">
        <v>3</v>
      </c>
      <c r="U1722" t="inlineStr">
        <is>
          <t>1993-10-19</t>
        </is>
      </c>
      <c r="V1722" t="inlineStr">
        <is>
          <t>1993-10-19</t>
        </is>
      </c>
      <c r="W1722" t="inlineStr">
        <is>
          <t>1991-05-30</t>
        </is>
      </c>
      <c r="X1722" t="inlineStr">
        <is>
          <t>1991-05-30</t>
        </is>
      </c>
      <c r="Y1722" t="n">
        <v>492</v>
      </c>
      <c r="Z1722" t="n">
        <v>465</v>
      </c>
      <c r="AA1722" t="n">
        <v>605</v>
      </c>
      <c r="AB1722" t="n">
        <v>5</v>
      </c>
      <c r="AC1722" t="n">
        <v>6</v>
      </c>
      <c r="AD1722" t="n">
        <v>31</v>
      </c>
      <c r="AE1722" t="n">
        <v>39</v>
      </c>
      <c r="AF1722" t="n">
        <v>9</v>
      </c>
      <c r="AG1722" t="n">
        <v>12</v>
      </c>
      <c r="AH1722" t="n">
        <v>6</v>
      </c>
      <c r="AI1722" t="n">
        <v>7</v>
      </c>
      <c r="AJ1722" t="n">
        <v>17</v>
      </c>
      <c r="AK1722" t="n">
        <v>17</v>
      </c>
      <c r="AL1722" t="n">
        <v>4</v>
      </c>
      <c r="AM1722" t="n">
        <v>4</v>
      </c>
      <c r="AN1722" t="n">
        <v>2</v>
      </c>
      <c r="AO1722" t="n">
        <v>7</v>
      </c>
      <c r="AP1722" t="inlineStr">
        <is>
          <t>Yes</t>
        </is>
      </c>
      <c r="AQ1722" t="inlineStr">
        <is>
          <t>No</t>
        </is>
      </c>
      <c r="AR1722">
        <f>HYPERLINK("http://catalog.hathitrust.org/Record/000467982","HathiTrust Record")</f>
        <v/>
      </c>
      <c r="AS1722">
        <f>HYPERLINK("https://creighton-primo.hosted.exlibrisgroup.com/primo-explore/search?tab=default_tab&amp;search_scope=EVERYTHING&amp;vid=01CRU&amp;lang=en_US&amp;offset=0&amp;query=any,contains,991003196139702656","Catalog Record")</f>
        <v/>
      </c>
      <c r="AT1722">
        <f>HYPERLINK("http://www.worldcat.org/oclc/721617","WorldCat Record")</f>
        <v/>
      </c>
      <c r="AU1722" t="inlineStr">
        <is>
          <t>288706624:eng</t>
        </is>
      </c>
      <c r="AV1722" t="inlineStr">
        <is>
          <t>721617</t>
        </is>
      </c>
      <c r="AW1722" t="inlineStr">
        <is>
          <t>991003196139702656</t>
        </is>
      </c>
      <c r="AX1722" t="inlineStr">
        <is>
          <t>991003196139702656</t>
        </is>
      </c>
      <c r="AY1722" t="inlineStr">
        <is>
          <t>2259052340002656</t>
        </is>
      </c>
      <c r="AZ1722" t="inlineStr">
        <is>
          <t>BOOK</t>
        </is>
      </c>
      <c r="BC1722" t="inlineStr">
        <is>
          <t>32285000613140</t>
        </is>
      </c>
      <c r="BD1722" t="inlineStr">
        <is>
          <t>893799467</t>
        </is>
      </c>
    </row>
    <row r="1723">
      <c r="A1723" t="inlineStr">
        <is>
          <t>No</t>
        </is>
      </c>
      <c r="B1723" t="inlineStr">
        <is>
          <t>E748.H88 G55</t>
        </is>
      </c>
      <c r="C1723" t="inlineStr">
        <is>
          <t>0                      E  0748000H  88                 G  55</t>
        </is>
      </c>
      <c r="D1723" t="inlineStr">
        <is>
          <t>Charles Evans Hughes and the illusions of innocence; a study in American diplomacy.</t>
        </is>
      </c>
      <c r="F1723" t="inlineStr">
        <is>
          <t>No</t>
        </is>
      </c>
      <c r="G1723" t="inlineStr">
        <is>
          <t>1</t>
        </is>
      </c>
      <c r="H1723" t="inlineStr">
        <is>
          <t>No</t>
        </is>
      </c>
      <c r="I1723" t="inlineStr">
        <is>
          <t>No</t>
        </is>
      </c>
      <c r="J1723" t="inlineStr">
        <is>
          <t>0</t>
        </is>
      </c>
      <c r="K1723" t="inlineStr">
        <is>
          <t>Glad, Betty.</t>
        </is>
      </c>
      <c r="L1723" t="inlineStr">
        <is>
          <t>Urbana, University of Illinois Press, 1966.</t>
        </is>
      </c>
      <c r="M1723" t="inlineStr">
        <is>
          <t>1966</t>
        </is>
      </c>
      <c r="O1723" t="inlineStr">
        <is>
          <t>eng</t>
        </is>
      </c>
      <c r="P1723" t="inlineStr">
        <is>
          <t>ilu</t>
        </is>
      </c>
      <c r="R1723" t="inlineStr">
        <is>
          <t xml:space="preserve">E  </t>
        </is>
      </c>
      <c r="S1723" t="n">
        <v>2</v>
      </c>
      <c r="T1723" t="n">
        <v>2</v>
      </c>
      <c r="U1723" t="inlineStr">
        <is>
          <t>1998-12-16</t>
        </is>
      </c>
      <c r="V1723" t="inlineStr">
        <is>
          <t>1998-12-16</t>
        </is>
      </c>
      <c r="W1723" t="inlineStr">
        <is>
          <t>1997-04-24</t>
        </is>
      </c>
      <c r="X1723" t="inlineStr">
        <is>
          <t>1997-04-24</t>
        </is>
      </c>
      <c r="Y1723" t="n">
        <v>928</v>
      </c>
      <c r="Z1723" t="n">
        <v>849</v>
      </c>
      <c r="AA1723" t="n">
        <v>856</v>
      </c>
      <c r="AB1723" t="n">
        <v>6</v>
      </c>
      <c r="AC1723" t="n">
        <v>6</v>
      </c>
      <c r="AD1723" t="n">
        <v>47</v>
      </c>
      <c r="AE1723" t="n">
        <v>47</v>
      </c>
      <c r="AF1723" t="n">
        <v>16</v>
      </c>
      <c r="AG1723" t="n">
        <v>16</v>
      </c>
      <c r="AH1723" t="n">
        <v>8</v>
      </c>
      <c r="AI1723" t="n">
        <v>8</v>
      </c>
      <c r="AJ1723" t="n">
        <v>18</v>
      </c>
      <c r="AK1723" t="n">
        <v>18</v>
      </c>
      <c r="AL1723" t="n">
        <v>5</v>
      </c>
      <c r="AM1723" t="n">
        <v>5</v>
      </c>
      <c r="AN1723" t="n">
        <v>10</v>
      </c>
      <c r="AO1723" t="n">
        <v>10</v>
      </c>
      <c r="AP1723" t="inlineStr">
        <is>
          <t>No</t>
        </is>
      </c>
      <c r="AQ1723" t="inlineStr">
        <is>
          <t>Yes</t>
        </is>
      </c>
      <c r="AR1723">
        <f>HYPERLINK("http://catalog.hathitrust.org/Record/000469286","HathiTrust Record")</f>
        <v/>
      </c>
      <c r="AS1723">
        <f>HYPERLINK("https://creighton-primo.hosted.exlibrisgroup.com/primo-explore/search?tab=default_tab&amp;search_scope=EVERYTHING&amp;vid=01CRU&amp;lang=en_US&amp;offset=0&amp;query=any,contains,991002812509702656","Catalog Record")</f>
        <v/>
      </c>
      <c r="AT1723">
        <f>HYPERLINK("http://www.worldcat.org/oclc/456602","WorldCat Record")</f>
        <v/>
      </c>
      <c r="AU1723" t="inlineStr">
        <is>
          <t>308930298:eng</t>
        </is>
      </c>
      <c r="AV1723" t="inlineStr">
        <is>
          <t>456602</t>
        </is>
      </c>
      <c r="AW1723" t="inlineStr">
        <is>
          <t>991002812509702656</t>
        </is>
      </c>
      <c r="AX1723" t="inlineStr">
        <is>
          <t>991002812509702656</t>
        </is>
      </c>
      <c r="AY1723" t="inlineStr">
        <is>
          <t>2260851240002656</t>
        </is>
      </c>
      <c r="AZ1723" t="inlineStr">
        <is>
          <t>BOOK</t>
        </is>
      </c>
      <c r="BC1723" t="inlineStr">
        <is>
          <t>32285002564143</t>
        </is>
      </c>
      <c r="BD1723" t="inlineStr">
        <is>
          <t>893704553</t>
        </is>
      </c>
    </row>
    <row r="1724">
      <c r="A1724" t="inlineStr">
        <is>
          <t>No</t>
        </is>
      </c>
      <c r="B1724" t="inlineStr">
        <is>
          <t>E748.H88 P4</t>
        </is>
      </c>
      <c r="C1724" t="inlineStr">
        <is>
          <t>0                      E  0748000H  88                 P  4</t>
        </is>
      </c>
      <c r="D1724" t="inlineStr">
        <is>
          <t>Charles Evans Hughes and American democratic statesmanship.</t>
        </is>
      </c>
      <c r="F1724" t="inlineStr">
        <is>
          <t>No</t>
        </is>
      </c>
      <c r="G1724" t="inlineStr">
        <is>
          <t>1</t>
        </is>
      </c>
      <c r="H1724" t="inlineStr">
        <is>
          <t>No</t>
        </is>
      </c>
      <c r="I1724" t="inlineStr">
        <is>
          <t>No</t>
        </is>
      </c>
      <c r="J1724" t="inlineStr">
        <is>
          <t>0</t>
        </is>
      </c>
      <c r="K1724" t="inlineStr">
        <is>
          <t>Perkins, Dexter, 1889-1984.</t>
        </is>
      </c>
      <c r="L1724" t="inlineStr">
        <is>
          <t>Boston, Little, Brown [1956]</t>
        </is>
      </c>
      <c r="M1724" t="inlineStr">
        <is>
          <t>1956</t>
        </is>
      </c>
      <c r="N1724" t="inlineStr">
        <is>
          <t>[1st ed.]</t>
        </is>
      </c>
      <c r="O1724" t="inlineStr">
        <is>
          <t>eng</t>
        </is>
      </c>
      <c r="P1724" t="inlineStr">
        <is>
          <t>mau</t>
        </is>
      </c>
      <c r="Q1724" t="inlineStr">
        <is>
          <t>The Library of American biography</t>
        </is>
      </c>
      <c r="R1724" t="inlineStr">
        <is>
          <t xml:space="preserve">E  </t>
        </is>
      </c>
      <c r="S1724" t="n">
        <v>2</v>
      </c>
      <c r="T1724" t="n">
        <v>2</v>
      </c>
      <c r="U1724" t="inlineStr">
        <is>
          <t>1998-12-16</t>
        </is>
      </c>
      <c r="V1724" t="inlineStr">
        <is>
          <t>1998-12-16</t>
        </is>
      </c>
      <c r="W1724" t="inlineStr">
        <is>
          <t>1997-04-24</t>
        </is>
      </c>
      <c r="X1724" t="inlineStr">
        <is>
          <t>1997-04-24</t>
        </is>
      </c>
      <c r="Y1724" t="n">
        <v>1128</v>
      </c>
      <c r="Z1724" t="n">
        <v>1034</v>
      </c>
      <c r="AA1724" t="n">
        <v>1094</v>
      </c>
      <c r="AB1724" t="n">
        <v>9</v>
      </c>
      <c r="AC1724" t="n">
        <v>10</v>
      </c>
      <c r="AD1724" t="n">
        <v>46</v>
      </c>
      <c r="AE1724" t="n">
        <v>50</v>
      </c>
      <c r="AF1724" t="n">
        <v>17</v>
      </c>
      <c r="AG1724" t="n">
        <v>18</v>
      </c>
      <c r="AH1724" t="n">
        <v>7</v>
      </c>
      <c r="AI1724" t="n">
        <v>7</v>
      </c>
      <c r="AJ1724" t="n">
        <v>15</v>
      </c>
      <c r="AK1724" t="n">
        <v>17</v>
      </c>
      <c r="AL1724" t="n">
        <v>5</v>
      </c>
      <c r="AM1724" t="n">
        <v>5</v>
      </c>
      <c r="AN1724" t="n">
        <v>10</v>
      </c>
      <c r="AO1724" t="n">
        <v>12</v>
      </c>
      <c r="AP1724" t="inlineStr">
        <is>
          <t>No</t>
        </is>
      </c>
      <c r="AQ1724" t="inlineStr">
        <is>
          <t>Yes</t>
        </is>
      </c>
      <c r="AR1724">
        <f>HYPERLINK("http://catalog.hathitrust.org/Record/000469336","HathiTrust Record")</f>
        <v/>
      </c>
      <c r="AS1724">
        <f>HYPERLINK("https://creighton-primo.hosted.exlibrisgroup.com/primo-explore/search?tab=default_tab&amp;search_scope=EVERYTHING&amp;vid=01CRU&amp;lang=en_US&amp;offset=0&amp;query=any,contains,991002832339702656","Catalog Record")</f>
        <v/>
      </c>
      <c r="AT1724">
        <f>HYPERLINK("http://www.worldcat.org/oclc/478318","WorldCat Record")</f>
        <v/>
      </c>
      <c r="AU1724" t="inlineStr">
        <is>
          <t>1553505:eng</t>
        </is>
      </c>
      <c r="AV1724" t="inlineStr">
        <is>
          <t>478318</t>
        </is>
      </c>
      <c r="AW1724" t="inlineStr">
        <is>
          <t>991002832339702656</t>
        </is>
      </c>
      <c r="AX1724" t="inlineStr">
        <is>
          <t>991002832339702656</t>
        </is>
      </c>
      <c r="AY1724" t="inlineStr">
        <is>
          <t>2264168520002656</t>
        </is>
      </c>
      <c r="AZ1724" t="inlineStr">
        <is>
          <t>BOOK</t>
        </is>
      </c>
      <c r="BC1724" t="inlineStr">
        <is>
          <t>32285002564150</t>
        </is>
      </c>
      <c r="BD1724" t="inlineStr">
        <is>
          <t>893880480</t>
        </is>
      </c>
    </row>
    <row r="1725">
      <c r="A1725" t="inlineStr">
        <is>
          <t>No</t>
        </is>
      </c>
      <c r="B1725" t="inlineStr">
        <is>
          <t>E748.H88 W4</t>
        </is>
      </c>
      <c r="C1725" t="inlineStr">
        <is>
          <t>0                      E  0748000H  88                 W  4</t>
        </is>
      </c>
      <c r="D1725" t="inlineStr">
        <is>
          <t>Charles Evans Hughes; politics and reform in New York, 1905-1910, by Robert F. Wesser.</t>
        </is>
      </c>
      <c r="F1725" t="inlineStr">
        <is>
          <t>No</t>
        </is>
      </c>
      <c r="G1725" t="inlineStr">
        <is>
          <t>1</t>
        </is>
      </c>
      <c r="H1725" t="inlineStr">
        <is>
          <t>No</t>
        </is>
      </c>
      <c r="I1725" t="inlineStr">
        <is>
          <t>No</t>
        </is>
      </c>
      <c r="J1725" t="inlineStr">
        <is>
          <t>0</t>
        </is>
      </c>
      <c r="K1725" t="inlineStr">
        <is>
          <t>Wesser, Robert F.</t>
        </is>
      </c>
      <c r="L1725" t="inlineStr">
        <is>
          <t>Ithaca, N.Y., Cornell University Press [1967]</t>
        </is>
      </c>
      <c r="M1725" t="inlineStr">
        <is>
          <t>1967</t>
        </is>
      </c>
      <c r="O1725" t="inlineStr">
        <is>
          <t>eng</t>
        </is>
      </c>
      <c r="P1725" t="inlineStr">
        <is>
          <t>nyu</t>
        </is>
      </c>
      <c r="R1725" t="inlineStr">
        <is>
          <t xml:space="preserve">E  </t>
        </is>
      </c>
      <c r="S1725" t="n">
        <v>2</v>
      </c>
      <c r="T1725" t="n">
        <v>2</v>
      </c>
      <c r="U1725" t="inlineStr">
        <is>
          <t>1998-12-16</t>
        </is>
      </c>
      <c r="V1725" t="inlineStr">
        <is>
          <t>1998-12-16</t>
        </is>
      </c>
      <c r="W1725" t="inlineStr">
        <is>
          <t>1997-04-24</t>
        </is>
      </c>
      <c r="X1725" t="inlineStr">
        <is>
          <t>1997-04-24</t>
        </is>
      </c>
      <c r="Y1725" t="n">
        <v>854</v>
      </c>
      <c r="Z1725" t="n">
        <v>786</v>
      </c>
      <c r="AA1725" t="n">
        <v>965</v>
      </c>
      <c r="AB1725" t="n">
        <v>6</v>
      </c>
      <c r="AC1725" t="n">
        <v>6</v>
      </c>
      <c r="AD1725" t="n">
        <v>47</v>
      </c>
      <c r="AE1725" t="n">
        <v>51</v>
      </c>
      <c r="AF1725" t="n">
        <v>19</v>
      </c>
      <c r="AG1725" t="n">
        <v>21</v>
      </c>
      <c r="AH1725" t="n">
        <v>8</v>
      </c>
      <c r="AI1725" t="n">
        <v>9</v>
      </c>
      <c r="AJ1725" t="n">
        <v>19</v>
      </c>
      <c r="AK1725" t="n">
        <v>20</v>
      </c>
      <c r="AL1725" t="n">
        <v>5</v>
      </c>
      <c r="AM1725" t="n">
        <v>5</v>
      </c>
      <c r="AN1725" t="n">
        <v>7</v>
      </c>
      <c r="AO1725" t="n">
        <v>8</v>
      </c>
      <c r="AP1725" t="inlineStr">
        <is>
          <t>No</t>
        </is>
      </c>
      <c r="AQ1725" t="inlineStr">
        <is>
          <t>Yes</t>
        </is>
      </c>
      <c r="AR1725">
        <f>HYPERLINK("http://catalog.hathitrust.org/Record/000467984","HathiTrust Record")</f>
        <v/>
      </c>
      <c r="AS1725">
        <f>HYPERLINK("https://creighton-primo.hosted.exlibrisgroup.com/primo-explore/search?tab=default_tab&amp;search_scope=EVERYTHING&amp;vid=01CRU&amp;lang=en_US&amp;offset=0&amp;query=any,contains,991002812549702656","Catalog Record")</f>
        <v/>
      </c>
      <c r="AT1725">
        <f>HYPERLINK("http://www.worldcat.org/oclc/456604","WorldCat Record")</f>
        <v/>
      </c>
      <c r="AU1725" t="inlineStr">
        <is>
          <t>1468513:eng</t>
        </is>
      </c>
      <c r="AV1725" t="inlineStr">
        <is>
          <t>456604</t>
        </is>
      </c>
      <c r="AW1725" t="inlineStr">
        <is>
          <t>991002812549702656</t>
        </is>
      </c>
      <c r="AX1725" t="inlineStr">
        <is>
          <t>991002812549702656</t>
        </is>
      </c>
      <c r="AY1725" t="inlineStr">
        <is>
          <t>2260851860002656</t>
        </is>
      </c>
      <c r="AZ1725" t="inlineStr">
        <is>
          <t>BOOK</t>
        </is>
      </c>
      <c r="BC1725" t="inlineStr">
        <is>
          <t>32285002564168</t>
        </is>
      </c>
      <c r="BD1725" t="inlineStr">
        <is>
          <t>893251643</t>
        </is>
      </c>
    </row>
    <row r="1726">
      <c r="A1726" t="inlineStr">
        <is>
          <t>No</t>
        </is>
      </c>
      <c r="B1726" t="inlineStr">
        <is>
          <t>E748.H93 A3</t>
        </is>
      </c>
      <c r="C1726" t="inlineStr">
        <is>
          <t>0                      E  0748000H  93                 A  3</t>
        </is>
      </c>
      <c r="D1726" t="inlineStr">
        <is>
          <t>The memoirs of Cordell Hull.</t>
        </is>
      </c>
      <c r="E1726" t="inlineStr">
        <is>
          <t>V.2</t>
        </is>
      </c>
      <c r="F1726" t="inlineStr">
        <is>
          <t>Yes</t>
        </is>
      </c>
      <c r="G1726" t="inlineStr">
        <is>
          <t>1</t>
        </is>
      </c>
      <c r="H1726" t="inlineStr">
        <is>
          <t>No</t>
        </is>
      </c>
      <c r="I1726" t="inlineStr">
        <is>
          <t>No</t>
        </is>
      </c>
      <c r="J1726" t="inlineStr">
        <is>
          <t>0</t>
        </is>
      </c>
      <c r="K1726" t="inlineStr">
        <is>
          <t>Hull, Cordell, 1871-1955.</t>
        </is>
      </c>
      <c r="L1726" t="inlineStr">
        <is>
          <t>New York : Macmillan Co., 1948.</t>
        </is>
      </c>
      <c r="M1726" t="inlineStr">
        <is>
          <t>1948</t>
        </is>
      </c>
      <c r="O1726" t="inlineStr">
        <is>
          <t>eng</t>
        </is>
      </c>
      <c r="P1726" t="inlineStr">
        <is>
          <t>nyu</t>
        </is>
      </c>
      <c r="R1726" t="inlineStr">
        <is>
          <t xml:space="preserve">E  </t>
        </is>
      </c>
      <c r="S1726" t="n">
        <v>0</v>
      </c>
      <c r="T1726" t="n">
        <v>5</v>
      </c>
      <c r="V1726" t="inlineStr">
        <is>
          <t>2000-02-22</t>
        </is>
      </c>
      <c r="W1726" t="inlineStr">
        <is>
          <t>1992-05-05</t>
        </is>
      </c>
      <c r="X1726" t="inlineStr">
        <is>
          <t>1992-05-05</t>
        </is>
      </c>
      <c r="Y1726" t="n">
        <v>1523</v>
      </c>
      <c r="Z1726" t="n">
        <v>1407</v>
      </c>
      <c r="AA1726" t="n">
        <v>1482</v>
      </c>
      <c r="AB1726" t="n">
        <v>13</v>
      </c>
      <c r="AC1726" t="n">
        <v>14</v>
      </c>
      <c r="AD1726" t="n">
        <v>69</v>
      </c>
      <c r="AE1726" t="n">
        <v>74</v>
      </c>
      <c r="AF1726" t="n">
        <v>25</v>
      </c>
      <c r="AG1726" t="n">
        <v>28</v>
      </c>
      <c r="AH1726" t="n">
        <v>11</v>
      </c>
      <c r="AI1726" t="n">
        <v>11</v>
      </c>
      <c r="AJ1726" t="n">
        <v>27</v>
      </c>
      <c r="AK1726" t="n">
        <v>27</v>
      </c>
      <c r="AL1726" t="n">
        <v>11</v>
      </c>
      <c r="AM1726" t="n">
        <v>11</v>
      </c>
      <c r="AN1726" t="n">
        <v>9</v>
      </c>
      <c r="AO1726" t="n">
        <v>11</v>
      </c>
      <c r="AP1726" t="inlineStr">
        <is>
          <t>Yes</t>
        </is>
      </c>
      <c r="AQ1726" t="inlineStr">
        <is>
          <t>No</t>
        </is>
      </c>
      <c r="AR1726">
        <f>HYPERLINK("http://catalog.hathitrust.org/Record/000469721","HathiTrust Record")</f>
        <v/>
      </c>
      <c r="AS1726">
        <f>HYPERLINK("https://creighton-primo.hosted.exlibrisgroup.com/primo-explore/search?tab=default_tab&amp;search_scope=EVERYTHING&amp;vid=01CRU&amp;lang=en_US&amp;offset=0&amp;query=any,contains,991002812579702656","Catalog Record")</f>
        <v/>
      </c>
      <c r="AT1726">
        <f>HYPERLINK("http://www.worldcat.org/oclc/456606","WorldCat Record")</f>
        <v/>
      </c>
      <c r="AU1726" t="inlineStr">
        <is>
          <t>19932837:eng</t>
        </is>
      </c>
      <c r="AV1726" t="inlineStr">
        <is>
          <t>456606</t>
        </is>
      </c>
      <c r="AW1726" t="inlineStr">
        <is>
          <t>991002812579702656</t>
        </is>
      </c>
      <c r="AX1726" t="inlineStr">
        <is>
          <t>991002812579702656</t>
        </is>
      </c>
      <c r="AY1726" t="inlineStr">
        <is>
          <t>2260851650002656</t>
        </is>
      </c>
      <c r="AZ1726" t="inlineStr">
        <is>
          <t>BOOK</t>
        </is>
      </c>
      <c r="BC1726" t="inlineStr">
        <is>
          <t>32285001093094</t>
        </is>
      </c>
      <c r="BD1726" t="inlineStr">
        <is>
          <t>893335753</t>
        </is>
      </c>
    </row>
    <row r="1727">
      <c r="A1727" t="inlineStr">
        <is>
          <t>No</t>
        </is>
      </c>
      <c r="B1727" t="inlineStr">
        <is>
          <t>E748.H93 A3</t>
        </is>
      </c>
      <c r="C1727" t="inlineStr">
        <is>
          <t>0                      E  0748000H  93                 A  3</t>
        </is>
      </c>
      <c r="D1727" t="inlineStr">
        <is>
          <t>The memoirs of Cordell Hull.</t>
        </is>
      </c>
      <c r="E1727" t="inlineStr">
        <is>
          <t>V.1</t>
        </is>
      </c>
      <c r="F1727" t="inlineStr">
        <is>
          <t>Yes</t>
        </is>
      </c>
      <c r="G1727" t="inlineStr">
        <is>
          <t>1</t>
        </is>
      </c>
      <c r="H1727" t="inlineStr">
        <is>
          <t>No</t>
        </is>
      </c>
      <c r="I1727" t="inlineStr">
        <is>
          <t>No</t>
        </is>
      </c>
      <c r="J1727" t="inlineStr">
        <is>
          <t>0</t>
        </is>
      </c>
      <c r="K1727" t="inlineStr">
        <is>
          <t>Hull, Cordell, 1871-1955.</t>
        </is>
      </c>
      <c r="L1727" t="inlineStr">
        <is>
          <t>New York : Macmillan Co., 1948.</t>
        </is>
      </c>
      <c r="M1727" t="inlineStr">
        <is>
          <t>1948</t>
        </is>
      </c>
      <c r="O1727" t="inlineStr">
        <is>
          <t>eng</t>
        </is>
      </c>
      <c r="P1727" t="inlineStr">
        <is>
          <t>nyu</t>
        </is>
      </c>
      <c r="R1727" t="inlineStr">
        <is>
          <t xml:space="preserve">E  </t>
        </is>
      </c>
      <c r="S1727" t="n">
        <v>5</v>
      </c>
      <c r="T1727" t="n">
        <v>5</v>
      </c>
      <c r="U1727" t="inlineStr">
        <is>
          <t>2000-02-22</t>
        </is>
      </c>
      <c r="V1727" t="inlineStr">
        <is>
          <t>2000-02-22</t>
        </is>
      </c>
      <c r="W1727" t="inlineStr">
        <is>
          <t>1992-05-05</t>
        </is>
      </c>
      <c r="X1727" t="inlineStr">
        <is>
          <t>1992-05-05</t>
        </is>
      </c>
      <c r="Y1727" t="n">
        <v>1523</v>
      </c>
      <c r="Z1727" t="n">
        <v>1407</v>
      </c>
      <c r="AA1727" t="n">
        <v>1482</v>
      </c>
      <c r="AB1727" t="n">
        <v>13</v>
      </c>
      <c r="AC1727" t="n">
        <v>14</v>
      </c>
      <c r="AD1727" t="n">
        <v>69</v>
      </c>
      <c r="AE1727" t="n">
        <v>74</v>
      </c>
      <c r="AF1727" t="n">
        <v>25</v>
      </c>
      <c r="AG1727" t="n">
        <v>28</v>
      </c>
      <c r="AH1727" t="n">
        <v>11</v>
      </c>
      <c r="AI1727" t="n">
        <v>11</v>
      </c>
      <c r="AJ1727" t="n">
        <v>27</v>
      </c>
      <c r="AK1727" t="n">
        <v>27</v>
      </c>
      <c r="AL1727" t="n">
        <v>11</v>
      </c>
      <c r="AM1727" t="n">
        <v>11</v>
      </c>
      <c r="AN1727" t="n">
        <v>9</v>
      </c>
      <c r="AO1727" t="n">
        <v>11</v>
      </c>
      <c r="AP1727" t="inlineStr">
        <is>
          <t>Yes</t>
        </is>
      </c>
      <c r="AQ1727" t="inlineStr">
        <is>
          <t>No</t>
        </is>
      </c>
      <c r="AR1727">
        <f>HYPERLINK("http://catalog.hathitrust.org/Record/000469721","HathiTrust Record")</f>
        <v/>
      </c>
      <c r="AS1727">
        <f>HYPERLINK("https://creighton-primo.hosted.exlibrisgroup.com/primo-explore/search?tab=default_tab&amp;search_scope=EVERYTHING&amp;vid=01CRU&amp;lang=en_US&amp;offset=0&amp;query=any,contains,991002812579702656","Catalog Record")</f>
        <v/>
      </c>
      <c r="AT1727">
        <f>HYPERLINK("http://www.worldcat.org/oclc/456606","WorldCat Record")</f>
        <v/>
      </c>
      <c r="AU1727" t="inlineStr">
        <is>
          <t>19932837:eng</t>
        </is>
      </c>
      <c r="AV1727" t="inlineStr">
        <is>
          <t>456606</t>
        </is>
      </c>
      <c r="AW1727" t="inlineStr">
        <is>
          <t>991002812579702656</t>
        </is>
      </c>
      <c r="AX1727" t="inlineStr">
        <is>
          <t>991002812579702656</t>
        </is>
      </c>
      <c r="AY1727" t="inlineStr">
        <is>
          <t>2260851650002656</t>
        </is>
      </c>
      <c r="AZ1727" t="inlineStr">
        <is>
          <t>BOOK</t>
        </is>
      </c>
      <c r="BC1727" t="inlineStr">
        <is>
          <t>32285001093086</t>
        </is>
      </c>
      <c r="BD1727" t="inlineStr">
        <is>
          <t>893335754</t>
        </is>
      </c>
    </row>
    <row r="1728">
      <c r="A1728" t="inlineStr">
        <is>
          <t>No</t>
        </is>
      </c>
      <c r="B1728" t="inlineStr">
        <is>
          <t>E748.H945 E5</t>
        </is>
      </c>
      <c r="C1728" t="inlineStr">
        <is>
          <t>0                      E  0748000H  945                E  5</t>
        </is>
      </c>
      <c r="D1728" t="inlineStr">
        <is>
          <t>Almost to the Presidency; a biography of two American politicians.</t>
        </is>
      </c>
      <c r="F1728" t="inlineStr">
        <is>
          <t>No</t>
        </is>
      </c>
      <c r="G1728" t="inlineStr">
        <is>
          <t>1</t>
        </is>
      </c>
      <c r="H1728" t="inlineStr">
        <is>
          <t>No</t>
        </is>
      </c>
      <c r="I1728" t="inlineStr">
        <is>
          <t>No</t>
        </is>
      </c>
      <c r="J1728" t="inlineStr">
        <is>
          <t>0</t>
        </is>
      </c>
      <c r="K1728" t="inlineStr">
        <is>
          <t>Eisele, Albert (Albert Alois), 1936-</t>
        </is>
      </c>
      <c r="L1728" t="inlineStr">
        <is>
          <t>Blue Earth, Minn., Piper Co. [1972]</t>
        </is>
      </c>
      <c r="M1728" t="inlineStr">
        <is>
          <t>1972</t>
        </is>
      </c>
      <c r="N1728" t="inlineStr">
        <is>
          <t>[1st ed.]</t>
        </is>
      </c>
      <c r="O1728" t="inlineStr">
        <is>
          <t>eng</t>
        </is>
      </c>
      <c r="P1728" t="inlineStr">
        <is>
          <t>mnu</t>
        </is>
      </c>
      <c r="R1728" t="inlineStr">
        <is>
          <t xml:space="preserve">E  </t>
        </is>
      </c>
      <c r="S1728" t="n">
        <v>5</v>
      </c>
      <c r="T1728" t="n">
        <v>5</v>
      </c>
      <c r="U1728" t="inlineStr">
        <is>
          <t>2004-05-06</t>
        </is>
      </c>
      <c r="V1728" t="inlineStr">
        <is>
          <t>2004-05-06</t>
        </is>
      </c>
      <c r="W1728" t="inlineStr">
        <is>
          <t>1997-02-12</t>
        </is>
      </c>
      <c r="X1728" t="inlineStr">
        <is>
          <t>1997-02-12</t>
        </is>
      </c>
      <c r="Y1728" t="n">
        <v>622</v>
      </c>
      <c r="Z1728" t="n">
        <v>592</v>
      </c>
      <c r="AA1728" t="n">
        <v>599</v>
      </c>
      <c r="AB1728" t="n">
        <v>5</v>
      </c>
      <c r="AC1728" t="n">
        <v>5</v>
      </c>
      <c r="AD1728" t="n">
        <v>19</v>
      </c>
      <c r="AE1728" t="n">
        <v>19</v>
      </c>
      <c r="AF1728" t="n">
        <v>7</v>
      </c>
      <c r="AG1728" t="n">
        <v>7</v>
      </c>
      <c r="AH1728" t="n">
        <v>4</v>
      </c>
      <c r="AI1728" t="n">
        <v>4</v>
      </c>
      <c r="AJ1728" t="n">
        <v>8</v>
      </c>
      <c r="AK1728" t="n">
        <v>8</v>
      </c>
      <c r="AL1728" t="n">
        <v>3</v>
      </c>
      <c r="AM1728" t="n">
        <v>3</v>
      </c>
      <c r="AN1728" t="n">
        <v>0</v>
      </c>
      <c r="AO1728" t="n">
        <v>0</v>
      </c>
      <c r="AP1728" t="inlineStr">
        <is>
          <t>No</t>
        </is>
      </c>
      <c r="AQ1728" t="inlineStr">
        <is>
          <t>Yes</t>
        </is>
      </c>
      <c r="AR1728">
        <f>HYPERLINK("http://catalog.hathitrust.org/Record/000468007","HathiTrust Record")</f>
        <v/>
      </c>
      <c r="AS1728">
        <f>HYPERLINK("https://creighton-primo.hosted.exlibrisgroup.com/primo-explore/search?tab=default_tab&amp;search_scope=EVERYTHING&amp;vid=01CRU&amp;lang=en_US&amp;offset=0&amp;query=any,contains,991002694979702656","Catalog Record")</f>
        <v/>
      </c>
      <c r="AT1728">
        <f>HYPERLINK("http://www.worldcat.org/oclc/403101","WorldCat Record")</f>
        <v/>
      </c>
      <c r="AU1728" t="inlineStr">
        <is>
          <t>272961521:eng</t>
        </is>
      </c>
      <c r="AV1728" t="inlineStr">
        <is>
          <t>403101</t>
        </is>
      </c>
      <c r="AW1728" t="inlineStr">
        <is>
          <t>991002694979702656</t>
        </is>
      </c>
      <c r="AX1728" t="inlineStr">
        <is>
          <t>991002694979702656</t>
        </is>
      </c>
      <c r="AY1728" t="inlineStr">
        <is>
          <t>2265357590002656</t>
        </is>
      </c>
      <c r="AZ1728" t="inlineStr">
        <is>
          <t>BOOK</t>
        </is>
      </c>
      <c r="BB1728" t="inlineStr">
        <is>
          <t>9780878320059</t>
        </is>
      </c>
      <c r="BC1728" t="inlineStr">
        <is>
          <t>32285002436698</t>
        </is>
      </c>
      <c r="BD1728" t="inlineStr">
        <is>
          <t>893698126</t>
        </is>
      </c>
    </row>
    <row r="1729">
      <c r="A1729" t="inlineStr">
        <is>
          <t>No</t>
        </is>
      </c>
      <c r="B1729" t="inlineStr">
        <is>
          <t>E748.K37 H58 1989</t>
        </is>
      </c>
      <c r="C1729" t="inlineStr">
        <is>
          <t>0                      E  0748000K  37                 H  58          1989</t>
        </is>
      </c>
      <c r="D1729" t="inlineStr">
        <is>
          <t>George F. Kennan : Cold War iconoclast / Walter L. Hixson.</t>
        </is>
      </c>
      <c r="F1729" t="inlineStr">
        <is>
          <t>No</t>
        </is>
      </c>
      <c r="G1729" t="inlineStr">
        <is>
          <t>1</t>
        </is>
      </c>
      <c r="H1729" t="inlineStr">
        <is>
          <t>No</t>
        </is>
      </c>
      <c r="I1729" t="inlineStr">
        <is>
          <t>No</t>
        </is>
      </c>
      <c r="J1729" t="inlineStr">
        <is>
          <t>0</t>
        </is>
      </c>
      <c r="K1729" t="inlineStr">
        <is>
          <t>Hixson, Walter L.</t>
        </is>
      </c>
      <c r="L1729" t="inlineStr">
        <is>
          <t>New York : Columbia University Press, c1989.</t>
        </is>
      </c>
      <c r="M1729" t="inlineStr">
        <is>
          <t>1989</t>
        </is>
      </c>
      <c r="O1729" t="inlineStr">
        <is>
          <t>eng</t>
        </is>
      </c>
      <c r="P1729" t="inlineStr">
        <is>
          <t>nyu</t>
        </is>
      </c>
      <c r="Q1729" t="inlineStr">
        <is>
          <t>Contemporary American history series</t>
        </is>
      </c>
      <c r="R1729" t="inlineStr">
        <is>
          <t xml:space="preserve">E  </t>
        </is>
      </c>
      <c r="S1729" t="n">
        <v>6</v>
      </c>
      <c r="T1729" t="n">
        <v>6</v>
      </c>
      <c r="U1729" t="inlineStr">
        <is>
          <t>2000-02-15</t>
        </is>
      </c>
      <c r="V1729" t="inlineStr">
        <is>
          <t>2000-02-15</t>
        </is>
      </c>
      <c r="W1729" t="inlineStr">
        <is>
          <t>1990-09-06</t>
        </is>
      </c>
      <c r="X1729" t="inlineStr">
        <is>
          <t>1990-09-06</t>
        </is>
      </c>
      <c r="Y1729" t="n">
        <v>665</v>
      </c>
      <c r="Z1729" t="n">
        <v>547</v>
      </c>
      <c r="AA1729" t="n">
        <v>552</v>
      </c>
      <c r="AB1729" t="n">
        <v>4</v>
      </c>
      <c r="AC1729" t="n">
        <v>4</v>
      </c>
      <c r="AD1729" t="n">
        <v>31</v>
      </c>
      <c r="AE1729" t="n">
        <v>31</v>
      </c>
      <c r="AF1729" t="n">
        <v>12</v>
      </c>
      <c r="AG1729" t="n">
        <v>12</v>
      </c>
      <c r="AH1729" t="n">
        <v>8</v>
      </c>
      <c r="AI1729" t="n">
        <v>8</v>
      </c>
      <c r="AJ1729" t="n">
        <v>18</v>
      </c>
      <c r="AK1729" t="n">
        <v>18</v>
      </c>
      <c r="AL1729" t="n">
        <v>3</v>
      </c>
      <c r="AM1729" t="n">
        <v>3</v>
      </c>
      <c r="AN1729" t="n">
        <v>0</v>
      </c>
      <c r="AO1729" t="n">
        <v>0</v>
      </c>
      <c r="AP1729" t="inlineStr">
        <is>
          <t>No</t>
        </is>
      </c>
      <c r="AQ1729" t="inlineStr">
        <is>
          <t>No</t>
        </is>
      </c>
      <c r="AS1729">
        <f>HYPERLINK("https://creighton-primo.hosted.exlibrisgroup.com/primo-explore/search?tab=default_tab&amp;search_scope=EVERYTHING&amp;vid=01CRU&amp;lang=en_US&amp;offset=0&amp;query=any,contains,991001518099702656","Catalog Record")</f>
        <v/>
      </c>
      <c r="AT1729">
        <f>HYPERLINK("http://www.worldcat.org/oclc/19970149","WorldCat Record")</f>
        <v/>
      </c>
      <c r="AU1729" t="inlineStr">
        <is>
          <t>836710794:eng</t>
        </is>
      </c>
      <c r="AV1729" t="inlineStr">
        <is>
          <t>19970149</t>
        </is>
      </c>
      <c r="AW1729" t="inlineStr">
        <is>
          <t>991001518099702656</t>
        </is>
      </c>
      <c r="AX1729" t="inlineStr">
        <is>
          <t>991001518099702656</t>
        </is>
      </c>
      <c r="AY1729" t="inlineStr">
        <is>
          <t>2262072480002656</t>
        </is>
      </c>
      <c r="AZ1729" t="inlineStr">
        <is>
          <t>BOOK</t>
        </is>
      </c>
      <c r="BB1729" t="inlineStr">
        <is>
          <t>9780231068949</t>
        </is>
      </c>
      <c r="BC1729" t="inlineStr">
        <is>
          <t>32285000276724</t>
        </is>
      </c>
      <c r="BD1729" t="inlineStr">
        <is>
          <t>893803661</t>
        </is>
      </c>
    </row>
    <row r="1730">
      <c r="A1730" t="inlineStr">
        <is>
          <t>No</t>
        </is>
      </c>
      <c r="B1730" t="inlineStr">
        <is>
          <t>E748.K374 A3 1983</t>
        </is>
      </c>
      <c r="C1730" t="inlineStr">
        <is>
          <t>0                      E  0748000K  374                A  3           1983</t>
        </is>
      </c>
      <c r="D1730" t="inlineStr">
        <is>
          <t>Memoirs / George F. Kennan.</t>
        </is>
      </c>
      <c r="E1730" t="inlineStr">
        <is>
          <t>V.2</t>
        </is>
      </c>
      <c r="F1730" t="inlineStr">
        <is>
          <t>Yes</t>
        </is>
      </c>
      <c r="G1730" t="inlineStr">
        <is>
          <t>1</t>
        </is>
      </c>
      <c r="H1730" t="inlineStr">
        <is>
          <t>No</t>
        </is>
      </c>
      <c r="I1730" t="inlineStr">
        <is>
          <t>No</t>
        </is>
      </c>
      <c r="J1730" t="inlineStr">
        <is>
          <t>0</t>
        </is>
      </c>
      <c r="K1730" t="inlineStr">
        <is>
          <t>Kennan, George F. (George Frost), 1904-2005.</t>
        </is>
      </c>
      <c r="L1730" t="inlineStr">
        <is>
          <t>New York : Pantheon Books, [1983]</t>
        </is>
      </c>
      <c r="M1730" t="inlineStr">
        <is>
          <t>1983</t>
        </is>
      </c>
      <c r="O1730" t="inlineStr">
        <is>
          <t>eng</t>
        </is>
      </c>
      <c r="P1730" t="inlineStr">
        <is>
          <t>nyu</t>
        </is>
      </c>
      <c r="R1730" t="inlineStr">
        <is>
          <t xml:space="preserve">E  </t>
        </is>
      </c>
      <c r="S1730" t="n">
        <v>2</v>
      </c>
      <c r="T1730" t="n">
        <v>9</v>
      </c>
      <c r="U1730" t="inlineStr">
        <is>
          <t>1994-02-25</t>
        </is>
      </c>
      <c r="V1730" t="inlineStr">
        <is>
          <t>2004-02-17</t>
        </is>
      </c>
      <c r="W1730" t="inlineStr">
        <is>
          <t>1991-05-30</t>
        </is>
      </c>
      <c r="X1730" t="inlineStr">
        <is>
          <t>1991-05-30</t>
        </is>
      </c>
      <c r="Y1730" t="n">
        <v>200</v>
      </c>
      <c r="Z1730" t="n">
        <v>174</v>
      </c>
      <c r="AA1730" t="n">
        <v>185</v>
      </c>
      <c r="AB1730" t="n">
        <v>2</v>
      </c>
      <c r="AC1730" t="n">
        <v>2</v>
      </c>
      <c r="AD1730" t="n">
        <v>6</v>
      </c>
      <c r="AE1730" t="n">
        <v>7</v>
      </c>
      <c r="AF1730" t="n">
        <v>2</v>
      </c>
      <c r="AG1730" t="n">
        <v>2</v>
      </c>
      <c r="AH1730" t="n">
        <v>0</v>
      </c>
      <c r="AI1730" t="n">
        <v>1</v>
      </c>
      <c r="AJ1730" t="n">
        <v>2</v>
      </c>
      <c r="AK1730" t="n">
        <v>3</v>
      </c>
      <c r="AL1730" t="n">
        <v>1</v>
      </c>
      <c r="AM1730" t="n">
        <v>1</v>
      </c>
      <c r="AN1730" t="n">
        <v>1</v>
      </c>
      <c r="AO1730" t="n">
        <v>1</v>
      </c>
      <c r="AP1730" t="inlineStr">
        <is>
          <t>No</t>
        </is>
      </c>
      <c r="AQ1730" t="inlineStr">
        <is>
          <t>No</t>
        </is>
      </c>
      <c r="AS1730">
        <f>HYPERLINK("https://creighton-primo.hosted.exlibrisgroup.com/primo-explore/search?tab=default_tab&amp;search_scope=EVERYTHING&amp;vid=01CRU&amp;lang=en_US&amp;offset=0&amp;query=any,contains,991000185299702656","Catalog Record")</f>
        <v/>
      </c>
      <c r="AT1730">
        <f>HYPERLINK("http://www.worldcat.org/oclc/9393428","WorldCat Record")</f>
        <v/>
      </c>
      <c r="AU1730" t="inlineStr">
        <is>
          <t>3943584355:eng</t>
        </is>
      </c>
      <c r="AV1730" t="inlineStr">
        <is>
          <t>9393428</t>
        </is>
      </c>
      <c r="AW1730" t="inlineStr">
        <is>
          <t>991000185299702656</t>
        </is>
      </c>
      <c r="AX1730" t="inlineStr">
        <is>
          <t>991000185299702656</t>
        </is>
      </c>
      <c r="AY1730" t="inlineStr">
        <is>
          <t>2265986620002656</t>
        </is>
      </c>
      <c r="AZ1730" t="inlineStr">
        <is>
          <t>BOOK</t>
        </is>
      </c>
      <c r="BB1730" t="inlineStr">
        <is>
          <t>9780394716268</t>
        </is>
      </c>
      <c r="BC1730" t="inlineStr">
        <is>
          <t>32285000613207</t>
        </is>
      </c>
      <c r="BD1730" t="inlineStr">
        <is>
          <t>893261387</t>
        </is>
      </c>
    </row>
    <row r="1731">
      <c r="A1731" t="inlineStr">
        <is>
          <t>No</t>
        </is>
      </c>
      <c r="B1731" t="inlineStr">
        <is>
          <t>E748.K374 A3 1983</t>
        </is>
      </c>
      <c r="C1731" t="inlineStr">
        <is>
          <t>0                      E  0748000K  374                A  3           1983</t>
        </is>
      </c>
      <c r="D1731" t="inlineStr">
        <is>
          <t>Memoirs / George F. Kennan.</t>
        </is>
      </c>
      <c r="E1731" t="inlineStr">
        <is>
          <t>V.1</t>
        </is>
      </c>
      <c r="F1731" t="inlineStr">
        <is>
          <t>Yes</t>
        </is>
      </c>
      <c r="G1731" t="inlineStr">
        <is>
          <t>1</t>
        </is>
      </c>
      <c r="H1731" t="inlineStr">
        <is>
          <t>No</t>
        </is>
      </c>
      <c r="I1731" t="inlineStr">
        <is>
          <t>No</t>
        </is>
      </c>
      <c r="J1731" t="inlineStr">
        <is>
          <t>0</t>
        </is>
      </c>
      <c r="K1731" t="inlineStr">
        <is>
          <t>Kennan, George F. (George Frost), 1904-2005.</t>
        </is>
      </c>
      <c r="L1731" t="inlineStr">
        <is>
          <t>New York : Pantheon Books, [1983]</t>
        </is>
      </c>
      <c r="M1731" t="inlineStr">
        <is>
          <t>1983</t>
        </is>
      </c>
      <c r="O1731" t="inlineStr">
        <is>
          <t>eng</t>
        </is>
      </c>
      <c r="P1731" t="inlineStr">
        <is>
          <t>nyu</t>
        </is>
      </c>
      <c r="R1731" t="inlineStr">
        <is>
          <t xml:space="preserve">E  </t>
        </is>
      </c>
      <c r="S1731" t="n">
        <v>7</v>
      </c>
      <c r="T1731" t="n">
        <v>9</v>
      </c>
      <c r="U1731" t="inlineStr">
        <is>
          <t>2004-02-17</t>
        </is>
      </c>
      <c r="V1731" t="inlineStr">
        <is>
          <t>2004-02-17</t>
        </is>
      </c>
      <c r="W1731" t="inlineStr">
        <is>
          <t>1991-05-30</t>
        </is>
      </c>
      <c r="X1731" t="inlineStr">
        <is>
          <t>1991-05-30</t>
        </is>
      </c>
      <c r="Y1731" t="n">
        <v>200</v>
      </c>
      <c r="Z1731" t="n">
        <v>174</v>
      </c>
      <c r="AA1731" t="n">
        <v>185</v>
      </c>
      <c r="AB1731" t="n">
        <v>2</v>
      </c>
      <c r="AC1731" t="n">
        <v>2</v>
      </c>
      <c r="AD1731" t="n">
        <v>6</v>
      </c>
      <c r="AE1731" t="n">
        <v>7</v>
      </c>
      <c r="AF1731" t="n">
        <v>2</v>
      </c>
      <c r="AG1731" t="n">
        <v>2</v>
      </c>
      <c r="AH1731" t="n">
        <v>0</v>
      </c>
      <c r="AI1731" t="n">
        <v>1</v>
      </c>
      <c r="AJ1731" t="n">
        <v>2</v>
      </c>
      <c r="AK1731" t="n">
        <v>3</v>
      </c>
      <c r="AL1731" t="n">
        <v>1</v>
      </c>
      <c r="AM1731" t="n">
        <v>1</v>
      </c>
      <c r="AN1731" t="n">
        <v>1</v>
      </c>
      <c r="AO1731" t="n">
        <v>1</v>
      </c>
      <c r="AP1731" t="inlineStr">
        <is>
          <t>No</t>
        </is>
      </c>
      <c r="AQ1731" t="inlineStr">
        <is>
          <t>No</t>
        </is>
      </c>
      <c r="AS1731">
        <f>HYPERLINK("https://creighton-primo.hosted.exlibrisgroup.com/primo-explore/search?tab=default_tab&amp;search_scope=EVERYTHING&amp;vid=01CRU&amp;lang=en_US&amp;offset=0&amp;query=any,contains,991000185299702656","Catalog Record")</f>
        <v/>
      </c>
      <c r="AT1731">
        <f>HYPERLINK("http://www.worldcat.org/oclc/9393428","WorldCat Record")</f>
        <v/>
      </c>
      <c r="AU1731" t="inlineStr">
        <is>
          <t>3943584355:eng</t>
        </is>
      </c>
      <c r="AV1731" t="inlineStr">
        <is>
          <t>9393428</t>
        </is>
      </c>
      <c r="AW1731" t="inlineStr">
        <is>
          <t>991000185299702656</t>
        </is>
      </c>
      <c r="AX1731" t="inlineStr">
        <is>
          <t>991000185299702656</t>
        </is>
      </c>
      <c r="AY1731" t="inlineStr">
        <is>
          <t>2265986620002656</t>
        </is>
      </c>
      <c r="AZ1731" t="inlineStr">
        <is>
          <t>BOOK</t>
        </is>
      </c>
      <c r="BB1731" t="inlineStr">
        <is>
          <t>9780394716268</t>
        </is>
      </c>
      <c r="BC1731" t="inlineStr">
        <is>
          <t>32285000613199</t>
        </is>
      </c>
      <c r="BD1731" t="inlineStr">
        <is>
          <t>893230947</t>
        </is>
      </c>
    </row>
    <row r="1732">
      <c r="A1732" t="inlineStr">
        <is>
          <t>No</t>
        </is>
      </c>
      <c r="B1732" t="inlineStr">
        <is>
          <t>E748.K374 A31 1989</t>
        </is>
      </c>
      <c r="C1732" t="inlineStr">
        <is>
          <t>0                      E  0748000K  374                A  31          1989</t>
        </is>
      </c>
      <c r="D1732" t="inlineStr">
        <is>
          <t>Sketches from a life / George F. Kennan.</t>
        </is>
      </c>
      <c r="F1732" t="inlineStr">
        <is>
          <t>No</t>
        </is>
      </c>
      <c r="G1732" t="inlineStr">
        <is>
          <t>1</t>
        </is>
      </c>
      <c r="H1732" t="inlineStr">
        <is>
          <t>No</t>
        </is>
      </c>
      <c r="I1732" t="inlineStr">
        <is>
          <t>No</t>
        </is>
      </c>
      <c r="J1732" t="inlineStr">
        <is>
          <t>0</t>
        </is>
      </c>
      <c r="K1732" t="inlineStr">
        <is>
          <t>Kennan, George F. (George Frost), 1904-2005.</t>
        </is>
      </c>
      <c r="L1732" t="inlineStr">
        <is>
          <t>New York : Pantheon Books, 1989.</t>
        </is>
      </c>
      <c r="M1732" t="inlineStr">
        <is>
          <t>1989</t>
        </is>
      </c>
      <c r="N1732" t="inlineStr">
        <is>
          <t>1st ed.</t>
        </is>
      </c>
      <c r="O1732" t="inlineStr">
        <is>
          <t>eng</t>
        </is>
      </c>
      <c r="P1732" t="inlineStr">
        <is>
          <t>nyu</t>
        </is>
      </c>
      <c r="R1732" t="inlineStr">
        <is>
          <t xml:space="preserve">E  </t>
        </is>
      </c>
      <c r="S1732" t="n">
        <v>1</v>
      </c>
      <c r="T1732" t="n">
        <v>1</v>
      </c>
      <c r="U1732" t="inlineStr">
        <is>
          <t>1992-03-28</t>
        </is>
      </c>
      <c r="V1732" t="inlineStr">
        <is>
          <t>1992-03-28</t>
        </is>
      </c>
      <c r="W1732" t="inlineStr">
        <is>
          <t>1991-05-30</t>
        </is>
      </c>
      <c r="X1732" t="inlineStr">
        <is>
          <t>1991-05-30</t>
        </is>
      </c>
      <c r="Y1732" t="n">
        <v>1247</v>
      </c>
      <c r="Z1732" t="n">
        <v>1150</v>
      </c>
      <c r="AA1732" t="n">
        <v>1241</v>
      </c>
      <c r="AB1732" t="n">
        <v>5</v>
      </c>
      <c r="AC1732" t="n">
        <v>8</v>
      </c>
      <c r="AD1732" t="n">
        <v>35</v>
      </c>
      <c r="AE1732" t="n">
        <v>39</v>
      </c>
      <c r="AF1732" t="n">
        <v>15</v>
      </c>
      <c r="AG1732" t="n">
        <v>17</v>
      </c>
      <c r="AH1732" t="n">
        <v>9</v>
      </c>
      <c r="AI1732" t="n">
        <v>9</v>
      </c>
      <c r="AJ1732" t="n">
        <v>20</v>
      </c>
      <c r="AK1732" t="n">
        <v>20</v>
      </c>
      <c r="AL1732" t="n">
        <v>2</v>
      </c>
      <c r="AM1732" t="n">
        <v>4</v>
      </c>
      <c r="AN1732" t="n">
        <v>1</v>
      </c>
      <c r="AO1732" t="n">
        <v>1</v>
      </c>
      <c r="AP1732" t="inlineStr">
        <is>
          <t>No</t>
        </is>
      </c>
      <c r="AQ1732" t="inlineStr">
        <is>
          <t>No</t>
        </is>
      </c>
      <c r="AS1732">
        <f>HYPERLINK("https://creighton-primo.hosted.exlibrisgroup.com/primo-explore/search?tab=default_tab&amp;search_scope=EVERYTHING&amp;vid=01CRU&amp;lang=en_US&amp;offset=0&amp;query=any,contains,991001408109702656","Catalog Record")</f>
        <v/>
      </c>
      <c r="AT1732">
        <f>HYPERLINK("http://www.worldcat.org/oclc/18871500","WorldCat Record")</f>
        <v/>
      </c>
      <c r="AU1732" t="inlineStr">
        <is>
          <t>49530722:eng</t>
        </is>
      </c>
      <c r="AV1732" t="inlineStr">
        <is>
          <t>18871500</t>
        </is>
      </c>
      <c r="AW1732" t="inlineStr">
        <is>
          <t>991001408109702656</t>
        </is>
      </c>
      <c r="AX1732" t="inlineStr">
        <is>
          <t>991001408109702656</t>
        </is>
      </c>
      <c r="AY1732" t="inlineStr">
        <is>
          <t>2272023100002656</t>
        </is>
      </c>
      <c r="AZ1732" t="inlineStr">
        <is>
          <t>BOOK</t>
        </is>
      </c>
      <c r="BB1732" t="inlineStr">
        <is>
          <t>9780394575049</t>
        </is>
      </c>
      <c r="BC1732" t="inlineStr">
        <is>
          <t>32285000613215</t>
        </is>
      </c>
      <c r="BD1732" t="inlineStr">
        <is>
          <t>893797565</t>
        </is>
      </c>
    </row>
    <row r="1733">
      <c r="A1733" t="inlineStr">
        <is>
          <t>No</t>
        </is>
      </c>
      <c r="B1733" t="inlineStr">
        <is>
          <t>E748.K374 G35 1984</t>
        </is>
      </c>
      <c r="C1733" t="inlineStr">
        <is>
          <t>0                      E  0748000K  374                G  35          1984</t>
        </is>
      </c>
      <c r="D1733" t="inlineStr">
        <is>
          <t>Contending with Kennan : toward a philosophy of American power / Barton Gellman.</t>
        </is>
      </c>
      <c r="F1733" t="inlineStr">
        <is>
          <t>No</t>
        </is>
      </c>
      <c r="G1733" t="inlineStr">
        <is>
          <t>1</t>
        </is>
      </c>
      <c r="H1733" t="inlineStr">
        <is>
          <t>No</t>
        </is>
      </c>
      <c r="I1733" t="inlineStr">
        <is>
          <t>No</t>
        </is>
      </c>
      <c r="J1733" t="inlineStr">
        <is>
          <t>0</t>
        </is>
      </c>
      <c r="K1733" t="inlineStr">
        <is>
          <t>Gellman, Barton, 1960-</t>
        </is>
      </c>
      <c r="L1733" t="inlineStr">
        <is>
          <t>New York : Praeger, 1984.</t>
        </is>
      </c>
      <c r="M1733" t="inlineStr">
        <is>
          <t>1984</t>
        </is>
      </c>
      <c r="O1733" t="inlineStr">
        <is>
          <t>eng</t>
        </is>
      </c>
      <c r="P1733" t="inlineStr">
        <is>
          <t>nyu</t>
        </is>
      </c>
      <c r="R1733" t="inlineStr">
        <is>
          <t xml:space="preserve">E  </t>
        </is>
      </c>
      <c r="S1733" t="n">
        <v>3</v>
      </c>
      <c r="T1733" t="n">
        <v>3</v>
      </c>
      <c r="U1733" t="inlineStr">
        <is>
          <t>1995-09-01</t>
        </is>
      </c>
      <c r="V1733" t="inlineStr">
        <is>
          <t>1995-09-01</t>
        </is>
      </c>
      <c r="W1733" t="inlineStr">
        <is>
          <t>1991-05-30</t>
        </is>
      </c>
      <c r="X1733" t="inlineStr">
        <is>
          <t>1991-05-30</t>
        </is>
      </c>
      <c r="Y1733" t="n">
        <v>530</v>
      </c>
      <c r="Z1733" t="n">
        <v>439</v>
      </c>
      <c r="AA1733" t="n">
        <v>457</v>
      </c>
      <c r="AB1733" t="n">
        <v>6</v>
      </c>
      <c r="AC1733" t="n">
        <v>6</v>
      </c>
      <c r="AD1733" t="n">
        <v>21</v>
      </c>
      <c r="AE1733" t="n">
        <v>22</v>
      </c>
      <c r="AF1733" t="n">
        <v>7</v>
      </c>
      <c r="AG1733" t="n">
        <v>7</v>
      </c>
      <c r="AH1733" t="n">
        <v>6</v>
      </c>
      <c r="AI1733" t="n">
        <v>7</v>
      </c>
      <c r="AJ1733" t="n">
        <v>12</v>
      </c>
      <c r="AK1733" t="n">
        <v>12</v>
      </c>
      <c r="AL1733" t="n">
        <v>4</v>
      </c>
      <c r="AM1733" t="n">
        <v>4</v>
      </c>
      <c r="AN1733" t="n">
        <v>0</v>
      </c>
      <c r="AO1733" t="n">
        <v>0</v>
      </c>
      <c r="AP1733" t="inlineStr">
        <is>
          <t>No</t>
        </is>
      </c>
      <c r="AQ1733" t="inlineStr">
        <is>
          <t>Yes</t>
        </is>
      </c>
      <c r="AR1733">
        <f>HYPERLINK("http://catalog.hathitrust.org/Record/000121812","HathiTrust Record")</f>
        <v/>
      </c>
      <c r="AS1733">
        <f>HYPERLINK("https://creighton-primo.hosted.exlibrisgroup.com/primo-explore/search?tab=default_tab&amp;search_scope=EVERYTHING&amp;vid=01CRU&amp;lang=en_US&amp;offset=0&amp;query=any,contains,991000383129702656","Catalog Record")</f>
        <v/>
      </c>
      <c r="AT1733">
        <f>HYPERLINK("http://www.worldcat.org/oclc/10506189","WorldCat Record")</f>
        <v/>
      </c>
      <c r="AU1733" t="inlineStr">
        <is>
          <t>2561143:eng</t>
        </is>
      </c>
      <c r="AV1733" t="inlineStr">
        <is>
          <t>10506189</t>
        </is>
      </c>
      <c r="AW1733" t="inlineStr">
        <is>
          <t>991000383129702656</t>
        </is>
      </c>
      <c r="AX1733" t="inlineStr">
        <is>
          <t>991000383129702656</t>
        </is>
      </c>
      <c r="AY1733" t="inlineStr">
        <is>
          <t>2255749260002656</t>
        </is>
      </c>
      <c r="AZ1733" t="inlineStr">
        <is>
          <t>BOOK</t>
        </is>
      </c>
      <c r="BB1733" t="inlineStr">
        <is>
          <t>9780030638190</t>
        </is>
      </c>
      <c r="BC1733" t="inlineStr">
        <is>
          <t>32285000613223</t>
        </is>
      </c>
      <c r="BD1733" t="inlineStr">
        <is>
          <t>893683352</t>
        </is>
      </c>
    </row>
    <row r="1734">
      <c r="A1734" t="inlineStr">
        <is>
          <t>No</t>
        </is>
      </c>
      <c r="B1734" t="inlineStr">
        <is>
          <t>E748.K374 R87 1999</t>
        </is>
      </c>
      <c r="C1734" t="inlineStr">
        <is>
          <t>0                      E  0748000K  374                R  87          1999</t>
        </is>
      </c>
      <c r="D1734" t="inlineStr">
        <is>
          <t>George F. Kennan's strategic thought : the making of an American political realist / Richard L. Russell ; foreword by Kenneth W. Thompson.</t>
        </is>
      </c>
      <c r="F1734" t="inlineStr">
        <is>
          <t>No</t>
        </is>
      </c>
      <c r="G1734" t="inlineStr">
        <is>
          <t>1</t>
        </is>
      </c>
      <c r="H1734" t="inlineStr">
        <is>
          <t>No</t>
        </is>
      </c>
      <c r="I1734" t="inlineStr">
        <is>
          <t>No</t>
        </is>
      </c>
      <c r="J1734" t="inlineStr">
        <is>
          <t>0</t>
        </is>
      </c>
      <c r="K1734" t="inlineStr">
        <is>
          <t>Russell, Richard L., 1961-</t>
        </is>
      </c>
      <c r="L1734" t="inlineStr">
        <is>
          <t>Westport, Conn. : Praeger, 1999.</t>
        </is>
      </c>
      <c r="M1734" t="inlineStr">
        <is>
          <t>1999</t>
        </is>
      </c>
      <c r="O1734" t="inlineStr">
        <is>
          <t>eng</t>
        </is>
      </c>
      <c r="P1734" t="inlineStr">
        <is>
          <t>ctu</t>
        </is>
      </c>
      <c r="R1734" t="inlineStr">
        <is>
          <t xml:space="preserve">E  </t>
        </is>
      </c>
      <c r="S1734" t="n">
        <v>2</v>
      </c>
      <c r="T1734" t="n">
        <v>2</v>
      </c>
      <c r="U1734" t="inlineStr">
        <is>
          <t>2002-01-15</t>
        </is>
      </c>
      <c r="V1734" t="inlineStr">
        <is>
          <t>2002-01-15</t>
        </is>
      </c>
      <c r="W1734" t="inlineStr">
        <is>
          <t>2002-01-15</t>
        </is>
      </c>
      <c r="X1734" t="inlineStr">
        <is>
          <t>2002-01-15</t>
        </is>
      </c>
      <c r="Y1734" t="n">
        <v>368</v>
      </c>
      <c r="Z1734" t="n">
        <v>318</v>
      </c>
      <c r="AA1734" t="n">
        <v>325</v>
      </c>
      <c r="AB1734" t="n">
        <v>3</v>
      </c>
      <c r="AC1734" t="n">
        <v>3</v>
      </c>
      <c r="AD1734" t="n">
        <v>19</v>
      </c>
      <c r="AE1734" t="n">
        <v>19</v>
      </c>
      <c r="AF1734" t="n">
        <v>8</v>
      </c>
      <c r="AG1734" t="n">
        <v>8</v>
      </c>
      <c r="AH1734" t="n">
        <v>4</v>
      </c>
      <c r="AI1734" t="n">
        <v>4</v>
      </c>
      <c r="AJ1734" t="n">
        <v>11</v>
      </c>
      <c r="AK1734" t="n">
        <v>11</v>
      </c>
      <c r="AL1734" t="n">
        <v>2</v>
      </c>
      <c r="AM1734" t="n">
        <v>2</v>
      </c>
      <c r="AN1734" t="n">
        <v>0</v>
      </c>
      <c r="AO1734" t="n">
        <v>0</v>
      </c>
      <c r="AP1734" t="inlineStr">
        <is>
          <t>No</t>
        </is>
      </c>
      <c r="AQ1734" t="inlineStr">
        <is>
          <t>Yes</t>
        </is>
      </c>
      <c r="AR1734">
        <f>HYPERLINK("http://catalog.hathitrust.org/Record/004032639","HathiTrust Record")</f>
        <v/>
      </c>
      <c r="AS1734">
        <f>HYPERLINK("https://creighton-primo.hosted.exlibrisgroup.com/primo-explore/search?tab=default_tab&amp;search_scope=EVERYTHING&amp;vid=01CRU&amp;lang=en_US&amp;offset=0&amp;query=any,contains,991003688609702656","Catalog Record")</f>
        <v/>
      </c>
      <c r="AT1734">
        <f>HYPERLINK("http://www.worldcat.org/oclc/39379757","WorldCat Record")</f>
        <v/>
      </c>
      <c r="AU1734" t="inlineStr">
        <is>
          <t>2580427:eng</t>
        </is>
      </c>
      <c r="AV1734" t="inlineStr">
        <is>
          <t>39379757</t>
        </is>
      </c>
      <c r="AW1734" t="inlineStr">
        <is>
          <t>991003688609702656</t>
        </is>
      </c>
      <c r="AX1734" t="inlineStr">
        <is>
          <t>991003688609702656</t>
        </is>
      </c>
      <c r="AY1734" t="inlineStr">
        <is>
          <t>2257312630002656</t>
        </is>
      </c>
      <c r="AZ1734" t="inlineStr">
        <is>
          <t>BOOK</t>
        </is>
      </c>
      <c r="BB1734" t="inlineStr">
        <is>
          <t>9780275964023</t>
        </is>
      </c>
      <c r="BC1734" t="inlineStr">
        <is>
          <t>32285004448758</t>
        </is>
      </c>
      <c r="BD1734" t="inlineStr">
        <is>
          <t>893887758</t>
        </is>
      </c>
    </row>
    <row r="1735">
      <c r="A1735" t="inlineStr">
        <is>
          <t>No</t>
        </is>
      </c>
      <c r="B1735" t="inlineStr">
        <is>
          <t>E748.K374 S73 1989</t>
        </is>
      </c>
      <c r="C1735" t="inlineStr">
        <is>
          <t>0                      E  0748000K  374                S  73          1989</t>
        </is>
      </c>
      <c r="D1735" t="inlineStr">
        <is>
          <t>Kennan and the art of foreign policy / Anders Stephanson.</t>
        </is>
      </c>
      <c r="F1735" t="inlineStr">
        <is>
          <t>No</t>
        </is>
      </c>
      <c r="G1735" t="inlineStr">
        <is>
          <t>1</t>
        </is>
      </c>
      <c r="H1735" t="inlineStr">
        <is>
          <t>No</t>
        </is>
      </c>
      <c r="I1735" t="inlineStr">
        <is>
          <t>No</t>
        </is>
      </c>
      <c r="J1735" t="inlineStr">
        <is>
          <t>0</t>
        </is>
      </c>
      <c r="K1735" t="inlineStr">
        <is>
          <t>Stephanson, Anders.</t>
        </is>
      </c>
      <c r="L1735" t="inlineStr">
        <is>
          <t>Cambridge, Mass. : Harvard University Press, 1989.</t>
        </is>
      </c>
      <c r="M1735" t="inlineStr">
        <is>
          <t>1989</t>
        </is>
      </c>
      <c r="O1735" t="inlineStr">
        <is>
          <t>eng</t>
        </is>
      </c>
      <c r="P1735" t="inlineStr">
        <is>
          <t>mau</t>
        </is>
      </c>
      <c r="R1735" t="inlineStr">
        <is>
          <t xml:space="preserve">E  </t>
        </is>
      </c>
      <c r="S1735" t="n">
        <v>3</v>
      </c>
      <c r="T1735" t="n">
        <v>3</v>
      </c>
      <c r="U1735" t="inlineStr">
        <is>
          <t>1995-09-01</t>
        </is>
      </c>
      <c r="V1735" t="inlineStr">
        <is>
          <t>1995-09-01</t>
        </is>
      </c>
      <c r="W1735" t="inlineStr">
        <is>
          <t>1990-05-17</t>
        </is>
      </c>
      <c r="X1735" t="inlineStr">
        <is>
          <t>1990-05-17</t>
        </is>
      </c>
      <c r="Y1735" t="n">
        <v>720</v>
      </c>
      <c r="Z1735" t="n">
        <v>568</v>
      </c>
      <c r="AA1735" t="n">
        <v>574</v>
      </c>
      <c r="AB1735" t="n">
        <v>3</v>
      </c>
      <c r="AC1735" t="n">
        <v>3</v>
      </c>
      <c r="AD1735" t="n">
        <v>26</v>
      </c>
      <c r="AE1735" t="n">
        <v>26</v>
      </c>
      <c r="AF1735" t="n">
        <v>9</v>
      </c>
      <c r="AG1735" t="n">
        <v>9</v>
      </c>
      <c r="AH1735" t="n">
        <v>8</v>
      </c>
      <c r="AI1735" t="n">
        <v>8</v>
      </c>
      <c r="AJ1735" t="n">
        <v>16</v>
      </c>
      <c r="AK1735" t="n">
        <v>16</v>
      </c>
      <c r="AL1735" t="n">
        <v>2</v>
      </c>
      <c r="AM1735" t="n">
        <v>2</v>
      </c>
      <c r="AN1735" t="n">
        <v>0</v>
      </c>
      <c r="AO1735" t="n">
        <v>0</v>
      </c>
      <c r="AP1735" t="inlineStr">
        <is>
          <t>No</t>
        </is>
      </c>
      <c r="AQ1735" t="inlineStr">
        <is>
          <t>Yes</t>
        </is>
      </c>
      <c r="AR1735">
        <f>HYPERLINK("http://catalog.hathitrust.org/Record/001292093","HathiTrust Record")</f>
        <v/>
      </c>
      <c r="AS1735">
        <f>HYPERLINK("https://creighton-primo.hosted.exlibrisgroup.com/primo-explore/search?tab=default_tab&amp;search_scope=EVERYTHING&amp;vid=01CRU&amp;lang=en_US&amp;offset=0&amp;query=any,contains,991001320359702656","Catalog Record")</f>
        <v/>
      </c>
      <c r="AT1735">
        <f>HYPERLINK("http://www.worldcat.org/oclc/18222431","WorldCat Record")</f>
        <v/>
      </c>
      <c r="AU1735" t="inlineStr">
        <is>
          <t>2681291:eng</t>
        </is>
      </c>
      <c r="AV1735" t="inlineStr">
        <is>
          <t>18222431</t>
        </is>
      </c>
      <c r="AW1735" t="inlineStr">
        <is>
          <t>991001320359702656</t>
        </is>
      </c>
      <c r="AX1735" t="inlineStr">
        <is>
          <t>991001320359702656</t>
        </is>
      </c>
      <c r="AY1735" t="inlineStr">
        <is>
          <t>2258378190002656</t>
        </is>
      </c>
      <c r="AZ1735" t="inlineStr">
        <is>
          <t>BOOK</t>
        </is>
      </c>
      <c r="BB1735" t="inlineStr">
        <is>
          <t>9780674502659</t>
        </is>
      </c>
      <c r="BC1735" t="inlineStr">
        <is>
          <t>32285000152503</t>
        </is>
      </c>
      <c r="BD1735" t="inlineStr">
        <is>
          <t>893690530</t>
        </is>
      </c>
    </row>
    <row r="1736">
      <c r="A1736" t="inlineStr">
        <is>
          <t>No</t>
        </is>
      </c>
      <c r="B1736" t="inlineStr">
        <is>
          <t>E748.K376 D42 1985</t>
        </is>
      </c>
      <c r="C1736" t="inlineStr">
        <is>
          <t>0                      E  0748000K  376                D  42          1985</t>
        </is>
      </c>
      <c r="D1736" t="inlineStr">
        <is>
          <t>Ambassador Joseph Kennedy 1938-1940 : an anatomy of appeasement / Ralph F. de Bedts.</t>
        </is>
      </c>
      <c r="F1736" t="inlineStr">
        <is>
          <t>No</t>
        </is>
      </c>
      <c r="G1736" t="inlineStr">
        <is>
          <t>1</t>
        </is>
      </c>
      <c r="H1736" t="inlineStr">
        <is>
          <t>No</t>
        </is>
      </c>
      <c r="I1736" t="inlineStr">
        <is>
          <t>No</t>
        </is>
      </c>
      <c r="J1736" t="inlineStr">
        <is>
          <t>0</t>
        </is>
      </c>
      <c r="K1736" t="inlineStr">
        <is>
          <t>De Bedts, Ralph F.</t>
        </is>
      </c>
      <c r="L1736" t="inlineStr">
        <is>
          <t>New York : P. Lang, c1985.</t>
        </is>
      </c>
      <c r="M1736" t="inlineStr">
        <is>
          <t>1985</t>
        </is>
      </c>
      <c r="O1736" t="inlineStr">
        <is>
          <t>eng</t>
        </is>
      </c>
      <c r="P1736" t="inlineStr">
        <is>
          <t>nyu</t>
        </is>
      </c>
      <c r="Q1736" t="inlineStr">
        <is>
          <t>American university studies. Series IX, History ; vol. 12</t>
        </is>
      </c>
      <c r="R1736" t="inlineStr">
        <is>
          <t xml:space="preserve">E  </t>
        </is>
      </c>
      <c r="S1736" t="n">
        <v>2</v>
      </c>
      <c r="T1736" t="n">
        <v>2</v>
      </c>
      <c r="U1736" t="inlineStr">
        <is>
          <t>1993-11-08</t>
        </is>
      </c>
      <c r="V1736" t="inlineStr">
        <is>
          <t>1993-11-08</t>
        </is>
      </c>
      <c r="W1736" t="inlineStr">
        <is>
          <t>1990-05-24</t>
        </is>
      </c>
      <c r="X1736" t="inlineStr">
        <is>
          <t>1990-05-24</t>
        </is>
      </c>
      <c r="Y1736" t="n">
        <v>222</v>
      </c>
      <c r="Z1736" t="n">
        <v>178</v>
      </c>
      <c r="AA1736" t="n">
        <v>179</v>
      </c>
      <c r="AB1736" t="n">
        <v>3</v>
      </c>
      <c r="AC1736" t="n">
        <v>3</v>
      </c>
      <c r="AD1736" t="n">
        <v>9</v>
      </c>
      <c r="AE1736" t="n">
        <v>9</v>
      </c>
      <c r="AF1736" t="n">
        <v>4</v>
      </c>
      <c r="AG1736" t="n">
        <v>4</v>
      </c>
      <c r="AH1736" t="n">
        <v>3</v>
      </c>
      <c r="AI1736" t="n">
        <v>3</v>
      </c>
      <c r="AJ1736" t="n">
        <v>3</v>
      </c>
      <c r="AK1736" t="n">
        <v>3</v>
      </c>
      <c r="AL1736" t="n">
        <v>2</v>
      </c>
      <c r="AM1736" t="n">
        <v>2</v>
      </c>
      <c r="AN1736" t="n">
        <v>0</v>
      </c>
      <c r="AO1736" t="n">
        <v>0</v>
      </c>
      <c r="AP1736" t="inlineStr">
        <is>
          <t>No</t>
        </is>
      </c>
      <c r="AQ1736" t="inlineStr">
        <is>
          <t>No</t>
        </is>
      </c>
      <c r="AS1736">
        <f>HYPERLINK("https://creighton-primo.hosted.exlibrisgroup.com/primo-explore/search?tab=default_tab&amp;search_scope=EVERYTHING&amp;vid=01CRU&amp;lang=en_US&amp;offset=0&amp;query=any,contains,991000635369702656","Catalog Record")</f>
        <v/>
      </c>
      <c r="AT1736">
        <f>HYPERLINK("http://www.worldcat.org/oclc/12080413","WorldCat Record")</f>
        <v/>
      </c>
      <c r="AU1736" t="inlineStr">
        <is>
          <t>371998124:eng</t>
        </is>
      </c>
      <c r="AV1736" t="inlineStr">
        <is>
          <t>12080413</t>
        </is>
      </c>
      <c r="AW1736" t="inlineStr">
        <is>
          <t>991000635369702656</t>
        </is>
      </c>
      <c r="AX1736" t="inlineStr">
        <is>
          <t>991000635369702656</t>
        </is>
      </c>
      <c r="AY1736" t="inlineStr">
        <is>
          <t>2267795920002656</t>
        </is>
      </c>
      <c r="AZ1736" t="inlineStr">
        <is>
          <t>BOOK</t>
        </is>
      </c>
      <c r="BB1736" t="inlineStr">
        <is>
          <t>9780820402291</t>
        </is>
      </c>
      <c r="BC1736" t="inlineStr">
        <is>
          <t>32285000164888</t>
        </is>
      </c>
      <c r="BD1736" t="inlineStr">
        <is>
          <t>893315114</t>
        </is>
      </c>
    </row>
    <row r="1737">
      <c r="A1737" t="inlineStr">
        <is>
          <t>No</t>
        </is>
      </c>
      <c r="B1737" t="inlineStr">
        <is>
          <t>E748.K376 S39 2003</t>
        </is>
      </c>
      <c r="C1737" t="inlineStr">
        <is>
          <t>0                      E  0748000K  376                S  39          2003</t>
        </is>
      </c>
      <c r="D1737" t="inlineStr">
        <is>
          <t>Joseph P. Kennedy : the mogul, the mob, the statesman, and the making of an American myth / Ted Schwarz.</t>
        </is>
      </c>
      <c r="F1737" t="inlineStr">
        <is>
          <t>No</t>
        </is>
      </c>
      <c r="G1737" t="inlineStr">
        <is>
          <t>1</t>
        </is>
      </c>
      <c r="H1737" t="inlineStr">
        <is>
          <t>No</t>
        </is>
      </c>
      <c r="I1737" t="inlineStr">
        <is>
          <t>No</t>
        </is>
      </c>
      <c r="J1737" t="inlineStr">
        <is>
          <t>0</t>
        </is>
      </c>
      <c r="K1737" t="inlineStr">
        <is>
          <t>Schwarz, Ted, 1945-</t>
        </is>
      </c>
      <c r="L1737" t="inlineStr">
        <is>
          <t>Hoboken, N.J. : John Wiley &amp; Sons, c2003.</t>
        </is>
      </c>
      <c r="M1737" t="inlineStr">
        <is>
          <t>2003</t>
        </is>
      </c>
      <c r="O1737" t="inlineStr">
        <is>
          <t>eng</t>
        </is>
      </c>
      <c r="P1737" t="inlineStr">
        <is>
          <t>nju</t>
        </is>
      </c>
      <c r="R1737" t="inlineStr">
        <is>
          <t xml:space="preserve">E  </t>
        </is>
      </c>
      <c r="S1737" t="n">
        <v>2</v>
      </c>
      <c r="T1737" t="n">
        <v>2</v>
      </c>
      <c r="U1737" t="inlineStr">
        <is>
          <t>2003-11-17</t>
        </is>
      </c>
      <c r="V1737" t="inlineStr">
        <is>
          <t>2003-11-17</t>
        </is>
      </c>
      <c r="W1737" t="inlineStr">
        <is>
          <t>2003-09-18</t>
        </is>
      </c>
      <c r="X1737" t="inlineStr">
        <is>
          <t>2003-09-18</t>
        </is>
      </c>
      <c r="Y1737" t="n">
        <v>744</v>
      </c>
      <c r="Z1737" t="n">
        <v>678</v>
      </c>
      <c r="AA1737" t="n">
        <v>701</v>
      </c>
      <c r="AB1737" t="n">
        <v>5</v>
      </c>
      <c r="AC1737" t="n">
        <v>5</v>
      </c>
      <c r="AD1737" t="n">
        <v>16</v>
      </c>
      <c r="AE1737" t="n">
        <v>16</v>
      </c>
      <c r="AF1737" t="n">
        <v>5</v>
      </c>
      <c r="AG1737" t="n">
        <v>5</v>
      </c>
      <c r="AH1737" t="n">
        <v>4</v>
      </c>
      <c r="AI1737" t="n">
        <v>4</v>
      </c>
      <c r="AJ1737" t="n">
        <v>8</v>
      </c>
      <c r="AK1737" t="n">
        <v>8</v>
      </c>
      <c r="AL1737" t="n">
        <v>3</v>
      </c>
      <c r="AM1737" t="n">
        <v>3</v>
      </c>
      <c r="AN1737" t="n">
        <v>0</v>
      </c>
      <c r="AO1737" t="n">
        <v>0</v>
      </c>
      <c r="AP1737" t="inlineStr">
        <is>
          <t>No</t>
        </is>
      </c>
      <c r="AQ1737" t="inlineStr">
        <is>
          <t>Yes</t>
        </is>
      </c>
      <c r="AR1737">
        <f>HYPERLINK("http://catalog.hathitrust.org/Record/004343428","HathiTrust Record")</f>
        <v/>
      </c>
      <c r="AS1737">
        <f>HYPERLINK("https://creighton-primo.hosted.exlibrisgroup.com/primo-explore/search?tab=default_tab&amp;search_scope=EVERYTHING&amp;vid=01CRU&amp;lang=en_US&amp;offset=0&amp;query=any,contains,991004128289702656","Catalog Record")</f>
        <v/>
      </c>
      <c r="AT1737">
        <f>HYPERLINK("http://www.worldcat.org/oclc/51447253","WorldCat Record")</f>
        <v/>
      </c>
      <c r="AU1737" t="inlineStr">
        <is>
          <t>702961:eng</t>
        </is>
      </c>
      <c r="AV1737" t="inlineStr">
        <is>
          <t>51447253</t>
        </is>
      </c>
      <c r="AW1737" t="inlineStr">
        <is>
          <t>991004128289702656</t>
        </is>
      </c>
      <c r="AX1737" t="inlineStr">
        <is>
          <t>991004128289702656</t>
        </is>
      </c>
      <c r="AY1737" t="inlineStr">
        <is>
          <t>2261457040002656</t>
        </is>
      </c>
      <c r="AZ1737" t="inlineStr">
        <is>
          <t>BOOK</t>
        </is>
      </c>
      <c r="BB1737" t="inlineStr">
        <is>
          <t>9780471176817</t>
        </is>
      </c>
      <c r="BC1737" t="inlineStr">
        <is>
          <t>32285004790233</t>
        </is>
      </c>
      <c r="BD1737" t="inlineStr">
        <is>
          <t>893722280</t>
        </is>
      </c>
    </row>
    <row r="1738">
      <c r="A1738" t="inlineStr">
        <is>
          <t>No</t>
        </is>
      </c>
      <c r="B1738" t="inlineStr">
        <is>
          <t>E748.L23 K47 1989</t>
        </is>
      </c>
      <c r="C1738" t="inlineStr">
        <is>
          <t>0                      E  0748000L  23                 K  47          1989</t>
        </is>
      </c>
      <c r="D1738" t="inlineStr">
        <is>
          <t>Fiorello H. La Guardia and the making of modern New York / Thomas Kessner.</t>
        </is>
      </c>
      <c r="F1738" t="inlineStr">
        <is>
          <t>No</t>
        </is>
      </c>
      <c r="G1738" t="inlineStr">
        <is>
          <t>1</t>
        </is>
      </c>
      <c r="H1738" t="inlineStr">
        <is>
          <t>No</t>
        </is>
      </c>
      <c r="I1738" t="inlineStr">
        <is>
          <t>No</t>
        </is>
      </c>
      <c r="J1738" t="inlineStr">
        <is>
          <t>0</t>
        </is>
      </c>
      <c r="K1738" t="inlineStr">
        <is>
          <t>Kessner, Thomas.</t>
        </is>
      </c>
      <c r="L1738" t="inlineStr">
        <is>
          <t>New York : McGraw-Hill, c1989.</t>
        </is>
      </c>
      <c r="M1738" t="inlineStr">
        <is>
          <t>1989</t>
        </is>
      </c>
      <c r="O1738" t="inlineStr">
        <is>
          <t>eng</t>
        </is>
      </c>
      <c r="P1738" t="inlineStr">
        <is>
          <t>nyu</t>
        </is>
      </c>
      <c r="R1738" t="inlineStr">
        <is>
          <t xml:space="preserve">E  </t>
        </is>
      </c>
      <c r="S1738" t="n">
        <v>2</v>
      </c>
      <c r="T1738" t="n">
        <v>2</v>
      </c>
      <c r="U1738" t="inlineStr">
        <is>
          <t>1993-11-11</t>
        </is>
      </c>
      <c r="V1738" t="inlineStr">
        <is>
          <t>1993-11-11</t>
        </is>
      </c>
      <c r="W1738" t="inlineStr">
        <is>
          <t>1990-11-20</t>
        </is>
      </c>
      <c r="X1738" t="inlineStr">
        <is>
          <t>1990-11-20</t>
        </is>
      </c>
      <c r="Y1738" t="n">
        <v>940</v>
      </c>
      <c r="Z1738" t="n">
        <v>887</v>
      </c>
      <c r="AA1738" t="n">
        <v>953</v>
      </c>
      <c r="AB1738" t="n">
        <v>6</v>
      </c>
      <c r="AC1738" t="n">
        <v>6</v>
      </c>
      <c r="AD1738" t="n">
        <v>32</v>
      </c>
      <c r="AE1738" t="n">
        <v>35</v>
      </c>
      <c r="AF1738" t="n">
        <v>13</v>
      </c>
      <c r="AG1738" t="n">
        <v>14</v>
      </c>
      <c r="AH1738" t="n">
        <v>7</v>
      </c>
      <c r="AI1738" t="n">
        <v>8</v>
      </c>
      <c r="AJ1738" t="n">
        <v>17</v>
      </c>
      <c r="AK1738" t="n">
        <v>18</v>
      </c>
      <c r="AL1738" t="n">
        <v>4</v>
      </c>
      <c r="AM1738" t="n">
        <v>4</v>
      </c>
      <c r="AN1738" t="n">
        <v>0</v>
      </c>
      <c r="AO1738" t="n">
        <v>1</v>
      </c>
      <c r="AP1738" t="inlineStr">
        <is>
          <t>No</t>
        </is>
      </c>
      <c r="AQ1738" t="inlineStr">
        <is>
          <t>Yes</t>
        </is>
      </c>
      <c r="AR1738">
        <f>HYPERLINK("http://catalog.hathitrust.org/Record/001815179","HathiTrust Record")</f>
        <v/>
      </c>
      <c r="AS1738">
        <f>HYPERLINK("https://creighton-primo.hosted.exlibrisgroup.com/primo-explore/search?tab=default_tab&amp;search_scope=EVERYTHING&amp;vid=01CRU&amp;lang=en_US&amp;offset=0&amp;query=any,contains,991001444029702656","Catalog Record")</f>
        <v/>
      </c>
      <c r="AT1738">
        <f>HYPERLINK("http://www.worldcat.org/oclc/19266775","WorldCat Record")</f>
        <v/>
      </c>
      <c r="AU1738" t="inlineStr">
        <is>
          <t>21384125:eng</t>
        </is>
      </c>
      <c r="AV1738" t="inlineStr">
        <is>
          <t>19266775</t>
        </is>
      </c>
      <c r="AW1738" t="inlineStr">
        <is>
          <t>991001444029702656</t>
        </is>
      </c>
      <c r="AX1738" t="inlineStr">
        <is>
          <t>991001444029702656</t>
        </is>
      </c>
      <c r="AY1738" t="inlineStr">
        <is>
          <t>2264543270002656</t>
        </is>
      </c>
      <c r="AZ1738" t="inlineStr">
        <is>
          <t>BOOK</t>
        </is>
      </c>
      <c r="BB1738" t="inlineStr">
        <is>
          <t>9780070342446</t>
        </is>
      </c>
      <c r="BC1738" t="inlineStr">
        <is>
          <t>32285000356245</t>
        </is>
      </c>
      <c r="BD1738" t="inlineStr">
        <is>
          <t>893244142</t>
        </is>
      </c>
    </row>
    <row r="1739">
      <c r="A1739" t="inlineStr">
        <is>
          <t>No</t>
        </is>
      </c>
      <c r="B1739" t="inlineStr">
        <is>
          <t>E748.L23 Z5 1972</t>
        </is>
      </c>
      <c r="C1739" t="inlineStr">
        <is>
          <t>0                      E  0748000L  23                 Z  5           1972</t>
        </is>
      </c>
      <c r="D1739" t="inlineStr">
        <is>
          <t>LaGuardia in Congress.</t>
        </is>
      </c>
      <c r="F1739" t="inlineStr">
        <is>
          <t>No</t>
        </is>
      </c>
      <c r="G1739" t="inlineStr">
        <is>
          <t>1</t>
        </is>
      </c>
      <c r="H1739" t="inlineStr">
        <is>
          <t>No</t>
        </is>
      </c>
      <c r="I1739" t="inlineStr">
        <is>
          <t>No</t>
        </is>
      </c>
      <c r="J1739" t="inlineStr">
        <is>
          <t>0</t>
        </is>
      </c>
      <c r="K1739" t="inlineStr">
        <is>
          <t>Zinn, Howard, 1922-2010.</t>
        </is>
      </c>
      <c r="L1739" t="inlineStr">
        <is>
          <t>Westport, Conn., Greenwood Press [1972, c1959]</t>
        </is>
      </c>
      <c r="M1739" t="inlineStr">
        <is>
          <t>1972</t>
        </is>
      </c>
      <c r="O1739" t="inlineStr">
        <is>
          <t>eng</t>
        </is>
      </c>
      <c r="P1739" t="inlineStr">
        <is>
          <t>ctu</t>
        </is>
      </c>
      <c r="R1739" t="inlineStr">
        <is>
          <t xml:space="preserve">E  </t>
        </is>
      </c>
      <c r="S1739" t="n">
        <v>1</v>
      </c>
      <c r="T1739" t="n">
        <v>1</v>
      </c>
      <c r="U1739" t="inlineStr">
        <is>
          <t>2004-10-11</t>
        </is>
      </c>
      <c r="V1739" t="inlineStr">
        <is>
          <t>2004-10-11</t>
        </is>
      </c>
      <c r="W1739" t="inlineStr">
        <is>
          <t>1997-04-24</t>
        </is>
      </c>
      <c r="X1739" t="inlineStr">
        <is>
          <t>1997-04-24</t>
        </is>
      </c>
      <c r="Y1739" t="n">
        <v>92</v>
      </c>
      <c r="Z1739" t="n">
        <v>85</v>
      </c>
      <c r="AA1739" t="n">
        <v>441</v>
      </c>
      <c r="AB1739" t="n">
        <v>1</v>
      </c>
      <c r="AC1739" t="n">
        <v>2</v>
      </c>
      <c r="AD1739" t="n">
        <v>4</v>
      </c>
      <c r="AE1739" t="n">
        <v>27</v>
      </c>
      <c r="AF1739" t="n">
        <v>2</v>
      </c>
      <c r="AG1739" t="n">
        <v>13</v>
      </c>
      <c r="AH1739" t="n">
        <v>1</v>
      </c>
      <c r="AI1739" t="n">
        <v>8</v>
      </c>
      <c r="AJ1739" t="n">
        <v>3</v>
      </c>
      <c r="AK1739" t="n">
        <v>13</v>
      </c>
      <c r="AL1739" t="n">
        <v>0</v>
      </c>
      <c r="AM1739" t="n">
        <v>1</v>
      </c>
      <c r="AN1739" t="n">
        <v>0</v>
      </c>
      <c r="AO1739" t="n">
        <v>0</v>
      </c>
      <c r="AP1739" t="inlineStr">
        <is>
          <t>No</t>
        </is>
      </c>
      <c r="AQ1739" t="inlineStr">
        <is>
          <t>No</t>
        </is>
      </c>
      <c r="AS1739">
        <f>HYPERLINK("https://creighton-primo.hosted.exlibrisgroup.com/primo-explore/search?tab=default_tab&amp;search_scope=EVERYTHING&amp;vid=01CRU&amp;lang=en_US&amp;offset=0&amp;query=any,contains,991002666139702656","Catalog Record")</f>
        <v/>
      </c>
      <c r="AT1739">
        <f>HYPERLINK("http://www.worldcat.org/oclc/393276","WorldCat Record")</f>
        <v/>
      </c>
      <c r="AU1739" t="inlineStr">
        <is>
          <t>375707871:eng</t>
        </is>
      </c>
      <c r="AV1739" t="inlineStr">
        <is>
          <t>393276</t>
        </is>
      </c>
      <c r="AW1739" t="inlineStr">
        <is>
          <t>991002666139702656</t>
        </is>
      </c>
      <c r="AX1739" t="inlineStr">
        <is>
          <t>991002666139702656</t>
        </is>
      </c>
      <c r="AY1739" t="inlineStr">
        <is>
          <t>2263740800002656</t>
        </is>
      </c>
      <c r="AZ1739" t="inlineStr">
        <is>
          <t>BOOK</t>
        </is>
      </c>
      <c r="BB1739" t="inlineStr">
        <is>
          <t>9780837164342</t>
        </is>
      </c>
      <c r="BC1739" t="inlineStr">
        <is>
          <t>32285002564275</t>
        </is>
      </c>
      <c r="BD1739" t="inlineStr">
        <is>
          <t>893904014</t>
        </is>
      </c>
    </row>
    <row r="1740">
      <c r="A1740" t="inlineStr">
        <is>
          <t>No</t>
        </is>
      </c>
      <c r="B1740" t="inlineStr">
        <is>
          <t>E748.L39 A67 1984</t>
        </is>
      </c>
      <c r="C1740" t="inlineStr">
        <is>
          <t>0                      E  0748000L  39                 A  67          1984</t>
        </is>
      </c>
      <c r="D1740" t="inlineStr">
        <is>
          <t>Homer Lea, Sun Yat-sen, and the Chinese revolution / by Eugene Anschel.</t>
        </is>
      </c>
      <c r="F1740" t="inlineStr">
        <is>
          <t>No</t>
        </is>
      </c>
      <c r="G1740" t="inlineStr">
        <is>
          <t>1</t>
        </is>
      </c>
      <c r="H1740" t="inlineStr">
        <is>
          <t>No</t>
        </is>
      </c>
      <c r="I1740" t="inlineStr">
        <is>
          <t>No</t>
        </is>
      </c>
      <c r="J1740" t="inlineStr">
        <is>
          <t>0</t>
        </is>
      </c>
      <c r="K1740" t="inlineStr">
        <is>
          <t>Anschel, Eugene.</t>
        </is>
      </c>
      <c r="L1740" t="inlineStr">
        <is>
          <t>New York : Praeger, 1984.</t>
        </is>
      </c>
      <c r="M1740" t="inlineStr">
        <is>
          <t>1984</t>
        </is>
      </c>
      <c r="O1740" t="inlineStr">
        <is>
          <t>eng</t>
        </is>
      </c>
      <c r="P1740" t="inlineStr">
        <is>
          <t>nyu</t>
        </is>
      </c>
      <c r="R1740" t="inlineStr">
        <is>
          <t xml:space="preserve">E  </t>
        </is>
      </c>
      <c r="S1740" t="n">
        <v>3</v>
      </c>
      <c r="T1740" t="n">
        <v>3</v>
      </c>
      <c r="U1740" t="inlineStr">
        <is>
          <t>1995-10-25</t>
        </is>
      </c>
      <c r="V1740" t="inlineStr">
        <is>
          <t>1995-10-25</t>
        </is>
      </c>
      <c r="W1740" t="inlineStr">
        <is>
          <t>1991-05-30</t>
        </is>
      </c>
      <c r="X1740" t="inlineStr">
        <is>
          <t>1991-05-30</t>
        </is>
      </c>
      <c r="Y1740" t="n">
        <v>281</v>
      </c>
      <c r="Z1740" t="n">
        <v>226</v>
      </c>
      <c r="AA1740" t="n">
        <v>233</v>
      </c>
      <c r="AB1740" t="n">
        <v>3</v>
      </c>
      <c r="AC1740" t="n">
        <v>3</v>
      </c>
      <c r="AD1740" t="n">
        <v>10</v>
      </c>
      <c r="AE1740" t="n">
        <v>10</v>
      </c>
      <c r="AF1740" t="n">
        <v>3</v>
      </c>
      <c r="AG1740" t="n">
        <v>3</v>
      </c>
      <c r="AH1740" t="n">
        <v>3</v>
      </c>
      <c r="AI1740" t="n">
        <v>3</v>
      </c>
      <c r="AJ1740" t="n">
        <v>6</v>
      </c>
      <c r="AK1740" t="n">
        <v>6</v>
      </c>
      <c r="AL1740" t="n">
        <v>2</v>
      </c>
      <c r="AM1740" t="n">
        <v>2</v>
      </c>
      <c r="AN1740" t="n">
        <v>0</v>
      </c>
      <c r="AO1740" t="n">
        <v>0</v>
      </c>
      <c r="AP1740" t="inlineStr">
        <is>
          <t>No</t>
        </is>
      </c>
      <c r="AQ1740" t="inlineStr">
        <is>
          <t>Yes</t>
        </is>
      </c>
      <c r="AR1740">
        <f>HYPERLINK("http://catalog.hathitrust.org/Record/000337782","HathiTrust Record")</f>
        <v/>
      </c>
      <c r="AS1740">
        <f>HYPERLINK("https://creighton-primo.hosted.exlibrisgroup.com/primo-explore/search?tab=default_tab&amp;search_scope=EVERYTHING&amp;vid=01CRU&amp;lang=en_US&amp;offset=0&amp;query=any,contains,991000476159702656","Catalog Record")</f>
        <v/>
      </c>
      <c r="AT1740">
        <f>HYPERLINK("http://www.worldcat.org/oclc/11029894","WorldCat Record")</f>
        <v/>
      </c>
      <c r="AU1740" t="inlineStr">
        <is>
          <t>2559737:eng</t>
        </is>
      </c>
      <c r="AV1740" t="inlineStr">
        <is>
          <t>11029894</t>
        </is>
      </c>
      <c r="AW1740" t="inlineStr">
        <is>
          <t>991000476159702656</t>
        </is>
      </c>
      <c r="AX1740" t="inlineStr">
        <is>
          <t>991000476159702656</t>
        </is>
      </c>
      <c r="AY1740" t="inlineStr">
        <is>
          <t>2266378360002656</t>
        </is>
      </c>
      <c r="AZ1740" t="inlineStr">
        <is>
          <t>BOOK</t>
        </is>
      </c>
      <c r="BB1740" t="inlineStr">
        <is>
          <t>9780030000638</t>
        </is>
      </c>
      <c r="BC1740" t="inlineStr">
        <is>
          <t>32285000613256</t>
        </is>
      </c>
      <c r="BD1740" t="inlineStr">
        <is>
          <t>893714617</t>
        </is>
      </c>
    </row>
    <row r="1741">
      <c r="A1741" t="inlineStr">
        <is>
          <t>No</t>
        </is>
      </c>
      <c r="B1741" t="inlineStr">
        <is>
          <t>E748.L86 B4 1971</t>
        </is>
      </c>
      <c r="C1741" t="inlineStr">
        <is>
          <t>0                      E  0748000L  86                 B  4           1971</t>
        </is>
      </c>
      <c r="D1741" t="inlineStr">
        <is>
          <t>The story of Huey P. Long.</t>
        </is>
      </c>
      <c r="F1741" t="inlineStr">
        <is>
          <t>No</t>
        </is>
      </c>
      <c r="G1741" t="inlineStr">
        <is>
          <t>1</t>
        </is>
      </c>
      <c r="H1741" t="inlineStr">
        <is>
          <t>No</t>
        </is>
      </c>
      <c r="I1741" t="inlineStr">
        <is>
          <t>No</t>
        </is>
      </c>
      <c r="J1741" t="inlineStr">
        <is>
          <t>0</t>
        </is>
      </c>
      <c r="K1741" t="inlineStr">
        <is>
          <t>Beals, Carleton, 1893-1979.</t>
        </is>
      </c>
      <c r="L1741" t="inlineStr">
        <is>
          <t>Westport, Conn. : Greenwood Press, [1971, c1935]</t>
        </is>
      </c>
      <c r="M1741" t="inlineStr">
        <is>
          <t>1971</t>
        </is>
      </c>
      <c r="O1741" t="inlineStr">
        <is>
          <t>eng</t>
        </is>
      </c>
      <c r="P1741" t="inlineStr">
        <is>
          <t>ctu</t>
        </is>
      </c>
      <c r="R1741" t="inlineStr">
        <is>
          <t xml:space="preserve">E  </t>
        </is>
      </c>
      <c r="S1741" t="n">
        <v>5</v>
      </c>
      <c r="T1741" t="n">
        <v>5</v>
      </c>
      <c r="U1741" t="inlineStr">
        <is>
          <t>1993-12-20</t>
        </is>
      </c>
      <c r="V1741" t="inlineStr">
        <is>
          <t>1993-12-20</t>
        </is>
      </c>
      <c r="W1741" t="inlineStr">
        <is>
          <t>1993-03-26</t>
        </is>
      </c>
      <c r="X1741" t="inlineStr">
        <is>
          <t>1993-03-26</t>
        </is>
      </c>
      <c r="Y1741" t="n">
        <v>166</v>
      </c>
      <c r="Z1741" t="n">
        <v>153</v>
      </c>
      <c r="AA1741" t="n">
        <v>332</v>
      </c>
      <c r="AB1741" t="n">
        <v>2</v>
      </c>
      <c r="AC1741" t="n">
        <v>2</v>
      </c>
      <c r="AD1741" t="n">
        <v>9</v>
      </c>
      <c r="AE1741" t="n">
        <v>14</v>
      </c>
      <c r="AF1741" t="n">
        <v>3</v>
      </c>
      <c r="AG1741" t="n">
        <v>4</v>
      </c>
      <c r="AH1741" t="n">
        <v>2</v>
      </c>
      <c r="AI1741" t="n">
        <v>5</v>
      </c>
      <c r="AJ1741" t="n">
        <v>4</v>
      </c>
      <c r="AK1741" t="n">
        <v>6</v>
      </c>
      <c r="AL1741" t="n">
        <v>1</v>
      </c>
      <c r="AM1741" t="n">
        <v>1</v>
      </c>
      <c r="AN1741" t="n">
        <v>0</v>
      </c>
      <c r="AO1741" t="n">
        <v>0</v>
      </c>
      <c r="AP1741" t="inlineStr">
        <is>
          <t>No</t>
        </is>
      </c>
      <c r="AQ1741" t="inlineStr">
        <is>
          <t>Yes</t>
        </is>
      </c>
      <c r="AR1741">
        <f>HYPERLINK("http://catalog.hathitrust.org/Record/000468144","HathiTrust Record")</f>
        <v/>
      </c>
      <c r="AS1741">
        <f>HYPERLINK("https://creighton-primo.hosted.exlibrisgroup.com/primo-explore/search?tab=default_tab&amp;search_scope=EVERYTHING&amp;vid=01CRU&amp;lang=en_US&amp;offset=0&amp;query=any,contains,991001198869702656","Catalog Record")</f>
        <v/>
      </c>
      <c r="AT1741">
        <f>HYPERLINK("http://www.worldcat.org/oclc/191398","WorldCat Record")</f>
        <v/>
      </c>
      <c r="AU1741" t="inlineStr">
        <is>
          <t>69165717:eng</t>
        </is>
      </c>
      <c r="AV1741" t="inlineStr">
        <is>
          <t>191398</t>
        </is>
      </c>
      <c r="AW1741" t="inlineStr">
        <is>
          <t>991001198869702656</t>
        </is>
      </c>
      <c r="AX1741" t="inlineStr">
        <is>
          <t>991001198869702656</t>
        </is>
      </c>
      <c r="AY1741" t="inlineStr">
        <is>
          <t>2258813480002656</t>
        </is>
      </c>
      <c r="AZ1741" t="inlineStr">
        <is>
          <t>BOOK</t>
        </is>
      </c>
      <c r="BB1741" t="inlineStr">
        <is>
          <t>9780837152042</t>
        </is>
      </c>
      <c r="BC1741" t="inlineStr">
        <is>
          <t>32285001591758</t>
        </is>
      </c>
      <c r="BD1741" t="inlineStr">
        <is>
          <t>893602410</t>
        </is>
      </c>
    </row>
    <row r="1742">
      <c r="A1742" t="inlineStr">
        <is>
          <t>No</t>
        </is>
      </c>
      <c r="B1742" t="inlineStr">
        <is>
          <t>E748.L86 D4 1967</t>
        </is>
      </c>
      <c r="C1742" t="inlineStr">
        <is>
          <t>0                      E  0748000L  86                 D  4           1967</t>
        </is>
      </c>
      <c r="D1742" t="inlineStr">
        <is>
          <t>Huey P. Long, Southern demagogue or American democrat? / edited with an introd. by Henry C. Dethloff.</t>
        </is>
      </c>
      <c r="F1742" t="inlineStr">
        <is>
          <t>No</t>
        </is>
      </c>
      <c r="G1742" t="inlineStr">
        <is>
          <t>1</t>
        </is>
      </c>
      <c r="H1742" t="inlineStr">
        <is>
          <t>No</t>
        </is>
      </c>
      <c r="I1742" t="inlineStr">
        <is>
          <t>No</t>
        </is>
      </c>
      <c r="J1742" t="inlineStr">
        <is>
          <t>0</t>
        </is>
      </c>
      <c r="K1742" t="inlineStr">
        <is>
          <t>Dethloff, Henry C. compiler.</t>
        </is>
      </c>
      <c r="L1742" t="inlineStr">
        <is>
          <t>Boston : Heath, [1967]</t>
        </is>
      </c>
      <c r="M1742" t="inlineStr">
        <is>
          <t>1967</t>
        </is>
      </c>
      <c r="O1742" t="inlineStr">
        <is>
          <t>eng</t>
        </is>
      </c>
      <c r="P1742" t="inlineStr">
        <is>
          <t>mau</t>
        </is>
      </c>
      <c r="Q1742" t="inlineStr">
        <is>
          <t>Problems in American civilization</t>
        </is>
      </c>
      <c r="R1742" t="inlineStr">
        <is>
          <t xml:space="preserve">E  </t>
        </is>
      </c>
      <c r="S1742" t="n">
        <v>6</v>
      </c>
      <c r="T1742" t="n">
        <v>6</v>
      </c>
      <c r="U1742" t="inlineStr">
        <is>
          <t>2000-11-13</t>
        </is>
      </c>
      <c r="V1742" t="inlineStr">
        <is>
          <t>2000-11-13</t>
        </is>
      </c>
      <c r="W1742" t="inlineStr">
        <is>
          <t>1991-05-30</t>
        </is>
      </c>
      <c r="X1742" t="inlineStr">
        <is>
          <t>1991-05-30</t>
        </is>
      </c>
      <c r="Y1742" t="n">
        <v>644</v>
      </c>
      <c r="Z1742" t="n">
        <v>576</v>
      </c>
      <c r="AA1742" t="n">
        <v>603</v>
      </c>
      <c r="AB1742" t="n">
        <v>4</v>
      </c>
      <c r="AC1742" t="n">
        <v>5</v>
      </c>
      <c r="AD1742" t="n">
        <v>21</v>
      </c>
      <c r="AE1742" t="n">
        <v>25</v>
      </c>
      <c r="AF1742" t="n">
        <v>6</v>
      </c>
      <c r="AG1742" t="n">
        <v>7</v>
      </c>
      <c r="AH1742" t="n">
        <v>5</v>
      </c>
      <c r="AI1742" t="n">
        <v>5</v>
      </c>
      <c r="AJ1742" t="n">
        <v>13</v>
      </c>
      <c r="AK1742" t="n">
        <v>16</v>
      </c>
      <c r="AL1742" t="n">
        <v>3</v>
      </c>
      <c r="AM1742" t="n">
        <v>4</v>
      </c>
      <c r="AN1742" t="n">
        <v>0</v>
      </c>
      <c r="AO1742" t="n">
        <v>0</v>
      </c>
      <c r="AP1742" t="inlineStr">
        <is>
          <t>No</t>
        </is>
      </c>
      <c r="AQ1742" t="inlineStr">
        <is>
          <t>No</t>
        </is>
      </c>
      <c r="AS1742">
        <f>HYPERLINK("https://creighton-primo.hosted.exlibrisgroup.com/primo-explore/search?tab=default_tab&amp;search_scope=EVERYTHING&amp;vid=01CRU&amp;lang=en_US&amp;offset=0&amp;query=any,contains,991004170349702656","Catalog Record")</f>
        <v/>
      </c>
      <c r="AT1742">
        <f>HYPERLINK("http://www.worldcat.org/oclc/2579747","WorldCat Record")</f>
        <v/>
      </c>
      <c r="AU1742" t="inlineStr">
        <is>
          <t>5491107:eng</t>
        </is>
      </c>
      <c r="AV1742" t="inlineStr">
        <is>
          <t>2579747</t>
        </is>
      </c>
      <c r="AW1742" t="inlineStr">
        <is>
          <t>991004170349702656</t>
        </is>
      </c>
      <c r="AX1742" t="inlineStr">
        <is>
          <t>991004170349702656</t>
        </is>
      </c>
      <c r="AY1742" t="inlineStr">
        <is>
          <t>2258102660002656</t>
        </is>
      </c>
      <c r="AZ1742" t="inlineStr">
        <is>
          <t>BOOK</t>
        </is>
      </c>
      <c r="BC1742" t="inlineStr">
        <is>
          <t>32285000613272</t>
        </is>
      </c>
      <c r="BD1742" t="inlineStr">
        <is>
          <t>893693621</t>
        </is>
      </c>
    </row>
    <row r="1743">
      <c r="A1743" t="inlineStr">
        <is>
          <t>No</t>
        </is>
      </c>
      <c r="B1743" t="inlineStr">
        <is>
          <t>E748.L86 G7</t>
        </is>
      </c>
      <c r="C1743" t="inlineStr">
        <is>
          <t>0                      E  0748000L  86                 G  7</t>
        </is>
      </c>
      <c r="D1743" t="inlineStr">
        <is>
          <t>Huey Long.</t>
        </is>
      </c>
      <c r="F1743" t="inlineStr">
        <is>
          <t>No</t>
        </is>
      </c>
      <c r="G1743" t="inlineStr">
        <is>
          <t>1</t>
        </is>
      </c>
      <c r="H1743" t="inlineStr">
        <is>
          <t>No</t>
        </is>
      </c>
      <c r="I1743" t="inlineStr">
        <is>
          <t>No</t>
        </is>
      </c>
      <c r="J1743" t="inlineStr">
        <is>
          <t>0</t>
        </is>
      </c>
      <c r="K1743" t="inlineStr">
        <is>
          <t>Graham, Hugh Davis compiler.</t>
        </is>
      </c>
      <c r="L1743" t="inlineStr">
        <is>
          <t>Englewood Cliffs, N.J., Prentice-Hall [1970]</t>
        </is>
      </c>
      <c r="M1743" t="inlineStr">
        <is>
          <t>1970</t>
        </is>
      </c>
      <c r="O1743" t="inlineStr">
        <is>
          <t>eng</t>
        </is>
      </c>
      <c r="P1743" t="inlineStr">
        <is>
          <t>nju</t>
        </is>
      </c>
      <c r="Q1743" t="inlineStr">
        <is>
          <t>A Spectrum book.</t>
        </is>
      </c>
      <c r="R1743" t="inlineStr">
        <is>
          <t xml:space="preserve">E  </t>
        </is>
      </c>
      <c r="S1743" t="n">
        <v>6</v>
      </c>
      <c r="T1743" t="n">
        <v>6</v>
      </c>
      <c r="U1743" t="inlineStr">
        <is>
          <t>2000-11-13</t>
        </is>
      </c>
      <c r="V1743" t="inlineStr">
        <is>
          <t>2000-11-13</t>
        </is>
      </c>
      <c r="W1743" t="inlineStr">
        <is>
          <t>1991-05-30</t>
        </is>
      </c>
      <c r="X1743" t="inlineStr">
        <is>
          <t>1991-05-30</t>
        </is>
      </c>
      <c r="Y1743" t="n">
        <v>1084</v>
      </c>
      <c r="Z1743" t="n">
        <v>1029</v>
      </c>
      <c r="AA1743" t="n">
        <v>1035</v>
      </c>
      <c r="AB1743" t="n">
        <v>7</v>
      </c>
      <c r="AC1743" t="n">
        <v>7</v>
      </c>
      <c r="AD1743" t="n">
        <v>36</v>
      </c>
      <c r="AE1743" t="n">
        <v>36</v>
      </c>
      <c r="AF1743" t="n">
        <v>17</v>
      </c>
      <c r="AG1743" t="n">
        <v>17</v>
      </c>
      <c r="AH1743" t="n">
        <v>6</v>
      </c>
      <c r="AI1743" t="n">
        <v>6</v>
      </c>
      <c r="AJ1743" t="n">
        <v>16</v>
      </c>
      <c r="AK1743" t="n">
        <v>16</v>
      </c>
      <c r="AL1743" t="n">
        <v>5</v>
      </c>
      <c r="AM1743" t="n">
        <v>5</v>
      </c>
      <c r="AN1743" t="n">
        <v>0</v>
      </c>
      <c r="AO1743" t="n">
        <v>0</v>
      </c>
      <c r="AP1743" t="inlineStr">
        <is>
          <t>No</t>
        </is>
      </c>
      <c r="AQ1743" t="inlineStr">
        <is>
          <t>Yes</t>
        </is>
      </c>
      <c r="AR1743">
        <f>HYPERLINK("http://catalog.hathitrust.org/Record/000470119","HathiTrust Record")</f>
        <v/>
      </c>
      <c r="AS1743">
        <f>HYPERLINK("https://creighton-primo.hosted.exlibrisgroup.com/primo-explore/search?tab=default_tab&amp;search_scope=EVERYTHING&amp;vid=01CRU&amp;lang=en_US&amp;offset=0&amp;query=any,contains,991000142519702656","Catalog Record")</f>
        <v/>
      </c>
      <c r="AT1743">
        <f>HYPERLINK("http://www.worldcat.org/oclc/58075","WorldCat Record")</f>
        <v/>
      </c>
      <c r="AU1743" t="inlineStr">
        <is>
          <t>1194735:eng</t>
        </is>
      </c>
      <c r="AV1743" t="inlineStr">
        <is>
          <t>58075</t>
        </is>
      </c>
      <c r="AW1743" t="inlineStr">
        <is>
          <t>991000142519702656</t>
        </is>
      </c>
      <c r="AX1743" t="inlineStr">
        <is>
          <t>991000142519702656</t>
        </is>
      </c>
      <c r="AY1743" t="inlineStr">
        <is>
          <t>2259913500002656</t>
        </is>
      </c>
      <c r="AZ1743" t="inlineStr">
        <is>
          <t>BOOK</t>
        </is>
      </c>
      <c r="BB1743" t="inlineStr">
        <is>
          <t>9780134446127</t>
        </is>
      </c>
      <c r="BC1743" t="inlineStr">
        <is>
          <t>32285000613280</t>
        </is>
      </c>
      <c r="BD1743" t="inlineStr">
        <is>
          <t>893802544</t>
        </is>
      </c>
    </row>
    <row r="1744">
      <c r="A1744" t="inlineStr">
        <is>
          <t>No</t>
        </is>
      </c>
      <c r="B1744" t="inlineStr">
        <is>
          <t>E748.L86 L8 1964</t>
        </is>
      </c>
      <c r="C1744" t="inlineStr">
        <is>
          <t>0                      E  0748000L  86                 L  8           1964</t>
        </is>
      </c>
      <c r="D1744" t="inlineStr">
        <is>
          <t>Every man a king : the autobiography of Huey P Long / Introd.by T. Harry Williams. --</t>
        </is>
      </c>
      <c r="F1744" t="inlineStr">
        <is>
          <t>No</t>
        </is>
      </c>
      <c r="G1744" t="inlineStr">
        <is>
          <t>1</t>
        </is>
      </c>
      <c r="H1744" t="inlineStr">
        <is>
          <t>No</t>
        </is>
      </c>
      <c r="I1744" t="inlineStr">
        <is>
          <t>No</t>
        </is>
      </c>
      <c r="J1744" t="inlineStr">
        <is>
          <t>0</t>
        </is>
      </c>
      <c r="K1744" t="inlineStr">
        <is>
          <t>Long, Huey Pierce, 1893-1935.</t>
        </is>
      </c>
      <c r="L1744" t="inlineStr">
        <is>
          <t>Chicago : Quadrangle Books, [1964]</t>
        </is>
      </c>
      <c r="M1744" t="inlineStr">
        <is>
          <t>1964</t>
        </is>
      </c>
      <c r="O1744" t="inlineStr">
        <is>
          <t>eng</t>
        </is>
      </c>
      <c r="P1744" t="inlineStr">
        <is>
          <t>ilu</t>
        </is>
      </c>
      <c r="Q1744" t="inlineStr">
        <is>
          <t>Quadrangle paperbacks ; QP8</t>
        </is>
      </c>
      <c r="R1744" t="inlineStr">
        <is>
          <t xml:space="preserve">E  </t>
        </is>
      </c>
      <c r="S1744" t="n">
        <v>5</v>
      </c>
      <c r="T1744" t="n">
        <v>5</v>
      </c>
      <c r="U1744" t="inlineStr">
        <is>
          <t>1993-12-20</t>
        </is>
      </c>
      <c r="V1744" t="inlineStr">
        <is>
          <t>1993-12-20</t>
        </is>
      </c>
      <c r="W1744" t="inlineStr">
        <is>
          <t>1991-05-30</t>
        </is>
      </c>
      <c r="X1744" t="inlineStr">
        <is>
          <t>1991-05-30</t>
        </is>
      </c>
      <c r="Y1744" t="n">
        <v>545</v>
      </c>
      <c r="Z1744" t="n">
        <v>492</v>
      </c>
      <c r="AA1744" t="n">
        <v>1025</v>
      </c>
      <c r="AB1744" t="n">
        <v>4</v>
      </c>
      <c r="AC1744" t="n">
        <v>7</v>
      </c>
      <c r="AD1744" t="n">
        <v>20</v>
      </c>
      <c r="AE1744" t="n">
        <v>40</v>
      </c>
      <c r="AF1744" t="n">
        <v>7</v>
      </c>
      <c r="AG1744" t="n">
        <v>17</v>
      </c>
      <c r="AH1744" t="n">
        <v>3</v>
      </c>
      <c r="AI1744" t="n">
        <v>6</v>
      </c>
      <c r="AJ1744" t="n">
        <v>9</v>
      </c>
      <c r="AK1744" t="n">
        <v>17</v>
      </c>
      <c r="AL1744" t="n">
        <v>3</v>
      </c>
      <c r="AM1744" t="n">
        <v>5</v>
      </c>
      <c r="AN1744" t="n">
        <v>1</v>
      </c>
      <c r="AO1744" t="n">
        <v>2</v>
      </c>
      <c r="AP1744" t="inlineStr">
        <is>
          <t>No</t>
        </is>
      </c>
      <c r="AQ1744" t="inlineStr">
        <is>
          <t>Yes</t>
        </is>
      </c>
      <c r="AR1744">
        <f>HYPERLINK("http://catalog.hathitrust.org/Record/000469079","HathiTrust Record")</f>
        <v/>
      </c>
      <c r="AS1744">
        <f>HYPERLINK("https://creighton-primo.hosted.exlibrisgroup.com/primo-explore/search?tab=default_tab&amp;search_scope=EVERYTHING&amp;vid=01CRU&amp;lang=en_US&amp;offset=0&amp;query=any,contains,991003793969702656","Catalog Record")</f>
        <v/>
      </c>
      <c r="AT1744">
        <f>HYPERLINK("http://www.worldcat.org/oclc/1513859","WorldCat Record")</f>
        <v/>
      </c>
      <c r="AU1744" t="inlineStr">
        <is>
          <t>1182849723:eng</t>
        </is>
      </c>
      <c r="AV1744" t="inlineStr">
        <is>
          <t>1513859</t>
        </is>
      </c>
      <c r="AW1744" t="inlineStr">
        <is>
          <t>991003793969702656</t>
        </is>
      </c>
      <c r="AX1744" t="inlineStr">
        <is>
          <t>991003793969702656</t>
        </is>
      </c>
      <c r="AY1744" t="inlineStr">
        <is>
          <t>2261159410002656</t>
        </is>
      </c>
      <c r="AZ1744" t="inlineStr">
        <is>
          <t>BOOK</t>
        </is>
      </c>
      <c r="BC1744" t="inlineStr">
        <is>
          <t>32285000613298</t>
        </is>
      </c>
      <c r="BD1744" t="inlineStr">
        <is>
          <t>893330811</t>
        </is>
      </c>
    </row>
    <row r="1745">
      <c r="A1745" t="inlineStr">
        <is>
          <t>No</t>
        </is>
      </c>
      <c r="B1745" t="inlineStr">
        <is>
          <t>E748.L86 W48 1980</t>
        </is>
      </c>
      <c r="C1745" t="inlineStr">
        <is>
          <t>0                      E  0748000L  86                 W  48          1980</t>
        </is>
      </c>
      <c r="D1745" t="inlineStr">
        <is>
          <t>Huey Long / T. Harry Williams.</t>
        </is>
      </c>
      <c r="F1745" t="inlineStr">
        <is>
          <t>No</t>
        </is>
      </c>
      <c r="G1745" t="inlineStr">
        <is>
          <t>1</t>
        </is>
      </c>
      <c r="H1745" t="inlineStr">
        <is>
          <t>No</t>
        </is>
      </c>
      <c r="I1745" t="inlineStr">
        <is>
          <t>No</t>
        </is>
      </c>
      <c r="J1745" t="inlineStr">
        <is>
          <t>0</t>
        </is>
      </c>
      <c r="K1745" t="inlineStr">
        <is>
          <t>Williams, T. Harry (Thomas Harry), 1909-1979.</t>
        </is>
      </c>
      <c r="L1745" t="inlineStr">
        <is>
          <t>New York : Knopf, 1980, c1969.</t>
        </is>
      </c>
      <c r="M1745" t="inlineStr">
        <is>
          <t>1980</t>
        </is>
      </c>
      <c r="O1745" t="inlineStr">
        <is>
          <t>eng</t>
        </is>
      </c>
      <c r="P1745" t="inlineStr">
        <is>
          <t>nyu</t>
        </is>
      </c>
      <c r="R1745" t="inlineStr">
        <is>
          <t xml:space="preserve">E  </t>
        </is>
      </c>
      <c r="S1745" t="n">
        <v>9</v>
      </c>
      <c r="T1745" t="n">
        <v>9</v>
      </c>
      <c r="U1745" t="inlineStr">
        <is>
          <t>1993-12-20</t>
        </is>
      </c>
      <c r="V1745" t="inlineStr">
        <is>
          <t>1993-12-20</t>
        </is>
      </c>
      <c r="W1745" t="inlineStr">
        <is>
          <t>1990-04-30</t>
        </is>
      </c>
      <c r="X1745" t="inlineStr">
        <is>
          <t>1990-04-30</t>
        </is>
      </c>
      <c r="Y1745" t="n">
        <v>2153</v>
      </c>
      <c r="Z1745" t="n">
        <v>2055</v>
      </c>
      <c r="AA1745" t="n">
        <v>2387</v>
      </c>
      <c r="AB1745" t="n">
        <v>21</v>
      </c>
      <c r="AC1745" t="n">
        <v>23</v>
      </c>
      <c r="AD1745" t="n">
        <v>63</v>
      </c>
      <c r="AE1745" t="n">
        <v>67</v>
      </c>
      <c r="AF1745" t="n">
        <v>24</v>
      </c>
      <c r="AG1745" t="n">
        <v>27</v>
      </c>
      <c r="AH1745" t="n">
        <v>11</v>
      </c>
      <c r="AI1745" t="n">
        <v>11</v>
      </c>
      <c r="AJ1745" t="n">
        <v>22</v>
      </c>
      <c r="AK1745" t="n">
        <v>22</v>
      </c>
      <c r="AL1745" t="n">
        <v>12</v>
      </c>
      <c r="AM1745" t="n">
        <v>13</v>
      </c>
      <c r="AN1745" t="n">
        <v>7</v>
      </c>
      <c r="AO1745" t="n">
        <v>7</v>
      </c>
      <c r="AP1745" t="inlineStr">
        <is>
          <t>No</t>
        </is>
      </c>
      <c r="AQ1745" t="inlineStr">
        <is>
          <t>Yes</t>
        </is>
      </c>
      <c r="AR1745">
        <f>HYPERLINK("http://catalog.hathitrust.org/Record/000195276","HathiTrust Record")</f>
        <v/>
      </c>
      <c r="AS1745">
        <f>HYPERLINK("https://creighton-primo.hosted.exlibrisgroup.com/primo-explore/search?tab=default_tab&amp;search_scope=EVERYTHING&amp;vid=01CRU&amp;lang=en_US&amp;offset=0&amp;query=any,contains,991005093779702656","Catalog Record")</f>
        <v/>
      </c>
      <c r="AT1745">
        <f>HYPERLINK("http://www.worldcat.org/oclc/44404","WorldCat Record")</f>
        <v/>
      </c>
      <c r="AU1745" t="inlineStr">
        <is>
          <t>52588424:eng</t>
        </is>
      </c>
      <c r="AV1745" t="inlineStr">
        <is>
          <t>44404</t>
        </is>
      </c>
      <c r="AW1745" t="inlineStr">
        <is>
          <t>991005093779702656</t>
        </is>
      </c>
      <c r="AX1745" t="inlineStr">
        <is>
          <t>991005093779702656</t>
        </is>
      </c>
      <c r="AY1745" t="inlineStr">
        <is>
          <t>2271022160002656</t>
        </is>
      </c>
      <c r="AZ1745" t="inlineStr">
        <is>
          <t>BOOK</t>
        </is>
      </c>
      <c r="BC1745" t="inlineStr">
        <is>
          <t>32285000128859</t>
        </is>
      </c>
      <c r="BD1745" t="inlineStr">
        <is>
          <t>893350690</t>
        </is>
      </c>
    </row>
    <row r="1746">
      <c r="A1746" t="inlineStr">
        <is>
          <t>No</t>
        </is>
      </c>
      <c r="B1746" t="inlineStr">
        <is>
          <t>E748.L86 W5</t>
        </is>
      </c>
      <c r="C1746" t="inlineStr">
        <is>
          <t>0                      E  0748000L  86                 W  5</t>
        </is>
      </c>
      <c r="D1746" t="inlineStr">
        <is>
          <t>Huey P. Long : an inaugural lecture delivered before the University of Oxford on 26 January, 1967 / by T. Harry Williams.</t>
        </is>
      </c>
      <c r="F1746" t="inlineStr">
        <is>
          <t>No</t>
        </is>
      </c>
      <c r="G1746" t="inlineStr">
        <is>
          <t>1</t>
        </is>
      </c>
      <c r="H1746" t="inlineStr">
        <is>
          <t>No</t>
        </is>
      </c>
      <c r="I1746" t="inlineStr">
        <is>
          <t>No</t>
        </is>
      </c>
      <c r="J1746" t="inlineStr">
        <is>
          <t>0</t>
        </is>
      </c>
      <c r="K1746" t="inlineStr">
        <is>
          <t>Williams, T. Harry (Thomas Harry), 1909-1979.</t>
        </is>
      </c>
      <c r="L1746" t="inlineStr">
        <is>
          <t>Oxford : Clarendon P., 1967.</t>
        </is>
      </c>
      <c r="M1746" t="inlineStr">
        <is>
          <t>1967</t>
        </is>
      </c>
      <c r="O1746" t="inlineStr">
        <is>
          <t>eng</t>
        </is>
      </c>
      <c r="P1746" t="inlineStr">
        <is>
          <t>enk</t>
        </is>
      </c>
      <c r="R1746" t="inlineStr">
        <is>
          <t xml:space="preserve">E  </t>
        </is>
      </c>
      <c r="S1746" t="n">
        <v>3</v>
      </c>
      <c r="T1746" t="n">
        <v>3</v>
      </c>
      <c r="U1746" t="inlineStr">
        <is>
          <t>1993-11-02</t>
        </is>
      </c>
      <c r="V1746" t="inlineStr">
        <is>
          <t>1993-11-02</t>
        </is>
      </c>
      <c r="W1746" t="inlineStr">
        <is>
          <t>1993-03-26</t>
        </is>
      </c>
      <c r="X1746" t="inlineStr">
        <is>
          <t>1993-03-26</t>
        </is>
      </c>
      <c r="Y1746" t="n">
        <v>159</v>
      </c>
      <c r="Z1746" t="n">
        <v>117</v>
      </c>
      <c r="AA1746" t="n">
        <v>124</v>
      </c>
      <c r="AB1746" t="n">
        <v>2</v>
      </c>
      <c r="AC1746" t="n">
        <v>2</v>
      </c>
      <c r="AD1746" t="n">
        <v>4</v>
      </c>
      <c r="AE1746" t="n">
        <v>4</v>
      </c>
      <c r="AF1746" t="n">
        <v>1</v>
      </c>
      <c r="AG1746" t="n">
        <v>1</v>
      </c>
      <c r="AH1746" t="n">
        <v>0</v>
      </c>
      <c r="AI1746" t="n">
        <v>0</v>
      </c>
      <c r="AJ1746" t="n">
        <v>3</v>
      </c>
      <c r="AK1746" t="n">
        <v>3</v>
      </c>
      <c r="AL1746" t="n">
        <v>1</v>
      </c>
      <c r="AM1746" t="n">
        <v>1</v>
      </c>
      <c r="AN1746" t="n">
        <v>0</v>
      </c>
      <c r="AO1746" t="n">
        <v>0</v>
      </c>
      <c r="AP1746" t="inlineStr">
        <is>
          <t>No</t>
        </is>
      </c>
      <c r="AQ1746" t="inlineStr">
        <is>
          <t>Yes</t>
        </is>
      </c>
      <c r="AR1746">
        <f>HYPERLINK("http://catalog.hathitrust.org/Record/000468156","HathiTrust Record")</f>
        <v/>
      </c>
      <c r="AS1746">
        <f>HYPERLINK("https://creighton-primo.hosted.exlibrisgroup.com/primo-explore/search?tab=default_tab&amp;search_scope=EVERYTHING&amp;vid=01CRU&amp;lang=en_US&amp;offset=0&amp;query=any,contains,991003416359702656","Catalog Record")</f>
        <v/>
      </c>
      <c r="AT1746">
        <f>HYPERLINK("http://www.worldcat.org/oclc/957486","WorldCat Record")</f>
        <v/>
      </c>
      <c r="AU1746" t="inlineStr">
        <is>
          <t>9593893197:eng</t>
        </is>
      </c>
      <c r="AV1746" t="inlineStr">
        <is>
          <t>957486</t>
        </is>
      </c>
      <c r="AW1746" t="inlineStr">
        <is>
          <t>991003416359702656</t>
        </is>
      </c>
      <c r="AX1746" t="inlineStr">
        <is>
          <t>991003416359702656</t>
        </is>
      </c>
      <c r="AY1746" t="inlineStr">
        <is>
          <t>2267907720002656</t>
        </is>
      </c>
      <c r="AZ1746" t="inlineStr">
        <is>
          <t>BOOK</t>
        </is>
      </c>
      <c r="BC1746" t="inlineStr">
        <is>
          <t>32285001591741</t>
        </is>
      </c>
      <c r="BD1746" t="inlineStr">
        <is>
          <t>893904366</t>
        </is>
      </c>
    </row>
    <row r="1747">
      <c r="A1747" t="inlineStr">
        <is>
          <t>No</t>
        </is>
      </c>
      <c r="B1747" t="inlineStr">
        <is>
          <t>E748.L87 A35</t>
        </is>
      </c>
      <c r="C1747" t="inlineStr">
        <is>
          <t>0                      E  0748000L  87                 A  35</t>
        </is>
      </c>
      <c r="D1747" t="inlineStr">
        <is>
          <t>Mrs. L. : conversations with Alice Roosevelt Longworth / Michael Teague.</t>
        </is>
      </c>
      <c r="F1747" t="inlineStr">
        <is>
          <t>No</t>
        </is>
      </c>
      <c r="G1747" t="inlineStr">
        <is>
          <t>1</t>
        </is>
      </c>
      <c r="H1747" t="inlineStr">
        <is>
          <t>No</t>
        </is>
      </c>
      <c r="I1747" t="inlineStr">
        <is>
          <t>No</t>
        </is>
      </c>
      <c r="J1747" t="inlineStr">
        <is>
          <t>0</t>
        </is>
      </c>
      <c r="K1747" t="inlineStr">
        <is>
          <t>Longworth, Alice Roosevelt, 1884-1980.</t>
        </is>
      </c>
      <c r="L1747" t="inlineStr">
        <is>
          <t>Garden City, N.Y. : Doubleday, 1981.</t>
        </is>
      </c>
      <c r="M1747" t="inlineStr">
        <is>
          <t>1981</t>
        </is>
      </c>
      <c r="N1747" t="inlineStr">
        <is>
          <t>1st ed.</t>
        </is>
      </c>
      <c r="O1747" t="inlineStr">
        <is>
          <t>eng</t>
        </is>
      </c>
      <c r="P1747" t="inlineStr">
        <is>
          <t>nyu</t>
        </is>
      </c>
      <c r="R1747" t="inlineStr">
        <is>
          <t xml:space="preserve">E  </t>
        </is>
      </c>
      <c r="S1747" t="n">
        <v>4</v>
      </c>
      <c r="T1747" t="n">
        <v>4</v>
      </c>
      <c r="U1747" t="inlineStr">
        <is>
          <t>1995-05-08</t>
        </is>
      </c>
      <c r="V1747" t="inlineStr">
        <is>
          <t>1995-05-08</t>
        </is>
      </c>
      <c r="W1747" t="inlineStr">
        <is>
          <t>1991-05-30</t>
        </is>
      </c>
      <c r="X1747" t="inlineStr">
        <is>
          <t>1991-05-30</t>
        </is>
      </c>
      <c r="Y1747" t="n">
        <v>789</v>
      </c>
      <c r="Z1747" t="n">
        <v>782</v>
      </c>
      <c r="AA1747" t="n">
        <v>797</v>
      </c>
      <c r="AB1747" t="n">
        <v>5</v>
      </c>
      <c r="AC1747" t="n">
        <v>5</v>
      </c>
      <c r="AD1747" t="n">
        <v>14</v>
      </c>
      <c r="AE1747" t="n">
        <v>14</v>
      </c>
      <c r="AF1747" t="n">
        <v>6</v>
      </c>
      <c r="AG1747" t="n">
        <v>6</v>
      </c>
      <c r="AH1747" t="n">
        <v>4</v>
      </c>
      <c r="AI1747" t="n">
        <v>4</v>
      </c>
      <c r="AJ1747" t="n">
        <v>7</v>
      </c>
      <c r="AK1747" t="n">
        <v>7</v>
      </c>
      <c r="AL1747" t="n">
        <v>1</v>
      </c>
      <c r="AM1747" t="n">
        <v>1</v>
      </c>
      <c r="AN1747" t="n">
        <v>0</v>
      </c>
      <c r="AO1747" t="n">
        <v>0</v>
      </c>
      <c r="AP1747" t="inlineStr">
        <is>
          <t>No</t>
        </is>
      </c>
      <c r="AQ1747" t="inlineStr">
        <is>
          <t>Yes</t>
        </is>
      </c>
      <c r="AR1747">
        <f>HYPERLINK("http://catalog.hathitrust.org/Record/000192094","HathiTrust Record")</f>
        <v/>
      </c>
      <c r="AS1747">
        <f>HYPERLINK("https://creighton-primo.hosted.exlibrisgroup.com/primo-explore/search?tab=default_tab&amp;search_scope=EVERYTHING&amp;vid=01CRU&amp;lang=en_US&amp;offset=0&amp;query=any,contains,991005048059702656","Catalog Record")</f>
        <v/>
      </c>
      <c r="AT1747">
        <f>HYPERLINK("http://www.worldcat.org/oclc/6861623","WorldCat Record")</f>
        <v/>
      </c>
      <c r="AU1747" t="inlineStr">
        <is>
          <t>23920132:eng</t>
        </is>
      </c>
      <c r="AV1747" t="inlineStr">
        <is>
          <t>6861623</t>
        </is>
      </c>
      <c r="AW1747" t="inlineStr">
        <is>
          <t>991005048059702656</t>
        </is>
      </c>
      <c r="AX1747" t="inlineStr">
        <is>
          <t>991005048059702656</t>
        </is>
      </c>
      <c r="AY1747" t="inlineStr">
        <is>
          <t>2271286720002656</t>
        </is>
      </c>
      <c r="AZ1747" t="inlineStr">
        <is>
          <t>BOOK</t>
        </is>
      </c>
      <c r="BB1747" t="inlineStr">
        <is>
          <t>9780385133821</t>
        </is>
      </c>
      <c r="BC1747" t="inlineStr">
        <is>
          <t>32285000613306</t>
        </is>
      </c>
      <c r="BD1747" t="inlineStr">
        <is>
          <t>893722717</t>
        </is>
      </c>
    </row>
    <row r="1748">
      <c r="A1748" t="inlineStr">
        <is>
          <t>No</t>
        </is>
      </c>
      <c r="B1748" t="inlineStr">
        <is>
          <t>E748.L894 S5</t>
        </is>
      </c>
      <c r="C1748" t="inlineStr">
        <is>
          <t>0                      E  0748000L  894                S  5</t>
        </is>
      </c>
      <c r="D1748" t="inlineStr">
        <is>
          <t>Clare Boothe Luce : a biography / by Stephen Shadegg.</t>
        </is>
      </c>
      <c r="F1748" t="inlineStr">
        <is>
          <t>No</t>
        </is>
      </c>
      <c r="G1748" t="inlineStr">
        <is>
          <t>1</t>
        </is>
      </c>
      <c r="H1748" t="inlineStr">
        <is>
          <t>No</t>
        </is>
      </c>
      <c r="I1748" t="inlineStr">
        <is>
          <t>No</t>
        </is>
      </c>
      <c r="J1748" t="inlineStr">
        <is>
          <t>0</t>
        </is>
      </c>
      <c r="K1748" t="inlineStr">
        <is>
          <t>Shadegg, Stephen C.</t>
        </is>
      </c>
      <c r="L1748" t="inlineStr">
        <is>
          <t>New York : Simon and Schuster, [c1970]</t>
        </is>
      </c>
      <c r="M1748" t="inlineStr">
        <is>
          <t>1970</t>
        </is>
      </c>
      <c r="O1748" t="inlineStr">
        <is>
          <t>eng</t>
        </is>
      </c>
      <c r="P1748" t="inlineStr">
        <is>
          <t>nyu</t>
        </is>
      </c>
      <c r="R1748" t="inlineStr">
        <is>
          <t xml:space="preserve">E  </t>
        </is>
      </c>
      <c r="S1748" t="n">
        <v>6</v>
      </c>
      <c r="T1748" t="n">
        <v>6</v>
      </c>
      <c r="U1748" t="inlineStr">
        <is>
          <t>2003-04-22</t>
        </is>
      </c>
      <c r="V1748" t="inlineStr">
        <is>
          <t>2003-04-22</t>
        </is>
      </c>
      <c r="W1748" t="inlineStr">
        <is>
          <t>1992-08-31</t>
        </is>
      </c>
      <c r="X1748" t="inlineStr">
        <is>
          <t>1992-08-31</t>
        </is>
      </c>
      <c r="Y1748" t="n">
        <v>957</v>
      </c>
      <c r="Z1748" t="n">
        <v>910</v>
      </c>
      <c r="AA1748" t="n">
        <v>918</v>
      </c>
      <c r="AB1748" t="n">
        <v>7</v>
      </c>
      <c r="AC1748" t="n">
        <v>7</v>
      </c>
      <c r="AD1748" t="n">
        <v>22</v>
      </c>
      <c r="AE1748" t="n">
        <v>22</v>
      </c>
      <c r="AF1748" t="n">
        <v>6</v>
      </c>
      <c r="AG1748" t="n">
        <v>6</v>
      </c>
      <c r="AH1748" t="n">
        <v>5</v>
      </c>
      <c r="AI1748" t="n">
        <v>5</v>
      </c>
      <c r="AJ1748" t="n">
        <v>10</v>
      </c>
      <c r="AK1748" t="n">
        <v>10</v>
      </c>
      <c r="AL1748" t="n">
        <v>4</v>
      </c>
      <c r="AM1748" t="n">
        <v>4</v>
      </c>
      <c r="AN1748" t="n">
        <v>0</v>
      </c>
      <c r="AO1748" t="n">
        <v>0</v>
      </c>
      <c r="AP1748" t="inlineStr">
        <is>
          <t>No</t>
        </is>
      </c>
      <c r="AQ1748" t="inlineStr">
        <is>
          <t>Yes</t>
        </is>
      </c>
      <c r="AR1748">
        <f>HYPERLINK("http://catalog.hathitrust.org/Record/000468167","HathiTrust Record")</f>
        <v/>
      </c>
      <c r="AS1748">
        <f>HYPERLINK("https://creighton-primo.hosted.exlibrisgroup.com/primo-explore/search?tab=default_tab&amp;search_scope=EVERYTHING&amp;vid=01CRU&amp;lang=en_US&amp;offset=0&amp;query=any,contains,991000776279702656","Catalog Record")</f>
        <v/>
      </c>
      <c r="AT1748">
        <f>HYPERLINK("http://www.worldcat.org/oclc/132955","WorldCat Record")</f>
        <v/>
      </c>
      <c r="AU1748" t="inlineStr">
        <is>
          <t>1274134:eng</t>
        </is>
      </c>
      <c r="AV1748" t="inlineStr">
        <is>
          <t>132955</t>
        </is>
      </c>
      <c r="AW1748" t="inlineStr">
        <is>
          <t>991000776279702656</t>
        </is>
      </c>
      <c r="AX1748" t="inlineStr">
        <is>
          <t>991000776279702656</t>
        </is>
      </c>
      <c r="AY1748" t="inlineStr">
        <is>
          <t>2257027990002656</t>
        </is>
      </c>
      <c r="AZ1748" t="inlineStr">
        <is>
          <t>BOOK</t>
        </is>
      </c>
      <c r="BB1748" t="inlineStr">
        <is>
          <t>9780671206727</t>
        </is>
      </c>
      <c r="BC1748" t="inlineStr">
        <is>
          <t>32285001275394</t>
        </is>
      </c>
      <c r="BD1748" t="inlineStr">
        <is>
          <t>893339880</t>
        </is>
      </c>
    </row>
    <row r="1749">
      <c r="A1749" t="inlineStr">
        <is>
          <t>No</t>
        </is>
      </c>
      <c r="B1749" t="inlineStr">
        <is>
          <t>E748.L894 S53</t>
        </is>
      </c>
      <c r="C1749" t="inlineStr">
        <is>
          <t>0                      E  0748000L  894                S  53</t>
        </is>
      </c>
      <c r="D1749" t="inlineStr">
        <is>
          <t>Clare Boothe Luce / Wilfrid Sheed.</t>
        </is>
      </c>
      <c r="F1749" t="inlineStr">
        <is>
          <t>No</t>
        </is>
      </c>
      <c r="G1749" t="inlineStr">
        <is>
          <t>1</t>
        </is>
      </c>
      <c r="H1749" t="inlineStr">
        <is>
          <t>No</t>
        </is>
      </c>
      <c r="I1749" t="inlineStr">
        <is>
          <t>No</t>
        </is>
      </c>
      <c r="J1749" t="inlineStr">
        <is>
          <t>0</t>
        </is>
      </c>
      <c r="K1749" t="inlineStr">
        <is>
          <t>Sheed, Wilfrid.</t>
        </is>
      </c>
      <c r="L1749" t="inlineStr">
        <is>
          <t>New York : Dutton, c1982.</t>
        </is>
      </c>
      <c r="M1749" t="inlineStr">
        <is>
          <t>1982</t>
        </is>
      </c>
      <c r="N1749" t="inlineStr">
        <is>
          <t>1st ed.</t>
        </is>
      </c>
      <c r="O1749" t="inlineStr">
        <is>
          <t>eng</t>
        </is>
      </c>
      <c r="P1749" t="inlineStr">
        <is>
          <t>nyu</t>
        </is>
      </c>
      <c r="R1749" t="inlineStr">
        <is>
          <t xml:space="preserve">E  </t>
        </is>
      </c>
      <c r="S1749" t="n">
        <v>7</v>
      </c>
      <c r="T1749" t="n">
        <v>7</v>
      </c>
      <c r="U1749" t="inlineStr">
        <is>
          <t>2003-04-22</t>
        </is>
      </c>
      <c r="V1749" t="inlineStr">
        <is>
          <t>2003-04-22</t>
        </is>
      </c>
      <c r="W1749" t="inlineStr">
        <is>
          <t>1991-05-30</t>
        </is>
      </c>
      <c r="X1749" t="inlineStr">
        <is>
          <t>1991-05-30</t>
        </is>
      </c>
      <c r="Y1749" t="n">
        <v>1225</v>
      </c>
      <c r="Z1749" t="n">
        <v>1154</v>
      </c>
      <c r="AA1749" t="n">
        <v>1302</v>
      </c>
      <c r="AB1749" t="n">
        <v>4</v>
      </c>
      <c r="AC1749" t="n">
        <v>6</v>
      </c>
      <c r="AD1749" t="n">
        <v>30</v>
      </c>
      <c r="AE1749" t="n">
        <v>33</v>
      </c>
      <c r="AF1749" t="n">
        <v>14</v>
      </c>
      <c r="AG1749" t="n">
        <v>15</v>
      </c>
      <c r="AH1749" t="n">
        <v>9</v>
      </c>
      <c r="AI1749" t="n">
        <v>10</v>
      </c>
      <c r="AJ1749" t="n">
        <v>16</v>
      </c>
      <c r="AK1749" t="n">
        <v>16</v>
      </c>
      <c r="AL1749" t="n">
        <v>1</v>
      </c>
      <c r="AM1749" t="n">
        <v>2</v>
      </c>
      <c r="AN1749" t="n">
        <v>0</v>
      </c>
      <c r="AO1749" t="n">
        <v>0</v>
      </c>
      <c r="AP1749" t="inlineStr">
        <is>
          <t>No</t>
        </is>
      </c>
      <c r="AQ1749" t="inlineStr">
        <is>
          <t>Yes</t>
        </is>
      </c>
      <c r="AR1749">
        <f>HYPERLINK("http://catalog.hathitrust.org/Record/000227071","HathiTrust Record")</f>
        <v/>
      </c>
      <c r="AS1749">
        <f>HYPERLINK("https://creighton-primo.hosted.exlibrisgroup.com/primo-explore/search?tab=default_tab&amp;search_scope=EVERYTHING&amp;vid=01CRU&amp;lang=en_US&amp;offset=0&amp;query=any,contains,991005143619702656","Catalog Record")</f>
        <v/>
      </c>
      <c r="AT1749">
        <f>HYPERLINK("http://www.worldcat.org/oclc/7652664","WorldCat Record")</f>
        <v/>
      </c>
      <c r="AU1749" t="inlineStr">
        <is>
          <t>506736:eng</t>
        </is>
      </c>
      <c r="AV1749" t="inlineStr">
        <is>
          <t>7652664</t>
        </is>
      </c>
      <c r="AW1749" t="inlineStr">
        <is>
          <t>991005143619702656</t>
        </is>
      </c>
      <c r="AX1749" t="inlineStr">
        <is>
          <t>991005143619702656</t>
        </is>
      </c>
      <c r="AY1749" t="inlineStr">
        <is>
          <t>2259123840002656</t>
        </is>
      </c>
      <c r="AZ1749" t="inlineStr">
        <is>
          <t>BOOK</t>
        </is>
      </c>
      <c r="BC1749" t="inlineStr">
        <is>
          <t>32285000613314</t>
        </is>
      </c>
      <c r="BD1749" t="inlineStr">
        <is>
          <t>893776905</t>
        </is>
      </c>
    </row>
    <row r="1750">
      <c r="A1750" t="inlineStr">
        <is>
          <t>No</t>
        </is>
      </c>
      <c r="B1750" t="inlineStr">
        <is>
          <t>E748.M14 B76</t>
        </is>
      </c>
      <c r="C1750" t="inlineStr">
        <is>
          <t>0                      E  0748000M  14                 B  76</t>
        </is>
      </c>
      <c r="D1750" t="inlineStr">
        <is>
          <t>William Gibbs McAdoo; a passion for change, 1863-1917 [by] John J. Broesamle.</t>
        </is>
      </c>
      <c r="F1750" t="inlineStr">
        <is>
          <t>No</t>
        </is>
      </c>
      <c r="G1750" t="inlineStr">
        <is>
          <t>1</t>
        </is>
      </c>
      <c r="H1750" t="inlineStr">
        <is>
          <t>No</t>
        </is>
      </c>
      <c r="I1750" t="inlineStr">
        <is>
          <t>No</t>
        </is>
      </c>
      <c r="J1750" t="inlineStr">
        <is>
          <t>0</t>
        </is>
      </c>
      <c r="K1750" t="inlineStr">
        <is>
          <t>Broesamle, John J.</t>
        </is>
      </c>
      <c r="L1750" t="inlineStr">
        <is>
          <t>Port Washington, N.Y., Kennikat Press, 1973.</t>
        </is>
      </c>
      <c r="M1750" t="inlineStr">
        <is>
          <t>1973</t>
        </is>
      </c>
      <c r="O1750" t="inlineStr">
        <is>
          <t>eng</t>
        </is>
      </c>
      <c r="P1750" t="inlineStr">
        <is>
          <t>nyu</t>
        </is>
      </c>
      <c r="Q1750" t="inlineStr">
        <is>
          <t>Series in American studies (Port Washington, N.Y.)</t>
        </is>
      </c>
      <c r="R1750" t="inlineStr">
        <is>
          <t xml:space="preserve">E  </t>
        </is>
      </c>
      <c r="S1750" t="n">
        <v>1</v>
      </c>
      <c r="T1750" t="n">
        <v>1</v>
      </c>
      <c r="U1750" t="inlineStr">
        <is>
          <t>1997-05-22</t>
        </is>
      </c>
      <c r="V1750" t="inlineStr">
        <is>
          <t>1997-05-22</t>
        </is>
      </c>
      <c r="W1750" t="inlineStr">
        <is>
          <t>1997-04-24</t>
        </is>
      </c>
      <c r="X1750" t="inlineStr">
        <is>
          <t>1997-04-24</t>
        </is>
      </c>
      <c r="Y1750" t="n">
        <v>586</v>
      </c>
      <c r="Z1750" t="n">
        <v>535</v>
      </c>
      <c r="AA1750" t="n">
        <v>537</v>
      </c>
      <c r="AB1750" t="n">
        <v>5</v>
      </c>
      <c r="AC1750" t="n">
        <v>5</v>
      </c>
      <c r="AD1750" t="n">
        <v>26</v>
      </c>
      <c r="AE1750" t="n">
        <v>26</v>
      </c>
      <c r="AF1750" t="n">
        <v>10</v>
      </c>
      <c r="AG1750" t="n">
        <v>10</v>
      </c>
      <c r="AH1750" t="n">
        <v>7</v>
      </c>
      <c r="AI1750" t="n">
        <v>7</v>
      </c>
      <c r="AJ1750" t="n">
        <v>12</v>
      </c>
      <c r="AK1750" t="n">
        <v>12</v>
      </c>
      <c r="AL1750" t="n">
        <v>4</v>
      </c>
      <c r="AM1750" t="n">
        <v>4</v>
      </c>
      <c r="AN1750" t="n">
        <v>0</v>
      </c>
      <c r="AO1750" t="n">
        <v>0</v>
      </c>
      <c r="AP1750" t="inlineStr">
        <is>
          <t>No</t>
        </is>
      </c>
      <c r="AQ1750" t="inlineStr">
        <is>
          <t>Yes</t>
        </is>
      </c>
      <c r="AR1750">
        <f>HYPERLINK("http://catalog.hathitrust.org/Record/000469061","HathiTrust Record")</f>
        <v/>
      </c>
      <c r="AS1750">
        <f>HYPERLINK("https://creighton-primo.hosted.exlibrisgroup.com/primo-explore/search?tab=default_tab&amp;search_scope=EVERYTHING&amp;vid=01CRU&amp;lang=en_US&amp;offset=0&amp;query=any,contains,991003352939702656","Catalog Record")</f>
        <v/>
      </c>
      <c r="AT1750">
        <f>HYPERLINK("http://www.worldcat.org/oclc/886197","WorldCat Record")</f>
        <v/>
      </c>
      <c r="AU1750" t="inlineStr">
        <is>
          <t>308727052:eng</t>
        </is>
      </c>
      <c r="AV1750" t="inlineStr">
        <is>
          <t>886197</t>
        </is>
      </c>
      <c r="AW1750" t="inlineStr">
        <is>
          <t>991003352939702656</t>
        </is>
      </c>
      <c r="AX1750" t="inlineStr">
        <is>
          <t>991003352939702656</t>
        </is>
      </c>
      <c r="AY1750" t="inlineStr">
        <is>
          <t>2257253070002656</t>
        </is>
      </c>
      <c r="AZ1750" t="inlineStr">
        <is>
          <t>BOOK</t>
        </is>
      </c>
      <c r="BB1750" t="inlineStr">
        <is>
          <t>9780804690430</t>
        </is>
      </c>
      <c r="BC1750" t="inlineStr">
        <is>
          <t>32285002564390</t>
        </is>
      </c>
      <c r="BD1750" t="inlineStr">
        <is>
          <t>893428719</t>
        </is>
      </c>
    </row>
    <row r="1751">
      <c r="A1751" t="inlineStr">
        <is>
          <t>No</t>
        </is>
      </c>
      <c r="B1751" t="inlineStr">
        <is>
          <t>E748.M14 M2</t>
        </is>
      </c>
      <c r="C1751" t="inlineStr">
        <is>
          <t>0                      E  0748000M  14                 M  2</t>
        </is>
      </c>
      <c r="D1751" t="inlineStr">
        <is>
          <t>Crowded years : the reminiscences of William G. McAdoo.</t>
        </is>
      </c>
      <c r="F1751" t="inlineStr">
        <is>
          <t>No</t>
        </is>
      </c>
      <c r="G1751" t="inlineStr">
        <is>
          <t>1</t>
        </is>
      </c>
      <c r="H1751" t="inlineStr">
        <is>
          <t>No</t>
        </is>
      </c>
      <c r="I1751" t="inlineStr">
        <is>
          <t>No</t>
        </is>
      </c>
      <c r="J1751" t="inlineStr">
        <is>
          <t>0</t>
        </is>
      </c>
      <c r="K1751" t="inlineStr">
        <is>
          <t>McAdoo, W. G. (William Gibbs), 1863-1941.</t>
        </is>
      </c>
      <c r="L1751" t="inlineStr">
        <is>
          <t>Boston ; New York : Houghton Mifflin, c1931.</t>
        </is>
      </c>
      <c r="M1751" t="inlineStr">
        <is>
          <t>1931</t>
        </is>
      </c>
      <c r="O1751" t="inlineStr">
        <is>
          <t>eng</t>
        </is>
      </c>
      <c r="P1751" t="inlineStr">
        <is>
          <t>mau</t>
        </is>
      </c>
      <c r="R1751" t="inlineStr">
        <is>
          <t xml:space="preserve">E  </t>
        </is>
      </c>
      <c r="S1751" t="n">
        <v>1</v>
      </c>
      <c r="T1751" t="n">
        <v>1</v>
      </c>
      <c r="U1751" t="inlineStr">
        <is>
          <t>1997-05-22</t>
        </is>
      </c>
      <c r="V1751" t="inlineStr">
        <is>
          <t>1997-05-22</t>
        </is>
      </c>
      <c r="W1751" t="inlineStr">
        <is>
          <t>1997-04-24</t>
        </is>
      </c>
      <c r="X1751" t="inlineStr">
        <is>
          <t>1997-04-24</t>
        </is>
      </c>
      <c r="Y1751" t="n">
        <v>614</v>
      </c>
      <c r="Z1751" t="n">
        <v>587</v>
      </c>
      <c r="AA1751" t="n">
        <v>744</v>
      </c>
      <c r="AB1751" t="n">
        <v>7</v>
      </c>
      <c r="AC1751" t="n">
        <v>8</v>
      </c>
      <c r="AD1751" t="n">
        <v>43</v>
      </c>
      <c r="AE1751" t="n">
        <v>48</v>
      </c>
      <c r="AF1751" t="n">
        <v>19</v>
      </c>
      <c r="AG1751" t="n">
        <v>20</v>
      </c>
      <c r="AH1751" t="n">
        <v>6</v>
      </c>
      <c r="AI1751" t="n">
        <v>7</v>
      </c>
      <c r="AJ1751" t="n">
        <v>16</v>
      </c>
      <c r="AK1751" t="n">
        <v>20</v>
      </c>
      <c r="AL1751" t="n">
        <v>6</v>
      </c>
      <c r="AM1751" t="n">
        <v>7</v>
      </c>
      <c r="AN1751" t="n">
        <v>3</v>
      </c>
      <c r="AO1751" t="n">
        <v>3</v>
      </c>
      <c r="AP1751" t="inlineStr">
        <is>
          <t>No</t>
        </is>
      </c>
      <c r="AQ1751" t="inlineStr">
        <is>
          <t>Yes</t>
        </is>
      </c>
      <c r="AR1751">
        <f>HYPERLINK("http://catalog.hathitrust.org/Record/000470316","HathiTrust Record")</f>
        <v/>
      </c>
      <c r="AS1751">
        <f>HYPERLINK("https://creighton-primo.hosted.exlibrisgroup.com/primo-explore/search?tab=default_tab&amp;search_scope=EVERYTHING&amp;vid=01CRU&amp;lang=en_US&amp;offset=0&amp;query=any,contains,991003031309702656","Catalog Record")</f>
        <v/>
      </c>
      <c r="AT1751">
        <f>HYPERLINK("http://www.worldcat.org/oclc/594471","WorldCat Record")</f>
        <v/>
      </c>
      <c r="AU1751" t="inlineStr">
        <is>
          <t>836666866:eng</t>
        </is>
      </c>
      <c r="AV1751" t="inlineStr">
        <is>
          <t>594471</t>
        </is>
      </c>
      <c r="AW1751" t="inlineStr">
        <is>
          <t>991003031309702656</t>
        </is>
      </c>
      <c r="AX1751" t="inlineStr">
        <is>
          <t>991003031309702656</t>
        </is>
      </c>
      <c r="AY1751" t="inlineStr">
        <is>
          <t>2271642410002656</t>
        </is>
      </c>
      <c r="AZ1751" t="inlineStr">
        <is>
          <t>BOOK</t>
        </is>
      </c>
      <c r="BC1751" t="inlineStr">
        <is>
          <t>32285002564408</t>
        </is>
      </c>
      <c r="BD1751" t="inlineStr">
        <is>
          <t>893893312</t>
        </is>
      </c>
    </row>
    <row r="1752">
      <c r="A1752" t="inlineStr">
        <is>
          <t>No</t>
        </is>
      </c>
      <c r="B1752" t="inlineStr">
        <is>
          <t>E748.M142 Y33 2004</t>
        </is>
      </c>
      <c r="C1752" t="inlineStr">
        <is>
          <t>0                      E  0748000M  142                Y  33          2004</t>
        </is>
      </c>
      <c r="D1752" t="inlineStr">
        <is>
          <t>Washington gone crazy : senator Pat McCarran and the great American Communist hunt / Michael J. Ybarra.</t>
        </is>
      </c>
      <c r="F1752" t="inlineStr">
        <is>
          <t>No</t>
        </is>
      </c>
      <c r="G1752" t="inlineStr">
        <is>
          <t>1</t>
        </is>
      </c>
      <c r="H1752" t="inlineStr">
        <is>
          <t>No</t>
        </is>
      </c>
      <c r="I1752" t="inlineStr">
        <is>
          <t>No</t>
        </is>
      </c>
      <c r="J1752" t="inlineStr">
        <is>
          <t>0</t>
        </is>
      </c>
      <c r="K1752" t="inlineStr">
        <is>
          <t>Ybarra, Michael J.</t>
        </is>
      </c>
      <c r="L1752" t="inlineStr">
        <is>
          <t>Hanover, N.H. : Steerforth Press, c2004.</t>
        </is>
      </c>
      <c r="M1752" t="inlineStr">
        <is>
          <t>2004</t>
        </is>
      </c>
      <c r="N1752" t="inlineStr">
        <is>
          <t>1st ed.</t>
        </is>
      </c>
      <c r="O1752" t="inlineStr">
        <is>
          <t>eng</t>
        </is>
      </c>
      <c r="P1752" t="inlineStr">
        <is>
          <t>nhu</t>
        </is>
      </c>
      <c r="R1752" t="inlineStr">
        <is>
          <t xml:space="preserve">E  </t>
        </is>
      </c>
      <c r="S1752" t="n">
        <v>1</v>
      </c>
      <c r="T1752" t="n">
        <v>1</v>
      </c>
      <c r="U1752" t="inlineStr">
        <is>
          <t>2005-01-18</t>
        </is>
      </c>
      <c r="V1752" t="inlineStr">
        <is>
          <t>2005-01-18</t>
        </is>
      </c>
      <c r="W1752" t="inlineStr">
        <is>
          <t>2005-01-18</t>
        </is>
      </c>
      <c r="X1752" t="inlineStr">
        <is>
          <t>2005-01-18</t>
        </is>
      </c>
      <c r="Y1752" t="n">
        <v>684</v>
      </c>
      <c r="Z1752" t="n">
        <v>643</v>
      </c>
      <c r="AA1752" t="n">
        <v>665</v>
      </c>
      <c r="AB1752" t="n">
        <v>6</v>
      </c>
      <c r="AC1752" t="n">
        <v>6</v>
      </c>
      <c r="AD1752" t="n">
        <v>29</v>
      </c>
      <c r="AE1752" t="n">
        <v>29</v>
      </c>
      <c r="AF1752" t="n">
        <v>13</v>
      </c>
      <c r="AG1752" t="n">
        <v>13</v>
      </c>
      <c r="AH1752" t="n">
        <v>5</v>
      </c>
      <c r="AI1752" t="n">
        <v>5</v>
      </c>
      <c r="AJ1752" t="n">
        <v>14</v>
      </c>
      <c r="AK1752" t="n">
        <v>14</v>
      </c>
      <c r="AL1752" t="n">
        <v>5</v>
      </c>
      <c r="AM1752" t="n">
        <v>5</v>
      </c>
      <c r="AN1752" t="n">
        <v>0</v>
      </c>
      <c r="AO1752" t="n">
        <v>0</v>
      </c>
      <c r="AP1752" t="inlineStr">
        <is>
          <t>No</t>
        </is>
      </c>
      <c r="AQ1752" t="inlineStr">
        <is>
          <t>Yes</t>
        </is>
      </c>
      <c r="AR1752">
        <f>HYPERLINK("http://catalog.hathitrust.org/Record/004768395","HathiTrust Record")</f>
        <v/>
      </c>
      <c r="AS1752">
        <f>HYPERLINK("https://creighton-primo.hosted.exlibrisgroup.com/primo-explore/search?tab=default_tab&amp;search_scope=EVERYTHING&amp;vid=01CRU&amp;lang=en_US&amp;offset=0&amp;query=any,contains,991004453789702656","Catalog Record")</f>
        <v/>
      </c>
      <c r="AT1752">
        <f>HYPERLINK("http://www.worldcat.org/oclc/54853183","WorldCat Record")</f>
        <v/>
      </c>
      <c r="AU1752" t="inlineStr">
        <is>
          <t>308289826:eng</t>
        </is>
      </c>
      <c r="AV1752" t="inlineStr">
        <is>
          <t>54853183</t>
        </is>
      </c>
      <c r="AW1752" t="inlineStr">
        <is>
          <t>991004453789702656</t>
        </is>
      </c>
      <c r="AX1752" t="inlineStr">
        <is>
          <t>991004453789702656</t>
        </is>
      </c>
      <c r="AY1752" t="inlineStr">
        <is>
          <t>2269441390002656</t>
        </is>
      </c>
      <c r="AZ1752" t="inlineStr">
        <is>
          <t>BOOK</t>
        </is>
      </c>
      <c r="BB1752" t="inlineStr">
        <is>
          <t>9781586420659</t>
        </is>
      </c>
      <c r="BC1752" t="inlineStr">
        <is>
          <t>32285005021745</t>
        </is>
      </c>
      <c r="BD1752" t="inlineStr">
        <is>
          <t>893331597</t>
        </is>
      </c>
    </row>
    <row r="1753">
      <c r="A1753" t="inlineStr">
        <is>
          <t>No</t>
        </is>
      </c>
      <c r="B1753" t="inlineStr">
        <is>
          <t>E748.N5 M3 1968</t>
        </is>
      </c>
      <c r="C1753" t="inlineStr">
        <is>
          <t>0                      E  0748000N  5                  M  3           1968</t>
        </is>
      </c>
      <c r="D1753" t="inlineStr">
        <is>
          <t>Nixon; a political portrait [by] Earl Mazo and Stephen Hess.</t>
        </is>
      </c>
      <c r="F1753" t="inlineStr">
        <is>
          <t>No</t>
        </is>
      </c>
      <c r="G1753" t="inlineStr">
        <is>
          <t>1</t>
        </is>
      </c>
      <c r="H1753" t="inlineStr">
        <is>
          <t>No</t>
        </is>
      </c>
      <c r="I1753" t="inlineStr">
        <is>
          <t>No</t>
        </is>
      </c>
      <c r="J1753" t="inlineStr">
        <is>
          <t>0</t>
        </is>
      </c>
      <c r="K1753" t="inlineStr">
        <is>
          <t>Mazo, Earl, 1919-2007.</t>
        </is>
      </c>
      <c r="L1753" t="inlineStr">
        <is>
          <t>New York, Harper &amp; Row [1968]</t>
        </is>
      </c>
      <c r="M1753" t="inlineStr">
        <is>
          <t>1968</t>
        </is>
      </c>
      <c r="N1753" t="inlineStr">
        <is>
          <t>[1st ed.]</t>
        </is>
      </c>
      <c r="O1753" t="inlineStr">
        <is>
          <t>eng</t>
        </is>
      </c>
      <c r="P1753" t="inlineStr">
        <is>
          <t>nyu</t>
        </is>
      </c>
      <c r="R1753" t="inlineStr">
        <is>
          <t xml:space="preserve">E  </t>
        </is>
      </c>
      <c r="S1753" t="n">
        <v>9</v>
      </c>
      <c r="T1753" t="n">
        <v>9</v>
      </c>
      <c r="U1753" t="inlineStr">
        <is>
          <t>2002-03-27</t>
        </is>
      </c>
      <c r="V1753" t="inlineStr">
        <is>
          <t>2002-03-27</t>
        </is>
      </c>
      <c r="W1753" t="inlineStr">
        <is>
          <t>1997-04-24</t>
        </is>
      </c>
      <c r="X1753" t="inlineStr">
        <is>
          <t>1997-04-24</t>
        </is>
      </c>
      <c r="Y1753" t="n">
        <v>931</v>
      </c>
      <c r="Z1753" t="n">
        <v>861</v>
      </c>
      <c r="AA1753" t="n">
        <v>914</v>
      </c>
      <c r="AB1753" t="n">
        <v>6</v>
      </c>
      <c r="AC1753" t="n">
        <v>7</v>
      </c>
      <c r="AD1753" t="n">
        <v>22</v>
      </c>
      <c r="AE1753" t="n">
        <v>24</v>
      </c>
      <c r="AF1753" t="n">
        <v>11</v>
      </c>
      <c r="AG1753" t="n">
        <v>12</v>
      </c>
      <c r="AH1753" t="n">
        <v>4</v>
      </c>
      <c r="AI1753" t="n">
        <v>4</v>
      </c>
      <c r="AJ1753" t="n">
        <v>9</v>
      </c>
      <c r="AK1753" t="n">
        <v>9</v>
      </c>
      <c r="AL1753" t="n">
        <v>3</v>
      </c>
      <c r="AM1753" t="n">
        <v>4</v>
      </c>
      <c r="AN1753" t="n">
        <v>0</v>
      </c>
      <c r="AO1753" t="n">
        <v>0</v>
      </c>
      <c r="AP1753" t="inlineStr">
        <is>
          <t>No</t>
        </is>
      </c>
      <c r="AQ1753" t="inlineStr">
        <is>
          <t>Yes</t>
        </is>
      </c>
      <c r="AR1753">
        <f>HYPERLINK("http://catalog.hathitrust.org/Record/000468263","HathiTrust Record")</f>
        <v/>
      </c>
      <c r="AS1753">
        <f>HYPERLINK("https://creighton-primo.hosted.exlibrisgroup.com/primo-explore/search?tab=default_tab&amp;search_scope=EVERYTHING&amp;vid=01CRU&amp;lang=en_US&amp;offset=0&amp;query=any,contains,991002806949702656","Catalog Record")</f>
        <v/>
      </c>
      <c r="AT1753">
        <f>HYPERLINK("http://www.worldcat.org/oclc/449920","WorldCat Record")</f>
        <v/>
      </c>
      <c r="AU1753" t="inlineStr">
        <is>
          <t>1059246751:eng</t>
        </is>
      </c>
      <c r="AV1753" t="inlineStr">
        <is>
          <t>449920</t>
        </is>
      </c>
      <c r="AW1753" t="inlineStr">
        <is>
          <t>991002806949702656</t>
        </is>
      </c>
      <c r="AX1753" t="inlineStr">
        <is>
          <t>991002806949702656</t>
        </is>
      </c>
      <c r="AY1753" t="inlineStr">
        <is>
          <t>2265318150002656</t>
        </is>
      </c>
      <c r="AZ1753" t="inlineStr">
        <is>
          <t>BOOK</t>
        </is>
      </c>
      <c r="BC1753" t="inlineStr">
        <is>
          <t>32285002564473</t>
        </is>
      </c>
      <c r="BD1753" t="inlineStr">
        <is>
          <t>893524070</t>
        </is>
      </c>
    </row>
    <row r="1754">
      <c r="A1754" t="inlineStr">
        <is>
          <t>No</t>
        </is>
      </c>
      <c r="B1754" t="inlineStr">
        <is>
          <t>E748.N65 L622</t>
        </is>
      </c>
      <c r="C1754" t="inlineStr">
        <is>
          <t>0                      E  0748000N  65                 L  622</t>
        </is>
      </c>
      <c r="D1754" t="inlineStr">
        <is>
          <t>George W. Norris : the triumph of a progressive, 1933-1944 / Richard Lowitt.</t>
        </is>
      </c>
      <c r="F1754" t="inlineStr">
        <is>
          <t>No</t>
        </is>
      </c>
      <c r="G1754" t="inlineStr">
        <is>
          <t>1</t>
        </is>
      </c>
      <c r="H1754" t="inlineStr">
        <is>
          <t>No</t>
        </is>
      </c>
      <c r="I1754" t="inlineStr">
        <is>
          <t>No</t>
        </is>
      </c>
      <c r="J1754" t="inlineStr">
        <is>
          <t>0</t>
        </is>
      </c>
      <c r="K1754" t="inlineStr">
        <is>
          <t>Lowitt, Richard, 1922-</t>
        </is>
      </c>
      <c r="L1754" t="inlineStr">
        <is>
          <t>Urbana : University of Illinois Press, c1978.</t>
        </is>
      </c>
      <c r="M1754" t="inlineStr">
        <is>
          <t>1978</t>
        </is>
      </c>
      <c r="O1754" t="inlineStr">
        <is>
          <t>eng</t>
        </is>
      </c>
      <c r="P1754" t="inlineStr">
        <is>
          <t>ilu</t>
        </is>
      </c>
      <c r="R1754" t="inlineStr">
        <is>
          <t xml:space="preserve">E  </t>
        </is>
      </c>
      <c r="S1754" t="n">
        <v>5</v>
      </c>
      <c r="T1754" t="n">
        <v>5</v>
      </c>
      <c r="U1754" t="inlineStr">
        <is>
          <t>1997-03-25</t>
        </is>
      </c>
      <c r="V1754" t="inlineStr">
        <is>
          <t>1997-03-25</t>
        </is>
      </c>
      <c r="W1754" t="inlineStr">
        <is>
          <t>1990-06-21</t>
        </is>
      </c>
      <c r="X1754" t="inlineStr">
        <is>
          <t>1990-06-21</t>
        </is>
      </c>
      <c r="Y1754" t="n">
        <v>618</v>
      </c>
      <c r="Z1754" t="n">
        <v>561</v>
      </c>
      <c r="AA1754" t="n">
        <v>564</v>
      </c>
      <c r="AB1754" t="n">
        <v>14</v>
      </c>
      <c r="AC1754" t="n">
        <v>14</v>
      </c>
      <c r="AD1754" t="n">
        <v>34</v>
      </c>
      <c r="AE1754" t="n">
        <v>34</v>
      </c>
      <c r="AF1754" t="n">
        <v>12</v>
      </c>
      <c r="AG1754" t="n">
        <v>12</v>
      </c>
      <c r="AH1754" t="n">
        <v>8</v>
      </c>
      <c r="AI1754" t="n">
        <v>8</v>
      </c>
      <c r="AJ1754" t="n">
        <v>14</v>
      </c>
      <c r="AK1754" t="n">
        <v>14</v>
      </c>
      <c r="AL1754" t="n">
        <v>9</v>
      </c>
      <c r="AM1754" t="n">
        <v>9</v>
      </c>
      <c r="AN1754" t="n">
        <v>0</v>
      </c>
      <c r="AO1754" t="n">
        <v>0</v>
      </c>
      <c r="AP1754" t="inlineStr">
        <is>
          <t>No</t>
        </is>
      </c>
      <c r="AQ1754" t="inlineStr">
        <is>
          <t>Yes</t>
        </is>
      </c>
      <c r="AR1754">
        <f>HYPERLINK("http://catalog.hathitrust.org/Record/000131325","HathiTrust Record")</f>
        <v/>
      </c>
      <c r="AS1754">
        <f>HYPERLINK("https://creighton-primo.hosted.exlibrisgroup.com/primo-explore/search?tab=default_tab&amp;search_scope=EVERYTHING&amp;vid=01CRU&amp;lang=en_US&amp;offset=0&amp;query=any,contains,991004498239702656","Catalog Record")</f>
        <v/>
      </c>
      <c r="AT1754">
        <f>HYPERLINK("http://www.worldcat.org/oclc/3706940","WorldCat Record")</f>
        <v/>
      </c>
      <c r="AU1754" t="inlineStr">
        <is>
          <t>420967:eng</t>
        </is>
      </c>
      <c r="AV1754" t="inlineStr">
        <is>
          <t>3706940</t>
        </is>
      </c>
      <c r="AW1754" t="inlineStr">
        <is>
          <t>991004498239702656</t>
        </is>
      </c>
      <c r="AX1754" t="inlineStr">
        <is>
          <t>991004498239702656</t>
        </is>
      </c>
      <c r="AY1754" t="inlineStr">
        <is>
          <t>2265164880002656</t>
        </is>
      </c>
      <c r="AZ1754" t="inlineStr">
        <is>
          <t>BOOK</t>
        </is>
      </c>
      <c r="BB1754" t="inlineStr">
        <is>
          <t>9780252002236</t>
        </is>
      </c>
      <c r="BC1754" t="inlineStr">
        <is>
          <t>32285000211036</t>
        </is>
      </c>
      <c r="BD1754" t="inlineStr">
        <is>
          <t>893331675</t>
        </is>
      </c>
    </row>
    <row r="1755">
      <c r="A1755" t="inlineStr">
        <is>
          <t>No</t>
        </is>
      </c>
      <c r="B1755" t="inlineStr">
        <is>
          <t>E748.R673 C55 1995</t>
        </is>
      </c>
      <c r="C1755" t="inlineStr">
        <is>
          <t>0                      E  0748000R  673                C  55          1995</t>
        </is>
      </c>
      <c r="D1755" t="inlineStr">
        <is>
          <t>Thy will be done : the conquest of the Amazon : Nelson Rockefeller and Evangelism in the age of oil / Gerard Colby with Charlotte Dennett.</t>
        </is>
      </c>
      <c r="F1755" t="inlineStr">
        <is>
          <t>No</t>
        </is>
      </c>
      <c r="G1755" t="inlineStr">
        <is>
          <t>1</t>
        </is>
      </c>
      <c r="H1755" t="inlineStr">
        <is>
          <t>No</t>
        </is>
      </c>
      <c r="I1755" t="inlineStr">
        <is>
          <t>No</t>
        </is>
      </c>
      <c r="J1755" t="inlineStr">
        <is>
          <t>0</t>
        </is>
      </c>
      <c r="K1755" t="inlineStr">
        <is>
          <t>Colby, Gerard, 1945-</t>
        </is>
      </c>
      <c r="L1755" t="inlineStr">
        <is>
          <t>New York, NY : HarperCollins, c1995.</t>
        </is>
      </c>
      <c r="M1755" t="inlineStr">
        <is>
          <t>1995</t>
        </is>
      </c>
      <c r="N1755" t="inlineStr">
        <is>
          <t>1st ed.</t>
        </is>
      </c>
      <c r="O1755" t="inlineStr">
        <is>
          <t>eng</t>
        </is>
      </c>
      <c r="P1755" t="inlineStr">
        <is>
          <t>nyu</t>
        </is>
      </c>
      <c r="R1755" t="inlineStr">
        <is>
          <t xml:space="preserve">E  </t>
        </is>
      </c>
      <c r="S1755" t="n">
        <v>2</v>
      </c>
      <c r="T1755" t="n">
        <v>2</v>
      </c>
      <c r="U1755" t="inlineStr">
        <is>
          <t>1997-04-22</t>
        </is>
      </c>
      <c r="V1755" t="inlineStr">
        <is>
          <t>1997-04-22</t>
        </is>
      </c>
      <c r="W1755" t="inlineStr">
        <is>
          <t>1995-06-29</t>
        </is>
      </c>
      <c r="X1755" t="inlineStr">
        <is>
          <t>1995-06-29</t>
        </is>
      </c>
      <c r="Y1755" t="n">
        <v>715</v>
      </c>
      <c r="Z1755" t="n">
        <v>651</v>
      </c>
      <c r="AA1755" t="n">
        <v>955</v>
      </c>
      <c r="AB1755" t="n">
        <v>6</v>
      </c>
      <c r="AC1755" t="n">
        <v>9</v>
      </c>
      <c r="AD1755" t="n">
        <v>19</v>
      </c>
      <c r="AE1755" t="n">
        <v>33</v>
      </c>
      <c r="AF1755" t="n">
        <v>6</v>
      </c>
      <c r="AG1755" t="n">
        <v>11</v>
      </c>
      <c r="AH1755" t="n">
        <v>5</v>
      </c>
      <c r="AI1755" t="n">
        <v>9</v>
      </c>
      <c r="AJ1755" t="n">
        <v>12</v>
      </c>
      <c r="AK1755" t="n">
        <v>15</v>
      </c>
      <c r="AL1755" t="n">
        <v>3</v>
      </c>
      <c r="AM1755" t="n">
        <v>6</v>
      </c>
      <c r="AN1755" t="n">
        <v>0</v>
      </c>
      <c r="AO1755" t="n">
        <v>1</v>
      </c>
      <c r="AP1755" t="inlineStr">
        <is>
          <t>No</t>
        </is>
      </c>
      <c r="AQ1755" t="inlineStr">
        <is>
          <t>Yes</t>
        </is>
      </c>
      <c r="AR1755">
        <f>HYPERLINK("http://catalog.hathitrust.org/Record/002972734","HathiTrust Record")</f>
        <v/>
      </c>
      <c r="AS1755">
        <f>HYPERLINK("https://creighton-primo.hosted.exlibrisgroup.com/primo-explore/search?tab=default_tab&amp;search_scope=EVERYTHING&amp;vid=01CRU&amp;lang=en_US&amp;offset=0&amp;query=any,contains,991002280569702656","Catalog Record")</f>
        <v/>
      </c>
      <c r="AT1755">
        <f>HYPERLINK("http://www.worldcat.org/oclc/29565147","WorldCat Record")</f>
        <v/>
      </c>
      <c r="AU1755" t="inlineStr">
        <is>
          <t>222049182:eng</t>
        </is>
      </c>
      <c r="AV1755" t="inlineStr">
        <is>
          <t>29565147</t>
        </is>
      </c>
      <c r="AW1755" t="inlineStr">
        <is>
          <t>991002280569702656</t>
        </is>
      </c>
      <c r="AX1755" t="inlineStr">
        <is>
          <t>991002280569702656</t>
        </is>
      </c>
      <c r="AY1755" t="inlineStr">
        <is>
          <t>2255622260002656</t>
        </is>
      </c>
      <c r="AZ1755" t="inlineStr">
        <is>
          <t>BOOK</t>
        </is>
      </c>
      <c r="BB1755" t="inlineStr">
        <is>
          <t>9780060167646</t>
        </is>
      </c>
      <c r="BC1755" t="inlineStr">
        <is>
          <t>32285002052933</t>
        </is>
      </c>
      <c r="BD1755" t="inlineStr">
        <is>
          <t>893886067</t>
        </is>
      </c>
    </row>
    <row r="1756">
      <c r="A1756" t="inlineStr">
        <is>
          <t>No</t>
        </is>
      </c>
      <c r="B1756" t="inlineStr">
        <is>
          <t>E748.R673 K72</t>
        </is>
      </c>
      <c r="C1756" t="inlineStr">
        <is>
          <t>0                      E  0748000R  673                K  72</t>
        </is>
      </c>
      <c r="D1756" t="inlineStr">
        <is>
          <t>"I never wanted to be vice-president of anything!" : An investigative biography of Nelson Rockefeller / Michael Kramer &amp; Sam Roberts.</t>
        </is>
      </c>
      <c r="F1756" t="inlineStr">
        <is>
          <t>No</t>
        </is>
      </c>
      <c r="G1756" t="inlineStr">
        <is>
          <t>1</t>
        </is>
      </c>
      <c r="H1756" t="inlineStr">
        <is>
          <t>No</t>
        </is>
      </c>
      <c r="I1756" t="inlineStr">
        <is>
          <t>No</t>
        </is>
      </c>
      <c r="J1756" t="inlineStr">
        <is>
          <t>0</t>
        </is>
      </c>
      <c r="K1756" t="inlineStr">
        <is>
          <t>Kramer, Michael S., 1948-</t>
        </is>
      </c>
      <c r="L1756" t="inlineStr">
        <is>
          <t>New York : Basic Books, inc., c1976.</t>
        </is>
      </c>
      <c r="M1756" t="inlineStr">
        <is>
          <t>1976</t>
        </is>
      </c>
      <c r="O1756" t="inlineStr">
        <is>
          <t>eng</t>
        </is>
      </c>
      <c r="P1756" t="inlineStr">
        <is>
          <t>nyu</t>
        </is>
      </c>
      <c r="R1756" t="inlineStr">
        <is>
          <t xml:space="preserve">E  </t>
        </is>
      </c>
      <c r="S1756" t="n">
        <v>0</v>
      </c>
      <c r="T1756" t="n">
        <v>0</v>
      </c>
      <c r="U1756" t="inlineStr">
        <is>
          <t>2003-07-07</t>
        </is>
      </c>
      <c r="V1756" t="inlineStr">
        <is>
          <t>2003-07-07</t>
        </is>
      </c>
      <c r="W1756" t="inlineStr">
        <is>
          <t>1993-12-08</t>
        </is>
      </c>
      <c r="X1756" t="inlineStr">
        <is>
          <t>1993-12-08</t>
        </is>
      </c>
      <c r="Y1756" t="n">
        <v>792</v>
      </c>
      <c r="Z1756" t="n">
        <v>743</v>
      </c>
      <c r="AA1756" t="n">
        <v>751</v>
      </c>
      <c r="AB1756" t="n">
        <v>4</v>
      </c>
      <c r="AC1756" t="n">
        <v>4</v>
      </c>
      <c r="AD1756" t="n">
        <v>12</v>
      </c>
      <c r="AE1756" t="n">
        <v>13</v>
      </c>
      <c r="AF1756" t="n">
        <v>2</v>
      </c>
      <c r="AG1756" t="n">
        <v>2</v>
      </c>
      <c r="AH1756" t="n">
        <v>5</v>
      </c>
      <c r="AI1756" t="n">
        <v>5</v>
      </c>
      <c r="AJ1756" t="n">
        <v>4</v>
      </c>
      <c r="AK1756" t="n">
        <v>5</v>
      </c>
      <c r="AL1756" t="n">
        <v>3</v>
      </c>
      <c r="AM1756" t="n">
        <v>3</v>
      </c>
      <c r="AN1756" t="n">
        <v>0</v>
      </c>
      <c r="AO1756" t="n">
        <v>0</v>
      </c>
      <c r="AP1756" t="inlineStr">
        <is>
          <t>No</t>
        </is>
      </c>
      <c r="AQ1756" t="inlineStr">
        <is>
          <t>Yes</t>
        </is>
      </c>
      <c r="AR1756">
        <f>HYPERLINK("http://catalog.hathitrust.org/Record/000725646","HathiTrust Record")</f>
        <v/>
      </c>
      <c r="AS1756">
        <f>HYPERLINK("https://creighton-primo.hosted.exlibrisgroup.com/primo-explore/search?tab=default_tab&amp;search_scope=EVERYTHING&amp;vid=01CRU&amp;lang=en_US&amp;offset=0&amp;query=any,contains,991004010449702656","Catalog Record")</f>
        <v/>
      </c>
      <c r="AT1756">
        <f>HYPERLINK("http://www.worldcat.org/oclc/2090877","WorldCat Record")</f>
        <v/>
      </c>
      <c r="AU1756" t="inlineStr">
        <is>
          <t>4185905:eng</t>
        </is>
      </c>
      <c r="AV1756" t="inlineStr">
        <is>
          <t>2090877</t>
        </is>
      </c>
      <c r="AW1756" t="inlineStr">
        <is>
          <t>991004010449702656</t>
        </is>
      </c>
      <c r="AX1756" t="inlineStr">
        <is>
          <t>991004010449702656</t>
        </is>
      </c>
      <c r="AY1756" t="inlineStr">
        <is>
          <t>2267067590002656</t>
        </is>
      </c>
      <c r="AZ1756" t="inlineStr">
        <is>
          <t>BOOK</t>
        </is>
      </c>
      <c r="BB1756" t="inlineStr">
        <is>
          <t>9780465031948</t>
        </is>
      </c>
      <c r="BC1756" t="inlineStr">
        <is>
          <t>32285001806107</t>
        </is>
      </c>
      <c r="BD1756" t="inlineStr">
        <is>
          <t>893611811</t>
        </is>
      </c>
    </row>
    <row r="1757">
      <c r="A1757" t="inlineStr">
        <is>
          <t>No</t>
        </is>
      </c>
      <c r="B1757" t="inlineStr">
        <is>
          <t>E748.R673 P44 1982b</t>
        </is>
      </c>
      <c r="C1757" t="inlineStr">
        <is>
          <t>0                      E  0748000R  673                P  44          1982b</t>
        </is>
      </c>
      <c r="D1757" t="inlineStr">
        <is>
          <t>The imperial Rockefeller : a biography of Nelson A. Rockefeller / Joseph E. Persico.</t>
        </is>
      </c>
      <c r="F1757" t="inlineStr">
        <is>
          <t>No</t>
        </is>
      </c>
      <c r="G1757" t="inlineStr">
        <is>
          <t>1</t>
        </is>
      </c>
      <c r="H1757" t="inlineStr">
        <is>
          <t>No</t>
        </is>
      </c>
      <c r="I1757" t="inlineStr">
        <is>
          <t>No</t>
        </is>
      </c>
      <c r="J1757" t="inlineStr">
        <is>
          <t>0</t>
        </is>
      </c>
      <c r="K1757" t="inlineStr">
        <is>
          <t>Persico, Joseph E.</t>
        </is>
      </c>
      <c r="L1757" t="inlineStr">
        <is>
          <t>New York : Simon and Schuster, c1982.</t>
        </is>
      </c>
      <c r="M1757" t="inlineStr">
        <is>
          <t>1982</t>
        </is>
      </c>
      <c r="O1757" t="inlineStr">
        <is>
          <t>eng</t>
        </is>
      </c>
      <c r="P1757" t="inlineStr">
        <is>
          <t>nyu</t>
        </is>
      </c>
      <c r="R1757" t="inlineStr">
        <is>
          <t xml:space="preserve">E  </t>
        </is>
      </c>
      <c r="S1757" t="n">
        <v>3</v>
      </c>
      <c r="T1757" t="n">
        <v>3</v>
      </c>
      <c r="U1757" t="inlineStr">
        <is>
          <t>1997-01-28</t>
        </is>
      </c>
      <c r="V1757" t="inlineStr">
        <is>
          <t>1997-01-28</t>
        </is>
      </c>
      <c r="W1757" t="inlineStr">
        <is>
          <t>1991-06-04</t>
        </is>
      </c>
      <c r="X1757" t="inlineStr">
        <is>
          <t>1991-06-04</t>
        </is>
      </c>
      <c r="Y1757" t="n">
        <v>1167</v>
      </c>
      <c r="Z1757" t="n">
        <v>1120</v>
      </c>
      <c r="AA1757" t="n">
        <v>1248</v>
      </c>
      <c r="AB1757" t="n">
        <v>5</v>
      </c>
      <c r="AC1757" t="n">
        <v>7</v>
      </c>
      <c r="AD1757" t="n">
        <v>25</v>
      </c>
      <c r="AE1757" t="n">
        <v>25</v>
      </c>
      <c r="AF1757" t="n">
        <v>11</v>
      </c>
      <c r="AG1757" t="n">
        <v>11</v>
      </c>
      <c r="AH1757" t="n">
        <v>5</v>
      </c>
      <c r="AI1757" t="n">
        <v>5</v>
      </c>
      <c r="AJ1757" t="n">
        <v>14</v>
      </c>
      <c r="AK1757" t="n">
        <v>14</v>
      </c>
      <c r="AL1757" t="n">
        <v>1</v>
      </c>
      <c r="AM1757" t="n">
        <v>1</v>
      </c>
      <c r="AN1757" t="n">
        <v>1</v>
      </c>
      <c r="AO1757" t="n">
        <v>1</v>
      </c>
      <c r="AP1757" t="inlineStr">
        <is>
          <t>No</t>
        </is>
      </c>
      <c r="AQ1757" t="inlineStr">
        <is>
          <t>Yes</t>
        </is>
      </c>
      <c r="AR1757">
        <f>HYPERLINK("http://catalog.hathitrust.org/Record/000226976","HathiTrust Record")</f>
        <v/>
      </c>
      <c r="AS1757">
        <f>HYPERLINK("https://creighton-primo.hosted.exlibrisgroup.com/primo-explore/search?tab=default_tab&amp;search_scope=EVERYTHING&amp;vid=01CRU&amp;lang=en_US&amp;offset=0&amp;query=any,contains,991005175879702656","Catalog Record")</f>
        <v/>
      </c>
      <c r="AT1757">
        <f>HYPERLINK("http://www.worldcat.org/oclc/7923018","WorldCat Record")</f>
        <v/>
      </c>
      <c r="AU1757" t="inlineStr">
        <is>
          <t>517317:eng</t>
        </is>
      </c>
      <c r="AV1757" t="inlineStr">
        <is>
          <t>7923018</t>
        </is>
      </c>
      <c r="AW1757" t="inlineStr">
        <is>
          <t>991005175879702656</t>
        </is>
      </c>
      <c r="AX1757" t="inlineStr">
        <is>
          <t>991005175879702656</t>
        </is>
      </c>
      <c r="AY1757" t="inlineStr">
        <is>
          <t>2269308470002656</t>
        </is>
      </c>
      <c r="AZ1757" t="inlineStr">
        <is>
          <t>BOOK</t>
        </is>
      </c>
      <c r="BB1757" t="inlineStr">
        <is>
          <t>9780671254186</t>
        </is>
      </c>
      <c r="BC1757" t="inlineStr">
        <is>
          <t>32285000613546</t>
        </is>
      </c>
      <c r="BD1757" t="inlineStr">
        <is>
          <t>893877064</t>
        </is>
      </c>
    </row>
    <row r="1758">
      <c r="A1758" t="inlineStr">
        <is>
          <t>No</t>
        </is>
      </c>
      <c r="B1758" t="inlineStr">
        <is>
          <t>E748.R94 A3 1990</t>
        </is>
      </c>
      <c r="C1758" t="inlineStr">
        <is>
          <t>0                      E  0748000R  94                 A  3           1990</t>
        </is>
      </c>
      <c r="D1758" t="inlineStr">
        <is>
          <t>As I saw it / by Dean Rusk as told to Richard Rusk ; edited by Daniel S. Papp.</t>
        </is>
      </c>
      <c r="F1758" t="inlineStr">
        <is>
          <t>No</t>
        </is>
      </c>
      <c r="G1758" t="inlineStr">
        <is>
          <t>1</t>
        </is>
      </c>
      <c r="H1758" t="inlineStr">
        <is>
          <t>No</t>
        </is>
      </c>
      <c r="I1758" t="inlineStr">
        <is>
          <t>No</t>
        </is>
      </c>
      <c r="J1758" t="inlineStr">
        <is>
          <t>0</t>
        </is>
      </c>
      <c r="K1758" t="inlineStr">
        <is>
          <t>Rusk, Dean, 1909-1994.</t>
        </is>
      </c>
      <c r="L1758" t="inlineStr">
        <is>
          <t>New York : W.W. Norton, c1990.</t>
        </is>
      </c>
      <c r="M1758" t="inlineStr">
        <is>
          <t>1990</t>
        </is>
      </c>
      <c r="N1758" t="inlineStr">
        <is>
          <t>1st ed.</t>
        </is>
      </c>
      <c r="O1758" t="inlineStr">
        <is>
          <t>eng</t>
        </is>
      </c>
      <c r="P1758" t="inlineStr">
        <is>
          <t>nyu</t>
        </is>
      </c>
      <c r="R1758" t="inlineStr">
        <is>
          <t xml:space="preserve">E  </t>
        </is>
      </c>
      <c r="S1758" t="n">
        <v>4</v>
      </c>
      <c r="T1758" t="n">
        <v>4</v>
      </c>
      <c r="U1758" t="inlineStr">
        <is>
          <t>1998-05-06</t>
        </is>
      </c>
      <c r="V1758" t="inlineStr">
        <is>
          <t>1998-05-06</t>
        </is>
      </c>
      <c r="W1758" t="inlineStr">
        <is>
          <t>1990-08-08</t>
        </is>
      </c>
      <c r="X1758" t="inlineStr">
        <is>
          <t>1990-08-08</t>
        </is>
      </c>
      <c r="Y1758" t="n">
        <v>1292</v>
      </c>
      <c r="Z1758" t="n">
        <v>1186</v>
      </c>
      <c r="AA1758" t="n">
        <v>1237</v>
      </c>
      <c r="AB1758" t="n">
        <v>10</v>
      </c>
      <c r="AC1758" t="n">
        <v>11</v>
      </c>
      <c r="AD1758" t="n">
        <v>42</v>
      </c>
      <c r="AE1758" t="n">
        <v>46</v>
      </c>
      <c r="AF1758" t="n">
        <v>17</v>
      </c>
      <c r="AG1758" t="n">
        <v>18</v>
      </c>
      <c r="AH1758" t="n">
        <v>9</v>
      </c>
      <c r="AI1758" t="n">
        <v>10</v>
      </c>
      <c r="AJ1758" t="n">
        <v>18</v>
      </c>
      <c r="AK1758" t="n">
        <v>20</v>
      </c>
      <c r="AL1758" t="n">
        <v>5</v>
      </c>
      <c r="AM1758" t="n">
        <v>6</v>
      </c>
      <c r="AN1758" t="n">
        <v>2</v>
      </c>
      <c r="AO1758" t="n">
        <v>2</v>
      </c>
      <c r="AP1758" t="inlineStr">
        <is>
          <t>No</t>
        </is>
      </c>
      <c r="AQ1758" t="inlineStr">
        <is>
          <t>No</t>
        </is>
      </c>
      <c r="AS1758">
        <f>HYPERLINK("https://creighton-primo.hosted.exlibrisgroup.com/primo-explore/search?tab=default_tab&amp;search_scope=EVERYTHING&amp;vid=01CRU&amp;lang=en_US&amp;offset=0&amp;query=any,contains,991001501689702656","Catalog Record")</f>
        <v/>
      </c>
      <c r="AT1758">
        <f>HYPERLINK("http://www.worldcat.org/oclc/19810851","WorldCat Record")</f>
        <v/>
      </c>
      <c r="AU1758" t="inlineStr">
        <is>
          <t>49051750:eng</t>
        </is>
      </c>
      <c r="AV1758" t="inlineStr">
        <is>
          <t>19810851</t>
        </is>
      </c>
      <c r="AW1758" t="inlineStr">
        <is>
          <t>991001501689702656</t>
        </is>
      </c>
      <c r="AX1758" t="inlineStr">
        <is>
          <t>991001501689702656</t>
        </is>
      </c>
      <c r="AY1758" t="inlineStr">
        <is>
          <t>2265742030002656</t>
        </is>
      </c>
      <c r="AZ1758" t="inlineStr">
        <is>
          <t>BOOK</t>
        </is>
      </c>
      <c r="BB1758" t="inlineStr">
        <is>
          <t>9780393026504</t>
        </is>
      </c>
      <c r="BC1758" t="inlineStr">
        <is>
          <t>32285000242544</t>
        </is>
      </c>
      <c r="BD1758" t="inlineStr">
        <is>
          <t>893866278</t>
        </is>
      </c>
    </row>
    <row r="1759">
      <c r="A1759" t="inlineStr">
        <is>
          <t>No</t>
        </is>
      </c>
      <c r="B1759" t="inlineStr">
        <is>
          <t>E748.S63 J6</t>
        </is>
      </c>
      <c r="C1759" t="inlineStr">
        <is>
          <t>0                      E  0748000S  63                 J  6</t>
        </is>
      </c>
      <c r="D1759" t="inlineStr">
        <is>
          <t>Al Smith: hero of the cities; a political portrait drawing on the papers of Frances Perkins [by] Matthew and Hannah Josephson.</t>
        </is>
      </c>
      <c r="F1759" t="inlineStr">
        <is>
          <t>No</t>
        </is>
      </c>
      <c r="G1759" t="inlineStr">
        <is>
          <t>1</t>
        </is>
      </c>
      <c r="H1759" t="inlineStr">
        <is>
          <t>No</t>
        </is>
      </c>
      <c r="I1759" t="inlineStr">
        <is>
          <t>No</t>
        </is>
      </c>
      <c r="J1759" t="inlineStr">
        <is>
          <t>0</t>
        </is>
      </c>
      <c r="K1759" t="inlineStr">
        <is>
          <t>Josephson, Matthew, 1899-1978.</t>
        </is>
      </c>
      <c r="L1759" t="inlineStr">
        <is>
          <t>Boston, Houghton Mifflin, 1969.</t>
        </is>
      </c>
      <c r="M1759" t="inlineStr">
        <is>
          <t>1969</t>
        </is>
      </c>
      <c r="O1759" t="inlineStr">
        <is>
          <t>eng</t>
        </is>
      </c>
      <c r="P1759" t="inlineStr">
        <is>
          <t>mau</t>
        </is>
      </c>
      <c r="R1759" t="inlineStr">
        <is>
          <t xml:space="preserve">E  </t>
        </is>
      </c>
      <c r="S1759" t="n">
        <v>2</v>
      </c>
      <c r="T1759" t="n">
        <v>2</v>
      </c>
      <c r="U1759" t="inlineStr">
        <is>
          <t>2004-11-01</t>
        </is>
      </c>
      <c r="V1759" t="inlineStr">
        <is>
          <t>2004-11-01</t>
        </is>
      </c>
      <c r="W1759" t="inlineStr">
        <is>
          <t>1997-04-24</t>
        </is>
      </c>
      <c r="X1759" t="inlineStr">
        <is>
          <t>1997-04-24</t>
        </is>
      </c>
      <c r="Y1759" t="n">
        <v>1147</v>
      </c>
      <c r="Z1759" t="n">
        <v>1085</v>
      </c>
      <c r="AA1759" t="n">
        <v>1108</v>
      </c>
      <c r="AB1759" t="n">
        <v>9</v>
      </c>
      <c r="AC1759" t="n">
        <v>9</v>
      </c>
      <c r="AD1759" t="n">
        <v>41</v>
      </c>
      <c r="AE1759" t="n">
        <v>43</v>
      </c>
      <c r="AF1759" t="n">
        <v>19</v>
      </c>
      <c r="AG1759" t="n">
        <v>19</v>
      </c>
      <c r="AH1759" t="n">
        <v>8</v>
      </c>
      <c r="AI1759" t="n">
        <v>9</v>
      </c>
      <c r="AJ1759" t="n">
        <v>19</v>
      </c>
      <c r="AK1759" t="n">
        <v>20</v>
      </c>
      <c r="AL1759" t="n">
        <v>6</v>
      </c>
      <c r="AM1759" t="n">
        <v>6</v>
      </c>
      <c r="AN1759" t="n">
        <v>0</v>
      </c>
      <c r="AO1759" t="n">
        <v>0</v>
      </c>
      <c r="AP1759" t="inlineStr">
        <is>
          <t>No</t>
        </is>
      </c>
      <c r="AQ1759" t="inlineStr">
        <is>
          <t>Yes</t>
        </is>
      </c>
      <c r="AR1759">
        <f>HYPERLINK("http://catalog.hathitrust.org/Record/000464892","HathiTrust Record")</f>
        <v/>
      </c>
      <c r="AS1759">
        <f>HYPERLINK("https://creighton-primo.hosted.exlibrisgroup.com/primo-explore/search?tab=default_tab&amp;search_scope=EVERYTHING&amp;vid=01CRU&amp;lang=en_US&amp;offset=0&amp;query=any,contains,991000070949702656","Catalog Record")</f>
        <v/>
      </c>
      <c r="AT1759">
        <f>HYPERLINK("http://www.worldcat.org/oclc/28237","WorldCat Record")</f>
        <v/>
      </c>
      <c r="AU1759" t="inlineStr">
        <is>
          <t>1171146:eng</t>
        </is>
      </c>
      <c r="AV1759" t="inlineStr">
        <is>
          <t>28237</t>
        </is>
      </c>
      <c r="AW1759" t="inlineStr">
        <is>
          <t>991000070949702656</t>
        </is>
      </c>
      <c r="AX1759" t="inlineStr">
        <is>
          <t>991000070949702656</t>
        </is>
      </c>
      <c r="AY1759" t="inlineStr">
        <is>
          <t>2264826210002656</t>
        </is>
      </c>
      <c r="AZ1759" t="inlineStr">
        <is>
          <t>BOOK</t>
        </is>
      </c>
      <c r="BC1759" t="inlineStr">
        <is>
          <t>32285002564606</t>
        </is>
      </c>
      <c r="BD1759" t="inlineStr">
        <is>
          <t>893249055</t>
        </is>
      </c>
    </row>
    <row r="1760">
      <c r="A1760" t="inlineStr">
        <is>
          <t>No</t>
        </is>
      </c>
      <c r="B1760" t="inlineStr">
        <is>
          <t>E748.S84 M4 1989</t>
        </is>
      </c>
      <c r="C1760" t="inlineStr">
        <is>
          <t>0                      E  0748000S  84                 M  4           1989</t>
        </is>
      </c>
      <c r="D1760" t="inlineStr">
        <is>
          <t>Adlai Stevenson : his life and legacy / Porter McKeever.</t>
        </is>
      </c>
      <c r="F1760" t="inlineStr">
        <is>
          <t>No</t>
        </is>
      </c>
      <c r="G1760" t="inlineStr">
        <is>
          <t>1</t>
        </is>
      </c>
      <c r="H1760" t="inlineStr">
        <is>
          <t>No</t>
        </is>
      </c>
      <c r="I1760" t="inlineStr">
        <is>
          <t>No</t>
        </is>
      </c>
      <c r="J1760" t="inlineStr">
        <is>
          <t>0</t>
        </is>
      </c>
      <c r="K1760" t="inlineStr">
        <is>
          <t>McKeever, Porter.</t>
        </is>
      </c>
      <c r="L1760" t="inlineStr">
        <is>
          <t>New York : Morrow, c1989.</t>
        </is>
      </c>
      <c r="M1760" t="inlineStr">
        <is>
          <t>1989</t>
        </is>
      </c>
      <c r="N1760" t="inlineStr">
        <is>
          <t>1st ed.</t>
        </is>
      </c>
      <c r="O1760" t="inlineStr">
        <is>
          <t>eng</t>
        </is>
      </c>
      <c r="P1760" t="inlineStr">
        <is>
          <t>nyu</t>
        </is>
      </c>
      <c r="R1760" t="inlineStr">
        <is>
          <t xml:space="preserve">E  </t>
        </is>
      </c>
      <c r="S1760" t="n">
        <v>2</v>
      </c>
      <c r="T1760" t="n">
        <v>2</v>
      </c>
      <c r="U1760" t="inlineStr">
        <is>
          <t>1996-02-01</t>
        </is>
      </c>
      <c r="V1760" t="inlineStr">
        <is>
          <t>1996-02-01</t>
        </is>
      </c>
      <c r="W1760" t="inlineStr">
        <is>
          <t>1989-12-05</t>
        </is>
      </c>
      <c r="X1760" t="inlineStr">
        <is>
          <t>1989-12-05</t>
        </is>
      </c>
      <c r="Y1760" t="n">
        <v>1141</v>
      </c>
      <c r="Z1760" t="n">
        <v>1081</v>
      </c>
      <c r="AA1760" t="n">
        <v>1126</v>
      </c>
      <c r="AB1760" t="n">
        <v>7</v>
      </c>
      <c r="AC1760" t="n">
        <v>7</v>
      </c>
      <c r="AD1760" t="n">
        <v>34</v>
      </c>
      <c r="AE1760" t="n">
        <v>37</v>
      </c>
      <c r="AF1760" t="n">
        <v>11</v>
      </c>
      <c r="AG1760" t="n">
        <v>13</v>
      </c>
      <c r="AH1760" t="n">
        <v>9</v>
      </c>
      <c r="AI1760" t="n">
        <v>10</v>
      </c>
      <c r="AJ1760" t="n">
        <v>18</v>
      </c>
      <c r="AK1760" t="n">
        <v>18</v>
      </c>
      <c r="AL1760" t="n">
        <v>4</v>
      </c>
      <c r="AM1760" t="n">
        <v>4</v>
      </c>
      <c r="AN1760" t="n">
        <v>3</v>
      </c>
      <c r="AO1760" t="n">
        <v>3</v>
      </c>
      <c r="AP1760" t="inlineStr">
        <is>
          <t>No</t>
        </is>
      </c>
      <c r="AQ1760" t="inlineStr">
        <is>
          <t>Yes</t>
        </is>
      </c>
      <c r="AR1760">
        <f>HYPERLINK("http://catalog.hathitrust.org/Record/001541212","HathiTrust Record")</f>
        <v/>
      </c>
      <c r="AS1760">
        <f>HYPERLINK("https://creighton-primo.hosted.exlibrisgroup.com/primo-explore/search?tab=default_tab&amp;search_scope=EVERYTHING&amp;vid=01CRU&amp;lang=en_US&amp;offset=0&amp;query=any,contains,991001432329702656","Catalog Record")</f>
        <v/>
      </c>
      <c r="AT1760">
        <f>HYPERLINK("http://www.worldcat.org/oclc/19123086","WorldCat Record")</f>
        <v/>
      </c>
      <c r="AU1760" t="inlineStr">
        <is>
          <t>18878487:eng</t>
        </is>
      </c>
      <c r="AV1760" t="inlineStr">
        <is>
          <t>19123086</t>
        </is>
      </c>
      <c r="AW1760" t="inlineStr">
        <is>
          <t>991001432329702656</t>
        </is>
      </c>
      <c r="AX1760" t="inlineStr">
        <is>
          <t>991001432329702656</t>
        </is>
      </c>
      <c r="AY1760" t="inlineStr">
        <is>
          <t>2272520010002656</t>
        </is>
      </c>
      <c r="AZ1760" t="inlineStr">
        <is>
          <t>BOOK</t>
        </is>
      </c>
      <c r="BB1760" t="inlineStr">
        <is>
          <t>9780688066611</t>
        </is>
      </c>
      <c r="BC1760" t="inlineStr">
        <is>
          <t>32285000017342</t>
        </is>
      </c>
      <c r="BD1760" t="inlineStr">
        <is>
          <t>893791445</t>
        </is>
      </c>
    </row>
    <row r="1761">
      <c r="A1761" t="inlineStr">
        <is>
          <t>No</t>
        </is>
      </c>
      <c r="B1761" t="inlineStr">
        <is>
          <t>E748.S883 A3</t>
        </is>
      </c>
      <c r="C1761" t="inlineStr">
        <is>
          <t>0                      E  0748000S  883                A  3</t>
        </is>
      </c>
      <c r="D1761" t="inlineStr">
        <is>
          <t>On active service in peace and war, by Henry L. Stimson and McGeorge Bundy.</t>
        </is>
      </c>
      <c r="F1761" t="inlineStr">
        <is>
          <t>No</t>
        </is>
      </c>
      <c r="G1761" t="inlineStr">
        <is>
          <t>1</t>
        </is>
      </c>
      <c r="H1761" t="inlineStr">
        <is>
          <t>No</t>
        </is>
      </c>
      <c r="I1761" t="inlineStr">
        <is>
          <t>No</t>
        </is>
      </c>
      <c r="J1761" t="inlineStr">
        <is>
          <t>0</t>
        </is>
      </c>
      <c r="K1761" t="inlineStr">
        <is>
          <t>Stimson, Henry L. (Henry Lewis), 1867-1950.</t>
        </is>
      </c>
      <c r="L1761" t="inlineStr">
        <is>
          <t>New York, Harper [1948]</t>
        </is>
      </c>
      <c r="M1761" t="inlineStr">
        <is>
          <t>1948</t>
        </is>
      </c>
      <c r="N1761" t="inlineStr">
        <is>
          <t>[1st ed.]</t>
        </is>
      </c>
      <c r="O1761" t="inlineStr">
        <is>
          <t>eng</t>
        </is>
      </c>
      <c r="P1761" t="inlineStr">
        <is>
          <t>nyu</t>
        </is>
      </c>
      <c r="R1761" t="inlineStr">
        <is>
          <t xml:space="preserve">E  </t>
        </is>
      </c>
      <c r="S1761" t="n">
        <v>1</v>
      </c>
      <c r="T1761" t="n">
        <v>1</v>
      </c>
      <c r="U1761" t="inlineStr">
        <is>
          <t>2001-03-26</t>
        </is>
      </c>
      <c r="V1761" t="inlineStr">
        <is>
          <t>2001-03-26</t>
        </is>
      </c>
      <c r="W1761" t="inlineStr">
        <is>
          <t>1997-04-24</t>
        </is>
      </c>
      <c r="X1761" t="inlineStr">
        <is>
          <t>1997-04-24</t>
        </is>
      </c>
      <c r="Y1761" t="n">
        <v>1274</v>
      </c>
      <c r="Z1761" t="n">
        <v>1159</v>
      </c>
      <c r="AA1761" t="n">
        <v>1294</v>
      </c>
      <c r="AB1761" t="n">
        <v>12</v>
      </c>
      <c r="AC1761" t="n">
        <v>12</v>
      </c>
      <c r="AD1761" t="n">
        <v>61</v>
      </c>
      <c r="AE1761" t="n">
        <v>62</v>
      </c>
      <c r="AF1761" t="n">
        <v>26</v>
      </c>
      <c r="AG1761" t="n">
        <v>26</v>
      </c>
      <c r="AH1761" t="n">
        <v>11</v>
      </c>
      <c r="AI1761" t="n">
        <v>11</v>
      </c>
      <c r="AJ1761" t="n">
        <v>24</v>
      </c>
      <c r="AK1761" t="n">
        <v>25</v>
      </c>
      <c r="AL1761" t="n">
        <v>10</v>
      </c>
      <c r="AM1761" t="n">
        <v>10</v>
      </c>
      <c r="AN1761" t="n">
        <v>4</v>
      </c>
      <c r="AO1761" t="n">
        <v>4</v>
      </c>
      <c r="AP1761" t="inlineStr">
        <is>
          <t>No</t>
        </is>
      </c>
      <c r="AQ1761" t="inlineStr">
        <is>
          <t>Yes</t>
        </is>
      </c>
      <c r="AR1761">
        <f>HYPERLINK("http://catalog.hathitrust.org/Record/000575828","HathiTrust Record")</f>
        <v/>
      </c>
      <c r="AS1761">
        <f>HYPERLINK("https://creighton-primo.hosted.exlibrisgroup.com/primo-explore/search?tab=default_tab&amp;search_scope=EVERYTHING&amp;vid=01CRU&amp;lang=en_US&amp;offset=0&amp;query=any,contains,991002813459702656","Catalog Record")</f>
        <v/>
      </c>
      <c r="AT1761">
        <f>HYPERLINK("http://www.worldcat.org/oclc/456860","WorldCat Record")</f>
        <v/>
      </c>
      <c r="AU1761" t="inlineStr">
        <is>
          <t>141876513:eng</t>
        </is>
      </c>
      <c r="AV1761" t="inlineStr">
        <is>
          <t>456860</t>
        </is>
      </c>
      <c r="AW1761" t="inlineStr">
        <is>
          <t>991002813459702656</t>
        </is>
      </c>
      <c r="AX1761" t="inlineStr">
        <is>
          <t>991002813459702656</t>
        </is>
      </c>
      <c r="AY1761" t="inlineStr">
        <is>
          <t>2263042290002656</t>
        </is>
      </c>
      <c r="AZ1761" t="inlineStr">
        <is>
          <t>BOOK</t>
        </is>
      </c>
      <c r="BC1761" t="inlineStr">
        <is>
          <t>32285002564689</t>
        </is>
      </c>
      <c r="BD1761" t="inlineStr">
        <is>
          <t>893239536</t>
        </is>
      </c>
    </row>
    <row r="1762">
      <c r="A1762" t="inlineStr">
        <is>
          <t>No</t>
        </is>
      </c>
      <c r="B1762" t="inlineStr">
        <is>
          <t>E748.S883 H63 1990</t>
        </is>
      </c>
      <c r="C1762" t="inlineStr">
        <is>
          <t>0                      E  0748000S  883                H  63          1990</t>
        </is>
      </c>
      <c r="D1762" t="inlineStr">
        <is>
          <t>The colonel : the life and wars of Henry Stimson, 1867-1950 / Godfrey Hodgson.</t>
        </is>
      </c>
      <c r="F1762" t="inlineStr">
        <is>
          <t>No</t>
        </is>
      </c>
      <c r="G1762" t="inlineStr">
        <is>
          <t>1</t>
        </is>
      </c>
      <c r="H1762" t="inlineStr">
        <is>
          <t>No</t>
        </is>
      </c>
      <c r="I1762" t="inlineStr">
        <is>
          <t>No</t>
        </is>
      </c>
      <c r="J1762" t="inlineStr">
        <is>
          <t>0</t>
        </is>
      </c>
      <c r="K1762" t="inlineStr">
        <is>
          <t>Hodgson, Godfrey.</t>
        </is>
      </c>
      <c r="L1762" t="inlineStr">
        <is>
          <t>New York : Knopf : Distributed by Random House, 1990.</t>
        </is>
      </c>
      <c r="M1762" t="inlineStr">
        <is>
          <t>1990</t>
        </is>
      </c>
      <c r="N1762" t="inlineStr">
        <is>
          <t>1st ed.</t>
        </is>
      </c>
      <c r="O1762" t="inlineStr">
        <is>
          <t>eng</t>
        </is>
      </c>
      <c r="P1762" t="inlineStr">
        <is>
          <t>nyu</t>
        </is>
      </c>
      <c r="R1762" t="inlineStr">
        <is>
          <t xml:space="preserve">E  </t>
        </is>
      </c>
      <c r="S1762" t="n">
        <v>1</v>
      </c>
      <c r="T1762" t="n">
        <v>1</v>
      </c>
      <c r="U1762" t="inlineStr">
        <is>
          <t>1992-10-22</t>
        </is>
      </c>
      <c r="V1762" t="inlineStr">
        <is>
          <t>1992-10-22</t>
        </is>
      </c>
      <c r="W1762" t="inlineStr">
        <is>
          <t>1991-05-01</t>
        </is>
      </c>
      <c r="X1762" t="inlineStr">
        <is>
          <t>1991-05-01</t>
        </is>
      </c>
      <c r="Y1762" t="n">
        <v>776</v>
      </c>
      <c r="Z1762" t="n">
        <v>716</v>
      </c>
      <c r="AA1762" t="n">
        <v>752</v>
      </c>
      <c r="AB1762" t="n">
        <v>4</v>
      </c>
      <c r="AC1762" t="n">
        <v>4</v>
      </c>
      <c r="AD1762" t="n">
        <v>30</v>
      </c>
      <c r="AE1762" t="n">
        <v>32</v>
      </c>
      <c r="AF1762" t="n">
        <v>15</v>
      </c>
      <c r="AG1762" t="n">
        <v>15</v>
      </c>
      <c r="AH1762" t="n">
        <v>6</v>
      </c>
      <c r="AI1762" t="n">
        <v>6</v>
      </c>
      <c r="AJ1762" t="n">
        <v>14</v>
      </c>
      <c r="AK1762" t="n">
        <v>16</v>
      </c>
      <c r="AL1762" t="n">
        <v>2</v>
      </c>
      <c r="AM1762" t="n">
        <v>2</v>
      </c>
      <c r="AN1762" t="n">
        <v>1</v>
      </c>
      <c r="AO1762" t="n">
        <v>1</v>
      </c>
      <c r="AP1762" t="inlineStr">
        <is>
          <t>No</t>
        </is>
      </c>
      <c r="AQ1762" t="inlineStr">
        <is>
          <t>Yes</t>
        </is>
      </c>
      <c r="AR1762">
        <f>HYPERLINK("http://catalog.hathitrust.org/Record/002456551","HathiTrust Record")</f>
        <v/>
      </c>
      <c r="AS1762">
        <f>HYPERLINK("https://creighton-primo.hosted.exlibrisgroup.com/primo-explore/search?tab=default_tab&amp;search_scope=EVERYTHING&amp;vid=01CRU&amp;lang=en_US&amp;offset=0&amp;query=any,contains,991001639129702656","Catalog Record")</f>
        <v/>
      </c>
      <c r="AT1762">
        <f>HYPERLINK("http://www.worldcat.org/oclc/20996057","WorldCat Record")</f>
        <v/>
      </c>
      <c r="AU1762" t="inlineStr">
        <is>
          <t>4160348989:eng</t>
        </is>
      </c>
      <c r="AV1762" t="inlineStr">
        <is>
          <t>20996057</t>
        </is>
      </c>
      <c r="AW1762" t="inlineStr">
        <is>
          <t>991001639129702656</t>
        </is>
      </c>
      <c r="AX1762" t="inlineStr">
        <is>
          <t>991001639129702656</t>
        </is>
      </c>
      <c r="AY1762" t="inlineStr">
        <is>
          <t>2271532180002656</t>
        </is>
      </c>
      <c r="AZ1762" t="inlineStr">
        <is>
          <t>BOOK</t>
        </is>
      </c>
      <c r="BB1762" t="inlineStr">
        <is>
          <t>9780394574417</t>
        </is>
      </c>
      <c r="BC1762" t="inlineStr">
        <is>
          <t>32285000570555</t>
        </is>
      </c>
      <c r="BD1762" t="inlineStr">
        <is>
          <t>893322101</t>
        </is>
      </c>
    </row>
    <row r="1763">
      <c r="A1763" t="inlineStr">
        <is>
          <t>No</t>
        </is>
      </c>
      <c r="B1763" t="inlineStr">
        <is>
          <t>E748.S883 S36 2001</t>
        </is>
      </c>
      <c r="C1763" t="inlineStr">
        <is>
          <t>0                      E  0748000S  883                S  36          2001</t>
        </is>
      </c>
      <c r="D1763" t="inlineStr">
        <is>
          <t>Henry L. Stimson : the first wise man / David F. Schmitz.</t>
        </is>
      </c>
      <c r="F1763" t="inlineStr">
        <is>
          <t>No</t>
        </is>
      </c>
      <c r="G1763" t="inlineStr">
        <is>
          <t>1</t>
        </is>
      </c>
      <c r="H1763" t="inlineStr">
        <is>
          <t>No</t>
        </is>
      </c>
      <c r="I1763" t="inlineStr">
        <is>
          <t>No</t>
        </is>
      </c>
      <c r="J1763" t="inlineStr">
        <is>
          <t>0</t>
        </is>
      </c>
      <c r="K1763" t="inlineStr">
        <is>
          <t>Schmitz, David F.</t>
        </is>
      </c>
      <c r="L1763" t="inlineStr">
        <is>
          <t>Wilmington, Del. : SR Books, 2001.</t>
        </is>
      </c>
      <c r="M1763" t="inlineStr">
        <is>
          <t>2001</t>
        </is>
      </c>
      <c r="O1763" t="inlineStr">
        <is>
          <t>eng</t>
        </is>
      </c>
      <c r="P1763" t="inlineStr">
        <is>
          <t>deu</t>
        </is>
      </c>
      <c r="Q1763" t="inlineStr">
        <is>
          <t>Biographies in American foreign policy ; no. 5</t>
        </is>
      </c>
      <c r="R1763" t="inlineStr">
        <is>
          <t xml:space="preserve">E  </t>
        </is>
      </c>
      <c r="S1763" t="n">
        <v>2</v>
      </c>
      <c r="T1763" t="n">
        <v>2</v>
      </c>
      <c r="U1763" t="inlineStr">
        <is>
          <t>2001-09-11</t>
        </is>
      </c>
      <c r="V1763" t="inlineStr">
        <is>
          <t>2001-09-11</t>
        </is>
      </c>
      <c r="W1763" t="inlineStr">
        <is>
          <t>2001-08-29</t>
        </is>
      </c>
      <c r="X1763" t="inlineStr">
        <is>
          <t>2001-08-29</t>
        </is>
      </c>
      <c r="Y1763" t="n">
        <v>365</v>
      </c>
      <c r="Z1763" t="n">
        <v>331</v>
      </c>
      <c r="AA1763" t="n">
        <v>340</v>
      </c>
      <c r="AB1763" t="n">
        <v>4</v>
      </c>
      <c r="AC1763" t="n">
        <v>4</v>
      </c>
      <c r="AD1763" t="n">
        <v>25</v>
      </c>
      <c r="AE1763" t="n">
        <v>25</v>
      </c>
      <c r="AF1763" t="n">
        <v>11</v>
      </c>
      <c r="AG1763" t="n">
        <v>11</v>
      </c>
      <c r="AH1763" t="n">
        <v>8</v>
      </c>
      <c r="AI1763" t="n">
        <v>8</v>
      </c>
      <c r="AJ1763" t="n">
        <v>14</v>
      </c>
      <c r="AK1763" t="n">
        <v>14</v>
      </c>
      <c r="AL1763" t="n">
        <v>3</v>
      </c>
      <c r="AM1763" t="n">
        <v>3</v>
      </c>
      <c r="AN1763" t="n">
        <v>0</v>
      </c>
      <c r="AO1763" t="n">
        <v>0</v>
      </c>
      <c r="AP1763" t="inlineStr">
        <is>
          <t>No</t>
        </is>
      </c>
      <c r="AQ1763" t="inlineStr">
        <is>
          <t>Yes</t>
        </is>
      </c>
      <c r="AR1763">
        <f>HYPERLINK("http://catalog.hathitrust.org/Record/004130662","HathiTrust Record")</f>
        <v/>
      </c>
      <c r="AS1763">
        <f>HYPERLINK("https://creighton-primo.hosted.exlibrisgroup.com/primo-explore/search?tab=default_tab&amp;search_scope=EVERYTHING&amp;vid=01CRU&amp;lang=en_US&amp;offset=0&amp;query=any,contains,991003570849702656","Catalog Record")</f>
        <v/>
      </c>
      <c r="AT1763">
        <f>HYPERLINK("http://www.worldcat.org/oclc/43929983","WorldCat Record")</f>
        <v/>
      </c>
      <c r="AU1763" t="inlineStr">
        <is>
          <t>308847354:eng</t>
        </is>
      </c>
      <c r="AV1763" t="inlineStr">
        <is>
          <t>43929983</t>
        </is>
      </c>
      <c r="AW1763" t="inlineStr">
        <is>
          <t>991003570849702656</t>
        </is>
      </c>
      <c r="AX1763" t="inlineStr">
        <is>
          <t>991003570849702656</t>
        </is>
      </c>
      <c r="AY1763" t="inlineStr">
        <is>
          <t>2264198670002656</t>
        </is>
      </c>
      <c r="AZ1763" t="inlineStr">
        <is>
          <t>BOOK</t>
        </is>
      </c>
      <c r="BB1763" t="inlineStr">
        <is>
          <t>9780842026314</t>
        </is>
      </c>
      <c r="BC1763" t="inlineStr">
        <is>
          <t>32285004382932</t>
        </is>
      </c>
      <c r="BD1763" t="inlineStr">
        <is>
          <t>893435142</t>
        </is>
      </c>
    </row>
    <row r="1764">
      <c r="A1764" t="inlineStr">
        <is>
          <t>No</t>
        </is>
      </c>
      <c r="B1764" t="inlineStr">
        <is>
          <t>E748.T58 L3</t>
        </is>
      </c>
      <c r="C1764" t="inlineStr">
        <is>
          <t>0                      E  0748000T  58                 L  3</t>
        </is>
      </c>
      <c r="D1764" t="inlineStr">
        <is>
          <t>Rebel Senator : Strom Thurmond of South Carolina / by Alberta Lachicotte.</t>
        </is>
      </c>
      <c r="F1764" t="inlineStr">
        <is>
          <t>No</t>
        </is>
      </c>
      <c r="G1764" t="inlineStr">
        <is>
          <t>1</t>
        </is>
      </c>
      <c r="H1764" t="inlineStr">
        <is>
          <t>No</t>
        </is>
      </c>
      <c r="I1764" t="inlineStr">
        <is>
          <t>No</t>
        </is>
      </c>
      <c r="J1764" t="inlineStr">
        <is>
          <t>0</t>
        </is>
      </c>
      <c r="K1764" t="inlineStr">
        <is>
          <t>Lachicotte, Alberta Morel.</t>
        </is>
      </c>
      <c r="L1764" t="inlineStr">
        <is>
          <t>New York : Devin-Adair Co., [1966]</t>
        </is>
      </c>
      <c r="M1764" t="inlineStr">
        <is>
          <t>1966</t>
        </is>
      </c>
      <c r="O1764" t="inlineStr">
        <is>
          <t>eng</t>
        </is>
      </c>
      <c r="P1764" t="inlineStr">
        <is>
          <t>nyu</t>
        </is>
      </c>
      <c r="R1764" t="inlineStr">
        <is>
          <t xml:space="preserve">E  </t>
        </is>
      </c>
      <c r="S1764" t="n">
        <v>3</v>
      </c>
      <c r="T1764" t="n">
        <v>3</v>
      </c>
      <c r="U1764" t="inlineStr">
        <is>
          <t>2004-02-10</t>
        </is>
      </c>
      <c r="V1764" t="inlineStr">
        <is>
          <t>2004-02-10</t>
        </is>
      </c>
      <c r="W1764" t="inlineStr">
        <is>
          <t>1993-11-04</t>
        </is>
      </c>
      <c r="X1764" t="inlineStr">
        <is>
          <t>1993-11-04</t>
        </is>
      </c>
      <c r="Y1764" t="n">
        <v>643</v>
      </c>
      <c r="Z1764" t="n">
        <v>629</v>
      </c>
      <c r="AA1764" t="n">
        <v>701</v>
      </c>
      <c r="AB1764" t="n">
        <v>4</v>
      </c>
      <c r="AC1764" t="n">
        <v>6</v>
      </c>
      <c r="AD1764" t="n">
        <v>26</v>
      </c>
      <c r="AE1764" t="n">
        <v>31</v>
      </c>
      <c r="AF1764" t="n">
        <v>13</v>
      </c>
      <c r="AG1764" t="n">
        <v>15</v>
      </c>
      <c r="AH1764" t="n">
        <v>5</v>
      </c>
      <c r="AI1764" t="n">
        <v>5</v>
      </c>
      <c r="AJ1764" t="n">
        <v>12</v>
      </c>
      <c r="AK1764" t="n">
        <v>14</v>
      </c>
      <c r="AL1764" t="n">
        <v>3</v>
      </c>
      <c r="AM1764" t="n">
        <v>5</v>
      </c>
      <c r="AN1764" t="n">
        <v>0</v>
      </c>
      <c r="AO1764" t="n">
        <v>0</v>
      </c>
      <c r="AP1764" t="inlineStr">
        <is>
          <t>No</t>
        </is>
      </c>
      <c r="AQ1764" t="inlineStr">
        <is>
          <t>Yes</t>
        </is>
      </c>
      <c r="AR1764">
        <f>HYPERLINK("http://catalog.hathitrust.org/Record/000468571","HathiTrust Record")</f>
        <v/>
      </c>
      <c r="AS1764">
        <f>HYPERLINK("https://creighton-primo.hosted.exlibrisgroup.com/primo-explore/search?tab=default_tab&amp;search_scope=EVERYTHING&amp;vid=01CRU&amp;lang=en_US&amp;offset=0&amp;query=any,contains,991003595639702656","Catalog Record")</f>
        <v/>
      </c>
      <c r="AT1764">
        <f>HYPERLINK("http://www.worldcat.org/oclc/1175639","WorldCat Record")</f>
        <v/>
      </c>
      <c r="AU1764" t="inlineStr">
        <is>
          <t>4412671:eng</t>
        </is>
      </c>
      <c r="AV1764" t="inlineStr">
        <is>
          <t>1175639</t>
        </is>
      </c>
      <c r="AW1764" t="inlineStr">
        <is>
          <t>991003595639702656</t>
        </is>
      </c>
      <c r="AX1764" t="inlineStr">
        <is>
          <t>991003595639702656</t>
        </is>
      </c>
      <c r="AY1764" t="inlineStr">
        <is>
          <t>2271930390002656</t>
        </is>
      </c>
      <c r="AZ1764" t="inlineStr">
        <is>
          <t>BOOK</t>
        </is>
      </c>
      <c r="BC1764" t="inlineStr">
        <is>
          <t>32285001796407</t>
        </is>
      </c>
      <c r="BD1764" t="inlineStr">
        <is>
          <t>893686697</t>
        </is>
      </c>
    </row>
    <row r="1765">
      <c r="A1765" t="inlineStr">
        <is>
          <t>No</t>
        </is>
      </c>
      <c r="B1765" t="inlineStr">
        <is>
          <t>E748.V68 L58 2001</t>
        </is>
      </c>
      <c r="C1765" t="inlineStr">
        <is>
          <t>0                      E  0748000V  68                 L  58          2001</t>
        </is>
      </c>
      <c r="D1765" t="inlineStr">
        <is>
          <t>Swallowed by globalism : John M. Vorys and American foreign policy / Jeffery C. Livingston.</t>
        </is>
      </c>
      <c r="F1765" t="inlineStr">
        <is>
          <t>No</t>
        </is>
      </c>
      <c r="G1765" t="inlineStr">
        <is>
          <t>1</t>
        </is>
      </c>
      <c r="H1765" t="inlineStr">
        <is>
          <t>No</t>
        </is>
      </c>
      <c r="I1765" t="inlineStr">
        <is>
          <t>No</t>
        </is>
      </c>
      <c r="J1765" t="inlineStr">
        <is>
          <t>0</t>
        </is>
      </c>
      <c r="K1765" t="inlineStr">
        <is>
          <t>Livingston, Jeffery C.</t>
        </is>
      </c>
      <c r="L1765" t="inlineStr">
        <is>
          <t>Lanham, Md. : University Press of America, c2001.</t>
        </is>
      </c>
      <c r="M1765" t="inlineStr">
        <is>
          <t>2001</t>
        </is>
      </c>
      <c r="O1765" t="inlineStr">
        <is>
          <t>eng</t>
        </is>
      </c>
      <c r="P1765" t="inlineStr">
        <is>
          <t>mdu</t>
        </is>
      </c>
      <c r="R1765" t="inlineStr">
        <is>
          <t xml:space="preserve">E  </t>
        </is>
      </c>
      <c r="S1765" t="n">
        <v>1</v>
      </c>
      <c r="T1765" t="n">
        <v>1</v>
      </c>
      <c r="U1765" t="inlineStr">
        <is>
          <t>2002-09-30</t>
        </is>
      </c>
      <c r="V1765" t="inlineStr">
        <is>
          <t>2002-09-30</t>
        </is>
      </c>
      <c r="W1765" t="inlineStr">
        <is>
          <t>2002-09-30</t>
        </is>
      </c>
      <c r="X1765" t="inlineStr">
        <is>
          <t>2002-09-30</t>
        </is>
      </c>
      <c r="Y1765" t="n">
        <v>138</v>
      </c>
      <c r="Z1765" t="n">
        <v>123</v>
      </c>
      <c r="AA1765" t="n">
        <v>125</v>
      </c>
      <c r="AB1765" t="n">
        <v>2</v>
      </c>
      <c r="AC1765" t="n">
        <v>2</v>
      </c>
      <c r="AD1765" t="n">
        <v>7</v>
      </c>
      <c r="AE1765" t="n">
        <v>7</v>
      </c>
      <c r="AF1765" t="n">
        <v>1</v>
      </c>
      <c r="AG1765" t="n">
        <v>1</v>
      </c>
      <c r="AH1765" t="n">
        <v>2</v>
      </c>
      <c r="AI1765" t="n">
        <v>2</v>
      </c>
      <c r="AJ1765" t="n">
        <v>5</v>
      </c>
      <c r="AK1765" t="n">
        <v>5</v>
      </c>
      <c r="AL1765" t="n">
        <v>1</v>
      </c>
      <c r="AM1765" t="n">
        <v>1</v>
      </c>
      <c r="AN1765" t="n">
        <v>0</v>
      </c>
      <c r="AO1765" t="n">
        <v>0</v>
      </c>
      <c r="AP1765" t="inlineStr">
        <is>
          <t>No</t>
        </is>
      </c>
      <c r="AQ1765" t="inlineStr">
        <is>
          <t>Yes</t>
        </is>
      </c>
      <c r="AR1765">
        <f>HYPERLINK("http://catalog.hathitrust.org/Record/004170493","HathiTrust Record")</f>
        <v/>
      </c>
      <c r="AS1765">
        <f>HYPERLINK("https://creighton-primo.hosted.exlibrisgroup.com/primo-explore/search?tab=default_tab&amp;search_scope=EVERYTHING&amp;vid=01CRU&amp;lang=en_US&amp;offset=0&amp;query=any,contains,991003856689702656","Catalog Record")</f>
        <v/>
      </c>
      <c r="AT1765">
        <f>HYPERLINK("http://www.worldcat.org/oclc/46320925","WorldCat Record")</f>
        <v/>
      </c>
      <c r="AU1765" t="inlineStr">
        <is>
          <t>203113508:eng</t>
        </is>
      </c>
      <c r="AV1765" t="inlineStr">
        <is>
          <t>46320925</t>
        </is>
      </c>
      <c r="AW1765" t="inlineStr">
        <is>
          <t>991003856689702656</t>
        </is>
      </c>
      <c r="AX1765" t="inlineStr">
        <is>
          <t>991003856689702656</t>
        </is>
      </c>
      <c r="AY1765" t="inlineStr">
        <is>
          <t>2255345230002656</t>
        </is>
      </c>
      <c r="AZ1765" t="inlineStr">
        <is>
          <t>BOOK</t>
        </is>
      </c>
      <c r="BB1765" t="inlineStr">
        <is>
          <t>9780761819851</t>
        </is>
      </c>
      <c r="BC1765" t="inlineStr">
        <is>
          <t>32285004649942</t>
        </is>
      </c>
      <c r="BD1765" t="inlineStr">
        <is>
          <t>893617871</t>
        </is>
      </c>
    </row>
    <row r="1766">
      <c r="A1766" t="inlineStr">
        <is>
          <t>No</t>
        </is>
      </c>
      <c r="B1766" t="inlineStr">
        <is>
          <t>E748.W23 M3</t>
        </is>
      </c>
      <c r="C1766" t="inlineStr">
        <is>
          <t>0                      E  0748000W  23                 M  3</t>
        </is>
      </c>
      <c r="D1766" t="inlineStr">
        <is>
          <t>Henry Wallace, the man and the myth.</t>
        </is>
      </c>
      <c r="F1766" t="inlineStr">
        <is>
          <t>No</t>
        </is>
      </c>
      <c r="G1766" t="inlineStr">
        <is>
          <t>1</t>
        </is>
      </c>
      <c r="H1766" t="inlineStr">
        <is>
          <t>No</t>
        </is>
      </c>
      <c r="I1766" t="inlineStr">
        <is>
          <t>No</t>
        </is>
      </c>
      <c r="J1766" t="inlineStr">
        <is>
          <t>0</t>
        </is>
      </c>
      <c r="K1766" t="inlineStr">
        <is>
          <t>Macdonald, Dwight.</t>
        </is>
      </c>
      <c r="L1766" t="inlineStr">
        <is>
          <t>New York, Vanguard Press [1948]</t>
        </is>
      </c>
      <c r="M1766" t="inlineStr">
        <is>
          <t>1948</t>
        </is>
      </c>
      <c r="O1766" t="inlineStr">
        <is>
          <t>eng</t>
        </is>
      </c>
      <c r="P1766" t="inlineStr">
        <is>
          <t>nyu</t>
        </is>
      </c>
      <c r="R1766" t="inlineStr">
        <is>
          <t xml:space="preserve">E  </t>
        </is>
      </c>
      <c r="S1766" t="n">
        <v>3</v>
      </c>
      <c r="T1766" t="n">
        <v>3</v>
      </c>
      <c r="U1766" t="inlineStr">
        <is>
          <t>1999-05-10</t>
        </is>
      </c>
      <c r="V1766" t="inlineStr">
        <is>
          <t>1999-05-10</t>
        </is>
      </c>
      <c r="W1766" t="inlineStr">
        <is>
          <t>1997-04-24</t>
        </is>
      </c>
      <c r="X1766" t="inlineStr">
        <is>
          <t>1997-04-24</t>
        </is>
      </c>
      <c r="Y1766" t="n">
        <v>426</v>
      </c>
      <c r="Z1766" t="n">
        <v>399</v>
      </c>
      <c r="AA1766" t="n">
        <v>445</v>
      </c>
      <c r="AB1766" t="n">
        <v>4</v>
      </c>
      <c r="AC1766" t="n">
        <v>4</v>
      </c>
      <c r="AD1766" t="n">
        <v>17</v>
      </c>
      <c r="AE1766" t="n">
        <v>23</v>
      </c>
      <c r="AF1766" t="n">
        <v>10</v>
      </c>
      <c r="AG1766" t="n">
        <v>11</v>
      </c>
      <c r="AH1766" t="n">
        <v>3</v>
      </c>
      <c r="AI1766" t="n">
        <v>5</v>
      </c>
      <c r="AJ1766" t="n">
        <v>9</v>
      </c>
      <c r="AK1766" t="n">
        <v>13</v>
      </c>
      <c r="AL1766" t="n">
        <v>2</v>
      </c>
      <c r="AM1766" t="n">
        <v>2</v>
      </c>
      <c r="AN1766" t="n">
        <v>0</v>
      </c>
      <c r="AO1766" t="n">
        <v>0</v>
      </c>
      <c r="AP1766" t="inlineStr">
        <is>
          <t>No</t>
        </is>
      </c>
      <c r="AQ1766" t="inlineStr">
        <is>
          <t>No</t>
        </is>
      </c>
      <c r="AS1766">
        <f>HYPERLINK("https://creighton-primo.hosted.exlibrisgroup.com/primo-explore/search?tab=default_tab&amp;search_scope=EVERYTHING&amp;vid=01CRU&amp;lang=en_US&amp;offset=0&amp;query=any,contains,991003034999702656","Catalog Record")</f>
        <v/>
      </c>
      <c r="AT1766">
        <f>HYPERLINK("http://www.worldcat.org/oclc/597926","WorldCat Record")</f>
        <v/>
      </c>
      <c r="AU1766" t="inlineStr">
        <is>
          <t>14882137:eng</t>
        </is>
      </c>
      <c r="AV1766" t="inlineStr">
        <is>
          <t>597926</t>
        </is>
      </c>
      <c r="AW1766" t="inlineStr">
        <is>
          <t>991003034999702656</t>
        </is>
      </c>
      <c r="AX1766" t="inlineStr">
        <is>
          <t>991003034999702656</t>
        </is>
      </c>
      <c r="AY1766" t="inlineStr">
        <is>
          <t>2271591770002656</t>
        </is>
      </c>
      <c r="AZ1766" t="inlineStr">
        <is>
          <t>BOOK</t>
        </is>
      </c>
      <c r="BC1766" t="inlineStr">
        <is>
          <t>32285002564721</t>
        </is>
      </c>
      <c r="BD1766" t="inlineStr">
        <is>
          <t>893721768</t>
        </is>
      </c>
    </row>
    <row r="1767">
      <c r="A1767" t="inlineStr">
        <is>
          <t>No</t>
        </is>
      </c>
      <c r="B1767" t="inlineStr">
        <is>
          <t>E748.W54 S7</t>
        </is>
      </c>
      <c r="C1767" t="inlineStr">
        <is>
          <t>0                      E  0748000W  54                 S  7</t>
        </is>
      </c>
      <c r="D1767" t="inlineStr">
        <is>
          <t>The making of a political leader; Kenneth S. Wherry and the United States Senate, by Marvin E. Stromer.</t>
        </is>
      </c>
      <c r="F1767" t="inlineStr">
        <is>
          <t>No</t>
        </is>
      </c>
      <c r="G1767" t="inlineStr">
        <is>
          <t>1</t>
        </is>
      </c>
      <c r="H1767" t="inlineStr">
        <is>
          <t>No</t>
        </is>
      </c>
      <c r="I1767" t="inlineStr">
        <is>
          <t>No</t>
        </is>
      </c>
      <c r="J1767" t="inlineStr">
        <is>
          <t>0</t>
        </is>
      </c>
      <c r="K1767" t="inlineStr">
        <is>
          <t>Stromer, Marvin E. (Marvin Edward), 1933-</t>
        </is>
      </c>
      <c r="L1767" t="inlineStr">
        <is>
          <t>Lincoln, University of Nebraska Press [1969]</t>
        </is>
      </c>
      <c r="M1767" t="inlineStr">
        <is>
          <t>1969</t>
        </is>
      </c>
      <c r="O1767" t="inlineStr">
        <is>
          <t>eng</t>
        </is>
      </c>
      <c r="P1767" t="inlineStr">
        <is>
          <t>nbu</t>
        </is>
      </c>
      <c r="R1767" t="inlineStr">
        <is>
          <t xml:space="preserve">E  </t>
        </is>
      </c>
      <c r="S1767" t="n">
        <v>1</v>
      </c>
      <c r="T1767" t="n">
        <v>1</v>
      </c>
      <c r="U1767" t="inlineStr">
        <is>
          <t>2002-02-10</t>
        </is>
      </c>
      <c r="V1767" t="inlineStr">
        <is>
          <t>2002-02-10</t>
        </is>
      </c>
      <c r="W1767" t="inlineStr">
        <is>
          <t>1997-04-24</t>
        </is>
      </c>
      <c r="X1767" t="inlineStr">
        <is>
          <t>1997-04-24</t>
        </is>
      </c>
      <c r="Y1767" t="n">
        <v>342</v>
      </c>
      <c r="Z1767" t="n">
        <v>317</v>
      </c>
      <c r="AA1767" t="n">
        <v>325</v>
      </c>
      <c r="AB1767" t="n">
        <v>13</v>
      </c>
      <c r="AC1767" t="n">
        <v>13</v>
      </c>
      <c r="AD1767" t="n">
        <v>20</v>
      </c>
      <c r="AE1767" t="n">
        <v>20</v>
      </c>
      <c r="AF1767" t="n">
        <v>3</v>
      </c>
      <c r="AG1767" t="n">
        <v>3</v>
      </c>
      <c r="AH1767" t="n">
        <v>5</v>
      </c>
      <c r="AI1767" t="n">
        <v>5</v>
      </c>
      <c r="AJ1767" t="n">
        <v>4</v>
      </c>
      <c r="AK1767" t="n">
        <v>4</v>
      </c>
      <c r="AL1767" t="n">
        <v>9</v>
      </c>
      <c r="AM1767" t="n">
        <v>9</v>
      </c>
      <c r="AN1767" t="n">
        <v>1</v>
      </c>
      <c r="AO1767" t="n">
        <v>1</v>
      </c>
      <c r="AP1767" t="inlineStr">
        <is>
          <t>No</t>
        </is>
      </c>
      <c r="AQ1767" t="inlineStr">
        <is>
          <t>Yes</t>
        </is>
      </c>
      <c r="AR1767">
        <f>HYPERLINK("http://catalog.hathitrust.org/Record/000468106","HathiTrust Record")</f>
        <v/>
      </c>
      <c r="AS1767">
        <f>HYPERLINK("https://creighton-primo.hosted.exlibrisgroup.com/primo-explore/search?tab=default_tab&amp;search_scope=EVERYTHING&amp;vid=01CRU&amp;lang=en_US&amp;offset=0&amp;query=any,contains,991000046179702656","Catalog Record")</f>
        <v/>
      </c>
      <c r="AT1767">
        <f>HYPERLINK("http://www.worldcat.org/oclc/22483","WorldCat Record")</f>
        <v/>
      </c>
      <c r="AU1767" t="inlineStr">
        <is>
          <t>1144720:eng</t>
        </is>
      </c>
      <c r="AV1767" t="inlineStr">
        <is>
          <t>22483</t>
        </is>
      </c>
      <c r="AW1767" t="inlineStr">
        <is>
          <t>991000046179702656</t>
        </is>
      </c>
      <c r="AX1767" t="inlineStr">
        <is>
          <t>991000046179702656</t>
        </is>
      </c>
      <c r="AY1767" t="inlineStr">
        <is>
          <t>2268252440002656</t>
        </is>
      </c>
      <c r="AZ1767" t="inlineStr">
        <is>
          <t>BOOK</t>
        </is>
      </c>
      <c r="BC1767" t="inlineStr">
        <is>
          <t>32285002564754</t>
        </is>
      </c>
      <c r="BD1767" t="inlineStr">
        <is>
          <t>893413026</t>
        </is>
      </c>
    </row>
    <row r="1768">
      <c r="A1768" t="inlineStr">
        <is>
          <t>No</t>
        </is>
      </c>
      <c r="B1768" t="inlineStr">
        <is>
          <t>E756 .H65</t>
        </is>
      </c>
      <c r="C1768" t="inlineStr">
        <is>
          <t>0                      E  0756000H  65</t>
        </is>
      </c>
      <c r="D1768" t="inlineStr">
        <is>
          <t>Roosevelt and the Caribbean / by Howard C. Hill.</t>
        </is>
      </c>
      <c r="F1768" t="inlineStr">
        <is>
          <t>No</t>
        </is>
      </c>
      <c r="G1768" t="inlineStr">
        <is>
          <t>1</t>
        </is>
      </c>
      <c r="H1768" t="inlineStr">
        <is>
          <t>No</t>
        </is>
      </c>
      <c r="I1768" t="inlineStr">
        <is>
          <t>No</t>
        </is>
      </c>
      <c r="J1768" t="inlineStr">
        <is>
          <t>0</t>
        </is>
      </c>
      <c r="K1768" t="inlineStr">
        <is>
          <t>Hill, Howard C. (Howard Copeland), 1878-1940.</t>
        </is>
      </c>
      <c r="L1768" t="inlineStr">
        <is>
          <t>Chicago, Ill. : The University of Chicago Press, [c1927]</t>
        </is>
      </c>
      <c r="M1768" t="inlineStr">
        <is>
          <t>1927</t>
        </is>
      </c>
      <c r="O1768" t="inlineStr">
        <is>
          <t>eng</t>
        </is>
      </c>
      <c r="P1768" t="inlineStr">
        <is>
          <t>ilu</t>
        </is>
      </c>
      <c r="R1768" t="inlineStr">
        <is>
          <t xml:space="preserve">E  </t>
        </is>
      </c>
      <c r="S1768" t="n">
        <v>6</v>
      </c>
      <c r="T1768" t="n">
        <v>6</v>
      </c>
      <c r="U1768" t="inlineStr">
        <is>
          <t>1992-09-24</t>
        </is>
      </c>
      <c r="V1768" t="inlineStr">
        <is>
          <t>1992-09-24</t>
        </is>
      </c>
      <c r="W1768" t="inlineStr">
        <is>
          <t>1990-02-16</t>
        </is>
      </c>
      <c r="X1768" t="inlineStr">
        <is>
          <t>1990-02-16</t>
        </is>
      </c>
      <c r="Y1768" t="n">
        <v>391</v>
      </c>
      <c r="Z1768" t="n">
        <v>359</v>
      </c>
      <c r="AA1768" t="n">
        <v>695</v>
      </c>
      <c r="AB1768" t="n">
        <v>3</v>
      </c>
      <c r="AC1768" t="n">
        <v>5</v>
      </c>
      <c r="AD1768" t="n">
        <v>14</v>
      </c>
      <c r="AE1768" t="n">
        <v>30</v>
      </c>
      <c r="AF1768" t="n">
        <v>4</v>
      </c>
      <c r="AG1768" t="n">
        <v>12</v>
      </c>
      <c r="AH1768" t="n">
        <v>5</v>
      </c>
      <c r="AI1768" t="n">
        <v>8</v>
      </c>
      <c r="AJ1768" t="n">
        <v>6</v>
      </c>
      <c r="AK1768" t="n">
        <v>13</v>
      </c>
      <c r="AL1768" t="n">
        <v>2</v>
      </c>
      <c r="AM1768" t="n">
        <v>4</v>
      </c>
      <c r="AN1768" t="n">
        <v>0</v>
      </c>
      <c r="AO1768" t="n">
        <v>0</v>
      </c>
      <c r="AP1768" t="inlineStr">
        <is>
          <t>No</t>
        </is>
      </c>
      <c r="AQ1768" t="inlineStr">
        <is>
          <t>Yes</t>
        </is>
      </c>
      <c r="AR1768">
        <f>HYPERLINK("http://catalog.hathitrust.org/Record/000576111","HathiTrust Record")</f>
        <v/>
      </c>
      <c r="AS1768">
        <f>HYPERLINK("https://creighton-primo.hosted.exlibrisgroup.com/primo-explore/search?tab=default_tab&amp;search_scope=EVERYTHING&amp;vid=01CRU&amp;lang=en_US&amp;offset=0&amp;query=any,contains,991003717059702656","Catalog Record")</f>
        <v/>
      </c>
      <c r="AT1768">
        <f>HYPERLINK("http://www.worldcat.org/oclc/1362826","WorldCat Record")</f>
        <v/>
      </c>
      <c r="AU1768" t="inlineStr">
        <is>
          <t>1524195:eng</t>
        </is>
      </c>
      <c r="AV1768" t="inlineStr">
        <is>
          <t>1362826</t>
        </is>
      </c>
      <c r="AW1768" t="inlineStr">
        <is>
          <t>991003717059702656</t>
        </is>
      </c>
      <c r="AX1768" t="inlineStr">
        <is>
          <t>991003717059702656</t>
        </is>
      </c>
      <c r="AY1768" t="inlineStr">
        <is>
          <t>2258905770002656</t>
        </is>
      </c>
      <c r="AZ1768" t="inlineStr">
        <is>
          <t>BOOK</t>
        </is>
      </c>
      <c r="BC1768" t="inlineStr">
        <is>
          <t>32285000042308</t>
        </is>
      </c>
      <c r="BD1768" t="inlineStr">
        <is>
          <t>893512273</t>
        </is>
      </c>
    </row>
    <row r="1769">
      <c r="A1769" t="inlineStr">
        <is>
          <t>No</t>
        </is>
      </c>
      <c r="B1769" t="inlineStr">
        <is>
          <t>E756 .M37</t>
        </is>
      </c>
      <c r="C1769" t="inlineStr">
        <is>
          <t>0                      E  0756000M  37</t>
        </is>
      </c>
      <c r="D1769" t="inlineStr">
        <is>
          <t>Velvet on iron : the diplomacy of Theodore Roosevelt / Frederick W. Marks III.</t>
        </is>
      </c>
      <c r="F1769" t="inlineStr">
        <is>
          <t>No</t>
        </is>
      </c>
      <c r="G1769" t="inlineStr">
        <is>
          <t>1</t>
        </is>
      </c>
      <c r="H1769" t="inlineStr">
        <is>
          <t>No</t>
        </is>
      </c>
      <c r="I1769" t="inlineStr">
        <is>
          <t>No</t>
        </is>
      </c>
      <c r="J1769" t="inlineStr">
        <is>
          <t>0</t>
        </is>
      </c>
      <c r="K1769" t="inlineStr">
        <is>
          <t>Marks, Frederick W.</t>
        </is>
      </c>
      <c r="L1769" t="inlineStr">
        <is>
          <t>Lincoln : University of Nebraska Press, c1979.</t>
        </is>
      </c>
      <c r="M1769" t="inlineStr">
        <is>
          <t>1979</t>
        </is>
      </c>
      <c r="O1769" t="inlineStr">
        <is>
          <t>eng</t>
        </is>
      </c>
      <c r="P1769" t="inlineStr">
        <is>
          <t>nbu</t>
        </is>
      </c>
      <c r="R1769" t="inlineStr">
        <is>
          <t xml:space="preserve">E  </t>
        </is>
      </c>
      <c r="S1769" t="n">
        <v>1</v>
      </c>
      <c r="T1769" t="n">
        <v>1</v>
      </c>
      <c r="U1769" t="inlineStr">
        <is>
          <t>1993-08-24</t>
        </is>
      </c>
      <c r="V1769" t="inlineStr">
        <is>
          <t>1993-08-24</t>
        </is>
      </c>
      <c r="W1769" t="inlineStr">
        <is>
          <t>1991-06-04</t>
        </is>
      </c>
      <c r="X1769" t="inlineStr">
        <is>
          <t>1991-06-04</t>
        </is>
      </c>
      <c r="Y1769" t="n">
        <v>949</v>
      </c>
      <c r="Z1769" t="n">
        <v>854</v>
      </c>
      <c r="AA1769" t="n">
        <v>856</v>
      </c>
      <c r="AB1769" t="n">
        <v>9</v>
      </c>
      <c r="AC1769" t="n">
        <v>9</v>
      </c>
      <c r="AD1769" t="n">
        <v>42</v>
      </c>
      <c r="AE1769" t="n">
        <v>42</v>
      </c>
      <c r="AF1769" t="n">
        <v>18</v>
      </c>
      <c r="AG1769" t="n">
        <v>18</v>
      </c>
      <c r="AH1769" t="n">
        <v>9</v>
      </c>
      <c r="AI1769" t="n">
        <v>9</v>
      </c>
      <c r="AJ1769" t="n">
        <v>21</v>
      </c>
      <c r="AK1769" t="n">
        <v>21</v>
      </c>
      <c r="AL1769" t="n">
        <v>7</v>
      </c>
      <c r="AM1769" t="n">
        <v>7</v>
      </c>
      <c r="AN1769" t="n">
        <v>0</v>
      </c>
      <c r="AO1769" t="n">
        <v>0</v>
      </c>
      <c r="AP1769" t="inlineStr">
        <is>
          <t>No</t>
        </is>
      </c>
      <c r="AQ1769" t="inlineStr">
        <is>
          <t>Yes</t>
        </is>
      </c>
      <c r="AR1769">
        <f>HYPERLINK("http://catalog.hathitrust.org/Record/000260600","HathiTrust Record")</f>
        <v/>
      </c>
      <c r="AS1769">
        <f>HYPERLINK("https://creighton-primo.hosted.exlibrisgroup.com/primo-explore/search?tab=default_tab&amp;search_scope=EVERYTHING&amp;vid=01CRU&amp;lang=en_US&amp;offset=0&amp;query=any,contains,991004700219702656","Catalog Record")</f>
        <v/>
      </c>
      <c r="AT1769">
        <f>HYPERLINK("http://www.worldcat.org/oclc/4665546","WorldCat Record")</f>
        <v/>
      </c>
      <c r="AU1769" t="inlineStr">
        <is>
          <t>8909314540:eng</t>
        </is>
      </c>
      <c r="AV1769" t="inlineStr">
        <is>
          <t>4665546</t>
        </is>
      </c>
      <c r="AW1769" t="inlineStr">
        <is>
          <t>991004700219702656</t>
        </is>
      </c>
      <c r="AX1769" t="inlineStr">
        <is>
          <t>991004700219702656</t>
        </is>
      </c>
      <c r="AY1769" t="inlineStr">
        <is>
          <t>2259510400002656</t>
        </is>
      </c>
      <c r="AZ1769" t="inlineStr">
        <is>
          <t>BOOK</t>
        </is>
      </c>
      <c r="BB1769" t="inlineStr">
        <is>
          <t>9780803230576</t>
        </is>
      </c>
      <c r="BC1769" t="inlineStr">
        <is>
          <t>32285000613728</t>
        </is>
      </c>
      <c r="BD1769" t="inlineStr">
        <is>
          <t>893801238</t>
        </is>
      </c>
    </row>
    <row r="1770">
      <c r="A1770" t="inlineStr">
        <is>
          <t>No</t>
        </is>
      </c>
      <c r="B1770" t="inlineStr">
        <is>
          <t>E756 .M56</t>
        </is>
      </c>
      <c r="C1770" t="inlineStr">
        <is>
          <t>0                      E  0756000M  56</t>
        </is>
      </c>
      <c r="D1770" t="inlineStr">
        <is>
          <t>William Howard Taft and United States foreign policy : the apprenticeship years, 1900-1908 / Ralph Eldin Minger.</t>
        </is>
      </c>
      <c r="F1770" t="inlineStr">
        <is>
          <t>No</t>
        </is>
      </c>
      <c r="G1770" t="inlineStr">
        <is>
          <t>1</t>
        </is>
      </c>
      <c r="H1770" t="inlineStr">
        <is>
          <t>No</t>
        </is>
      </c>
      <c r="I1770" t="inlineStr">
        <is>
          <t>No</t>
        </is>
      </c>
      <c r="J1770" t="inlineStr">
        <is>
          <t>0</t>
        </is>
      </c>
      <c r="K1770" t="inlineStr">
        <is>
          <t>Minger, Ralph Eldin, 1925-</t>
        </is>
      </c>
      <c r="L1770" t="inlineStr">
        <is>
          <t>Urbana : University of Illinois Press, [1975]</t>
        </is>
      </c>
      <c r="M1770" t="inlineStr">
        <is>
          <t>1975</t>
        </is>
      </c>
      <c r="O1770" t="inlineStr">
        <is>
          <t>eng</t>
        </is>
      </c>
      <c r="P1770" t="inlineStr">
        <is>
          <t>ilu</t>
        </is>
      </c>
      <c r="R1770" t="inlineStr">
        <is>
          <t xml:space="preserve">E  </t>
        </is>
      </c>
      <c r="S1770" t="n">
        <v>2</v>
      </c>
      <c r="T1770" t="n">
        <v>2</v>
      </c>
      <c r="U1770" t="inlineStr">
        <is>
          <t>2004-11-27</t>
        </is>
      </c>
      <c r="V1770" t="inlineStr">
        <is>
          <t>2004-11-27</t>
        </is>
      </c>
      <c r="W1770" t="inlineStr">
        <is>
          <t>1997-04-24</t>
        </is>
      </c>
      <c r="X1770" t="inlineStr">
        <is>
          <t>1997-04-24</t>
        </is>
      </c>
      <c r="Y1770" t="n">
        <v>590</v>
      </c>
      <c r="Z1770" t="n">
        <v>501</v>
      </c>
      <c r="AA1770" t="n">
        <v>507</v>
      </c>
      <c r="AB1770" t="n">
        <v>4</v>
      </c>
      <c r="AC1770" t="n">
        <v>4</v>
      </c>
      <c r="AD1770" t="n">
        <v>33</v>
      </c>
      <c r="AE1770" t="n">
        <v>33</v>
      </c>
      <c r="AF1770" t="n">
        <v>11</v>
      </c>
      <c r="AG1770" t="n">
        <v>11</v>
      </c>
      <c r="AH1770" t="n">
        <v>9</v>
      </c>
      <c r="AI1770" t="n">
        <v>9</v>
      </c>
      <c r="AJ1770" t="n">
        <v>19</v>
      </c>
      <c r="AK1770" t="n">
        <v>19</v>
      </c>
      <c r="AL1770" t="n">
        <v>3</v>
      </c>
      <c r="AM1770" t="n">
        <v>3</v>
      </c>
      <c r="AN1770" t="n">
        <v>2</v>
      </c>
      <c r="AO1770" t="n">
        <v>2</v>
      </c>
      <c r="AP1770" t="inlineStr">
        <is>
          <t>No</t>
        </is>
      </c>
      <c r="AQ1770" t="inlineStr">
        <is>
          <t>Yes</t>
        </is>
      </c>
      <c r="AR1770">
        <f>HYPERLINK("http://catalog.hathitrust.org/Record/000025788","HathiTrust Record")</f>
        <v/>
      </c>
      <c r="AS1770">
        <f>HYPERLINK("https://creighton-primo.hosted.exlibrisgroup.com/primo-explore/search?tab=default_tab&amp;search_scope=EVERYTHING&amp;vid=01CRU&amp;lang=en_US&amp;offset=0&amp;query=any,contains,991003651429702656","Catalog Record")</f>
        <v/>
      </c>
      <c r="AT1770">
        <f>HYPERLINK("http://www.worldcat.org/oclc/1255034","WorldCat Record")</f>
        <v/>
      </c>
      <c r="AU1770" t="inlineStr">
        <is>
          <t>118127695:eng</t>
        </is>
      </c>
      <c r="AV1770" t="inlineStr">
        <is>
          <t>1255034</t>
        </is>
      </c>
      <c r="AW1770" t="inlineStr">
        <is>
          <t>991003651429702656</t>
        </is>
      </c>
      <c r="AX1770" t="inlineStr">
        <is>
          <t>991003651429702656</t>
        </is>
      </c>
      <c r="AY1770" t="inlineStr">
        <is>
          <t>2258455760002656</t>
        </is>
      </c>
      <c r="AZ1770" t="inlineStr">
        <is>
          <t>BOOK</t>
        </is>
      </c>
      <c r="BB1770" t="inlineStr">
        <is>
          <t>9780252004278</t>
        </is>
      </c>
      <c r="BC1770" t="inlineStr">
        <is>
          <t>32285002564853</t>
        </is>
      </c>
      <c r="BD1770" t="inlineStr">
        <is>
          <t>893605044</t>
        </is>
      </c>
    </row>
    <row r="1771">
      <c r="A1771" t="inlineStr">
        <is>
          <t>No</t>
        </is>
      </c>
      <c r="B1771" t="inlineStr">
        <is>
          <t>E757 .C655 1989</t>
        </is>
      </c>
      <c r="C1771" t="inlineStr">
        <is>
          <t>0                      E  0757000C  655         1989</t>
        </is>
      </c>
      <c r="D1771" t="inlineStr">
        <is>
          <t>That damned cowboy : Theodore Roosevelt and the American West, 1883-1898 / Michael L. Collins.</t>
        </is>
      </c>
      <c r="F1771" t="inlineStr">
        <is>
          <t>No</t>
        </is>
      </c>
      <c r="G1771" t="inlineStr">
        <is>
          <t>1</t>
        </is>
      </c>
      <c r="H1771" t="inlineStr">
        <is>
          <t>No</t>
        </is>
      </c>
      <c r="I1771" t="inlineStr">
        <is>
          <t>No</t>
        </is>
      </c>
      <c r="J1771" t="inlineStr">
        <is>
          <t>0</t>
        </is>
      </c>
      <c r="K1771" t="inlineStr">
        <is>
          <t>Collins, Michael L., 1950-</t>
        </is>
      </c>
      <c r="L1771" t="inlineStr">
        <is>
          <t>New York : P. Lang, c1989.</t>
        </is>
      </c>
      <c r="M1771" t="inlineStr">
        <is>
          <t>1989</t>
        </is>
      </c>
      <c r="O1771" t="inlineStr">
        <is>
          <t>eng</t>
        </is>
      </c>
      <c r="P1771" t="inlineStr">
        <is>
          <t>nyu</t>
        </is>
      </c>
      <c r="Q1771" t="inlineStr">
        <is>
          <t>Recent American history ; v. 2</t>
        </is>
      </c>
      <c r="R1771" t="inlineStr">
        <is>
          <t xml:space="preserve">E  </t>
        </is>
      </c>
      <c r="S1771" t="n">
        <v>4</v>
      </c>
      <c r="T1771" t="n">
        <v>4</v>
      </c>
      <c r="U1771" t="inlineStr">
        <is>
          <t>2000-09-28</t>
        </is>
      </c>
      <c r="V1771" t="inlineStr">
        <is>
          <t>2000-09-28</t>
        </is>
      </c>
      <c r="W1771" t="inlineStr">
        <is>
          <t>1990-12-17</t>
        </is>
      </c>
      <c r="X1771" t="inlineStr">
        <is>
          <t>1990-12-17</t>
        </is>
      </c>
      <c r="Y1771" t="n">
        <v>369</v>
      </c>
      <c r="Z1771" t="n">
        <v>335</v>
      </c>
      <c r="AA1771" t="n">
        <v>354</v>
      </c>
      <c r="AB1771" t="n">
        <v>4</v>
      </c>
      <c r="AC1771" t="n">
        <v>5</v>
      </c>
      <c r="AD1771" t="n">
        <v>16</v>
      </c>
      <c r="AE1771" t="n">
        <v>18</v>
      </c>
      <c r="AF1771" t="n">
        <v>7</v>
      </c>
      <c r="AG1771" t="n">
        <v>7</v>
      </c>
      <c r="AH1771" t="n">
        <v>2</v>
      </c>
      <c r="AI1771" t="n">
        <v>3</v>
      </c>
      <c r="AJ1771" t="n">
        <v>8</v>
      </c>
      <c r="AK1771" t="n">
        <v>9</v>
      </c>
      <c r="AL1771" t="n">
        <v>3</v>
      </c>
      <c r="AM1771" t="n">
        <v>4</v>
      </c>
      <c r="AN1771" t="n">
        <v>0</v>
      </c>
      <c r="AO1771" t="n">
        <v>0</v>
      </c>
      <c r="AP1771" t="inlineStr">
        <is>
          <t>No</t>
        </is>
      </c>
      <c r="AQ1771" t="inlineStr">
        <is>
          <t>No</t>
        </is>
      </c>
      <c r="AS1771">
        <f>HYPERLINK("https://creighton-primo.hosted.exlibrisgroup.com/primo-explore/search?tab=default_tab&amp;search_scope=EVERYTHING&amp;vid=01CRU&amp;lang=en_US&amp;offset=0&amp;query=any,contains,991001351139702656","Catalog Record")</f>
        <v/>
      </c>
      <c r="AT1771">
        <f>HYPERLINK("http://www.worldcat.org/oclc/18442054","WorldCat Record")</f>
        <v/>
      </c>
      <c r="AU1771" t="inlineStr">
        <is>
          <t>17987068:eng</t>
        </is>
      </c>
      <c r="AV1771" t="inlineStr">
        <is>
          <t>18442054</t>
        </is>
      </c>
      <c r="AW1771" t="inlineStr">
        <is>
          <t>991001351139702656</t>
        </is>
      </c>
      <c r="AX1771" t="inlineStr">
        <is>
          <t>991001351139702656</t>
        </is>
      </c>
      <c r="AY1771" t="inlineStr">
        <is>
          <t>2269482690002656</t>
        </is>
      </c>
      <c r="AZ1771" t="inlineStr">
        <is>
          <t>BOOK</t>
        </is>
      </c>
      <c r="BB1771" t="inlineStr">
        <is>
          <t>9780820410043</t>
        </is>
      </c>
      <c r="BC1771" t="inlineStr">
        <is>
          <t>32285000359488</t>
        </is>
      </c>
      <c r="BD1771" t="inlineStr">
        <is>
          <t>893897726</t>
        </is>
      </c>
    </row>
    <row r="1772">
      <c r="A1772" t="inlineStr">
        <is>
          <t>No</t>
        </is>
      </c>
      <c r="B1772" t="inlineStr">
        <is>
          <t>E757 .D25</t>
        </is>
      </c>
      <c r="C1772" t="inlineStr">
        <is>
          <t>0                      E  0757000D  25</t>
        </is>
      </c>
      <c r="D1772" t="inlineStr">
        <is>
          <t>Released for publication : some inside political history of Theodore Roosevelt and his times, 1898-1918 / by Oscar King Davis ...</t>
        </is>
      </c>
      <c r="F1772" t="inlineStr">
        <is>
          <t>No</t>
        </is>
      </c>
      <c r="G1772" t="inlineStr">
        <is>
          <t>1</t>
        </is>
      </c>
      <c r="H1772" t="inlineStr">
        <is>
          <t>No</t>
        </is>
      </c>
      <c r="I1772" t="inlineStr">
        <is>
          <t>No</t>
        </is>
      </c>
      <c r="J1772" t="inlineStr">
        <is>
          <t>0</t>
        </is>
      </c>
      <c r="K1772" t="inlineStr">
        <is>
          <t>Davis, Oscar K. (Oscar King), 1866-1932.</t>
        </is>
      </c>
      <c r="L1772" t="inlineStr">
        <is>
          <t>Boston ; New York : Houghton Mifflin Company, 1925.</t>
        </is>
      </c>
      <c r="M1772" t="inlineStr">
        <is>
          <t>1925</t>
        </is>
      </c>
      <c r="O1772" t="inlineStr">
        <is>
          <t>eng</t>
        </is>
      </c>
      <c r="P1772" t="inlineStr">
        <is>
          <t>mau</t>
        </is>
      </c>
      <c r="R1772" t="inlineStr">
        <is>
          <t xml:space="preserve">E  </t>
        </is>
      </c>
      <c r="S1772" t="n">
        <v>2</v>
      </c>
      <c r="T1772" t="n">
        <v>2</v>
      </c>
      <c r="U1772" t="inlineStr">
        <is>
          <t>1993-10-27</t>
        </is>
      </c>
      <c r="V1772" t="inlineStr">
        <is>
          <t>1993-10-27</t>
        </is>
      </c>
      <c r="W1772" t="inlineStr">
        <is>
          <t>1993-10-27</t>
        </is>
      </c>
      <c r="X1772" t="inlineStr">
        <is>
          <t>1993-10-27</t>
        </is>
      </c>
      <c r="Y1772" t="n">
        <v>397</v>
      </c>
      <c r="Z1772" t="n">
        <v>370</v>
      </c>
      <c r="AA1772" t="n">
        <v>378</v>
      </c>
      <c r="AB1772" t="n">
        <v>3</v>
      </c>
      <c r="AC1772" t="n">
        <v>3</v>
      </c>
      <c r="AD1772" t="n">
        <v>19</v>
      </c>
      <c r="AE1772" t="n">
        <v>19</v>
      </c>
      <c r="AF1772" t="n">
        <v>5</v>
      </c>
      <c r="AG1772" t="n">
        <v>5</v>
      </c>
      <c r="AH1772" t="n">
        <v>3</v>
      </c>
      <c r="AI1772" t="n">
        <v>3</v>
      </c>
      <c r="AJ1772" t="n">
        <v>11</v>
      </c>
      <c r="AK1772" t="n">
        <v>11</v>
      </c>
      <c r="AL1772" t="n">
        <v>2</v>
      </c>
      <c r="AM1772" t="n">
        <v>2</v>
      </c>
      <c r="AN1772" t="n">
        <v>1</v>
      </c>
      <c r="AO1772" t="n">
        <v>1</v>
      </c>
      <c r="AP1772" t="inlineStr">
        <is>
          <t>Yes</t>
        </is>
      </c>
      <c r="AQ1772" t="inlineStr">
        <is>
          <t>No</t>
        </is>
      </c>
      <c r="AR1772">
        <f>HYPERLINK("http://catalog.hathitrust.org/Record/000577283","HathiTrust Record")</f>
        <v/>
      </c>
      <c r="AS1772">
        <f>HYPERLINK("https://creighton-primo.hosted.exlibrisgroup.com/primo-explore/search?tab=default_tab&amp;search_scope=EVERYTHING&amp;vid=01CRU&amp;lang=en_US&amp;offset=0&amp;query=any,contains,991003812339702656","Catalog Record")</f>
        <v/>
      </c>
      <c r="AT1772">
        <f>HYPERLINK("http://www.worldcat.org/oclc/1541078","WorldCat Record")</f>
        <v/>
      </c>
      <c r="AU1772" t="inlineStr">
        <is>
          <t>2435879:eng</t>
        </is>
      </c>
      <c r="AV1772" t="inlineStr">
        <is>
          <t>1541078</t>
        </is>
      </c>
      <c r="AW1772" t="inlineStr">
        <is>
          <t>991003812339702656</t>
        </is>
      </c>
      <c r="AX1772" t="inlineStr">
        <is>
          <t>991003812339702656</t>
        </is>
      </c>
      <c r="AY1772" t="inlineStr">
        <is>
          <t>2264865030002656</t>
        </is>
      </c>
      <c r="AZ1772" t="inlineStr">
        <is>
          <t>BOOK</t>
        </is>
      </c>
      <c r="BC1772" t="inlineStr">
        <is>
          <t>32285001795193</t>
        </is>
      </c>
      <c r="BD1772" t="inlineStr">
        <is>
          <t>893441780</t>
        </is>
      </c>
    </row>
    <row r="1773">
      <c r="A1773" t="inlineStr">
        <is>
          <t>No</t>
        </is>
      </c>
      <c r="B1773" t="inlineStr">
        <is>
          <t>E757 .G37</t>
        </is>
      </c>
      <c r="C1773" t="inlineStr">
        <is>
          <t>0                      E  0757000G  37</t>
        </is>
      </c>
      <c r="D1773" t="inlineStr">
        <is>
          <t>Theodore Roosevelt and the art of controversy; episodes of the White House years [by] Willard B. Gatewood, Jr.</t>
        </is>
      </c>
      <c r="F1773" t="inlineStr">
        <is>
          <t>No</t>
        </is>
      </c>
      <c r="G1773" t="inlineStr">
        <is>
          <t>1</t>
        </is>
      </c>
      <c r="H1773" t="inlineStr">
        <is>
          <t>No</t>
        </is>
      </c>
      <c r="I1773" t="inlineStr">
        <is>
          <t>No</t>
        </is>
      </c>
      <c r="J1773" t="inlineStr">
        <is>
          <t>0</t>
        </is>
      </c>
      <c r="K1773" t="inlineStr">
        <is>
          <t>Gatewood, Willard B., Jr. (Willard Badgett), 1931-</t>
        </is>
      </c>
      <c r="L1773" t="inlineStr">
        <is>
          <t>Baton Rouge, Louisiana State University Press [1970]</t>
        </is>
      </c>
      <c r="M1773" t="inlineStr">
        <is>
          <t>1970</t>
        </is>
      </c>
      <c r="O1773" t="inlineStr">
        <is>
          <t>eng</t>
        </is>
      </c>
      <c r="P1773" t="inlineStr">
        <is>
          <t>lau</t>
        </is>
      </c>
      <c r="R1773" t="inlineStr">
        <is>
          <t xml:space="preserve">E  </t>
        </is>
      </c>
      <c r="S1773" t="n">
        <v>3</v>
      </c>
      <c r="T1773" t="n">
        <v>3</v>
      </c>
      <c r="U1773" t="inlineStr">
        <is>
          <t>2004-11-16</t>
        </is>
      </c>
      <c r="V1773" t="inlineStr">
        <is>
          <t>2004-11-16</t>
        </is>
      </c>
      <c r="W1773" t="inlineStr">
        <is>
          <t>1997-04-24</t>
        </is>
      </c>
      <c r="X1773" t="inlineStr">
        <is>
          <t>1997-04-24</t>
        </is>
      </c>
      <c r="Y1773" t="n">
        <v>740</v>
      </c>
      <c r="Z1773" t="n">
        <v>688</v>
      </c>
      <c r="AA1773" t="n">
        <v>694</v>
      </c>
      <c r="AB1773" t="n">
        <v>7</v>
      </c>
      <c r="AC1773" t="n">
        <v>7</v>
      </c>
      <c r="AD1773" t="n">
        <v>36</v>
      </c>
      <c r="AE1773" t="n">
        <v>36</v>
      </c>
      <c r="AF1773" t="n">
        <v>17</v>
      </c>
      <c r="AG1773" t="n">
        <v>17</v>
      </c>
      <c r="AH1773" t="n">
        <v>8</v>
      </c>
      <c r="AI1773" t="n">
        <v>8</v>
      </c>
      <c r="AJ1773" t="n">
        <v>16</v>
      </c>
      <c r="AK1773" t="n">
        <v>16</v>
      </c>
      <c r="AL1773" t="n">
        <v>6</v>
      </c>
      <c r="AM1773" t="n">
        <v>6</v>
      </c>
      <c r="AN1773" t="n">
        <v>0</v>
      </c>
      <c r="AO1773" t="n">
        <v>0</v>
      </c>
      <c r="AP1773" t="inlineStr">
        <is>
          <t>No</t>
        </is>
      </c>
      <c r="AQ1773" t="inlineStr">
        <is>
          <t>Yes</t>
        </is>
      </c>
      <c r="AR1773">
        <f>HYPERLINK("http://catalog.hathitrust.org/Record/000577304","HathiTrust Record")</f>
        <v/>
      </c>
      <c r="AS1773">
        <f>HYPERLINK("https://creighton-primo.hosted.exlibrisgroup.com/primo-explore/search?tab=default_tab&amp;search_scope=EVERYTHING&amp;vid=01CRU&amp;lang=en_US&amp;offset=0&amp;query=any,contains,991000782539702656","Catalog Record")</f>
        <v/>
      </c>
      <c r="AT1773">
        <f>HYPERLINK("http://www.worldcat.org/oclc/135537","WorldCat Record")</f>
        <v/>
      </c>
      <c r="AU1773" t="inlineStr">
        <is>
          <t>1283287:eng</t>
        </is>
      </c>
      <c r="AV1773" t="inlineStr">
        <is>
          <t>135537</t>
        </is>
      </c>
      <c r="AW1773" t="inlineStr">
        <is>
          <t>991000782539702656</t>
        </is>
      </c>
      <c r="AX1773" t="inlineStr">
        <is>
          <t>991000782539702656</t>
        </is>
      </c>
      <c r="AY1773" t="inlineStr">
        <is>
          <t>2263436150002656</t>
        </is>
      </c>
      <c r="AZ1773" t="inlineStr">
        <is>
          <t>BOOK</t>
        </is>
      </c>
      <c r="BB1773" t="inlineStr">
        <is>
          <t>9780807104309</t>
        </is>
      </c>
      <c r="BC1773" t="inlineStr">
        <is>
          <t>32285002564895</t>
        </is>
      </c>
      <c r="BD1773" t="inlineStr">
        <is>
          <t>893261607</t>
        </is>
      </c>
    </row>
    <row r="1774">
      <c r="A1774" t="inlineStr">
        <is>
          <t>No</t>
        </is>
      </c>
      <c r="B1774" t="inlineStr">
        <is>
          <t>E757 .L67 1919a</t>
        </is>
      </c>
      <c r="C1774" t="inlineStr">
        <is>
          <t>0                      E  0757000L  67          1919a</t>
        </is>
      </c>
      <c r="D1774" t="inlineStr">
        <is>
          <t>The life of Theodore Roosevelt / by Wm. Draper lewis ; with an introduction by William Howard Taft.</t>
        </is>
      </c>
      <c r="F1774" t="inlineStr">
        <is>
          <t>No</t>
        </is>
      </c>
      <c r="G1774" t="inlineStr">
        <is>
          <t>1</t>
        </is>
      </c>
      <c r="H1774" t="inlineStr">
        <is>
          <t>No</t>
        </is>
      </c>
      <c r="I1774" t="inlineStr">
        <is>
          <t>No</t>
        </is>
      </c>
      <c r="J1774" t="inlineStr">
        <is>
          <t>0</t>
        </is>
      </c>
      <c r="K1774" t="inlineStr">
        <is>
          <t>Lewis, William Draper, 1867-1949.</t>
        </is>
      </c>
      <c r="L1774" t="inlineStr">
        <is>
          <t>[s.l.] : United Publishers of the United States and Canada, 1919.</t>
        </is>
      </c>
      <c r="M1774" t="inlineStr">
        <is>
          <t>1919</t>
        </is>
      </c>
      <c r="O1774" t="inlineStr">
        <is>
          <t>eng</t>
        </is>
      </c>
      <c r="P1774" t="inlineStr">
        <is>
          <t xml:space="preserve">xx </t>
        </is>
      </c>
      <c r="R1774" t="inlineStr">
        <is>
          <t xml:space="preserve">E  </t>
        </is>
      </c>
      <c r="S1774" t="n">
        <v>3</v>
      </c>
      <c r="T1774" t="n">
        <v>3</v>
      </c>
      <c r="U1774" t="inlineStr">
        <is>
          <t>2002-11-13</t>
        </is>
      </c>
      <c r="V1774" t="inlineStr">
        <is>
          <t>2002-11-13</t>
        </is>
      </c>
      <c r="W1774" t="inlineStr">
        <is>
          <t>1991-06-04</t>
        </is>
      </c>
      <c r="X1774" t="inlineStr">
        <is>
          <t>1991-06-04</t>
        </is>
      </c>
      <c r="Y1774" t="n">
        <v>190</v>
      </c>
      <c r="Z1774" t="n">
        <v>186</v>
      </c>
      <c r="AA1774" t="n">
        <v>547</v>
      </c>
      <c r="AB1774" t="n">
        <v>4</v>
      </c>
      <c r="AC1774" t="n">
        <v>5</v>
      </c>
      <c r="AD1774" t="n">
        <v>7</v>
      </c>
      <c r="AE1774" t="n">
        <v>21</v>
      </c>
      <c r="AF1774" t="n">
        <v>3</v>
      </c>
      <c r="AG1774" t="n">
        <v>5</v>
      </c>
      <c r="AH1774" t="n">
        <v>0</v>
      </c>
      <c r="AI1774" t="n">
        <v>5</v>
      </c>
      <c r="AJ1774" t="n">
        <v>1</v>
      </c>
      <c r="AK1774" t="n">
        <v>9</v>
      </c>
      <c r="AL1774" t="n">
        <v>2</v>
      </c>
      <c r="AM1774" t="n">
        <v>3</v>
      </c>
      <c r="AN1774" t="n">
        <v>1</v>
      </c>
      <c r="AO1774" t="n">
        <v>1</v>
      </c>
      <c r="AP1774" t="inlineStr">
        <is>
          <t>Yes</t>
        </is>
      </c>
      <c r="AQ1774" t="inlineStr">
        <is>
          <t>No</t>
        </is>
      </c>
      <c r="AR1774">
        <f>HYPERLINK("http://catalog.hathitrust.org/Record/000577475","HathiTrust Record")</f>
        <v/>
      </c>
      <c r="AS1774">
        <f>HYPERLINK("https://creighton-primo.hosted.exlibrisgroup.com/primo-explore/search?tab=default_tab&amp;search_scope=EVERYTHING&amp;vid=01CRU&amp;lang=en_US&amp;offset=0&amp;query=any,contains,991003512609702656","Catalog Record")</f>
        <v/>
      </c>
      <c r="AT1774">
        <f>HYPERLINK("http://www.worldcat.org/oclc/1068327","WorldCat Record")</f>
        <v/>
      </c>
      <c r="AU1774" t="inlineStr">
        <is>
          <t>1524570:eng</t>
        </is>
      </c>
      <c r="AV1774" t="inlineStr">
        <is>
          <t>1068327</t>
        </is>
      </c>
      <c r="AW1774" t="inlineStr">
        <is>
          <t>991003512609702656</t>
        </is>
      </c>
      <c r="AX1774" t="inlineStr">
        <is>
          <t>991003512609702656</t>
        </is>
      </c>
      <c r="AY1774" t="inlineStr">
        <is>
          <t>2270408000002656</t>
        </is>
      </c>
      <c r="AZ1774" t="inlineStr">
        <is>
          <t>BOOK</t>
        </is>
      </c>
      <c r="BC1774" t="inlineStr">
        <is>
          <t>32285000613751</t>
        </is>
      </c>
      <c r="BD1774" t="inlineStr">
        <is>
          <t>893868499</t>
        </is>
      </c>
    </row>
    <row r="1775">
      <c r="A1775" t="inlineStr">
        <is>
          <t>No</t>
        </is>
      </c>
      <c r="B1775" t="inlineStr">
        <is>
          <t>E757 .O77 2005</t>
        </is>
      </c>
      <c r="C1775" t="inlineStr">
        <is>
          <t>0                      E  0757000O  77          2005</t>
        </is>
      </c>
      <c r="D1775" t="inlineStr">
        <is>
          <t>When trumpets call : Theodore Roosevelt after the White House / Patricia O'Toole.</t>
        </is>
      </c>
      <c r="F1775" t="inlineStr">
        <is>
          <t>No</t>
        </is>
      </c>
      <c r="G1775" t="inlineStr">
        <is>
          <t>1</t>
        </is>
      </c>
      <c r="H1775" t="inlineStr">
        <is>
          <t>No</t>
        </is>
      </c>
      <c r="I1775" t="inlineStr">
        <is>
          <t>No</t>
        </is>
      </c>
      <c r="J1775" t="inlineStr">
        <is>
          <t>0</t>
        </is>
      </c>
      <c r="K1775" t="inlineStr">
        <is>
          <t>O'Toole, Patricia.</t>
        </is>
      </c>
      <c r="L1775" t="inlineStr">
        <is>
          <t>New York : Simon &amp; Schuster, c2005.</t>
        </is>
      </c>
      <c r="M1775" t="inlineStr">
        <is>
          <t>2005</t>
        </is>
      </c>
      <c r="O1775" t="inlineStr">
        <is>
          <t>eng</t>
        </is>
      </c>
      <c r="P1775" t="inlineStr">
        <is>
          <t>nyu</t>
        </is>
      </c>
      <c r="R1775" t="inlineStr">
        <is>
          <t xml:space="preserve">E  </t>
        </is>
      </c>
      <c r="S1775" t="n">
        <v>1</v>
      </c>
      <c r="T1775" t="n">
        <v>1</v>
      </c>
      <c r="U1775" t="inlineStr">
        <is>
          <t>2005-03-21</t>
        </is>
      </c>
      <c r="V1775" t="inlineStr">
        <is>
          <t>2005-03-21</t>
        </is>
      </c>
      <c r="W1775" t="inlineStr">
        <is>
          <t>2005-03-21</t>
        </is>
      </c>
      <c r="X1775" t="inlineStr">
        <is>
          <t>2005-03-21</t>
        </is>
      </c>
      <c r="Y1775" t="n">
        <v>1426</v>
      </c>
      <c r="Z1775" t="n">
        <v>1381</v>
      </c>
      <c r="AA1775" t="n">
        <v>1416</v>
      </c>
      <c r="AB1775" t="n">
        <v>14</v>
      </c>
      <c r="AC1775" t="n">
        <v>14</v>
      </c>
      <c r="AD1775" t="n">
        <v>40</v>
      </c>
      <c r="AE1775" t="n">
        <v>41</v>
      </c>
      <c r="AF1775" t="n">
        <v>19</v>
      </c>
      <c r="AG1775" t="n">
        <v>19</v>
      </c>
      <c r="AH1775" t="n">
        <v>9</v>
      </c>
      <c r="AI1775" t="n">
        <v>9</v>
      </c>
      <c r="AJ1775" t="n">
        <v>18</v>
      </c>
      <c r="AK1775" t="n">
        <v>19</v>
      </c>
      <c r="AL1775" t="n">
        <v>6</v>
      </c>
      <c r="AM1775" t="n">
        <v>6</v>
      </c>
      <c r="AN1775" t="n">
        <v>0</v>
      </c>
      <c r="AO1775" t="n">
        <v>0</v>
      </c>
      <c r="AP1775" t="inlineStr">
        <is>
          <t>No</t>
        </is>
      </c>
      <c r="AQ1775" t="inlineStr">
        <is>
          <t>Yes</t>
        </is>
      </c>
      <c r="AR1775">
        <f>HYPERLINK("http://catalog.hathitrust.org/Record/004960963","HathiTrust Record")</f>
        <v/>
      </c>
      <c r="AS1775">
        <f>HYPERLINK("https://creighton-primo.hosted.exlibrisgroup.com/primo-explore/search?tab=default_tab&amp;search_scope=EVERYTHING&amp;vid=01CRU&amp;lang=en_US&amp;offset=0&amp;query=any,contains,991004485819702656","Catalog Record")</f>
        <v/>
      </c>
      <c r="AT1775">
        <f>HYPERLINK("http://www.worldcat.org/oclc/56921011","WorldCat Record")</f>
        <v/>
      </c>
      <c r="AU1775" t="inlineStr">
        <is>
          <t>890160:eng</t>
        </is>
      </c>
      <c r="AV1775" t="inlineStr">
        <is>
          <t>56921011</t>
        </is>
      </c>
      <c r="AW1775" t="inlineStr">
        <is>
          <t>991004485819702656</t>
        </is>
      </c>
      <c r="AX1775" t="inlineStr">
        <is>
          <t>991004485819702656</t>
        </is>
      </c>
      <c r="AY1775" t="inlineStr">
        <is>
          <t>2259534750002656</t>
        </is>
      </c>
      <c r="AZ1775" t="inlineStr">
        <is>
          <t>BOOK</t>
        </is>
      </c>
      <c r="BB1775" t="inlineStr">
        <is>
          <t>9780684864778</t>
        </is>
      </c>
      <c r="BC1775" t="inlineStr">
        <is>
          <t>32285005043616</t>
        </is>
      </c>
      <c r="BD1775" t="inlineStr">
        <is>
          <t>893436338</t>
        </is>
      </c>
    </row>
    <row r="1776">
      <c r="A1776" t="inlineStr">
        <is>
          <t>No</t>
        </is>
      </c>
      <c r="B1776" t="inlineStr">
        <is>
          <t>E757.3 .F45 1988</t>
        </is>
      </c>
      <c r="C1776" t="inlineStr">
        <is>
          <t>0                      E  0757300F  45          1988</t>
        </is>
      </c>
      <c r="D1776" t="inlineStr">
        <is>
          <t>Alice Roosevelt Longworth / Carol Felsenthal.</t>
        </is>
      </c>
      <c r="F1776" t="inlineStr">
        <is>
          <t>No</t>
        </is>
      </c>
      <c r="G1776" t="inlineStr">
        <is>
          <t>1</t>
        </is>
      </c>
      <c r="H1776" t="inlineStr">
        <is>
          <t>No</t>
        </is>
      </c>
      <c r="I1776" t="inlineStr">
        <is>
          <t>No</t>
        </is>
      </c>
      <c r="J1776" t="inlineStr">
        <is>
          <t>0</t>
        </is>
      </c>
      <c r="K1776" t="inlineStr">
        <is>
          <t>Felsenthal, Carol.</t>
        </is>
      </c>
      <c r="L1776" t="inlineStr">
        <is>
          <t>New York : Putnam, c1988.</t>
        </is>
      </c>
      <c r="M1776" t="inlineStr">
        <is>
          <t>1988</t>
        </is>
      </c>
      <c r="O1776" t="inlineStr">
        <is>
          <t>eng</t>
        </is>
      </c>
      <c r="P1776" t="inlineStr">
        <is>
          <t>nyu</t>
        </is>
      </c>
      <c r="R1776" t="inlineStr">
        <is>
          <t xml:space="preserve">E  </t>
        </is>
      </c>
      <c r="S1776" t="n">
        <v>5</v>
      </c>
      <c r="T1776" t="n">
        <v>5</v>
      </c>
      <c r="U1776" t="inlineStr">
        <is>
          <t>2003-06-20</t>
        </is>
      </c>
      <c r="V1776" t="inlineStr">
        <is>
          <t>2003-06-20</t>
        </is>
      </c>
      <c r="W1776" t="inlineStr">
        <is>
          <t>1991-06-04</t>
        </is>
      </c>
      <c r="X1776" t="inlineStr">
        <is>
          <t>1991-06-04</t>
        </is>
      </c>
      <c r="Y1776" t="n">
        <v>1220</v>
      </c>
      <c r="Z1776" t="n">
        <v>1185</v>
      </c>
      <c r="AA1776" t="n">
        <v>1203</v>
      </c>
      <c r="AB1776" t="n">
        <v>9</v>
      </c>
      <c r="AC1776" t="n">
        <v>9</v>
      </c>
      <c r="AD1776" t="n">
        <v>24</v>
      </c>
      <c r="AE1776" t="n">
        <v>24</v>
      </c>
      <c r="AF1776" t="n">
        <v>8</v>
      </c>
      <c r="AG1776" t="n">
        <v>8</v>
      </c>
      <c r="AH1776" t="n">
        <v>6</v>
      </c>
      <c r="AI1776" t="n">
        <v>6</v>
      </c>
      <c r="AJ1776" t="n">
        <v>10</v>
      </c>
      <c r="AK1776" t="n">
        <v>10</v>
      </c>
      <c r="AL1776" t="n">
        <v>4</v>
      </c>
      <c r="AM1776" t="n">
        <v>4</v>
      </c>
      <c r="AN1776" t="n">
        <v>0</v>
      </c>
      <c r="AO1776" t="n">
        <v>0</v>
      </c>
      <c r="AP1776" t="inlineStr">
        <is>
          <t>No</t>
        </is>
      </c>
      <c r="AQ1776" t="inlineStr">
        <is>
          <t>Yes</t>
        </is>
      </c>
      <c r="AR1776">
        <f>HYPERLINK("http://catalog.hathitrust.org/Record/000876232","HathiTrust Record")</f>
        <v/>
      </c>
      <c r="AS1776">
        <f>HYPERLINK("https://creighton-primo.hosted.exlibrisgroup.com/primo-explore/search?tab=default_tab&amp;search_scope=EVERYTHING&amp;vid=01CRU&amp;lang=en_US&amp;offset=0&amp;query=any,contains,991001194089702656","Catalog Record")</f>
        <v/>
      </c>
      <c r="AT1776">
        <f>HYPERLINK("http://www.worldcat.org/oclc/17264439","WorldCat Record")</f>
        <v/>
      </c>
      <c r="AU1776" t="inlineStr">
        <is>
          <t>15623797:eng</t>
        </is>
      </c>
      <c r="AV1776" t="inlineStr">
        <is>
          <t>17264439</t>
        </is>
      </c>
      <c r="AW1776" t="inlineStr">
        <is>
          <t>991001194089702656</t>
        </is>
      </c>
      <c r="AX1776" t="inlineStr">
        <is>
          <t>991001194089702656</t>
        </is>
      </c>
      <c r="AY1776" t="inlineStr">
        <is>
          <t>2262066420002656</t>
        </is>
      </c>
      <c r="AZ1776" t="inlineStr">
        <is>
          <t>BOOK</t>
        </is>
      </c>
      <c r="BB1776" t="inlineStr">
        <is>
          <t>9780399132582</t>
        </is>
      </c>
      <c r="BC1776" t="inlineStr">
        <is>
          <t>32285000613785</t>
        </is>
      </c>
      <c r="BD1776" t="inlineStr">
        <is>
          <t>893256094</t>
        </is>
      </c>
    </row>
    <row r="1777">
      <c r="A1777" t="inlineStr">
        <is>
          <t>No</t>
        </is>
      </c>
      <c r="B1777" t="inlineStr">
        <is>
          <t>E757.3.R65 M67 1980</t>
        </is>
      </c>
      <c r="C1777" t="inlineStr">
        <is>
          <t>0                      E  0757300R  65                 M  67          1980</t>
        </is>
      </c>
      <c r="D1777" t="inlineStr">
        <is>
          <t>Edith Kermit Roosevelt : portrait of a first lady / Sylvia Jukes Morris.</t>
        </is>
      </c>
      <c r="F1777" t="inlineStr">
        <is>
          <t>No</t>
        </is>
      </c>
      <c r="G1777" t="inlineStr">
        <is>
          <t>1</t>
        </is>
      </c>
      <c r="H1777" t="inlineStr">
        <is>
          <t>No</t>
        </is>
      </c>
      <c r="I1777" t="inlineStr">
        <is>
          <t>No</t>
        </is>
      </c>
      <c r="J1777" t="inlineStr">
        <is>
          <t>0</t>
        </is>
      </c>
      <c r="K1777" t="inlineStr">
        <is>
          <t>Morris, Sylvia Jukes.</t>
        </is>
      </c>
      <c r="L1777" t="inlineStr">
        <is>
          <t>New York : Coward, McCann &amp; Geoghegan, c1980.</t>
        </is>
      </c>
      <c r="M1777" t="inlineStr">
        <is>
          <t>1980</t>
        </is>
      </c>
      <c r="O1777" t="inlineStr">
        <is>
          <t>eng</t>
        </is>
      </c>
      <c r="P1777" t="inlineStr">
        <is>
          <t>nyu</t>
        </is>
      </c>
      <c r="R1777" t="inlineStr">
        <is>
          <t xml:space="preserve">E  </t>
        </is>
      </c>
      <c r="S1777" t="n">
        <v>1</v>
      </c>
      <c r="T1777" t="n">
        <v>1</v>
      </c>
      <c r="U1777" t="inlineStr">
        <is>
          <t>1993-04-22</t>
        </is>
      </c>
      <c r="V1777" t="inlineStr">
        <is>
          <t>1993-04-22</t>
        </is>
      </c>
      <c r="W1777" t="inlineStr">
        <is>
          <t>1991-06-04</t>
        </is>
      </c>
      <c r="X1777" t="inlineStr">
        <is>
          <t>1991-06-04</t>
        </is>
      </c>
      <c r="Y1777" t="n">
        <v>1112</v>
      </c>
      <c r="Z1777" t="n">
        <v>1078</v>
      </c>
      <c r="AA1777" t="n">
        <v>1265</v>
      </c>
      <c r="AB1777" t="n">
        <v>5</v>
      </c>
      <c r="AC1777" t="n">
        <v>9</v>
      </c>
      <c r="AD1777" t="n">
        <v>23</v>
      </c>
      <c r="AE1777" t="n">
        <v>30</v>
      </c>
      <c r="AF1777" t="n">
        <v>11</v>
      </c>
      <c r="AG1777" t="n">
        <v>13</v>
      </c>
      <c r="AH1777" t="n">
        <v>7</v>
      </c>
      <c r="AI1777" t="n">
        <v>7</v>
      </c>
      <c r="AJ1777" t="n">
        <v>10</v>
      </c>
      <c r="AK1777" t="n">
        <v>14</v>
      </c>
      <c r="AL1777" t="n">
        <v>1</v>
      </c>
      <c r="AM1777" t="n">
        <v>4</v>
      </c>
      <c r="AN1777" t="n">
        <v>0</v>
      </c>
      <c r="AO1777" t="n">
        <v>0</v>
      </c>
      <c r="AP1777" t="inlineStr">
        <is>
          <t>No</t>
        </is>
      </c>
      <c r="AQ1777" t="inlineStr">
        <is>
          <t>Yes</t>
        </is>
      </c>
      <c r="AR1777">
        <f>HYPERLINK("http://catalog.hathitrust.org/Record/000035273","HathiTrust Record")</f>
        <v/>
      </c>
      <c r="AS1777">
        <f>HYPERLINK("https://creighton-primo.hosted.exlibrisgroup.com/primo-explore/search?tab=default_tab&amp;search_scope=EVERYTHING&amp;vid=01CRU&amp;lang=en_US&amp;offset=0&amp;query=any,contains,991004801489702656","Catalog Record")</f>
        <v/>
      </c>
      <c r="AT1777">
        <f>HYPERLINK("http://www.worldcat.org/oclc/5219228","WorldCat Record")</f>
        <v/>
      </c>
      <c r="AU1777" t="inlineStr">
        <is>
          <t>16407365:eng</t>
        </is>
      </c>
      <c r="AV1777" t="inlineStr">
        <is>
          <t>5219228</t>
        </is>
      </c>
      <c r="AW1777" t="inlineStr">
        <is>
          <t>991004801489702656</t>
        </is>
      </c>
      <c r="AX1777" t="inlineStr">
        <is>
          <t>991004801489702656</t>
        </is>
      </c>
      <c r="AY1777" t="inlineStr">
        <is>
          <t>2268330910002656</t>
        </is>
      </c>
      <c r="AZ1777" t="inlineStr">
        <is>
          <t>BOOK</t>
        </is>
      </c>
      <c r="BB1777" t="inlineStr">
        <is>
          <t>9780698109940</t>
        </is>
      </c>
      <c r="BC1777" t="inlineStr">
        <is>
          <t>32285000613793</t>
        </is>
      </c>
      <c r="BD1777" t="inlineStr">
        <is>
          <t>893532825</t>
        </is>
      </c>
    </row>
    <row r="1778">
      <c r="A1778" t="inlineStr">
        <is>
          <t>No</t>
        </is>
      </c>
      <c r="B1778" t="inlineStr">
        <is>
          <t>E762 .D85</t>
        </is>
      </c>
      <c r="C1778" t="inlineStr">
        <is>
          <t>0                      E  0762000D  85</t>
        </is>
      </c>
      <c r="D1778" t="inlineStr">
        <is>
          <t>William Howard Taft [by] Herbert S. Duffy ...</t>
        </is>
      </c>
      <c r="F1778" t="inlineStr">
        <is>
          <t>No</t>
        </is>
      </c>
      <c r="G1778" t="inlineStr">
        <is>
          <t>1</t>
        </is>
      </c>
      <c r="H1778" t="inlineStr">
        <is>
          <t>No</t>
        </is>
      </c>
      <c r="I1778" t="inlineStr">
        <is>
          <t>No</t>
        </is>
      </c>
      <c r="J1778" t="inlineStr">
        <is>
          <t>0</t>
        </is>
      </c>
      <c r="K1778" t="inlineStr">
        <is>
          <t>Duffy, Herbert S. (Herbert Smith), 1900-1956.</t>
        </is>
      </c>
      <c r="L1778" t="inlineStr">
        <is>
          <t>New York, Minton, Balch &amp; Company, 1930.</t>
        </is>
      </c>
      <c r="M1778" t="inlineStr">
        <is>
          <t>1930</t>
        </is>
      </c>
      <c r="O1778" t="inlineStr">
        <is>
          <t>eng</t>
        </is>
      </c>
      <c r="P1778" t="inlineStr">
        <is>
          <t>nyu</t>
        </is>
      </c>
      <c r="R1778" t="inlineStr">
        <is>
          <t xml:space="preserve">E  </t>
        </is>
      </c>
      <c r="S1778" t="n">
        <v>4</v>
      </c>
      <c r="T1778" t="n">
        <v>4</v>
      </c>
      <c r="U1778" t="inlineStr">
        <is>
          <t>2004-11-27</t>
        </is>
      </c>
      <c r="V1778" t="inlineStr">
        <is>
          <t>2004-11-27</t>
        </is>
      </c>
      <c r="W1778" t="inlineStr">
        <is>
          <t>1997-04-24</t>
        </is>
      </c>
      <c r="X1778" t="inlineStr">
        <is>
          <t>1997-04-24</t>
        </is>
      </c>
      <c r="Y1778" t="n">
        <v>763</v>
      </c>
      <c r="Z1778" t="n">
        <v>721</v>
      </c>
      <c r="AA1778" t="n">
        <v>890</v>
      </c>
      <c r="AB1778" t="n">
        <v>8</v>
      </c>
      <c r="AC1778" t="n">
        <v>10</v>
      </c>
      <c r="AD1778" t="n">
        <v>42</v>
      </c>
      <c r="AE1778" t="n">
        <v>54</v>
      </c>
      <c r="AF1778" t="n">
        <v>13</v>
      </c>
      <c r="AG1778" t="n">
        <v>15</v>
      </c>
      <c r="AH1778" t="n">
        <v>7</v>
      </c>
      <c r="AI1778" t="n">
        <v>7</v>
      </c>
      <c r="AJ1778" t="n">
        <v>19</v>
      </c>
      <c r="AK1778" t="n">
        <v>19</v>
      </c>
      <c r="AL1778" t="n">
        <v>5</v>
      </c>
      <c r="AM1778" t="n">
        <v>6</v>
      </c>
      <c r="AN1778" t="n">
        <v>7</v>
      </c>
      <c r="AO1778" t="n">
        <v>16</v>
      </c>
      <c r="AP1778" t="inlineStr">
        <is>
          <t>Yes</t>
        </is>
      </c>
      <c r="AQ1778" t="inlineStr">
        <is>
          <t>No</t>
        </is>
      </c>
      <c r="AR1778">
        <f>HYPERLINK("http://catalog.hathitrust.org/Record/000777887","HathiTrust Record")</f>
        <v/>
      </c>
      <c r="AS1778">
        <f>HYPERLINK("https://creighton-primo.hosted.exlibrisgroup.com/primo-explore/search?tab=default_tab&amp;search_scope=EVERYTHING&amp;vid=01CRU&amp;lang=en_US&amp;offset=0&amp;query=any,contains,991003359009702656","Catalog Record")</f>
        <v/>
      </c>
      <c r="AT1778">
        <f>HYPERLINK("http://www.worldcat.org/oclc/894616","WorldCat Record")</f>
        <v/>
      </c>
      <c r="AU1778" t="inlineStr">
        <is>
          <t>1862738384:eng</t>
        </is>
      </c>
      <c r="AV1778" t="inlineStr">
        <is>
          <t>894616</t>
        </is>
      </c>
      <c r="AW1778" t="inlineStr">
        <is>
          <t>991003359009702656</t>
        </is>
      </c>
      <c r="AX1778" t="inlineStr">
        <is>
          <t>991003359009702656</t>
        </is>
      </c>
      <c r="AY1778" t="inlineStr">
        <is>
          <t>2260295870002656</t>
        </is>
      </c>
      <c r="AZ1778" t="inlineStr">
        <is>
          <t>BOOK</t>
        </is>
      </c>
      <c r="BC1778" t="inlineStr">
        <is>
          <t>32285002565074</t>
        </is>
      </c>
      <c r="BD1778" t="inlineStr">
        <is>
          <t>893610965</t>
        </is>
      </c>
    </row>
    <row r="1779">
      <c r="A1779" t="inlineStr">
        <is>
          <t>No</t>
        </is>
      </c>
      <c r="B1779" t="inlineStr">
        <is>
          <t>E762 .M22</t>
        </is>
      </c>
      <c r="C1779" t="inlineStr">
        <is>
          <t>0                      E  0762000M  22</t>
        </is>
      </c>
      <c r="D1779" t="inlineStr">
        <is>
          <t>President and chief justice; the life and public services of William Howard Taft ... by Francis McHale.</t>
        </is>
      </c>
      <c r="F1779" t="inlineStr">
        <is>
          <t>No</t>
        </is>
      </c>
      <c r="G1779" t="inlineStr">
        <is>
          <t>1</t>
        </is>
      </c>
      <c r="H1779" t="inlineStr">
        <is>
          <t>No</t>
        </is>
      </c>
      <c r="I1779" t="inlineStr">
        <is>
          <t>No</t>
        </is>
      </c>
      <c r="J1779" t="inlineStr">
        <is>
          <t>0</t>
        </is>
      </c>
      <c r="K1779" t="inlineStr">
        <is>
          <t>McHale, Francis.</t>
        </is>
      </c>
      <c r="L1779" t="inlineStr">
        <is>
          <t>Philadelphia, Dorrance &amp; company [c1931]</t>
        </is>
      </c>
      <c r="M1779" t="inlineStr">
        <is>
          <t>1931</t>
        </is>
      </c>
      <c r="O1779" t="inlineStr">
        <is>
          <t>eng</t>
        </is>
      </c>
      <c r="P1779" t="inlineStr">
        <is>
          <t xml:space="preserve">xx </t>
        </is>
      </c>
      <c r="R1779" t="inlineStr">
        <is>
          <t xml:space="preserve">E  </t>
        </is>
      </c>
      <c r="S1779" t="n">
        <v>3</v>
      </c>
      <c r="T1779" t="n">
        <v>3</v>
      </c>
      <c r="U1779" t="inlineStr">
        <is>
          <t>2004-11-27</t>
        </is>
      </c>
      <c r="V1779" t="inlineStr">
        <is>
          <t>2004-11-27</t>
        </is>
      </c>
      <c r="W1779" t="inlineStr">
        <is>
          <t>1997-04-24</t>
        </is>
      </c>
      <c r="X1779" t="inlineStr">
        <is>
          <t>1997-04-24</t>
        </is>
      </c>
      <c r="Y1779" t="n">
        <v>96</v>
      </c>
      <c r="Z1779" t="n">
        <v>93</v>
      </c>
      <c r="AA1779" t="n">
        <v>284</v>
      </c>
      <c r="AB1779" t="n">
        <v>1</v>
      </c>
      <c r="AC1779" t="n">
        <v>3</v>
      </c>
      <c r="AD1779" t="n">
        <v>3</v>
      </c>
      <c r="AE1779" t="n">
        <v>17</v>
      </c>
      <c r="AF1779" t="n">
        <v>0</v>
      </c>
      <c r="AG1779" t="n">
        <v>4</v>
      </c>
      <c r="AH1779" t="n">
        <v>0</v>
      </c>
      <c r="AI1779" t="n">
        <v>2</v>
      </c>
      <c r="AJ1779" t="n">
        <v>1</v>
      </c>
      <c r="AK1779" t="n">
        <v>1</v>
      </c>
      <c r="AL1779" t="n">
        <v>0</v>
      </c>
      <c r="AM1779" t="n">
        <v>1</v>
      </c>
      <c r="AN1779" t="n">
        <v>2</v>
      </c>
      <c r="AO1779" t="n">
        <v>10</v>
      </c>
      <c r="AP1779" t="inlineStr">
        <is>
          <t>No</t>
        </is>
      </c>
      <c r="AQ1779" t="inlineStr">
        <is>
          <t>Yes</t>
        </is>
      </c>
      <c r="AR1779">
        <f>HYPERLINK("http://catalog.hathitrust.org/Record/006578950","HathiTrust Record")</f>
        <v/>
      </c>
      <c r="AS1779">
        <f>HYPERLINK("https://creighton-primo.hosted.exlibrisgroup.com/primo-explore/search?tab=default_tab&amp;search_scope=EVERYTHING&amp;vid=01CRU&amp;lang=en_US&amp;offset=0&amp;query=any,contains,991003286869702656","Catalog Record")</f>
        <v/>
      </c>
      <c r="AT1779">
        <f>HYPERLINK("http://www.worldcat.org/oclc/808827","WorldCat Record")</f>
        <v/>
      </c>
      <c r="AU1779" t="inlineStr">
        <is>
          <t>1641021:eng</t>
        </is>
      </c>
      <c r="AV1779" t="inlineStr">
        <is>
          <t>808827</t>
        </is>
      </c>
      <c r="AW1779" t="inlineStr">
        <is>
          <t>991003286869702656</t>
        </is>
      </c>
      <c r="AX1779" t="inlineStr">
        <is>
          <t>991003286869702656</t>
        </is>
      </c>
      <c r="AY1779" t="inlineStr">
        <is>
          <t>2266898130002656</t>
        </is>
      </c>
      <c r="AZ1779" t="inlineStr">
        <is>
          <t>BOOK</t>
        </is>
      </c>
      <c r="BC1779" t="inlineStr">
        <is>
          <t>32285002565082</t>
        </is>
      </c>
      <c r="BD1779" t="inlineStr">
        <is>
          <t>893874617</t>
        </is>
      </c>
    </row>
    <row r="1780">
      <c r="A1780" t="inlineStr">
        <is>
          <t>No</t>
        </is>
      </c>
      <c r="B1780" t="inlineStr">
        <is>
          <t>E762 .P75</t>
        </is>
      </c>
      <c r="C1780" t="inlineStr">
        <is>
          <t>0                      E  0762000P  75</t>
        </is>
      </c>
      <c r="D1780" t="inlineStr">
        <is>
          <t>The life and times of William Howard Taft; a biography, by Henry F. Pringle ...</t>
        </is>
      </c>
      <c r="E1780" t="inlineStr">
        <is>
          <t>V.2</t>
        </is>
      </c>
      <c r="F1780" t="inlineStr">
        <is>
          <t>Yes</t>
        </is>
      </c>
      <c r="G1780" t="inlineStr">
        <is>
          <t>1</t>
        </is>
      </c>
      <c r="H1780" t="inlineStr">
        <is>
          <t>No</t>
        </is>
      </c>
      <c r="I1780" t="inlineStr">
        <is>
          <t>No</t>
        </is>
      </c>
      <c r="J1780" t="inlineStr">
        <is>
          <t>0</t>
        </is>
      </c>
      <c r="K1780" t="inlineStr">
        <is>
          <t>Pringle, Henry F. (Henry Fowles), 1897-1958.</t>
        </is>
      </c>
      <c r="L1780" t="inlineStr">
        <is>
          <t>New York, Toronto, Farrar &amp; Rinehart, Inc. [c1939]</t>
        </is>
      </c>
      <c r="M1780" t="inlineStr">
        <is>
          <t>1939</t>
        </is>
      </c>
      <c r="O1780" t="inlineStr">
        <is>
          <t>eng</t>
        </is>
      </c>
      <c r="P1780" t="inlineStr">
        <is>
          <t>nyu</t>
        </is>
      </c>
      <c r="R1780" t="inlineStr">
        <is>
          <t xml:space="preserve">E  </t>
        </is>
      </c>
      <c r="S1780" t="n">
        <v>4</v>
      </c>
      <c r="T1780" t="n">
        <v>10</v>
      </c>
      <c r="U1780" t="inlineStr">
        <is>
          <t>2004-11-27</t>
        </is>
      </c>
      <c r="V1780" t="inlineStr">
        <is>
          <t>2007-04-24</t>
        </is>
      </c>
      <c r="W1780" t="inlineStr">
        <is>
          <t>1997-04-24</t>
        </is>
      </c>
      <c r="X1780" t="inlineStr">
        <is>
          <t>1997-04-24</t>
        </is>
      </c>
      <c r="Y1780" t="n">
        <v>981</v>
      </c>
      <c r="Z1780" t="n">
        <v>925</v>
      </c>
      <c r="AA1780" t="n">
        <v>1376</v>
      </c>
      <c r="AB1780" t="n">
        <v>9</v>
      </c>
      <c r="AC1780" t="n">
        <v>11</v>
      </c>
      <c r="AD1780" t="n">
        <v>48</v>
      </c>
      <c r="AE1780" t="n">
        <v>65</v>
      </c>
      <c r="AF1780" t="n">
        <v>17</v>
      </c>
      <c r="AG1780" t="n">
        <v>25</v>
      </c>
      <c r="AH1780" t="n">
        <v>9</v>
      </c>
      <c r="AI1780" t="n">
        <v>11</v>
      </c>
      <c r="AJ1780" t="n">
        <v>20</v>
      </c>
      <c r="AK1780" t="n">
        <v>22</v>
      </c>
      <c r="AL1780" t="n">
        <v>5</v>
      </c>
      <c r="AM1780" t="n">
        <v>7</v>
      </c>
      <c r="AN1780" t="n">
        <v>9</v>
      </c>
      <c r="AO1780" t="n">
        <v>13</v>
      </c>
      <c r="AP1780" t="inlineStr">
        <is>
          <t>No</t>
        </is>
      </c>
      <c r="AQ1780" t="inlineStr">
        <is>
          <t>Yes</t>
        </is>
      </c>
      <c r="AR1780">
        <f>HYPERLINK("http://catalog.hathitrust.org/Record/000577150","HathiTrust Record")</f>
        <v/>
      </c>
      <c r="AS1780">
        <f>HYPERLINK("https://creighton-primo.hosted.exlibrisgroup.com/primo-explore/search?tab=default_tab&amp;search_scope=EVERYTHING&amp;vid=01CRU&amp;lang=en_US&amp;offset=0&amp;query=any,contains,991002822089702656","Catalog Record")</f>
        <v/>
      </c>
      <c r="AT1780">
        <f>HYPERLINK("http://www.worldcat.org/oclc/467056","WorldCat Record")</f>
        <v/>
      </c>
      <c r="AU1780" t="inlineStr">
        <is>
          <t>1412609:eng</t>
        </is>
      </c>
      <c r="AV1780" t="inlineStr">
        <is>
          <t>467056</t>
        </is>
      </c>
      <c r="AW1780" t="inlineStr">
        <is>
          <t>991002822089702656</t>
        </is>
      </c>
      <c r="AX1780" t="inlineStr">
        <is>
          <t>991002822089702656</t>
        </is>
      </c>
      <c r="AY1780" t="inlineStr">
        <is>
          <t>2263560030002656</t>
        </is>
      </c>
      <c r="AZ1780" t="inlineStr">
        <is>
          <t>BOOK</t>
        </is>
      </c>
      <c r="BC1780" t="inlineStr">
        <is>
          <t>32285002565108</t>
        </is>
      </c>
      <c r="BD1780" t="inlineStr">
        <is>
          <t>893627321</t>
        </is>
      </c>
    </row>
    <row r="1781">
      <c r="A1781" t="inlineStr">
        <is>
          <t>No</t>
        </is>
      </c>
      <c r="B1781" t="inlineStr">
        <is>
          <t>E762 .R6</t>
        </is>
      </c>
      <c r="C1781" t="inlineStr">
        <is>
          <t>0                      E  0762000R  6</t>
        </is>
      </c>
      <c r="D1781" t="inlineStr">
        <is>
          <t>An American family; the Tafts, 1678 to 1964.</t>
        </is>
      </c>
      <c r="F1781" t="inlineStr">
        <is>
          <t>No</t>
        </is>
      </c>
      <c r="G1781" t="inlineStr">
        <is>
          <t>1</t>
        </is>
      </c>
      <c r="H1781" t="inlineStr">
        <is>
          <t>No</t>
        </is>
      </c>
      <c r="I1781" t="inlineStr">
        <is>
          <t>No</t>
        </is>
      </c>
      <c r="J1781" t="inlineStr">
        <is>
          <t>0</t>
        </is>
      </c>
      <c r="K1781" t="inlineStr">
        <is>
          <t>Ross, Ishbel, 1897-1975.</t>
        </is>
      </c>
      <c r="L1781" t="inlineStr">
        <is>
          <t>Cleveland, World Pub. Co. [1964]</t>
        </is>
      </c>
      <c r="M1781" t="inlineStr">
        <is>
          <t>1964</t>
        </is>
      </c>
      <c r="N1781" t="inlineStr">
        <is>
          <t>[1st ed.]</t>
        </is>
      </c>
      <c r="O1781" t="inlineStr">
        <is>
          <t>eng</t>
        </is>
      </c>
      <c r="P1781" t="inlineStr">
        <is>
          <t>ohu</t>
        </is>
      </c>
      <c r="R1781" t="inlineStr">
        <is>
          <t xml:space="preserve">E  </t>
        </is>
      </c>
      <c r="S1781" t="n">
        <v>1</v>
      </c>
      <c r="T1781" t="n">
        <v>1</v>
      </c>
      <c r="U1781" t="inlineStr">
        <is>
          <t>2004-11-27</t>
        </is>
      </c>
      <c r="V1781" t="inlineStr">
        <is>
          <t>2004-11-27</t>
        </is>
      </c>
      <c r="W1781" t="inlineStr">
        <is>
          <t>1997-04-24</t>
        </is>
      </c>
      <c r="X1781" t="inlineStr">
        <is>
          <t>1997-04-24</t>
        </is>
      </c>
      <c r="Y1781" t="n">
        <v>1002</v>
      </c>
      <c r="Z1781" t="n">
        <v>974</v>
      </c>
      <c r="AA1781" t="n">
        <v>1129</v>
      </c>
      <c r="AB1781" t="n">
        <v>12</v>
      </c>
      <c r="AC1781" t="n">
        <v>12</v>
      </c>
      <c r="AD1781" t="n">
        <v>28</v>
      </c>
      <c r="AE1781" t="n">
        <v>34</v>
      </c>
      <c r="AF1781" t="n">
        <v>10</v>
      </c>
      <c r="AG1781" t="n">
        <v>13</v>
      </c>
      <c r="AH1781" t="n">
        <v>3</v>
      </c>
      <c r="AI1781" t="n">
        <v>4</v>
      </c>
      <c r="AJ1781" t="n">
        <v>11</v>
      </c>
      <c r="AK1781" t="n">
        <v>15</v>
      </c>
      <c r="AL1781" t="n">
        <v>8</v>
      </c>
      <c r="AM1781" t="n">
        <v>8</v>
      </c>
      <c r="AN1781" t="n">
        <v>1</v>
      </c>
      <c r="AO1781" t="n">
        <v>1</v>
      </c>
      <c r="AP1781" t="inlineStr">
        <is>
          <t>No</t>
        </is>
      </c>
      <c r="AQ1781" t="inlineStr">
        <is>
          <t>Yes</t>
        </is>
      </c>
      <c r="AR1781">
        <f>HYPERLINK("http://catalog.hathitrust.org/Record/000468847","HathiTrust Record")</f>
        <v/>
      </c>
      <c r="AS1781">
        <f>HYPERLINK("https://creighton-primo.hosted.exlibrisgroup.com/primo-explore/search?tab=default_tab&amp;search_scope=EVERYTHING&amp;vid=01CRU&amp;lang=en_US&amp;offset=0&amp;query=any,contains,991002602109702656","Catalog Record")</f>
        <v/>
      </c>
      <c r="AT1781">
        <f>HYPERLINK("http://www.worldcat.org/oclc/377270","WorldCat Record")</f>
        <v/>
      </c>
      <c r="AU1781" t="inlineStr">
        <is>
          <t>148281653:eng</t>
        </is>
      </c>
      <c r="AV1781" t="inlineStr">
        <is>
          <t>377270</t>
        </is>
      </c>
      <c r="AW1781" t="inlineStr">
        <is>
          <t>991002602109702656</t>
        </is>
      </c>
      <c r="AX1781" t="inlineStr">
        <is>
          <t>991002602109702656</t>
        </is>
      </c>
      <c r="AY1781" t="inlineStr">
        <is>
          <t>2260821560002656</t>
        </is>
      </c>
      <c r="AZ1781" t="inlineStr">
        <is>
          <t>BOOK</t>
        </is>
      </c>
      <c r="BC1781" t="inlineStr">
        <is>
          <t>32285002565116</t>
        </is>
      </c>
      <c r="BD1781" t="inlineStr">
        <is>
          <t>893233161</t>
        </is>
      </c>
    </row>
    <row r="1782">
      <c r="A1782" t="inlineStr">
        <is>
          <t>No</t>
        </is>
      </c>
      <c r="B1782" t="inlineStr">
        <is>
          <t>E766 .A85 1990</t>
        </is>
      </c>
      <c r="C1782" t="inlineStr">
        <is>
          <t>0                      E  0766000A  85          1990</t>
        </is>
      </c>
      <c r="D1782" t="inlineStr">
        <is>
          <t>1919 : America's loss of innocence / by Eliot Asinof.</t>
        </is>
      </c>
      <c r="F1782" t="inlineStr">
        <is>
          <t>No</t>
        </is>
      </c>
      <c r="G1782" t="inlineStr">
        <is>
          <t>1</t>
        </is>
      </c>
      <c r="H1782" t="inlineStr">
        <is>
          <t>No</t>
        </is>
      </c>
      <c r="I1782" t="inlineStr">
        <is>
          <t>No</t>
        </is>
      </c>
      <c r="J1782" t="inlineStr">
        <is>
          <t>0</t>
        </is>
      </c>
      <c r="K1782" t="inlineStr">
        <is>
          <t>Asinof, Eliot, 1919-2008.</t>
        </is>
      </c>
      <c r="L1782" t="inlineStr">
        <is>
          <t>New York : D.I. Fine, c1990.</t>
        </is>
      </c>
      <c r="M1782" t="inlineStr">
        <is>
          <t>1990</t>
        </is>
      </c>
      <c r="O1782" t="inlineStr">
        <is>
          <t>eng</t>
        </is>
      </c>
      <c r="P1782" t="inlineStr">
        <is>
          <t>nyu</t>
        </is>
      </c>
      <c r="R1782" t="inlineStr">
        <is>
          <t xml:space="preserve">E  </t>
        </is>
      </c>
      <c r="S1782" t="n">
        <v>2</v>
      </c>
      <c r="T1782" t="n">
        <v>2</v>
      </c>
      <c r="U1782" t="inlineStr">
        <is>
          <t>1995-11-20</t>
        </is>
      </c>
      <c r="V1782" t="inlineStr">
        <is>
          <t>1995-11-20</t>
        </is>
      </c>
      <c r="W1782" t="inlineStr">
        <is>
          <t>1990-10-17</t>
        </is>
      </c>
      <c r="X1782" t="inlineStr">
        <is>
          <t>1990-10-17</t>
        </is>
      </c>
      <c r="Y1782" t="n">
        <v>515</v>
      </c>
      <c r="Z1782" t="n">
        <v>488</v>
      </c>
      <c r="AA1782" t="n">
        <v>519</v>
      </c>
      <c r="AB1782" t="n">
        <v>6</v>
      </c>
      <c r="AC1782" t="n">
        <v>6</v>
      </c>
      <c r="AD1782" t="n">
        <v>18</v>
      </c>
      <c r="AE1782" t="n">
        <v>18</v>
      </c>
      <c r="AF1782" t="n">
        <v>4</v>
      </c>
      <c r="AG1782" t="n">
        <v>4</v>
      </c>
      <c r="AH1782" t="n">
        <v>6</v>
      </c>
      <c r="AI1782" t="n">
        <v>6</v>
      </c>
      <c r="AJ1782" t="n">
        <v>10</v>
      </c>
      <c r="AK1782" t="n">
        <v>10</v>
      </c>
      <c r="AL1782" t="n">
        <v>4</v>
      </c>
      <c r="AM1782" t="n">
        <v>4</v>
      </c>
      <c r="AN1782" t="n">
        <v>0</v>
      </c>
      <c r="AO1782" t="n">
        <v>0</v>
      </c>
      <c r="AP1782" t="inlineStr">
        <is>
          <t>No</t>
        </is>
      </c>
      <c r="AQ1782" t="inlineStr">
        <is>
          <t>Yes</t>
        </is>
      </c>
      <c r="AR1782">
        <f>HYPERLINK("http://catalog.hathitrust.org/Record/001949846","HathiTrust Record")</f>
        <v/>
      </c>
      <c r="AS1782">
        <f>HYPERLINK("https://creighton-primo.hosted.exlibrisgroup.com/primo-explore/search?tab=default_tab&amp;search_scope=EVERYTHING&amp;vid=01CRU&amp;lang=en_US&amp;offset=0&amp;query=any,contains,991001528659702656","Catalog Record")</f>
        <v/>
      </c>
      <c r="AT1782">
        <f>HYPERLINK("http://www.worldcat.org/oclc/20014714","WorldCat Record")</f>
        <v/>
      </c>
      <c r="AU1782" t="inlineStr">
        <is>
          <t>190692619:eng</t>
        </is>
      </c>
      <c r="AV1782" t="inlineStr">
        <is>
          <t>20014714</t>
        </is>
      </c>
      <c r="AW1782" t="inlineStr">
        <is>
          <t>991001528659702656</t>
        </is>
      </c>
      <c r="AX1782" t="inlineStr">
        <is>
          <t>991001528659702656</t>
        </is>
      </c>
      <c r="AY1782" t="inlineStr">
        <is>
          <t>2264131810002656</t>
        </is>
      </c>
      <c r="AZ1782" t="inlineStr">
        <is>
          <t>BOOK</t>
        </is>
      </c>
      <c r="BB1782" t="inlineStr">
        <is>
          <t>9781556111501</t>
        </is>
      </c>
      <c r="BC1782" t="inlineStr">
        <is>
          <t>32285000310978</t>
        </is>
      </c>
      <c r="BD1782" t="inlineStr">
        <is>
          <t>893785158</t>
        </is>
      </c>
    </row>
    <row r="1783">
      <c r="A1783" t="inlineStr">
        <is>
          <t>No</t>
        </is>
      </c>
      <c r="B1783" t="inlineStr">
        <is>
          <t>E766 .B92 1957</t>
        </is>
      </c>
      <c r="C1783" t="inlineStr">
        <is>
          <t>0                      E  0766000B  92          1957</t>
        </is>
      </c>
      <c r="D1783" t="inlineStr">
        <is>
          <t>Wilson's foreign policy in perspective / edited by Edward H. Buehrig.</t>
        </is>
      </c>
      <c r="F1783" t="inlineStr">
        <is>
          <t>No</t>
        </is>
      </c>
      <c r="G1783" t="inlineStr">
        <is>
          <t>1</t>
        </is>
      </c>
      <c r="H1783" t="inlineStr">
        <is>
          <t>No</t>
        </is>
      </c>
      <c r="I1783" t="inlineStr">
        <is>
          <t>No</t>
        </is>
      </c>
      <c r="J1783" t="inlineStr">
        <is>
          <t>0</t>
        </is>
      </c>
      <c r="K1783" t="inlineStr">
        <is>
          <t>Buehrig, Edward H. (Edward Henry), 1910-1986, editor.</t>
        </is>
      </c>
      <c r="L1783" t="inlineStr">
        <is>
          <t>Bloomington : Indiana University Press, c1957.</t>
        </is>
      </c>
      <c r="M1783" t="inlineStr">
        <is>
          <t>1957</t>
        </is>
      </c>
      <c r="O1783" t="inlineStr">
        <is>
          <t>eng</t>
        </is>
      </c>
      <c r="P1783" t="inlineStr">
        <is>
          <t>inu</t>
        </is>
      </c>
      <c r="R1783" t="inlineStr">
        <is>
          <t xml:space="preserve">E  </t>
        </is>
      </c>
      <c r="S1783" t="n">
        <v>3</v>
      </c>
      <c r="T1783" t="n">
        <v>3</v>
      </c>
      <c r="U1783" t="inlineStr">
        <is>
          <t>1996-03-07</t>
        </is>
      </c>
      <c r="V1783" t="inlineStr">
        <is>
          <t>1996-03-07</t>
        </is>
      </c>
      <c r="W1783" t="inlineStr">
        <is>
          <t>1990-02-14</t>
        </is>
      </c>
      <c r="X1783" t="inlineStr">
        <is>
          <t>1990-02-14</t>
        </is>
      </c>
      <c r="Y1783" t="n">
        <v>428</v>
      </c>
      <c r="Z1783" t="n">
        <v>390</v>
      </c>
      <c r="AA1783" t="n">
        <v>470</v>
      </c>
      <c r="AB1783" t="n">
        <v>5</v>
      </c>
      <c r="AC1783" t="n">
        <v>6</v>
      </c>
      <c r="AD1783" t="n">
        <v>20</v>
      </c>
      <c r="AE1783" t="n">
        <v>23</v>
      </c>
      <c r="AF1783" t="n">
        <v>6</v>
      </c>
      <c r="AG1783" t="n">
        <v>7</v>
      </c>
      <c r="AH1783" t="n">
        <v>5</v>
      </c>
      <c r="AI1783" t="n">
        <v>5</v>
      </c>
      <c r="AJ1783" t="n">
        <v>12</v>
      </c>
      <c r="AK1783" t="n">
        <v>13</v>
      </c>
      <c r="AL1783" t="n">
        <v>4</v>
      </c>
      <c r="AM1783" t="n">
        <v>5</v>
      </c>
      <c r="AN1783" t="n">
        <v>0</v>
      </c>
      <c r="AO1783" t="n">
        <v>0</v>
      </c>
      <c r="AP1783" t="inlineStr">
        <is>
          <t>No</t>
        </is>
      </c>
      <c r="AQ1783" t="inlineStr">
        <is>
          <t>No</t>
        </is>
      </c>
      <c r="AR1783">
        <f>HYPERLINK("http://catalog.hathitrust.org/Record/000577970","HathiTrust Record")</f>
        <v/>
      </c>
      <c r="AS1783">
        <f>HYPERLINK("https://creighton-primo.hosted.exlibrisgroup.com/primo-explore/search?tab=default_tab&amp;search_scope=EVERYTHING&amp;vid=01CRU&amp;lang=en_US&amp;offset=0&amp;query=any,contains,991003895699702656","Catalog Record")</f>
        <v/>
      </c>
      <c r="AT1783">
        <f>HYPERLINK("http://www.worldcat.org/oclc/1809091","WorldCat Record")</f>
        <v/>
      </c>
      <c r="AU1783" t="inlineStr">
        <is>
          <t>355493580:eng</t>
        </is>
      </c>
      <c r="AV1783" t="inlineStr">
        <is>
          <t>1809091</t>
        </is>
      </c>
      <c r="AW1783" t="inlineStr">
        <is>
          <t>991003895699702656</t>
        </is>
      </c>
      <c r="AX1783" t="inlineStr">
        <is>
          <t>991003895699702656</t>
        </is>
      </c>
      <c r="AY1783" t="inlineStr">
        <is>
          <t>2265763220002656</t>
        </is>
      </c>
      <c r="AZ1783" t="inlineStr">
        <is>
          <t>BOOK</t>
        </is>
      </c>
      <c r="BC1783" t="inlineStr">
        <is>
          <t>32285000052398</t>
        </is>
      </c>
      <c r="BD1783" t="inlineStr">
        <is>
          <t>893263008</t>
        </is>
      </c>
    </row>
    <row r="1784">
      <c r="A1784" t="inlineStr">
        <is>
          <t>No</t>
        </is>
      </c>
      <c r="B1784" t="inlineStr">
        <is>
          <t>E766 .D29 1963</t>
        </is>
      </c>
      <c r="C1784" t="inlineStr">
        <is>
          <t>0                      E  0766000D  29          1963</t>
        </is>
      </c>
      <c r="D1784" t="inlineStr">
        <is>
          <t>The cabinet diaries of Josephus Daniels, 1913-1921. Edited by E. David Cronon.</t>
        </is>
      </c>
      <c r="F1784" t="inlineStr">
        <is>
          <t>No</t>
        </is>
      </c>
      <c r="G1784" t="inlineStr">
        <is>
          <t>1</t>
        </is>
      </c>
      <c r="H1784" t="inlineStr">
        <is>
          <t>No</t>
        </is>
      </c>
      <c r="I1784" t="inlineStr">
        <is>
          <t>No</t>
        </is>
      </c>
      <c r="J1784" t="inlineStr">
        <is>
          <t>0</t>
        </is>
      </c>
      <c r="K1784" t="inlineStr">
        <is>
          <t>Daniels, Josephus, 1862-1948.</t>
        </is>
      </c>
      <c r="L1784" t="inlineStr">
        <is>
          <t>Lincoln, University of Nebraska Press [1963]</t>
        </is>
      </c>
      <c r="M1784" t="inlineStr">
        <is>
          <t>1963</t>
        </is>
      </c>
      <c r="O1784" t="inlineStr">
        <is>
          <t>eng</t>
        </is>
      </c>
      <c r="P1784" t="inlineStr">
        <is>
          <t>nbu</t>
        </is>
      </c>
      <c r="R1784" t="inlineStr">
        <is>
          <t xml:space="preserve">E  </t>
        </is>
      </c>
      <c r="S1784" t="n">
        <v>4</v>
      </c>
      <c r="T1784" t="n">
        <v>4</v>
      </c>
      <c r="U1784" t="inlineStr">
        <is>
          <t>1997-05-20</t>
        </is>
      </c>
      <c r="V1784" t="inlineStr">
        <is>
          <t>1997-05-20</t>
        </is>
      </c>
      <c r="W1784" t="inlineStr">
        <is>
          <t>1997-04-24</t>
        </is>
      </c>
      <c r="X1784" t="inlineStr">
        <is>
          <t>1997-04-24</t>
        </is>
      </c>
      <c r="Y1784" t="n">
        <v>726</v>
      </c>
      <c r="Z1784" t="n">
        <v>665</v>
      </c>
      <c r="AA1784" t="n">
        <v>668</v>
      </c>
      <c r="AB1784" t="n">
        <v>8</v>
      </c>
      <c r="AC1784" t="n">
        <v>8</v>
      </c>
      <c r="AD1784" t="n">
        <v>28</v>
      </c>
      <c r="AE1784" t="n">
        <v>29</v>
      </c>
      <c r="AF1784" t="n">
        <v>6</v>
      </c>
      <c r="AG1784" t="n">
        <v>7</v>
      </c>
      <c r="AH1784" t="n">
        <v>6</v>
      </c>
      <c r="AI1784" t="n">
        <v>6</v>
      </c>
      <c r="AJ1784" t="n">
        <v>13</v>
      </c>
      <c r="AK1784" t="n">
        <v>14</v>
      </c>
      <c r="AL1784" t="n">
        <v>7</v>
      </c>
      <c r="AM1784" t="n">
        <v>7</v>
      </c>
      <c r="AN1784" t="n">
        <v>0</v>
      </c>
      <c r="AO1784" t="n">
        <v>0</v>
      </c>
      <c r="AP1784" t="inlineStr">
        <is>
          <t>No</t>
        </is>
      </c>
      <c r="AQ1784" t="inlineStr">
        <is>
          <t>Yes</t>
        </is>
      </c>
      <c r="AR1784">
        <f>HYPERLINK("http://catalog.hathitrust.org/Record/000469136","HathiTrust Record")</f>
        <v/>
      </c>
      <c r="AS1784">
        <f>HYPERLINK("https://creighton-primo.hosted.exlibrisgroup.com/primo-explore/search?tab=default_tab&amp;search_scope=EVERYTHING&amp;vid=01CRU&amp;lang=en_US&amp;offset=0&amp;query=any,contains,991002821939702656","Catalog Record")</f>
        <v/>
      </c>
      <c r="AT1784">
        <f>HYPERLINK("http://www.worldcat.org/oclc/467047","WorldCat Record")</f>
        <v/>
      </c>
      <c r="AU1784" t="inlineStr">
        <is>
          <t>1524515:eng</t>
        </is>
      </c>
      <c r="AV1784" t="inlineStr">
        <is>
          <t>467047</t>
        </is>
      </c>
      <c r="AW1784" t="inlineStr">
        <is>
          <t>991002821939702656</t>
        </is>
      </c>
      <c r="AX1784" t="inlineStr">
        <is>
          <t>991002821939702656</t>
        </is>
      </c>
      <c r="AY1784" t="inlineStr">
        <is>
          <t>2263578120002656</t>
        </is>
      </c>
      <c r="AZ1784" t="inlineStr">
        <is>
          <t>BOOK</t>
        </is>
      </c>
      <c r="BC1784" t="inlineStr">
        <is>
          <t>32285002565157</t>
        </is>
      </c>
      <c r="BD1784" t="inlineStr">
        <is>
          <t>893504854</t>
        </is>
      </c>
    </row>
    <row r="1785">
      <c r="A1785" t="inlineStr">
        <is>
          <t>No</t>
        </is>
      </c>
      <c r="B1785" t="inlineStr">
        <is>
          <t>E766 .D31 1944</t>
        </is>
      </c>
      <c r="C1785" t="inlineStr">
        <is>
          <t>0                      E  0766000D  31          1944</t>
        </is>
      </c>
      <c r="D1785" t="inlineStr">
        <is>
          <t>The Wilson era / by Josephus Daniels.</t>
        </is>
      </c>
      <c r="E1785" t="inlineStr">
        <is>
          <t>V.2</t>
        </is>
      </c>
      <c r="F1785" t="inlineStr">
        <is>
          <t>Yes</t>
        </is>
      </c>
      <c r="G1785" t="inlineStr">
        <is>
          <t>1</t>
        </is>
      </c>
      <c r="H1785" t="inlineStr">
        <is>
          <t>No</t>
        </is>
      </c>
      <c r="I1785" t="inlineStr">
        <is>
          <t>No</t>
        </is>
      </c>
      <c r="J1785" t="inlineStr">
        <is>
          <t>0</t>
        </is>
      </c>
      <c r="K1785" t="inlineStr">
        <is>
          <t>Daniels, Josephus, 1862-1948.</t>
        </is>
      </c>
      <c r="L1785" t="inlineStr">
        <is>
          <t>Chapel Hill : University of North Carolina, 1944-1946.</t>
        </is>
      </c>
      <c r="M1785" t="inlineStr">
        <is>
          <t>1944</t>
        </is>
      </c>
      <c r="O1785" t="inlineStr">
        <is>
          <t>eng</t>
        </is>
      </c>
      <c r="P1785" t="inlineStr">
        <is>
          <t xml:space="preserve">xx </t>
        </is>
      </c>
      <c r="R1785" t="inlineStr">
        <is>
          <t xml:space="preserve">E  </t>
        </is>
      </c>
      <c r="S1785" t="n">
        <v>2</v>
      </c>
      <c r="T1785" t="n">
        <v>6</v>
      </c>
      <c r="V1785" t="inlineStr">
        <is>
          <t>1993-04-20</t>
        </is>
      </c>
      <c r="W1785" t="inlineStr">
        <is>
          <t>1991-06-04</t>
        </is>
      </c>
      <c r="X1785" t="inlineStr">
        <is>
          <t>1991-06-04</t>
        </is>
      </c>
      <c r="Y1785" t="n">
        <v>115</v>
      </c>
      <c r="Z1785" t="n">
        <v>72</v>
      </c>
      <c r="AA1785" t="n">
        <v>76</v>
      </c>
      <c r="AB1785" t="n">
        <v>2</v>
      </c>
      <c r="AC1785" t="n">
        <v>2</v>
      </c>
      <c r="AD1785" t="n">
        <v>4</v>
      </c>
      <c r="AE1785" t="n">
        <v>4</v>
      </c>
      <c r="AF1785" t="n">
        <v>2</v>
      </c>
      <c r="AG1785" t="n">
        <v>2</v>
      </c>
      <c r="AH1785" t="n">
        <v>0</v>
      </c>
      <c r="AI1785" t="n">
        <v>0</v>
      </c>
      <c r="AJ1785" t="n">
        <v>1</v>
      </c>
      <c r="AK1785" t="n">
        <v>1</v>
      </c>
      <c r="AL1785" t="n">
        <v>1</v>
      </c>
      <c r="AM1785" t="n">
        <v>1</v>
      </c>
      <c r="AN1785" t="n">
        <v>0</v>
      </c>
      <c r="AO1785" t="n">
        <v>0</v>
      </c>
      <c r="AP1785" t="inlineStr">
        <is>
          <t>No</t>
        </is>
      </c>
      <c r="AQ1785" t="inlineStr">
        <is>
          <t>Yes</t>
        </is>
      </c>
      <c r="AR1785">
        <f>HYPERLINK("http://catalog.hathitrust.org/Record/009908877","HathiTrust Record")</f>
        <v/>
      </c>
      <c r="AS1785">
        <f>HYPERLINK("https://creighton-primo.hosted.exlibrisgroup.com/primo-explore/search?tab=default_tab&amp;search_scope=EVERYTHING&amp;vid=01CRU&amp;lang=en_US&amp;offset=0&amp;query=any,contains,991004266289702656","Catalog Record")</f>
        <v/>
      </c>
      <c r="AT1785">
        <f>HYPERLINK("http://www.worldcat.org/oclc/2867303","WorldCat Record")</f>
        <v/>
      </c>
      <c r="AU1785" t="inlineStr">
        <is>
          <t>8908233270:eng</t>
        </is>
      </c>
      <c r="AV1785" t="inlineStr">
        <is>
          <t>2867303</t>
        </is>
      </c>
      <c r="AW1785" t="inlineStr">
        <is>
          <t>991004266289702656</t>
        </is>
      </c>
      <c r="AX1785" t="inlineStr">
        <is>
          <t>991004266289702656</t>
        </is>
      </c>
      <c r="AY1785" t="inlineStr">
        <is>
          <t>2265923410002656</t>
        </is>
      </c>
      <c r="AZ1785" t="inlineStr">
        <is>
          <t>BOOK</t>
        </is>
      </c>
      <c r="BC1785" t="inlineStr">
        <is>
          <t>32285000613827</t>
        </is>
      </c>
      <c r="BD1785" t="inlineStr">
        <is>
          <t>893525881</t>
        </is>
      </c>
    </row>
    <row r="1786">
      <c r="A1786" t="inlineStr">
        <is>
          <t>No</t>
        </is>
      </c>
      <c r="B1786" t="inlineStr">
        <is>
          <t>E766 .D31 1944</t>
        </is>
      </c>
      <c r="C1786" t="inlineStr">
        <is>
          <t>0                      E  0766000D  31          1944</t>
        </is>
      </c>
      <c r="D1786" t="inlineStr">
        <is>
          <t>The Wilson era / by Josephus Daniels.</t>
        </is>
      </c>
      <c r="E1786" t="inlineStr">
        <is>
          <t>V.1</t>
        </is>
      </c>
      <c r="F1786" t="inlineStr">
        <is>
          <t>Yes</t>
        </is>
      </c>
      <c r="G1786" t="inlineStr">
        <is>
          <t>1</t>
        </is>
      </c>
      <c r="H1786" t="inlineStr">
        <is>
          <t>No</t>
        </is>
      </c>
      <c r="I1786" t="inlineStr">
        <is>
          <t>No</t>
        </is>
      </c>
      <c r="J1786" t="inlineStr">
        <is>
          <t>0</t>
        </is>
      </c>
      <c r="K1786" t="inlineStr">
        <is>
          <t>Daniels, Josephus, 1862-1948.</t>
        </is>
      </c>
      <c r="L1786" t="inlineStr">
        <is>
          <t>Chapel Hill : University of North Carolina, 1944-1946.</t>
        </is>
      </c>
      <c r="M1786" t="inlineStr">
        <is>
          <t>1944</t>
        </is>
      </c>
      <c r="O1786" t="inlineStr">
        <is>
          <t>eng</t>
        </is>
      </c>
      <c r="P1786" t="inlineStr">
        <is>
          <t xml:space="preserve">xx </t>
        </is>
      </c>
      <c r="R1786" t="inlineStr">
        <is>
          <t xml:space="preserve">E  </t>
        </is>
      </c>
      <c r="S1786" t="n">
        <v>4</v>
      </c>
      <c r="T1786" t="n">
        <v>6</v>
      </c>
      <c r="U1786" t="inlineStr">
        <is>
          <t>1993-04-20</t>
        </is>
      </c>
      <c r="V1786" t="inlineStr">
        <is>
          <t>1993-04-20</t>
        </is>
      </c>
      <c r="W1786" t="inlineStr">
        <is>
          <t>1991-06-04</t>
        </is>
      </c>
      <c r="X1786" t="inlineStr">
        <is>
          <t>1991-06-04</t>
        </is>
      </c>
      <c r="Y1786" t="n">
        <v>115</v>
      </c>
      <c r="Z1786" t="n">
        <v>72</v>
      </c>
      <c r="AA1786" t="n">
        <v>76</v>
      </c>
      <c r="AB1786" t="n">
        <v>2</v>
      </c>
      <c r="AC1786" t="n">
        <v>2</v>
      </c>
      <c r="AD1786" t="n">
        <v>4</v>
      </c>
      <c r="AE1786" t="n">
        <v>4</v>
      </c>
      <c r="AF1786" t="n">
        <v>2</v>
      </c>
      <c r="AG1786" t="n">
        <v>2</v>
      </c>
      <c r="AH1786" t="n">
        <v>0</v>
      </c>
      <c r="AI1786" t="n">
        <v>0</v>
      </c>
      <c r="AJ1786" t="n">
        <v>1</v>
      </c>
      <c r="AK1786" t="n">
        <v>1</v>
      </c>
      <c r="AL1786" t="n">
        <v>1</v>
      </c>
      <c r="AM1786" t="n">
        <v>1</v>
      </c>
      <c r="AN1786" t="n">
        <v>0</v>
      </c>
      <c r="AO1786" t="n">
        <v>0</v>
      </c>
      <c r="AP1786" t="inlineStr">
        <is>
          <t>No</t>
        </is>
      </c>
      <c r="AQ1786" t="inlineStr">
        <is>
          <t>Yes</t>
        </is>
      </c>
      <c r="AR1786">
        <f>HYPERLINK("http://catalog.hathitrust.org/Record/009908877","HathiTrust Record")</f>
        <v/>
      </c>
      <c r="AS1786">
        <f>HYPERLINK("https://creighton-primo.hosted.exlibrisgroup.com/primo-explore/search?tab=default_tab&amp;search_scope=EVERYTHING&amp;vid=01CRU&amp;lang=en_US&amp;offset=0&amp;query=any,contains,991004266289702656","Catalog Record")</f>
        <v/>
      </c>
      <c r="AT1786">
        <f>HYPERLINK("http://www.worldcat.org/oclc/2867303","WorldCat Record")</f>
        <v/>
      </c>
      <c r="AU1786" t="inlineStr">
        <is>
          <t>8908233270:eng</t>
        </is>
      </c>
      <c r="AV1786" t="inlineStr">
        <is>
          <t>2867303</t>
        </is>
      </c>
      <c r="AW1786" t="inlineStr">
        <is>
          <t>991004266289702656</t>
        </is>
      </c>
      <c r="AX1786" t="inlineStr">
        <is>
          <t>991004266289702656</t>
        </is>
      </c>
      <c r="AY1786" t="inlineStr">
        <is>
          <t>2265923410002656</t>
        </is>
      </c>
      <c r="AZ1786" t="inlineStr">
        <is>
          <t>BOOK</t>
        </is>
      </c>
      <c r="BC1786" t="inlineStr">
        <is>
          <t>32285000613819</t>
        </is>
      </c>
      <c r="BD1786" t="inlineStr">
        <is>
          <t>893519445</t>
        </is>
      </c>
    </row>
    <row r="1787">
      <c r="A1787" t="inlineStr">
        <is>
          <t>No</t>
        </is>
      </c>
      <c r="B1787" t="inlineStr">
        <is>
          <t>E766 .D6</t>
        </is>
      </c>
      <c r="C1787" t="inlineStr">
        <is>
          <t>0                      E  0766000D  6</t>
        </is>
      </c>
      <c r="D1787" t="inlineStr">
        <is>
          <t>Mr. Wilson's war.</t>
        </is>
      </c>
      <c r="F1787" t="inlineStr">
        <is>
          <t>No</t>
        </is>
      </c>
      <c r="G1787" t="inlineStr">
        <is>
          <t>1</t>
        </is>
      </c>
      <c r="H1787" t="inlineStr">
        <is>
          <t>No</t>
        </is>
      </c>
      <c r="I1787" t="inlineStr">
        <is>
          <t>No</t>
        </is>
      </c>
      <c r="J1787" t="inlineStr">
        <is>
          <t>0</t>
        </is>
      </c>
      <c r="K1787" t="inlineStr">
        <is>
          <t>Dos Passos, John, 1896-1970.</t>
        </is>
      </c>
      <c r="L1787" t="inlineStr">
        <is>
          <t>Garden City, N.Y., Doubleday, 1962.</t>
        </is>
      </c>
      <c r="M1787" t="inlineStr">
        <is>
          <t>1962</t>
        </is>
      </c>
      <c r="N1787" t="inlineStr">
        <is>
          <t>[1st ed.]</t>
        </is>
      </c>
      <c r="O1787" t="inlineStr">
        <is>
          <t>eng</t>
        </is>
      </c>
      <c r="P1787" t="inlineStr">
        <is>
          <t>nyu</t>
        </is>
      </c>
      <c r="Q1787" t="inlineStr">
        <is>
          <t>Mainstream of America series</t>
        </is>
      </c>
      <c r="R1787" t="inlineStr">
        <is>
          <t xml:space="preserve">E  </t>
        </is>
      </c>
      <c r="S1787" t="n">
        <v>1</v>
      </c>
      <c r="T1787" t="n">
        <v>1</v>
      </c>
      <c r="U1787" t="inlineStr">
        <is>
          <t>1997-05-22</t>
        </is>
      </c>
      <c r="V1787" t="inlineStr">
        <is>
          <t>1997-05-22</t>
        </is>
      </c>
      <c r="W1787" t="inlineStr">
        <is>
          <t>1996-08-21</t>
        </is>
      </c>
      <c r="X1787" t="inlineStr">
        <is>
          <t>1996-08-21</t>
        </is>
      </c>
      <c r="Y1787" t="n">
        <v>1720</v>
      </c>
      <c r="Z1787" t="n">
        <v>1642</v>
      </c>
      <c r="AA1787" t="n">
        <v>1808</v>
      </c>
      <c r="AB1787" t="n">
        <v>10</v>
      </c>
      <c r="AC1787" t="n">
        <v>10</v>
      </c>
      <c r="AD1787" t="n">
        <v>41</v>
      </c>
      <c r="AE1787" t="n">
        <v>45</v>
      </c>
      <c r="AF1787" t="n">
        <v>18</v>
      </c>
      <c r="AG1787" t="n">
        <v>20</v>
      </c>
      <c r="AH1787" t="n">
        <v>8</v>
      </c>
      <c r="AI1787" t="n">
        <v>9</v>
      </c>
      <c r="AJ1787" t="n">
        <v>17</v>
      </c>
      <c r="AK1787" t="n">
        <v>20</v>
      </c>
      <c r="AL1787" t="n">
        <v>5</v>
      </c>
      <c r="AM1787" t="n">
        <v>5</v>
      </c>
      <c r="AN1787" t="n">
        <v>1</v>
      </c>
      <c r="AO1787" t="n">
        <v>1</v>
      </c>
      <c r="AP1787" t="inlineStr">
        <is>
          <t>No</t>
        </is>
      </c>
      <c r="AQ1787" t="inlineStr">
        <is>
          <t>No</t>
        </is>
      </c>
      <c r="AR1787">
        <f>HYPERLINK("http://catalog.hathitrust.org/Record/000577989","HathiTrust Record")</f>
        <v/>
      </c>
      <c r="AS1787">
        <f>HYPERLINK("https://creighton-primo.hosted.exlibrisgroup.com/primo-explore/search?tab=default_tab&amp;search_scope=EVERYTHING&amp;vid=01CRU&amp;lang=en_US&amp;offset=0&amp;query=any,contains,991002826679702656","Catalog Record")</f>
        <v/>
      </c>
      <c r="AT1787">
        <f>HYPERLINK("http://www.worldcat.org/oclc/475755","WorldCat Record")</f>
        <v/>
      </c>
      <c r="AU1787" t="inlineStr">
        <is>
          <t>453407:eng</t>
        </is>
      </c>
      <c r="AV1787" t="inlineStr">
        <is>
          <t>475755</t>
        </is>
      </c>
      <c r="AW1787" t="inlineStr">
        <is>
          <t>991002826679702656</t>
        </is>
      </c>
      <c r="AX1787" t="inlineStr">
        <is>
          <t>991002826679702656</t>
        </is>
      </c>
      <c r="AY1787" t="inlineStr">
        <is>
          <t>2255334210002656</t>
        </is>
      </c>
      <c r="AZ1787" t="inlineStr">
        <is>
          <t>BOOK</t>
        </is>
      </c>
      <c r="BC1787" t="inlineStr">
        <is>
          <t>32285002283074</t>
        </is>
      </c>
      <c r="BD1787" t="inlineStr">
        <is>
          <t>893257762</t>
        </is>
      </c>
    </row>
    <row r="1788">
      <c r="A1788" t="inlineStr">
        <is>
          <t>No</t>
        </is>
      </c>
      <c r="B1788" t="inlineStr">
        <is>
          <t>E766 .H86</t>
        </is>
      </c>
      <c r="C1788" t="inlineStr">
        <is>
          <t>0                      E  0766000H  86</t>
        </is>
      </c>
      <c r="D1788" t="inlineStr">
        <is>
          <t>Eight years with Wilson's cabinet, 1913 to 1920; with a personal estimate of the President, by David F. Houston ...</t>
        </is>
      </c>
      <c r="E1788" t="inlineStr">
        <is>
          <t>V.1</t>
        </is>
      </c>
      <c r="F1788" t="inlineStr">
        <is>
          <t>Yes</t>
        </is>
      </c>
      <c r="G1788" t="inlineStr">
        <is>
          <t>1</t>
        </is>
      </c>
      <c r="H1788" t="inlineStr">
        <is>
          <t>No</t>
        </is>
      </c>
      <c r="I1788" t="inlineStr">
        <is>
          <t>No</t>
        </is>
      </c>
      <c r="J1788" t="inlineStr">
        <is>
          <t>0</t>
        </is>
      </c>
      <c r="K1788" t="inlineStr">
        <is>
          <t>Houston, David Franklin, 1866-1940.</t>
        </is>
      </c>
      <c r="L1788" t="inlineStr">
        <is>
          <t>Garden City, N.Y., Doubleday, Page &amp; Company, 1926.</t>
        </is>
      </c>
      <c r="M1788" t="inlineStr">
        <is>
          <t>1926</t>
        </is>
      </c>
      <c r="O1788" t="inlineStr">
        <is>
          <t>eng</t>
        </is>
      </c>
      <c r="P1788" t="inlineStr">
        <is>
          <t>nyu</t>
        </is>
      </c>
      <c r="R1788" t="inlineStr">
        <is>
          <t xml:space="preserve">E  </t>
        </is>
      </c>
      <c r="S1788" t="n">
        <v>2</v>
      </c>
      <c r="T1788" t="n">
        <v>3</v>
      </c>
      <c r="U1788" t="inlineStr">
        <is>
          <t>2002-03-20</t>
        </is>
      </c>
      <c r="V1788" t="inlineStr">
        <is>
          <t>2002-03-20</t>
        </is>
      </c>
      <c r="W1788" t="inlineStr">
        <is>
          <t>1997-04-24</t>
        </is>
      </c>
      <c r="X1788" t="inlineStr">
        <is>
          <t>1997-04-24</t>
        </is>
      </c>
      <c r="Y1788" t="n">
        <v>842</v>
      </c>
      <c r="Z1788" t="n">
        <v>777</v>
      </c>
      <c r="AA1788" t="n">
        <v>835</v>
      </c>
      <c r="AB1788" t="n">
        <v>7</v>
      </c>
      <c r="AC1788" t="n">
        <v>8</v>
      </c>
      <c r="AD1788" t="n">
        <v>38</v>
      </c>
      <c r="AE1788" t="n">
        <v>39</v>
      </c>
      <c r="AF1788" t="n">
        <v>14</v>
      </c>
      <c r="AG1788" t="n">
        <v>14</v>
      </c>
      <c r="AH1788" t="n">
        <v>7</v>
      </c>
      <c r="AI1788" t="n">
        <v>7</v>
      </c>
      <c r="AJ1788" t="n">
        <v>21</v>
      </c>
      <c r="AK1788" t="n">
        <v>21</v>
      </c>
      <c r="AL1788" t="n">
        <v>5</v>
      </c>
      <c r="AM1788" t="n">
        <v>6</v>
      </c>
      <c r="AN1788" t="n">
        <v>1</v>
      </c>
      <c r="AO1788" t="n">
        <v>1</v>
      </c>
      <c r="AP1788" t="inlineStr">
        <is>
          <t>Yes</t>
        </is>
      </c>
      <c r="AQ1788" t="inlineStr">
        <is>
          <t>No</t>
        </is>
      </c>
      <c r="AR1788">
        <f>HYPERLINK("http://catalog.hathitrust.org/Record/000575497","HathiTrust Record")</f>
        <v/>
      </c>
      <c r="AS1788">
        <f>HYPERLINK("https://creighton-primo.hosted.exlibrisgroup.com/primo-explore/search?tab=default_tab&amp;search_scope=EVERYTHING&amp;vid=01CRU&amp;lang=en_US&amp;offset=0&amp;query=any,contains,991001231709702656","Catalog Record")</f>
        <v/>
      </c>
      <c r="AT1788">
        <f>HYPERLINK("http://www.worldcat.org/oclc/203760","WorldCat Record")</f>
        <v/>
      </c>
      <c r="AU1788" t="inlineStr">
        <is>
          <t>474148:eng</t>
        </is>
      </c>
      <c r="AV1788" t="inlineStr">
        <is>
          <t>203760</t>
        </is>
      </c>
      <c r="AW1788" t="inlineStr">
        <is>
          <t>991001231709702656</t>
        </is>
      </c>
      <c r="AX1788" t="inlineStr">
        <is>
          <t>991001231709702656</t>
        </is>
      </c>
      <c r="AY1788" t="inlineStr">
        <is>
          <t>2255943860002656</t>
        </is>
      </c>
      <c r="AZ1788" t="inlineStr">
        <is>
          <t>BOOK</t>
        </is>
      </c>
      <c r="BC1788" t="inlineStr">
        <is>
          <t>32285002565165</t>
        </is>
      </c>
      <c r="BD1788" t="inlineStr">
        <is>
          <t>893432710</t>
        </is>
      </c>
    </row>
    <row r="1789">
      <c r="A1789" t="inlineStr">
        <is>
          <t>No</t>
        </is>
      </c>
      <c r="B1789" t="inlineStr">
        <is>
          <t>E766 .H86</t>
        </is>
      </c>
      <c r="C1789" t="inlineStr">
        <is>
          <t>0                      E  0766000H  86</t>
        </is>
      </c>
      <c r="D1789" t="inlineStr">
        <is>
          <t>Eight years with Wilson's cabinet, 1913 to 1920; with a personal estimate of the President, by David F. Houston ...</t>
        </is>
      </c>
      <c r="E1789" t="inlineStr">
        <is>
          <t>V.2</t>
        </is>
      </c>
      <c r="F1789" t="inlineStr">
        <is>
          <t>Yes</t>
        </is>
      </c>
      <c r="G1789" t="inlineStr">
        <is>
          <t>1</t>
        </is>
      </c>
      <c r="H1789" t="inlineStr">
        <is>
          <t>No</t>
        </is>
      </c>
      <c r="I1789" t="inlineStr">
        <is>
          <t>No</t>
        </is>
      </c>
      <c r="J1789" t="inlineStr">
        <is>
          <t>0</t>
        </is>
      </c>
      <c r="K1789" t="inlineStr">
        <is>
          <t>Houston, David Franklin, 1866-1940.</t>
        </is>
      </c>
      <c r="L1789" t="inlineStr">
        <is>
          <t>Garden City, N.Y., Doubleday, Page &amp; Company, 1926.</t>
        </is>
      </c>
      <c r="M1789" t="inlineStr">
        <is>
          <t>1926</t>
        </is>
      </c>
      <c r="O1789" t="inlineStr">
        <is>
          <t>eng</t>
        </is>
      </c>
      <c r="P1789" t="inlineStr">
        <is>
          <t>nyu</t>
        </is>
      </c>
      <c r="R1789" t="inlineStr">
        <is>
          <t xml:space="preserve">E  </t>
        </is>
      </c>
      <c r="S1789" t="n">
        <v>1</v>
      </c>
      <c r="T1789" t="n">
        <v>3</v>
      </c>
      <c r="V1789" t="inlineStr">
        <is>
          <t>2002-03-20</t>
        </is>
      </c>
      <c r="W1789" t="inlineStr">
        <is>
          <t>1997-04-24</t>
        </is>
      </c>
      <c r="X1789" t="inlineStr">
        <is>
          <t>1997-04-24</t>
        </is>
      </c>
      <c r="Y1789" t="n">
        <v>842</v>
      </c>
      <c r="Z1789" t="n">
        <v>777</v>
      </c>
      <c r="AA1789" t="n">
        <v>835</v>
      </c>
      <c r="AB1789" t="n">
        <v>7</v>
      </c>
      <c r="AC1789" t="n">
        <v>8</v>
      </c>
      <c r="AD1789" t="n">
        <v>38</v>
      </c>
      <c r="AE1789" t="n">
        <v>39</v>
      </c>
      <c r="AF1789" t="n">
        <v>14</v>
      </c>
      <c r="AG1789" t="n">
        <v>14</v>
      </c>
      <c r="AH1789" t="n">
        <v>7</v>
      </c>
      <c r="AI1789" t="n">
        <v>7</v>
      </c>
      <c r="AJ1789" t="n">
        <v>21</v>
      </c>
      <c r="AK1789" t="n">
        <v>21</v>
      </c>
      <c r="AL1789" t="n">
        <v>5</v>
      </c>
      <c r="AM1789" t="n">
        <v>6</v>
      </c>
      <c r="AN1789" t="n">
        <v>1</v>
      </c>
      <c r="AO1789" t="n">
        <v>1</v>
      </c>
      <c r="AP1789" t="inlineStr">
        <is>
          <t>Yes</t>
        </is>
      </c>
      <c r="AQ1789" t="inlineStr">
        <is>
          <t>No</t>
        </is>
      </c>
      <c r="AR1789">
        <f>HYPERLINK("http://catalog.hathitrust.org/Record/000575497","HathiTrust Record")</f>
        <v/>
      </c>
      <c r="AS1789">
        <f>HYPERLINK("https://creighton-primo.hosted.exlibrisgroup.com/primo-explore/search?tab=default_tab&amp;search_scope=EVERYTHING&amp;vid=01CRU&amp;lang=en_US&amp;offset=0&amp;query=any,contains,991001231709702656","Catalog Record")</f>
        <v/>
      </c>
      <c r="AT1789">
        <f>HYPERLINK("http://www.worldcat.org/oclc/203760","WorldCat Record")</f>
        <v/>
      </c>
      <c r="AU1789" t="inlineStr">
        <is>
          <t>474148:eng</t>
        </is>
      </c>
      <c r="AV1789" t="inlineStr">
        <is>
          <t>203760</t>
        </is>
      </c>
      <c r="AW1789" t="inlineStr">
        <is>
          <t>991001231709702656</t>
        </is>
      </c>
      <c r="AX1789" t="inlineStr">
        <is>
          <t>991001231709702656</t>
        </is>
      </c>
      <c r="AY1789" t="inlineStr">
        <is>
          <t>2255943860002656</t>
        </is>
      </c>
      <c r="AZ1789" t="inlineStr">
        <is>
          <t>BOOK</t>
        </is>
      </c>
      <c r="BC1789" t="inlineStr">
        <is>
          <t>32285002565173</t>
        </is>
      </c>
      <c r="BD1789" t="inlineStr">
        <is>
          <t>893407966</t>
        </is>
      </c>
    </row>
    <row r="1790">
      <c r="A1790" t="inlineStr">
        <is>
          <t>No</t>
        </is>
      </c>
      <c r="B1790" t="inlineStr">
        <is>
          <t>E766 .N63</t>
        </is>
      </c>
      <c r="C1790" t="inlineStr">
        <is>
          <t>0                      E  0766000N  63</t>
        </is>
      </c>
      <c r="D1790" t="inlineStr">
        <is>
          <t>Into the twenties; the United States from armistice to normalcy.</t>
        </is>
      </c>
      <c r="F1790" t="inlineStr">
        <is>
          <t>No</t>
        </is>
      </c>
      <c r="G1790" t="inlineStr">
        <is>
          <t>1</t>
        </is>
      </c>
      <c r="H1790" t="inlineStr">
        <is>
          <t>No</t>
        </is>
      </c>
      <c r="I1790" t="inlineStr">
        <is>
          <t>No</t>
        </is>
      </c>
      <c r="J1790" t="inlineStr">
        <is>
          <t>0</t>
        </is>
      </c>
      <c r="K1790" t="inlineStr">
        <is>
          <t>Noggle, Burl.</t>
        </is>
      </c>
      <c r="L1790" t="inlineStr">
        <is>
          <t>Urbana, University of Illinois Press [1974]</t>
        </is>
      </c>
      <c r="M1790" t="inlineStr">
        <is>
          <t>1974</t>
        </is>
      </c>
      <c r="O1790" t="inlineStr">
        <is>
          <t>eng</t>
        </is>
      </c>
      <c r="P1790" t="inlineStr">
        <is>
          <t>ilu</t>
        </is>
      </c>
      <c r="R1790" t="inlineStr">
        <is>
          <t xml:space="preserve">E  </t>
        </is>
      </c>
      <c r="S1790" t="n">
        <v>2</v>
      </c>
      <c r="T1790" t="n">
        <v>2</v>
      </c>
      <c r="U1790" t="inlineStr">
        <is>
          <t>1998-03-05</t>
        </is>
      </c>
      <c r="V1790" t="inlineStr">
        <is>
          <t>1998-03-05</t>
        </is>
      </c>
      <c r="W1790" t="inlineStr">
        <is>
          <t>1997-04-24</t>
        </is>
      </c>
      <c r="X1790" t="inlineStr">
        <is>
          <t>1997-04-24</t>
        </is>
      </c>
      <c r="Y1790" t="n">
        <v>883</v>
      </c>
      <c r="Z1790" t="n">
        <v>783</v>
      </c>
      <c r="AA1790" t="n">
        <v>787</v>
      </c>
      <c r="AB1790" t="n">
        <v>6</v>
      </c>
      <c r="AC1790" t="n">
        <v>6</v>
      </c>
      <c r="AD1790" t="n">
        <v>31</v>
      </c>
      <c r="AE1790" t="n">
        <v>31</v>
      </c>
      <c r="AF1790" t="n">
        <v>12</v>
      </c>
      <c r="AG1790" t="n">
        <v>12</v>
      </c>
      <c r="AH1790" t="n">
        <v>8</v>
      </c>
      <c r="AI1790" t="n">
        <v>8</v>
      </c>
      <c r="AJ1790" t="n">
        <v>15</v>
      </c>
      <c r="AK1790" t="n">
        <v>15</v>
      </c>
      <c r="AL1790" t="n">
        <v>5</v>
      </c>
      <c r="AM1790" t="n">
        <v>5</v>
      </c>
      <c r="AN1790" t="n">
        <v>0</v>
      </c>
      <c r="AO1790" t="n">
        <v>0</v>
      </c>
      <c r="AP1790" t="inlineStr">
        <is>
          <t>No</t>
        </is>
      </c>
      <c r="AQ1790" t="inlineStr">
        <is>
          <t>Yes</t>
        </is>
      </c>
      <c r="AR1790">
        <f>HYPERLINK("http://catalog.hathitrust.org/Record/000469153","HathiTrust Record")</f>
        <v/>
      </c>
      <c r="AS1790">
        <f>HYPERLINK("https://creighton-primo.hosted.exlibrisgroup.com/primo-explore/search?tab=default_tab&amp;search_scope=EVERYTHING&amp;vid=01CRU&amp;lang=en_US&amp;offset=0&amp;query=any,contains,991003289639702656","Catalog Record")</f>
        <v/>
      </c>
      <c r="AT1790">
        <f>HYPERLINK("http://www.worldcat.org/oclc/811093","WorldCat Record")</f>
        <v/>
      </c>
      <c r="AU1790" t="inlineStr">
        <is>
          <t>346252184:eng</t>
        </is>
      </c>
      <c r="AV1790" t="inlineStr">
        <is>
          <t>811093</t>
        </is>
      </c>
      <c r="AW1790" t="inlineStr">
        <is>
          <t>991003289639702656</t>
        </is>
      </c>
      <c r="AX1790" t="inlineStr">
        <is>
          <t>991003289639702656</t>
        </is>
      </c>
      <c r="AY1790" t="inlineStr">
        <is>
          <t>2269456450002656</t>
        </is>
      </c>
      <c r="AZ1790" t="inlineStr">
        <is>
          <t>BOOK</t>
        </is>
      </c>
      <c r="BB1790" t="inlineStr">
        <is>
          <t>9780252004209</t>
        </is>
      </c>
      <c r="BC1790" t="inlineStr">
        <is>
          <t>32285002565215</t>
        </is>
      </c>
      <c r="BD1790" t="inlineStr">
        <is>
          <t>893705095</t>
        </is>
      </c>
    </row>
    <row r="1791">
      <c r="A1791" t="inlineStr">
        <is>
          <t>No</t>
        </is>
      </c>
      <c r="B1791" t="inlineStr">
        <is>
          <t>E767 .A95 1993</t>
        </is>
      </c>
      <c r="C1791" t="inlineStr">
        <is>
          <t>0                      E  0767000A  95          1993</t>
        </is>
      </c>
      <c r="D1791" t="inlineStr">
        <is>
          <t>"Brother Woodrow" : a memoir of Woodrow Wilson / by Stockton Axson ; edited by Arthur S. Link, with the assistance of John E. Little, L. Kathleen Amon, and Nancy Plum.</t>
        </is>
      </c>
      <c r="F1791" t="inlineStr">
        <is>
          <t>No</t>
        </is>
      </c>
      <c r="G1791" t="inlineStr">
        <is>
          <t>1</t>
        </is>
      </c>
      <c r="H1791" t="inlineStr">
        <is>
          <t>No</t>
        </is>
      </c>
      <c r="I1791" t="inlineStr">
        <is>
          <t>No</t>
        </is>
      </c>
      <c r="J1791" t="inlineStr">
        <is>
          <t>0</t>
        </is>
      </c>
      <c r="K1791" t="inlineStr">
        <is>
          <t>Axson, Stockton, 1867-1935.</t>
        </is>
      </c>
      <c r="L1791" t="inlineStr">
        <is>
          <t>Princeton, NJ : Princeton University Press, c1993.</t>
        </is>
      </c>
      <c r="M1791" t="inlineStr">
        <is>
          <t>1993</t>
        </is>
      </c>
      <c r="O1791" t="inlineStr">
        <is>
          <t>eng</t>
        </is>
      </c>
      <c r="P1791" t="inlineStr">
        <is>
          <t>nju</t>
        </is>
      </c>
      <c r="Q1791" t="inlineStr">
        <is>
          <t>Supplementary volumes to The papers of Woodrow Wilson</t>
        </is>
      </c>
      <c r="R1791" t="inlineStr">
        <is>
          <t xml:space="preserve">E  </t>
        </is>
      </c>
      <c r="S1791" t="n">
        <v>2</v>
      </c>
      <c r="T1791" t="n">
        <v>2</v>
      </c>
      <c r="U1791" t="inlineStr">
        <is>
          <t>1997-10-31</t>
        </is>
      </c>
      <c r="V1791" t="inlineStr">
        <is>
          <t>1997-10-31</t>
        </is>
      </c>
      <c r="W1791" t="inlineStr">
        <is>
          <t>1993-12-28</t>
        </is>
      </c>
      <c r="X1791" t="inlineStr">
        <is>
          <t>1993-12-28</t>
        </is>
      </c>
      <c r="Y1791" t="n">
        <v>742</v>
      </c>
      <c r="Z1791" t="n">
        <v>655</v>
      </c>
      <c r="AA1791" t="n">
        <v>929</v>
      </c>
      <c r="AB1791" t="n">
        <v>3</v>
      </c>
      <c r="AC1791" t="n">
        <v>6</v>
      </c>
      <c r="AD1791" t="n">
        <v>32</v>
      </c>
      <c r="AE1791" t="n">
        <v>44</v>
      </c>
      <c r="AF1791" t="n">
        <v>15</v>
      </c>
      <c r="AG1791" t="n">
        <v>21</v>
      </c>
      <c r="AH1791" t="n">
        <v>7</v>
      </c>
      <c r="AI1791" t="n">
        <v>9</v>
      </c>
      <c r="AJ1791" t="n">
        <v>19</v>
      </c>
      <c r="AK1791" t="n">
        <v>22</v>
      </c>
      <c r="AL1791" t="n">
        <v>2</v>
      </c>
      <c r="AM1791" t="n">
        <v>4</v>
      </c>
      <c r="AN1791" t="n">
        <v>0</v>
      </c>
      <c r="AO1791" t="n">
        <v>0</v>
      </c>
      <c r="AP1791" t="inlineStr">
        <is>
          <t>No</t>
        </is>
      </c>
      <c r="AQ1791" t="inlineStr">
        <is>
          <t>No</t>
        </is>
      </c>
      <c r="AS1791">
        <f>HYPERLINK("https://creighton-primo.hosted.exlibrisgroup.com/primo-explore/search?tab=default_tab&amp;search_scope=EVERYTHING&amp;vid=01CRU&amp;lang=en_US&amp;offset=0&amp;query=any,contains,991002122519702656","Catalog Record")</f>
        <v/>
      </c>
      <c r="AT1791">
        <f>HYPERLINK("http://www.worldcat.org/oclc/27186808","WorldCat Record")</f>
        <v/>
      </c>
      <c r="AU1791" t="inlineStr">
        <is>
          <t>836899118:eng</t>
        </is>
      </c>
      <c r="AV1791" t="inlineStr">
        <is>
          <t>27186808</t>
        </is>
      </c>
      <c r="AW1791" t="inlineStr">
        <is>
          <t>991002122519702656</t>
        </is>
      </c>
      <c r="AX1791" t="inlineStr">
        <is>
          <t>991002122519702656</t>
        </is>
      </c>
      <c r="AY1791" t="inlineStr">
        <is>
          <t>2270387690002656</t>
        </is>
      </c>
      <c r="AZ1791" t="inlineStr">
        <is>
          <t>BOOK</t>
        </is>
      </c>
      <c r="BB1791" t="inlineStr">
        <is>
          <t>9780691032559</t>
        </is>
      </c>
      <c r="BC1791" t="inlineStr">
        <is>
          <t>32285001803559</t>
        </is>
      </c>
      <c r="BD1791" t="inlineStr">
        <is>
          <t>893347128</t>
        </is>
      </c>
    </row>
    <row r="1792">
      <c r="A1792" t="inlineStr">
        <is>
          <t>No</t>
        </is>
      </c>
      <c r="B1792" t="inlineStr">
        <is>
          <t>E767 .F7</t>
        </is>
      </c>
      <c r="C1792" t="inlineStr">
        <is>
          <t>0                      E  0767000F  7</t>
        </is>
      </c>
      <c r="D1792" t="inlineStr">
        <is>
          <t>Thomas Woodrow Wilson, twenty-eighth President of the United States; a psychological study, by Sigmund Freud and William C. Bullitt.</t>
        </is>
      </c>
      <c r="F1792" t="inlineStr">
        <is>
          <t>No</t>
        </is>
      </c>
      <c r="G1792" t="inlineStr">
        <is>
          <t>1</t>
        </is>
      </c>
      <c r="H1792" t="inlineStr">
        <is>
          <t>No</t>
        </is>
      </c>
      <c r="I1792" t="inlineStr">
        <is>
          <t>No</t>
        </is>
      </c>
      <c r="J1792" t="inlineStr">
        <is>
          <t>0</t>
        </is>
      </c>
      <c r="K1792" t="inlineStr">
        <is>
          <t>Freud, Sigmund, 1856-1939.</t>
        </is>
      </c>
      <c r="L1792" t="inlineStr">
        <is>
          <t>Boston, Houghton Mifflin, 1967 [c1966]</t>
        </is>
      </c>
      <c r="M1792" t="inlineStr">
        <is>
          <t>1967</t>
        </is>
      </c>
      <c r="O1792" t="inlineStr">
        <is>
          <t>eng</t>
        </is>
      </c>
      <c r="P1792" t="inlineStr">
        <is>
          <t>mau</t>
        </is>
      </c>
      <c r="R1792" t="inlineStr">
        <is>
          <t xml:space="preserve">E  </t>
        </is>
      </c>
      <c r="S1792" t="n">
        <v>1</v>
      </c>
      <c r="T1792" t="n">
        <v>1</v>
      </c>
      <c r="U1792" t="inlineStr">
        <is>
          <t>2000-12-15</t>
        </is>
      </c>
      <c r="V1792" t="inlineStr">
        <is>
          <t>2000-12-15</t>
        </is>
      </c>
      <c r="W1792" t="inlineStr">
        <is>
          <t>1997-04-24</t>
        </is>
      </c>
      <c r="X1792" t="inlineStr">
        <is>
          <t>1997-04-24</t>
        </is>
      </c>
      <c r="Y1792" t="n">
        <v>1376</v>
      </c>
      <c r="Z1792" t="n">
        <v>1304</v>
      </c>
      <c r="AA1792" t="n">
        <v>1528</v>
      </c>
      <c r="AB1792" t="n">
        <v>14</v>
      </c>
      <c r="AC1792" t="n">
        <v>16</v>
      </c>
      <c r="AD1792" t="n">
        <v>44</v>
      </c>
      <c r="AE1792" t="n">
        <v>57</v>
      </c>
      <c r="AF1792" t="n">
        <v>14</v>
      </c>
      <c r="AG1792" t="n">
        <v>22</v>
      </c>
      <c r="AH1792" t="n">
        <v>10</v>
      </c>
      <c r="AI1792" t="n">
        <v>11</v>
      </c>
      <c r="AJ1792" t="n">
        <v>18</v>
      </c>
      <c r="AK1792" t="n">
        <v>23</v>
      </c>
      <c r="AL1792" t="n">
        <v>10</v>
      </c>
      <c r="AM1792" t="n">
        <v>11</v>
      </c>
      <c r="AN1792" t="n">
        <v>2</v>
      </c>
      <c r="AO1792" t="n">
        <v>2</v>
      </c>
      <c r="AP1792" t="inlineStr">
        <is>
          <t>No</t>
        </is>
      </c>
      <c r="AQ1792" t="inlineStr">
        <is>
          <t>Yes</t>
        </is>
      </c>
      <c r="AR1792">
        <f>HYPERLINK("http://catalog.hathitrust.org/Record/000469181","HathiTrust Record")</f>
        <v/>
      </c>
      <c r="AS1792">
        <f>HYPERLINK("https://creighton-primo.hosted.exlibrisgroup.com/primo-explore/search?tab=default_tab&amp;search_scope=EVERYTHING&amp;vid=01CRU&amp;lang=en_US&amp;offset=0&amp;query=any,contains,991001370789702656","Catalog Record")</f>
        <v/>
      </c>
      <c r="AT1792">
        <f>HYPERLINK("http://www.worldcat.org/oclc/223640","WorldCat Record")</f>
        <v/>
      </c>
      <c r="AU1792" t="inlineStr">
        <is>
          <t>180325335:eng</t>
        </is>
      </c>
      <c r="AV1792" t="inlineStr">
        <is>
          <t>223640</t>
        </is>
      </c>
      <c r="AW1792" t="inlineStr">
        <is>
          <t>991001370789702656</t>
        </is>
      </c>
      <c r="AX1792" t="inlineStr">
        <is>
          <t>991001370789702656</t>
        </is>
      </c>
      <c r="AY1792" t="inlineStr">
        <is>
          <t>2264026350002656</t>
        </is>
      </c>
      <c r="AZ1792" t="inlineStr">
        <is>
          <t>BOOK</t>
        </is>
      </c>
      <c r="BC1792" t="inlineStr">
        <is>
          <t>32285002565355</t>
        </is>
      </c>
      <c r="BD1792" t="inlineStr">
        <is>
          <t>893791400</t>
        </is>
      </c>
    </row>
    <row r="1793">
      <c r="A1793" t="inlineStr">
        <is>
          <t>No</t>
        </is>
      </c>
      <c r="B1793" t="inlineStr">
        <is>
          <t>E767 .G4</t>
        </is>
      </c>
      <c r="C1793" t="inlineStr">
        <is>
          <t>0                      E  0767000G  4</t>
        </is>
      </c>
      <c r="D1793" t="inlineStr">
        <is>
          <t>Woodrow Wilson and Colonel House; a personality study [by] Alexander L. George and Juliette L. George.</t>
        </is>
      </c>
      <c r="F1793" t="inlineStr">
        <is>
          <t>No</t>
        </is>
      </c>
      <c r="G1793" t="inlineStr">
        <is>
          <t>1</t>
        </is>
      </c>
      <c r="H1793" t="inlineStr">
        <is>
          <t>No</t>
        </is>
      </c>
      <c r="I1793" t="inlineStr">
        <is>
          <t>No</t>
        </is>
      </c>
      <c r="J1793" t="inlineStr">
        <is>
          <t>0</t>
        </is>
      </c>
      <c r="K1793" t="inlineStr">
        <is>
          <t>George, Alexander L.</t>
        </is>
      </c>
      <c r="L1793" t="inlineStr">
        <is>
          <t>New York, J. Day Co. [1956]</t>
        </is>
      </c>
      <c r="M1793" t="inlineStr">
        <is>
          <t>1956</t>
        </is>
      </c>
      <c r="O1793" t="inlineStr">
        <is>
          <t>eng</t>
        </is>
      </c>
      <c r="P1793" t="inlineStr">
        <is>
          <t>nyu</t>
        </is>
      </c>
      <c r="R1793" t="inlineStr">
        <is>
          <t xml:space="preserve">E  </t>
        </is>
      </c>
      <c r="S1793" t="n">
        <v>2</v>
      </c>
      <c r="T1793" t="n">
        <v>2</v>
      </c>
      <c r="U1793" t="inlineStr">
        <is>
          <t>2003-02-13</t>
        </is>
      </c>
      <c r="V1793" t="inlineStr">
        <is>
          <t>2003-02-13</t>
        </is>
      </c>
      <c r="W1793" t="inlineStr">
        <is>
          <t>1997-04-24</t>
        </is>
      </c>
      <c r="X1793" t="inlineStr">
        <is>
          <t>1997-04-24</t>
        </is>
      </c>
      <c r="Y1793" t="n">
        <v>593</v>
      </c>
      <c r="Z1793" t="n">
        <v>549</v>
      </c>
      <c r="AA1793" t="n">
        <v>1102</v>
      </c>
      <c r="AB1793" t="n">
        <v>6</v>
      </c>
      <c r="AC1793" t="n">
        <v>10</v>
      </c>
      <c r="AD1793" t="n">
        <v>26</v>
      </c>
      <c r="AE1793" t="n">
        <v>50</v>
      </c>
      <c r="AF1793" t="n">
        <v>12</v>
      </c>
      <c r="AG1793" t="n">
        <v>21</v>
      </c>
      <c r="AH1793" t="n">
        <v>4</v>
      </c>
      <c r="AI1793" t="n">
        <v>8</v>
      </c>
      <c r="AJ1793" t="n">
        <v>12</v>
      </c>
      <c r="AK1793" t="n">
        <v>23</v>
      </c>
      <c r="AL1793" t="n">
        <v>5</v>
      </c>
      <c r="AM1793" t="n">
        <v>9</v>
      </c>
      <c r="AN1793" t="n">
        <v>0</v>
      </c>
      <c r="AO1793" t="n">
        <v>1</v>
      </c>
      <c r="AP1793" t="inlineStr">
        <is>
          <t>No</t>
        </is>
      </c>
      <c r="AQ1793" t="inlineStr">
        <is>
          <t>No</t>
        </is>
      </c>
      <c r="AR1793">
        <f>HYPERLINK("http://catalog.hathitrust.org/Record/006784051","HathiTrust Record")</f>
        <v/>
      </c>
      <c r="AS1793">
        <f>HYPERLINK("https://creighton-primo.hosted.exlibrisgroup.com/primo-explore/search?tab=default_tab&amp;search_scope=EVERYTHING&amp;vid=01CRU&amp;lang=en_US&amp;offset=0&amp;query=any,contains,991003294079702656","Catalog Record")</f>
        <v/>
      </c>
      <c r="AT1793">
        <f>HYPERLINK("http://www.worldcat.org/oclc/816124","WorldCat Record")</f>
        <v/>
      </c>
      <c r="AU1793" t="inlineStr">
        <is>
          <t>869027966:eng</t>
        </is>
      </c>
      <c r="AV1793" t="inlineStr">
        <is>
          <t>816124</t>
        </is>
      </c>
      <c r="AW1793" t="inlineStr">
        <is>
          <t>991003294079702656</t>
        </is>
      </c>
      <c r="AX1793" t="inlineStr">
        <is>
          <t>991003294079702656</t>
        </is>
      </c>
      <c r="AY1793" t="inlineStr">
        <is>
          <t>2271202190002656</t>
        </is>
      </c>
      <c r="AZ1793" t="inlineStr">
        <is>
          <t>BOOK</t>
        </is>
      </c>
      <c r="BC1793" t="inlineStr">
        <is>
          <t>32285002565363</t>
        </is>
      </c>
      <c r="BD1793" t="inlineStr">
        <is>
          <t>893774591</t>
        </is>
      </c>
    </row>
    <row r="1794">
      <c r="A1794" t="inlineStr">
        <is>
          <t>No</t>
        </is>
      </c>
      <c r="B1794" t="inlineStr">
        <is>
          <t>E767 .J7</t>
        </is>
      </c>
      <c r="C1794" t="inlineStr">
        <is>
          <t>0                      E  0767000J  7</t>
        </is>
      </c>
      <c r="D1794" t="inlineStr">
        <is>
          <t>Woodrow Wilson : the unforgettable figure who has returned to haunt us / by Gerald W. Johnson, with the collaboration of the editors of Look magazine.</t>
        </is>
      </c>
      <c r="F1794" t="inlineStr">
        <is>
          <t>No</t>
        </is>
      </c>
      <c r="G1794" t="inlineStr">
        <is>
          <t>1</t>
        </is>
      </c>
      <c r="H1794" t="inlineStr">
        <is>
          <t>No</t>
        </is>
      </c>
      <c r="I1794" t="inlineStr">
        <is>
          <t>No</t>
        </is>
      </c>
      <c r="J1794" t="inlineStr">
        <is>
          <t>0</t>
        </is>
      </c>
      <c r="K1794" t="inlineStr">
        <is>
          <t>Johnson, Gerald W. (Gerald White), 1890-1980.</t>
        </is>
      </c>
      <c r="L1794" t="inlineStr">
        <is>
          <t>New York ; London : Harper &amp; Brothers, [1944]</t>
        </is>
      </c>
      <c r="M1794" t="inlineStr">
        <is>
          <t>1944</t>
        </is>
      </c>
      <c r="O1794" t="inlineStr">
        <is>
          <t>eng</t>
        </is>
      </c>
      <c r="P1794" t="inlineStr">
        <is>
          <t>nyu</t>
        </is>
      </c>
      <c r="R1794" t="inlineStr">
        <is>
          <t xml:space="preserve">E  </t>
        </is>
      </c>
      <c r="S1794" t="n">
        <v>5</v>
      </c>
      <c r="T1794" t="n">
        <v>5</v>
      </c>
      <c r="U1794" t="inlineStr">
        <is>
          <t>2003-10-28</t>
        </is>
      </c>
      <c r="V1794" t="inlineStr">
        <is>
          <t>2003-10-28</t>
        </is>
      </c>
      <c r="W1794" t="inlineStr">
        <is>
          <t>1994-07-27</t>
        </is>
      </c>
      <c r="X1794" t="inlineStr">
        <is>
          <t>1994-07-27</t>
        </is>
      </c>
      <c r="Y1794" t="n">
        <v>643</v>
      </c>
      <c r="Z1794" t="n">
        <v>615</v>
      </c>
      <c r="AA1794" t="n">
        <v>629</v>
      </c>
      <c r="AB1794" t="n">
        <v>10</v>
      </c>
      <c r="AC1794" t="n">
        <v>10</v>
      </c>
      <c r="AD1794" t="n">
        <v>28</v>
      </c>
      <c r="AE1794" t="n">
        <v>29</v>
      </c>
      <c r="AF1794" t="n">
        <v>9</v>
      </c>
      <c r="AG1794" t="n">
        <v>9</v>
      </c>
      <c r="AH1794" t="n">
        <v>3</v>
      </c>
      <c r="AI1794" t="n">
        <v>4</v>
      </c>
      <c r="AJ1794" t="n">
        <v>13</v>
      </c>
      <c r="AK1794" t="n">
        <v>13</v>
      </c>
      <c r="AL1794" t="n">
        <v>6</v>
      </c>
      <c r="AM1794" t="n">
        <v>6</v>
      </c>
      <c r="AN1794" t="n">
        <v>2</v>
      </c>
      <c r="AO1794" t="n">
        <v>2</v>
      </c>
      <c r="AP1794" t="inlineStr">
        <is>
          <t>No</t>
        </is>
      </c>
      <c r="AQ1794" t="inlineStr">
        <is>
          <t>Yes</t>
        </is>
      </c>
      <c r="AR1794">
        <f>HYPERLINK("http://catalog.hathitrust.org/Record/000777864","HathiTrust Record")</f>
        <v/>
      </c>
      <c r="AS1794">
        <f>HYPERLINK("https://creighton-primo.hosted.exlibrisgroup.com/primo-explore/search?tab=default_tab&amp;search_scope=EVERYTHING&amp;vid=01CRU&amp;lang=en_US&amp;offset=0&amp;query=any,contains,991003676729702656","Catalog Record")</f>
        <v/>
      </c>
      <c r="AT1794">
        <f>HYPERLINK("http://www.worldcat.org/oclc/1298826","WorldCat Record")</f>
        <v/>
      </c>
      <c r="AU1794" t="inlineStr">
        <is>
          <t>2239462:eng</t>
        </is>
      </c>
      <c r="AV1794" t="inlineStr">
        <is>
          <t>1298826</t>
        </is>
      </c>
      <c r="AW1794" t="inlineStr">
        <is>
          <t>991003676729702656</t>
        </is>
      </c>
      <c r="AX1794" t="inlineStr">
        <is>
          <t>991003676729702656</t>
        </is>
      </c>
      <c r="AY1794" t="inlineStr">
        <is>
          <t>2264063120002656</t>
        </is>
      </c>
      <c r="AZ1794" t="inlineStr">
        <is>
          <t>BOOK</t>
        </is>
      </c>
      <c r="BC1794" t="inlineStr">
        <is>
          <t>32285001937274</t>
        </is>
      </c>
      <c r="BD1794" t="inlineStr">
        <is>
          <t>893775029</t>
        </is>
      </c>
    </row>
    <row r="1795">
      <c r="A1795" t="inlineStr">
        <is>
          <t>No</t>
        </is>
      </c>
      <c r="B1795" t="inlineStr">
        <is>
          <t>E767 .L43 1924</t>
        </is>
      </c>
      <c r="C1795" t="inlineStr">
        <is>
          <t>0                      E  0767000L  43          1924</t>
        </is>
      </c>
      <c r="D1795" t="inlineStr">
        <is>
          <t>The true story of Woodrow Wilson / by David Lawrence.</t>
        </is>
      </c>
      <c r="F1795" t="inlineStr">
        <is>
          <t>No</t>
        </is>
      </c>
      <c r="G1795" t="inlineStr">
        <is>
          <t>1</t>
        </is>
      </c>
      <c r="H1795" t="inlineStr">
        <is>
          <t>No</t>
        </is>
      </c>
      <c r="I1795" t="inlineStr">
        <is>
          <t>No</t>
        </is>
      </c>
      <c r="J1795" t="inlineStr">
        <is>
          <t>0</t>
        </is>
      </c>
      <c r="K1795" t="inlineStr">
        <is>
          <t>Lawrence, David, 1888-1973.</t>
        </is>
      </c>
      <c r="L1795" t="inlineStr">
        <is>
          <t>New York : George H. Doran Company, [c1924]</t>
        </is>
      </c>
      <c r="M1795" t="inlineStr">
        <is>
          <t>1924</t>
        </is>
      </c>
      <c r="O1795" t="inlineStr">
        <is>
          <t>eng</t>
        </is>
      </c>
      <c r="P1795" t="inlineStr">
        <is>
          <t>nyu</t>
        </is>
      </c>
      <c r="R1795" t="inlineStr">
        <is>
          <t xml:space="preserve">E  </t>
        </is>
      </c>
      <c r="S1795" t="n">
        <v>2</v>
      </c>
      <c r="T1795" t="n">
        <v>2</v>
      </c>
      <c r="U1795" t="inlineStr">
        <is>
          <t>2003-10-28</t>
        </is>
      </c>
      <c r="V1795" t="inlineStr">
        <is>
          <t>2003-10-28</t>
        </is>
      </c>
      <c r="W1795" t="inlineStr">
        <is>
          <t>1991-06-05</t>
        </is>
      </c>
      <c r="X1795" t="inlineStr">
        <is>
          <t>1991-06-05</t>
        </is>
      </c>
      <c r="Y1795" t="n">
        <v>307</v>
      </c>
      <c r="Z1795" t="n">
        <v>294</v>
      </c>
      <c r="AA1795" t="n">
        <v>298</v>
      </c>
      <c r="AB1795" t="n">
        <v>4</v>
      </c>
      <c r="AC1795" t="n">
        <v>4</v>
      </c>
      <c r="AD1795" t="n">
        <v>13</v>
      </c>
      <c r="AE1795" t="n">
        <v>13</v>
      </c>
      <c r="AF1795" t="n">
        <v>4</v>
      </c>
      <c r="AG1795" t="n">
        <v>4</v>
      </c>
      <c r="AH1795" t="n">
        <v>3</v>
      </c>
      <c r="AI1795" t="n">
        <v>3</v>
      </c>
      <c r="AJ1795" t="n">
        <v>7</v>
      </c>
      <c r="AK1795" t="n">
        <v>7</v>
      </c>
      <c r="AL1795" t="n">
        <v>3</v>
      </c>
      <c r="AM1795" t="n">
        <v>3</v>
      </c>
      <c r="AN1795" t="n">
        <v>0</v>
      </c>
      <c r="AO1795" t="n">
        <v>0</v>
      </c>
      <c r="AP1795" t="inlineStr">
        <is>
          <t>Yes</t>
        </is>
      </c>
      <c r="AQ1795" t="inlineStr">
        <is>
          <t>No</t>
        </is>
      </c>
      <c r="AR1795">
        <f>HYPERLINK("http://catalog.hathitrust.org/Record/000578097","HathiTrust Record")</f>
        <v/>
      </c>
      <c r="AS1795">
        <f>HYPERLINK("https://creighton-primo.hosted.exlibrisgroup.com/primo-explore/search?tab=default_tab&amp;search_scope=EVERYTHING&amp;vid=01CRU&amp;lang=en_US&amp;offset=0&amp;query=any,contains,991003300129702656","Catalog Record")</f>
        <v/>
      </c>
      <c r="AT1795">
        <f>HYPERLINK("http://www.worldcat.org/oclc/823236","WorldCat Record")</f>
        <v/>
      </c>
      <c r="AU1795" t="inlineStr">
        <is>
          <t>148555414:eng</t>
        </is>
      </c>
      <c r="AV1795" t="inlineStr">
        <is>
          <t>823236</t>
        </is>
      </c>
      <c r="AW1795" t="inlineStr">
        <is>
          <t>991003300129702656</t>
        </is>
      </c>
      <c r="AX1795" t="inlineStr">
        <is>
          <t>991003300129702656</t>
        </is>
      </c>
      <c r="AY1795" t="inlineStr">
        <is>
          <t>2259344300002656</t>
        </is>
      </c>
      <c r="AZ1795" t="inlineStr">
        <is>
          <t>BOOK</t>
        </is>
      </c>
      <c r="BC1795" t="inlineStr">
        <is>
          <t>32285000613959</t>
        </is>
      </c>
      <c r="BD1795" t="inlineStr">
        <is>
          <t>893252230</t>
        </is>
      </c>
    </row>
    <row r="1796">
      <c r="A1796" t="inlineStr">
        <is>
          <t>No</t>
        </is>
      </c>
      <c r="B1796" t="inlineStr">
        <is>
          <t>E767 .L84 1957</t>
        </is>
      </c>
      <c r="C1796" t="inlineStr">
        <is>
          <t>0                      E  0767000L  84          1957</t>
        </is>
      </c>
      <c r="D1796" t="inlineStr">
        <is>
          <t>The story of Woodrow Wilson / by David Loth.</t>
        </is>
      </c>
      <c r="F1796" t="inlineStr">
        <is>
          <t>No</t>
        </is>
      </c>
      <c r="G1796" t="inlineStr">
        <is>
          <t>1</t>
        </is>
      </c>
      <c r="H1796" t="inlineStr">
        <is>
          <t>No</t>
        </is>
      </c>
      <c r="I1796" t="inlineStr">
        <is>
          <t>No</t>
        </is>
      </c>
      <c r="J1796" t="inlineStr">
        <is>
          <t>0</t>
        </is>
      </c>
      <c r="K1796" t="inlineStr">
        <is>
          <t>Loth, David, 1899-1988.</t>
        </is>
      </c>
      <c r="L1796" t="inlineStr">
        <is>
          <t>New York : Woodrow Wilson Foundation, 1957.</t>
        </is>
      </c>
      <c r="M1796" t="inlineStr">
        <is>
          <t>1957</t>
        </is>
      </c>
      <c r="N1796" t="inlineStr">
        <is>
          <t>Revised ed.</t>
        </is>
      </c>
      <c r="O1796" t="inlineStr">
        <is>
          <t>eng</t>
        </is>
      </c>
      <c r="P1796" t="inlineStr">
        <is>
          <t xml:space="preserve">xx </t>
        </is>
      </c>
      <c r="R1796" t="inlineStr">
        <is>
          <t xml:space="preserve">E  </t>
        </is>
      </c>
      <c r="S1796" t="n">
        <v>2</v>
      </c>
      <c r="T1796" t="n">
        <v>2</v>
      </c>
      <c r="U1796" t="inlineStr">
        <is>
          <t>2003-10-28</t>
        </is>
      </c>
      <c r="V1796" t="inlineStr">
        <is>
          <t>2003-10-28</t>
        </is>
      </c>
      <c r="W1796" t="inlineStr">
        <is>
          <t>1991-06-05</t>
        </is>
      </c>
      <c r="X1796" t="inlineStr">
        <is>
          <t>1991-06-05</t>
        </is>
      </c>
      <c r="Y1796" t="n">
        <v>81</v>
      </c>
      <c r="Z1796" t="n">
        <v>73</v>
      </c>
      <c r="AA1796" t="n">
        <v>168</v>
      </c>
      <c r="AB1796" t="n">
        <v>1</v>
      </c>
      <c r="AC1796" t="n">
        <v>1</v>
      </c>
      <c r="AD1796" t="n">
        <v>1</v>
      </c>
      <c r="AE1796" t="n">
        <v>3</v>
      </c>
      <c r="AF1796" t="n">
        <v>0</v>
      </c>
      <c r="AG1796" t="n">
        <v>1</v>
      </c>
      <c r="AH1796" t="n">
        <v>1</v>
      </c>
      <c r="AI1796" t="n">
        <v>1</v>
      </c>
      <c r="AJ1796" t="n">
        <v>1</v>
      </c>
      <c r="AK1796" t="n">
        <v>3</v>
      </c>
      <c r="AL1796" t="n">
        <v>0</v>
      </c>
      <c r="AM1796" t="n">
        <v>0</v>
      </c>
      <c r="AN1796" t="n">
        <v>0</v>
      </c>
      <c r="AO1796" t="n">
        <v>0</v>
      </c>
      <c r="AP1796" t="inlineStr">
        <is>
          <t>No</t>
        </is>
      </c>
      <c r="AQ1796" t="inlineStr">
        <is>
          <t>Yes</t>
        </is>
      </c>
      <c r="AR1796">
        <f>HYPERLINK("http://catalog.hathitrust.org/Record/006005489","HathiTrust Record")</f>
        <v/>
      </c>
      <c r="AS1796">
        <f>HYPERLINK("https://creighton-primo.hosted.exlibrisgroup.com/primo-explore/search?tab=default_tab&amp;search_scope=EVERYTHING&amp;vid=01CRU&amp;lang=en_US&amp;offset=0&amp;query=any,contains,991003374069702656","Catalog Record")</f>
        <v/>
      </c>
      <c r="AT1796">
        <f>HYPERLINK("http://www.worldcat.org/oclc/910553","WorldCat Record")</f>
        <v/>
      </c>
      <c r="AU1796" t="inlineStr">
        <is>
          <t>902563829:eng</t>
        </is>
      </c>
      <c r="AV1796" t="inlineStr">
        <is>
          <t>910553</t>
        </is>
      </c>
      <c r="AW1796" t="inlineStr">
        <is>
          <t>991003374069702656</t>
        </is>
      </c>
      <c r="AX1796" t="inlineStr">
        <is>
          <t>991003374069702656</t>
        </is>
      </c>
      <c r="AY1796" t="inlineStr">
        <is>
          <t>2266746060002656</t>
        </is>
      </c>
      <c r="AZ1796" t="inlineStr">
        <is>
          <t>BOOK</t>
        </is>
      </c>
      <c r="BC1796" t="inlineStr">
        <is>
          <t>32285000613991</t>
        </is>
      </c>
      <c r="BD1796" t="inlineStr">
        <is>
          <t>893617292</t>
        </is>
      </c>
    </row>
    <row r="1797">
      <c r="A1797" t="inlineStr">
        <is>
          <t>No</t>
        </is>
      </c>
      <c r="B1797" t="inlineStr">
        <is>
          <t>E767 .O8</t>
        </is>
      </c>
      <c r="C1797" t="inlineStr">
        <is>
          <t>0                      E  0767000O  8</t>
        </is>
      </c>
      <c r="D1797" t="inlineStr">
        <is>
          <t>Woodrow Wilson; the early years, by George C. Osborn.</t>
        </is>
      </c>
      <c r="F1797" t="inlineStr">
        <is>
          <t>No</t>
        </is>
      </c>
      <c r="G1797" t="inlineStr">
        <is>
          <t>1</t>
        </is>
      </c>
      <c r="H1797" t="inlineStr">
        <is>
          <t>No</t>
        </is>
      </c>
      <c r="I1797" t="inlineStr">
        <is>
          <t>No</t>
        </is>
      </c>
      <c r="J1797" t="inlineStr">
        <is>
          <t>0</t>
        </is>
      </c>
      <c r="K1797" t="inlineStr">
        <is>
          <t>Osborn, George Coleman, 1904-1982.</t>
        </is>
      </c>
      <c r="L1797" t="inlineStr">
        <is>
          <t>Baton Rouge, Louisiana State University Press [1968]</t>
        </is>
      </c>
      <c r="M1797" t="inlineStr">
        <is>
          <t>1968</t>
        </is>
      </c>
      <c r="O1797" t="inlineStr">
        <is>
          <t>eng</t>
        </is>
      </c>
      <c r="P1797" t="inlineStr">
        <is>
          <t>lau</t>
        </is>
      </c>
      <c r="R1797" t="inlineStr">
        <is>
          <t xml:space="preserve">E  </t>
        </is>
      </c>
      <c r="S1797" t="n">
        <v>3</v>
      </c>
      <c r="T1797" t="n">
        <v>3</v>
      </c>
      <c r="U1797" t="inlineStr">
        <is>
          <t>2003-10-28</t>
        </is>
      </c>
      <c r="V1797" t="inlineStr">
        <is>
          <t>2003-10-28</t>
        </is>
      </c>
      <c r="W1797" t="inlineStr">
        <is>
          <t>1997-04-24</t>
        </is>
      </c>
      <c r="X1797" t="inlineStr">
        <is>
          <t>1997-04-24</t>
        </is>
      </c>
      <c r="Y1797" t="n">
        <v>834</v>
      </c>
      <c r="Z1797" t="n">
        <v>780</v>
      </c>
      <c r="AA1797" t="n">
        <v>784</v>
      </c>
      <c r="AB1797" t="n">
        <v>5</v>
      </c>
      <c r="AC1797" t="n">
        <v>5</v>
      </c>
      <c r="AD1797" t="n">
        <v>32</v>
      </c>
      <c r="AE1797" t="n">
        <v>32</v>
      </c>
      <c r="AF1797" t="n">
        <v>11</v>
      </c>
      <c r="AG1797" t="n">
        <v>11</v>
      </c>
      <c r="AH1797" t="n">
        <v>9</v>
      </c>
      <c r="AI1797" t="n">
        <v>9</v>
      </c>
      <c r="AJ1797" t="n">
        <v>18</v>
      </c>
      <c r="AK1797" t="n">
        <v>18</v>
      </c>
      <c r="AL1797" t="n">
        <v>3</v>
      </c>
      <c r="AM1797" t="n">
        <v>3</v>
      </c>
      <c r="AN1797" t="n">
        <v>0</v>
      </c>
      <c r="AO1797" t="n">
        <v>0</v>
      </c>
      <c r="AP1797" t="inlineStr">
        <is>
          <t>No</t>
        </is>
      </c>
      <c r="AQ1797" t="inlineStr">
        <is>
          <t>Yes</t>
        </is>
      </c>
      <c r="AR1797">
        <f>HYPERLINK("http://catalog.hathitrust.org/Record/000468751","HathiTrust Record")</f>
        <v/>
      </c>
      <c r="AS1797">
        <f>HYPERLINK("https://creighton-primo.hosted.exlibrisgroup.com/primo-explore/search?tab=default_tab&amp;search_scope=EVERYTHING&amp;vid=01CRU&amp;lang=en_US&amp;offset=0&amp;query=any,contains,991002773259702656","Catalog Record")</f>
        <v/>
      </c>
      <c r="AT1797">
        <f>HYPERLINK("http://www.worldcat.org/oclc/437826","WorldCat Record")</f>
        <v/>
      </c>
      <c r="AU1797" t="inlineStr">
        <is>
          <t>346611596:eng</t>
        </is>
      </c>
      <c r="AV1797" t="inlineStr">
        <is>
          <t>437826</t>
        </is>
      </c>
      <c r="AW1797" t="inlineStr">
        <is>
          <t>991002773259702656</t>
        </is>
      </c>
      <c r="AX1797" t="inlineStr">
        <is>
          <t>991002773259702656</t>
        </is>
      </c>
      <c r="AY1797" t="inlineStr">
        <is>
          <t>2267975190002656</t>
        </is>
      </c>
      <c r="AZ1797" t="inlineStr">
        <is>
          <t>BOOK</t>
        </is>
      </c>
      <c r="BC1797" t="inlineStr">
        <is>
          <t>32285002565439</t>
        </is>
      </c>
      <c r="BD1797" t="inlineStr">
        <is>
          <t>893498515</t>
        </is>
      </c>
    </row>
    <row r="1798">
      <c r="A1798" t="inlineStr">
        <is>
          <t>No</t>
        </is>
      </c>
      <c r="B1798" t="inlineStr">
        <is>
          <t>E767 .S65</t>
        </is>
      </c>
      <c r="C1798" t="inlineStr">
        <is>
          <t>0                      E  0767000S  65</t>
        </is>
      </c>
      <c r="D1798" t="inlineStr">
        <is>
          <t>When the cheering stopped : the last years of Woodrow Wilson / with an introd. by Allan Nevins.</t>
        </is>
      </c>
      <c r="F1798" t="inlineStr">
        <is>
          <t>No</t>
        </is>
      </c>
      <c r="G1798" t="inlineStr">
        <is>
          <t>1</t>
        </is>
      </c>
      <c r="H1798" t="inlineStr">
        <is>
          <t>No</t>
        </is>
      </c>
      <c r="I1798" t="inlineStr">
        <is>
          <t>No</t>
        </is>
      </c>
      <c r="J1798" t="inlineStr">
        <is>
          <t>0</t>
        </is>
      </c>
      <c r="K1798" t="inlineStr">
        <is>
          <t>Smith, Gene.</t>
        </is>
      </c>
      <c r="L1798" t="inlineStr">
        <is>
          <t>New York : Morrow, 1964.</t>
        </is>
      </c>
      <c r="M1798" t="inlineStr">
        <is>
          <t>1964</t>
        </is>
      </c>
      <c r="O1798" t="inlineStr">
        <is>
          <t>eng</t>
        </is>
      </c>
      <c r="P1798" t="inlineStr">
        <is>
          <t>nyu</t>
        </is>
      </c>
      <c r="R1798" t="inlineStr">
        <is>
          <t xml:space="preserve">E  </t>
        </is>
      </c>
      <c r="S1798" t="n">
        <v>2</v>
      </c>
      <c r="T1798" t="n">
        <v>2</v>
      </c>
      <c r="U1798" t="inlineStr">
        <is>
          <t>2003-10-28</t>
        </is>
      </c>
      <c r="V1798" t="inlineStr">
        <is>
          <t>2003-10-28</t>
        </is>
      </c>
      <c r="W1798" t="inlineStr">
        <is>
          <t>1991-09-09</t>
        </is>
      </c>
      <c r="X1798" t="inlineStr">
        <is>
          <t>1991-09-09</t>
        </is>
      </c>
      <c r="Y1798" t="n">
        <v>2506</v>
      </c>
      <c r="Z1798" t="n">
        <v>2390</v>
      </c>
      <c r="AA1798" t="n">
        <v>2648</v>
      </c>
      <c r="AB1798" t="n">
        <v>25</v>
      </c>
      <c r="AC1798" t="n">
        <v>27</v>
      </c>
      <c r="AD1798" t="n">
        <v>60</v>
      </c>
      <c r="AE1798" t="n">
        <v>69</v>
      </c>
      <c r="AF1798" t="n">
        <v>21</v>
      </c>
      <c r="AG1798" t="n">
        <v>25</v>
      </c>
      <c r="AH1798" t="n">
        <v>9</v>
      </c>
      <c r="AI1798" t="n">
        <v>11</v>
      </c>
      <c r="AJ1798" t="n">
        <v>21</v>
      </c>
      <c r="AK1798" t="n">
        <v>26</v>
      </c>
      <c r="AL1798" t="n">
        <v>14</v>
      </c>
      <c r="AM1798" t="n">
        <v>15</v>
      </c>
      <c r="AN1798" t="n">
        <v>6</v>
      </c>
      <c r="AO1798" t="n">
        <v>6</v>
      </c>
      <c r="AP1798" t="inlineStr">
        <is>
          <t>No</t>
        </is>
      </c>
      <c r="AQ1798" t="inlineStr">
        <is>
          <t>Yes</t>
        </is>
      </c>
      <c r="AR1798">
        <f>HYPERLINK("http://catalog.hathitrust.org/Record/000575835","HathiTrust Record")</f>
        <v/>
      </c>
      <c r="AS1798">
        <f>HYPERLINK("https://creighton-primo.hosted.exlibrisgroup.com/primo-explore/search?tab=default_tab&amp;search_scope=EVERYTHING&amp;vid=01CRU&amp;lang=en_US&amp;offset=0&amp;query=any,contains,991001007899702656","Catalog Record")</f>
        <v/>
      </c>
      <c r="AT1798">
        <f>HYPERLINK("http://www.worldcat.org/oclc/173113","WorldCat Record")</f>
        <v/>
      </c>
      <c r="AU1798" t="inlineStr">
        <is>
          <t>435754:eng</t>
        </is>
      </c>
      <c r="AV1798" t="inlineStr">
        <is>
          <t>173113</t>
        </is>
      </c>
      <c r="AW1798" t="inlineStr">
        <is>
          <t>991001007899702656</t>
        </is>
      </c>
      <c r="AX1798" t="inlineStr">
        <is>
          <t>991001007899702656</t>
        </is>
      </c>
      <c r="AY1798" t="inlineStr">
        <is>
          <t>2268377650002656</t>
        </is>
      </c>
      <c r="AZ1798" t="inlineStr">
        <is>
          <t>BOOK</t>
        </is>
      </c>
      <c r="BC1798" t="inlineStr">
        <is>
          <t>32285000733872</t>
        </is>
      </c>
      <c r="BD1798" t="inlineStr">
        <is>
          <t>893791078</t>
        </is>
      </c>
    </row>
    <row r="1799">
      <c r="A1799" t="inlineStr">
        <is>
          <t>No</t>
        </is>
      </c>
      <c r="B1799" t="inlineStr">
        <is>
          <t>E767 .T87 1948</t>
        </is>
      </c>
      <c r="C1799" t="inlineStr">
        <is>
          <t>0                      E  0767000T  87          1948</t>
        </is>
      </c>
      <c r="D1799" t="inlineStr">
        <is>
          <t>Woodrow Wilson : a selected bibliography of his published writings, addresses and public papers / by Laura Shearer Turnbull.</t>
        </is>
      </c>
      <c r="F1799" t="inlineStr">
        <is>
          <t>No</t>
        </is>
      </c>
      <c r="G1799" t="inlineStr">
        <is>
          <t>1</t>
        </is>
      </c>
      <c r="H1799" t="inlineStr">
        <is>
          <t>No</t>
        </is>
      </c>
      <c r="I1799" t="inlineStr">
        <is>
          <t>No</t>
        </is>
      </c>
      <c r="J1799" t="inlineStr">
        <is>
          <t>0</t>
        </is>
      </c>
      <c r="K1799" t="inlineStr">
        <is>
          <t>Turnbull, Laura S.</t>
        </is>
      </c>
      <c r="L1799" t="inlineStr">
        <is>
          <t>Princeton : Princeton Univ. Press, 1948.</t>
        </is>
      </c>
      <c r="M1799" t="inlineStr">
        <is>
          <t>1948</t>
        </is>
      </c>
      <c r="O1799" t="inlineStr">
        <is>
          <t>eng</t>
        </is>
      </c>
      <c r="P1799" t="inlineStr">
        <is>
          <t>nju</t>
        </is>
      </c>
      <c r="R1799" t="inlineStr">
        <is>
          <t xml:space="preserve">E  </t>
        </is>
      </c>
      <c r="S1799" t="n">
        <v>2</v>
      </c>
      <c r="T1799" t="n">
        <v>2</v>
      </c>
      <c r="U1799" t="inlineStr">
        <is>
          <t>1992-09-15</t>
        </is>
      </c>
      <c r="V1799" t="inlineStr">
        <is>
          <t>1992-09-15</t>
        </is>
      </c>
      <c r="W1799" t="inlineStr">
        <is>
          <t>1991-06-05</t>
        </is>
      </c>
      <c r="X1799" t="inlineStr">
        <is>
          <t>1991-06-05</t>
        </is>
      </c>
      <c r="Y1799" t="n">
        <v>255</v>
      </c>
      <c r="Z1799" t="n">
        <v>231</v>
      </c>
      <c r="AA1799" t="n">
        <v>343</v>
      </c>
      <c r="AB1799" t="n">
        <v>2</v>
      </c>
      <c r="AC1799" t="n">
        <v>2</v>
      </c>
      <c r="AD1799" t="n">
        <v>11</v>
      </c>
      <c r="AE1799" t="n">
        <v>13</v>
      </c>
      <c r="AF1799" t="n">
        <v>2</v>
      </c>
      <c r="AG1799" t="n">
        <v>2</v>
      </c>
      <c r="AH1799" t="n">
        <v>3</v>
      </c>
      <c r="AI1799" t="n">
        <v>4</v>
      </c>
      <c r="AJ1799" t="n">
        <v>7</v>
      </c>
      <c r="AK1799" t="n">
        <v>9</v>
      </c>
      <c r="AL1799" t="n">
        <v>1</v>
      </c>
      <c r="AM1799" t="n">
        <v>1</v>
      </c>
      <c r="AN1799" t="n">
        <v>0</v>
      </c>
      <c r="AO1799" t="n">
        <v>0</v>
      </c>
      <c r="AP1799" t="inlineStr">
        <is>
          <t>No</t>
        </is>
      </c>
      <c r="AQ1799" t="inlineStr">
        <is>
          <t>No</t>
        </is>
      </c>
      <c r="AS1799">
        <f>HYPERLINK("https://creighton-primo.hosted.exlibrisgroup.com/primo-explore/search?tab=default_tab&amp;search_scope=EVERYTHING&amp;vid=01CRU&amp;lang=en_US&amp;offset=0&amp;query=any,contains,991003943999702656","Catalog Record")</f>
        <v/>
      </c>
      <c r="AT1799">
        <f>HYPERLINK("http://www.worldcat.org/oclc/1940967","WorldCat Record")</f>
        <v/>
      </c>
      <c r="AU1799" t="inlineStr">
        <is>
          <t>1269427:eng</t>
        </is>
      </c>
      <c r="AV1799" t="inlineStr">
        <is>
          <t>1940967</t>
        </is>
      </c>
      <c r="AW1799" t="inlineStr">
        <is>
          <t>991003943999702656</t>
        </is>
      </c>
      <c r="AX1799" t="inlineStr">
        <is>
          <t>991003943999702656</t>
        </is>
      </c>
      <c r="AY1799" t="inlineStr">
        <is>
          <t>2266872940002656</t>
        </is>
      </c>
      <c r="AZ1799" t="inlineStr">
        <is>
          <t>BOOK</t>
        </is>
      </c>
      <c r="BC1799" t="inlineStr">
        <is>
          <t>32285000614031</t>
        </is>
      </c>
      <c r="BD1799" t="inlineStr">
        <is>
          <t>893337158</t>
        </is>
      </c>
    </row>
    <row r="1800">
      <c r="A1800" t="inlineStr">
        <is>
          <t>No</t>
        </is>
      </c>
      <c r="B1800" t="inlineStr">
        <is>
          <t>E767 .T9</t>
        </is>
      </c>
      <c r="C1800" t="inlineStr">
        <is>
          <t>0                      E  0767000T  9</t>
        </is>
      </c>
      <c r="D1800" t="inlineStr">
        <is>
          <t>Woodrow Wilson as I know him, by Joseph P. Tumulty.</t>
        </is>
      </c>
      <c r="F1800" t="inlineStr">
        <is>
          <t>No</t>
        </is>
      </c>
      <c r="G1800" t="inlineStr">
        <is>
          <t>1</t>
        </is>
      </c>
      <c r="H1800" t="inlineStr">
        <is>
          <t>No</t>
        </is>
      </c>
      <c r="I1800" t="inlineStr">
        <is>
          <t>No</t>
        </is>
      </c>
      <c r="J1800" t="inlineStr">
        <is>
          <t>0</t>
        </is>
      </c>
      <c r="K1800" t="inlineStr">
        <is>
          <t>Tumulty, Joseph P. (Joseph Patrick), 1879-1954.</t>
        </is>
      </c>
      <c r="L1800" t="inlineStr">
        <is>
          <t>[Garden City, N. Y., Doubleday, Page &amp; company, 1921]</t>
        </is>
      </c>
      <c r="M1800" t="inlineStr">
        <is>
          <t>1921</t>
        </is>
      </c>
      <c r="N1800" t="inlineStr">
        <is>
          <t>Special ed.</t>
        </is>
      </c>
      <c r="O1800" t="inlineStr">
        <is>
          <t>eng</t>
        </is>
      </c>
      <c r="P1800" t="inlineStr">
        <is>
          <t xml:space="preserve">xx </t>
        </is>
      </c>
      <c r="R1800" t="inlineStr">
        <is>
          <t xml:space="preserve">E  </t>
        </is>
      </c>
      <c r="S1800" t="n">
        <v>5</v>
      </c>
      <c r="T1800" t="n">
        <v>5</v>
      </c>
      <c r="U1800" t="inlineStr">
        <is>
          <t>2003-10-28</t>
        </is>
      </c>
      <c r="V1800" t="inlineStr">
        <is>
          <t>2003-10-28</t>
        </is>
      </c>
      <c r="W1800" t="inlineStr">
        <is>
          <t>1997-04-24</t>
        </is>
      </c>
      <c r="X1800" t="inlineStr">
        <is>
          <t>1997-04-24</t>
        </is>
      </c>
      <c r="Y1800" t="n">
        <v>224</v>
      </c>
      <c r="Z1800" t="n">
        <v>214</v>
      </c>
      <c r="AA1800" t="n">
        <v>1444</v>
      </c>
      <c r="AB1800" t="n">
        <v>3</v>
      </c>
      <c r="AC1800" t="n">
        <v>11</v>
      </c>
      <c r="AD1800" t="n">
        <v>10</v>
      </c>
      <c r="AE1800" t="n">
        <v>60</v>
      </c>
      <c r="AF1800" t="n">
        <v>6</v>
      </c>
      <c r="AG1800" t="n">
        <v>26</v>
      </c>
      <c r="AH1800" t="n">
        <v>1</v>
      </c>
      <c r="AI1800" t="n">
        <v>10</v>
      </c>
      <c r="AJ1800" t="n">
        <v>5</v>
      </c>
      <c r="AK1800" t="n">
        <v>24</v>
      </c>
      <c r="AL1800" t="n">
        <v>2</v>
      </c>
      <c r="AM1800" t="n">
        <v>7</v>
      </c>
      <c r="AN1800" t="n">
        <v>0</v>
      </c>
      <c r="AO1800" t="n">
        <v>5</v>
      </c>
      <c r="AP1800" t="inlineStr">
        <is>
          <t>Yes</t>
        </is>
      </c>
      <c r="AQ1800" t="inlineStr">
        <is>
          <t>No</t>
        </is>
      </c>
      <c r="AR1800">
        <f>HYPERLINK("http://catalog.hathitrust.org/Record/012360317","HathiTrust Record")</f>
        <v/>
      </c>
      <c r="AS1800">
        <f>HYPERLINK("https://creighton-primo.hosted.exlibrisgroup.com/primo-explore/search?tab=default_tab&amp;search_scope=EVERYTHING&amp;vid=01CRU&amp;lang=en_US&amp;offset=0&amp;query=any,contains,991001373029702656","Catalog Record")</f>
        <v/>
      </c>
      <c r="AT1800">
        <f>HYPERLINK("http://www.worldcat.org/oclc/224185","WorldCat Record")</f>
        <v/>
      </c>
      <c r="AU1800" t="inlineStr">
        <is>
          <t>1282082:eng</t>
        </is>
      </c>
      <c r="AV1800" t="inlineStr">
        <is>
          <t>224185</t>
        </is>
      </c>
      <c r="AW1800" t="inlineStr">
        <is>
          <t>991001373029702656</t>
        </is>
      </c>
      <c r="AX1800" t="inlineStr">
        <is>
          <t>991001373029702656</t>
        </is>
      </c>
      <c r="AY1800" t="inlineStr">
        <is>
          <t>2264231040002656</t>
        </is>
      </c>
      <c r="AZ1800" t="inlineStr">
        <is>
          <t>BOOK</t>
        </is>
      </c>
      <c r="BC1800" t="inlineStr">
        <is>
          <t>32285002565454</t>
        </is>
      </c>
      <c r="BD1800" t="inlineStr">
        <is>
          <t>893503362</t>
        </is>
      </c>
    </row>
    <row r="1801">
      <c r="A1801" t="inlineStr">
        <is>
          <t>No</t>
        </is>
      </c>
      <c r="B1801" t="inlineStr">
        <is>
          <t>E767 .V35 1932</t>
        </is>
      </c>
      <c r="C1801" t="inlineStr">
        <is>
          <t>0                      E  0767000V  35          1932</t>
        </is>
      </c>
      <c r="D1801" t="inlineStr">
        <is>
          <t>The strangest friendship in history : Woodrow Wilson and Colonel House / George Sylvester Viereck.</t>
        </is>
      </c>
      <c r="F1801" t="inlineStr">
        <is>
          <t>No</t>
        </is>
      </c>
      <c r="G1801" t="inlineStr">
        <is>
          <t>1</t>
        </is>
      </c>
      <c r="H1801" t="inlineStr">
        <is>
          <t>No</t>
        </is>
      </c>
      <c r="I1801" t="inlineStr">
        <is>
          <t>No</t>
        </is>
      </c>
      <c r="J1801" t="inlineStr">
        <is>
          <t>0</t>
        </is>
      </c>
      <c r="K1801" t="inlineStr">
        <is>
          <t>Viereck, George Sylvester, 1884-1962.</t>
        </is>
      </c>
      <c r="L1801" t="inlineStr">
        <is>
          <t>New York : Liveright, [c1932]</t>
        </is>
      </c>
      <c r="M1801" t="inlineStr">
        <is>
          <t>1932</t>
        </is>
      </c>
      <c r="O1801" t="inlineStr">
        <is>
          <t>eng</t>
        </is>
      </c>
      <c r="P1801" t="inlineStr">
        <is>
          <t>nyu</t>
        </is>
      </c>
      <c r="R1801" t="inlineStr">
        <is>
          <t xml:space="preserve">E  </t>
        </is>
      </c>
      <c r="S1801" t="n">
        <v>3</v>
      </c>
      <c r="T1801" t="n">
        <v>3</v>
      </c>
      <c r="U1801" t="inlineStr">
        <is>
          <t>2003-02-13</t>
        </is>
      </c>
      <c r="V1801" t="inlineStr">
        <is>
          <t>2003-02-13</t>
        </is>
      </c>
      <c r="W1801" t="inlineStr">
        <is>
          <t>1991-06-05</t>
        </is>
      </c>
      <c r="X1801" t="inlineStr">
        <is>
          <t>1991-06-05</t>
        </is>
      </c>
      <c r="Y1801" t="n">
        <v>258</v>
      </c>
      <c r="Z1801" t="n">
        <v>237</v>
      </c>
      <c r="AA1801" t="n">
        <v>318</v>
      </c>
      <c r="AB1801" t="n">
        <v>3</v>
      </c>
      <c r="AC1801" t="n">
        <v>3</v>
      </c>
      <c r="AD1801" t="n">
        <v>16</v>
      </c>
      <c r="AE1801" t="n">
        <v>20</v>
      </c>
      <c r="AF1801" t="n">
        <v>6</v>
      </c>
      <c r="AG1801" t="n">
        <v>7</v>
      </c>
      <c r="AH1801" t="n">
        <v>2</v>
      </c>
      <c r="AI1801" t="n">
        <v>4</v>
      </c>
      <c r="AJ1801" t="n">
        <v>9</v>
      </c>
      <c r="AK1801" t="n">
        <v>11</v>
      </c>
      <c r="AL1801" t="n">
        <v>2</v>
      </c>
      <c r="AM1801" t="n">
        <v>2</v>
      </c>
      <c r="AN1801" t="n">
        <v>0</v>
      </c>
      <c r="AO1801" t="n">
        <v>0</v>
      </c>
      <c r="AP1801" t="inlineStr">
        <is>
          <t>No</t>
        </is>
      </c>
      <c r="AQ1801" t="inlineStr">
        <is>
          <t>Yes</t>
        </is>
      </c>
      <c r="AR1801">
        <f>HYPERLINK("http://catalog.hathitrust.org/Record/007121533","HathiTrust Record")</f>
        <v/>
      </c>
      <c r="AS1801">
        <f>HYPERLINK("https://creighton-primo.hosted.exlibrisgroup.com/primo-explore/search?tab=default_tab&amp;search_scope=EVERYTHING&amp;vid=01CRU&amp;lang=en_US&amp;offset=0&amp;query=any,contains,991003897119702656","Catalog Record")</f>
        <v/>
      </c>
      <c r="AT1801">
        <f>HYPERLINK("http://www.worldcat.org/oclc/1813106","WorldCat Record")</f>
        <v/>
      </c>
      <c r="AU1801" t="inlineStr">
        <is>
          <t>2591269:eng</t>
        </is>
      </c>
      <c r="AV1801" t="inlineStr">
        <is>
          <t>1813106</t>
        </is>
      </c>
      <c r="AW1801" t="inlineStr">
        <is>
          <t>991003897119702656</t>
        </is>
      </c>
      <c r="AX1801" t="inlineStr">
        <is>
          <t>991003897119702656</t>
        </is>
      </c>
      <c r="AY1801" t="inlineStr">
        <is>
          <t>2258181320002656</t>
        </is>
      </c>
      <c r="AZ1801" t="inlineStr">
        <is>
          <t>BOOK</t>
        </is>
      </c>
      <c r="BC1801" t="inlineStr">
        <is>
          <t>32285000614049</t>
        </is>
      </c>
      <c r="BD1801" t="inlineStr">
        <is>
          <t>893593035</t>
        </is>
      </c>
    </row>
    <row r="1802">
      <c r="A1802" t="inlineStr">
        <is>
          <t>No</t>
        </is>
      </c>
      <c r="B1802" t="inlineStr">
        <is>
          <t>E767 .W34</t>
        </is>
      </c>
      <c r="C1802" t="inlineStr">
        <is>
          <t>0                      E  0767000W  34</t>
        </is>
      </c>
      <c r="D1802" t="inlineStr">
        <is>
          <t>Woodrow Wilson.</t>
        </is>
      </c>
      <c r="E1802" t="inlineStr">
        <is>
          <t>V.1</t>
        </is>
      </c>
      <c r="F1802" t="inlineStr">
        <is>
          <t>Yes</t>
        </is>
      </c>
      <c r="G1802" t="inlineStr">
        <is>
          <t>1</t>
        </is>
      </c>
      <c r="H1802" t="inlineStr">
        <is>
          <t>No</t>
        </is>
      </c>
      <c r="I1802" t="inlineStr">
        <is>
          <t>No</t>
        </is>
      </c>
      <c r="J1802" t="inlineStr">
        <is>
          <t>0</t>
        </is>
      </c>
      <c r="K1802" t="inlineStr">
        <is>
          <t>Walworth, Arthur, 1903-2005.</t>
        </is>
      </c>
      <c r="L1802" t="inlineStr">
        <is>
          <t>New York, Longman's Green, 1958.</t>
        </is>
      </c>
      <c r="M1802" t="inlineStr">
        <is>
          <t>1958</t>
        </is>
      </c>
      <c r="N1802" t="inlineStr">
        <is>
          <t>[1st ed.]</t>
        </is>
      </c>
      <c r="O1802" t="inlineStr">
        <is>
          <t>eng</t>
        </is>
      </c>
      <c r="P1802" t="inlineStr">
        <is>
          <t>nyu</t>
        </is>
      </c>
      <c r="R1802" t="inlineStr">
        <is>
          <t xml:space="preserve">E  </t>
        </is>
      </c>
      <c r="S1802" t="n">
        <v>3</v>
      </c>
      <c r="T1802" t="n">
        <v>4</v>
      </c>
      <c r="U1802" t="inlineStr">
        <is>
          <t>2003-10-28</t>
        </is>
      </c>
      <c r="V1802" t="inlineStr">
        <is>
          <t>2003-10-28</t>
        </is>
      </c>
      <c r="W1802" t="inlineStr">
        <is>
          <t>1997-04-24</t>
        </is>
      </c>
      <c r="X1802" t="inlineStr">
        <is>
          <t>1997-04-24</t>
        </is>
      </c>
      <c r="Y1802" t="n">
        <v>770</v>
      </c>
      <c r="Z1802" t="n">
        <v>716</v>
      </c>
      <c r="AA1802" t="n">
        <v>724</v>
      </c>
      <c r="AB1802" t="n">
        <v>7</v>
      </c>
      <c r="AC1802" t="n">
        <v>7</v>
      </c>
      <c r="AD1802" t="n">
        <v>31</v>
      </c>
      <c r="AE1802" t="n">
        <v>31</v>
      </c>
      <c r="AF1802" t="n">
        <v>11</v>
      </c>
      <c r="AG1802" t="n">
        <v>11</v>
      </c>
      <c r="AH1802" t="n">
        <v>6</v>
      </c>
      <c r="AI1802" t="n">
        <v>6</v>
      </c>
      <c r="AJ1802" t="n">
        <v>11</v>
      </c>
      <c r="AK1802" t="n">
        <v>11</v>
      </c>
      <c r="AL1802" t="n">
        <v>6</v>
      </c>
      <c r="AM1802" t="n">
        <v>6</v>
      </c>
      <c r="AN1802" t="n">
        <v>1</v>
      </c>
      <c r="AO1802" t="n">
        <v>1</v>
      </c>
      <c r="AP1802" t="inlineStr">
        <is>
          <t>Yes</t>
        </is>
      </c>
      <c r="AQ1802" t="inlineStr">
        <is>
          <t>No</t>
        </is>
      </c>
      <c r="AR1802">
        <f>HYPERLINK("http://catalog.hathitrust.org/Record/000575842","HathiTrust Record")</f>
        <v/>
      </c>
      <c r="AS1802">
        <f>HYPERLINK("https://creighton-primo.hosted.exlibrisgroup.com/primo-explore/search?tab=default_tab&amp;search_scope=EVERYTHING&amp;vid=01CRU&amp;lang=en_US&amp;offset=0&amp;query=any,contains,991003300219702656","Catalog Record")</f>
        <v/>
      </c>
      <c r="AT1802">
        <f>HYPERLINK("http://www.worldcat.org/oclc/823304","WorldCat Record")</f>
        <v/>
      </c>
      <c r="AU1802" t="inlineStr">
        <is>
          <t>10792857261:eng</t>
        </is>
      </c>
      <c r="AV1802" t="inlineStr">
        <is>
          <t>823304</t>
        </is>
      </c>
      <c r="AW1802" t="inlineStr">
        <is>
          <t>991003300219702656</t>
        </is>
      </c>
      <c r="AX1802" t="inlineStr">
        <is>
          <t>991003300219702656</t>
        </is>
      </c>
      <c r="AY1802" t="inlineStr">
        <is>
          <t>2259445350002656</t>
        </is>
      </c>
      <c r="AZ1802" t="inlineStr">
        <is>
          <t>BOOK</t>
        </is>
      </c>
      <c r="BC1802" t="inlineStr">
        <is>
          <t>32285002565462</t>
        </is>
      </c>
      <c r="BD1802" t="inlineStr">
        <is>
          <t>893887333</t>
        </is>
      </c>
    </row>
    <row r="1803">
      <c r="A1803" t="inlineStr">
        <is>
          <t>No</t>
        </is>
      </c>
      <c r="B1803" t="inlineStr">
        <is>
          <t>E767 .W34</t>
        </is>
      </c>
      <c r="C1803" t="inlineStr">
        <is>
          <t>0                      E  0767000W  34</t>
        </is>
      </c>
      <c r="D1803" t="inlineStr">
        <is>
          <t>Woodrow Wilson.</t>
        </is>
      </c>
      <c r="E1803" t="inlineStr">
        <is>
          <t>V.2</t>
        </is>
      </c>
      <c r="F1803" t="inlineStr">
        <is>
          <t>Yes</t>
        </is>
      </c>
      <c r="G1803" t="inlineStr">
        <is>
          <t>1</t>
        </is>
      </c>
      <c r="H1803" t="inlineStr">
        <is>
          <t>No</t>
        </is>
      </c>
      <c r="I1803" t="inlineStr">
        <is>
          <t>No</t>
        </is>
      </c>
      <c r="J1803" t="inlineStr">
        <is>
          <t>0</t>
        </is>
      </c>
      <c r="K1803" t="inlineStr">
        <is>
          <t>Walworth, Arthur, 1903-2005.</t>
        </is>
      </c>
      <c r="L1803" t="inlineStr">
        <is>
          <t>New York, Longman's Green, 1958.</t>
        </is>
      </c>
      <c r="M1803" t="inlineStr">
        <is>
          <t>1958</t>
        </is>
      </c>
      <c r="N1803" t="inlineStr">
        <is>
          <t>[1st ed.]</t>
        </is>
      </c>
      <c r="O1803" t="inlineStr">
        <is>
          <t>eng</t>
        </is>
      </c>
      <c r="P1803" t="inlineStr">
        <is>
          <t>nyu</t>
        </is>
      </c>
      <c r="R1803" t="inlineStr">
        <is>
          <t xml:space="preserve">E  </t>
        </is>
      </c>
      <c r="S1803" t="n">
        <v>1</v>
      </c>
      <c r="T1803" t="n">
        <v>4</v>
      </c>
      <c r="U1803" t="inlineStr">
        <is>
          <t>1998-01-13</t>
        </is>
      </c>
      <c r="V1803" t="inlineStr">
        <is>
          <t>2003-10-28</t>
        </is>
      </c>
      <c r="W1803" t="inlineStr">
        <is>
          <t>1997-04-24</t>
        </is>
      </c>
      <c r="X1803" t="inlineStr">
        <is>
          <t>1997-04-24</t>
        </is>
      </c>
      <c r="Y1803" t="n">
        <v>770</v>
      </c>
      <c r="Z1803" t="n">
        <v>716</v>
      </c>
      <c r="AA1803" t="n">
        <v>724</v>
      </c>
      <c r="AB1803" t="n">
        <v>7</v>
      </c>
      <c r="AC1803" t="n">
        <v>7</v>
      </c>
      <c r="AD1803" t="n">
        <v>31</v>
      </c>
      <c r="AE1803" t="n">
        <v>31</v>
      </c>
      <c r="AF1803" t="n">
        <v>11</v>
      </c>
      <c r="AG1803" t="n">
        <v>11</v>
      </c>
      <c r="AH1803" t="n">
        <v>6</v>
      </c>
      <c r="AI1803" t="n">
        <v>6</v>
      </c>
      <c r="AJ1803" t="n">
        <v>11</v>
      </c>
      <c r="AK1803" t="n">
        <v>11</v>
      </c>
      <c r="AL1803" t="n">
        <v>6</v>
      </c>
      <c r="AM1803" t="n">
        <v>6</v>
      </c>
      <c r="AN1803" t="n">
        <v>1</v>
      </c>
      <c r="AO1803" t="n">
        <v>1</v>
      </c>
      <c r="AP1803" t="inlineStr">
        <is>
          <t>Yes</t>
        </is>
      </c>
      <c r="AQ1803" t="inlineStr">
        <is>
          <t>No</t>
        </is>
      </c>
      <c r="AR1803">
        <f>HYPERLINK("http://catalog.hathitrust.org/Record/000575842","HathiTrust Record")</f>
        <v/>
      </c>
      <c r="AS1803">
        <f>HYPERLINK("https://creighton-primo.hosted.exlibrisgroup.com/primo-explore/search?tab=default_tab&amp;search_scope=EVERYTHING&amp;vid=01CRU&amp;lang=en_US&amp;offset=0&amp;query=any,contains,991003300219702656","Catalog Record")</f>
        <v/>
      </c>
      <c r="AT1803">
        <f>HYPERLINK("http://www.worldcat.org/oclc/823304","WorldCat Record")</f>
        <v/>
      </c>
      <c r="AU1803" t="inlineStr">
        <is>
          <t>10792857261:eng</t>
        </is>
      </c>
      <c r="AV1803" t="inlineStr">
        <is>
          <t>823304</t>
        </is>
      </c>
      <c r="AW1803" t="inlineStr">
        <is>
          <t>991003300219702656</t>
        </is>
      </c>
      <c r="AX1803" t="inlineStr">
        <is>
          <t>991003300219702656</t>
        </is>
      </c>
      <c r="AY1803" t="inlineStr">
        <is>
          <t>2259445350002656</t>
        </is>
      </c>
      <c r="AZ1803" t="inlineStr">
        <is>
          <t>BOOK</t>
        </is>
      </c>
      <c r="BC1803" t="inlineStr">
        <is>
          <t>32285002565470</t>
        </is>
      </c>
      <c r="BD1803" t="inlineStr">
        <is>
          <t>893893580</t>
        </is>
      </c>
    </row>
    <row r="1804">
      <c r="A1804" t="inlineStr">
        <is>
          <t>No</t>
        </is>
      </c>
      <c r="B1804" t="inlineStr">
        <is>
          <t>E767.1 .K56 1992</t>
        </is>
      </c>
      <c r="C1804" t="inlineStr">
        <is>
          <t>0                      E  0767100K  56          1992</t>
        </is>
      </c>
      <c r="D1804" t="inlineStr">
        <is>
          <t>To end all wars : Woodrow Wilson and the quest for a new world order / Thomas J. Knock.</t>
        </is>
      </c>
      <c r="F1804" t="inlineStr">
        <is>
          <t>No</t>
        </is>
      </c>
      <c r="G1804" t="inlineStr">
        <is>
          <t>1</t>
        </is>
      </c>
      <c r="H1804" t="inlineStr">
        <is>
          <t>No</t>
        </is>
      </c>
      <c r="I1804" t="inlineStr">
        <is>
          <t>No</t>
        </is>
      </c>
      <c r="J1804" t="inlineStr">
        <is>
          <t>0</t>
        </is>
      </c>
      <c r="K1804" t="inlineStr">
        <is>
          <t>Knock, Thomas J.</t>
        </is>
      </c>
      <c r="L1804" t="inlineStr">
        <is>
          <t>New York : Oxford University Press, 1992.</t>
        </is>
      </c>
      <c r="M1804" t="inlineStr">
        <is>
          <t>1992</t>
        </is>
      </c>
      <c r="O1804" t="inlineStr">
        <is>
          <t>eng</t>
        </is>
      </c>
      <c r="P1804" t="inlineStr">
        <is>
          <t>nyu</t>
        </is>
      </c>
      <c r="R1804" t="inlineStr">
        <is>
          <t xml:space="preserve">E  </t>
        </is>
      </c>
      <c r="S1804" t="n">
        <v>3</v>
      </c>
      <c r="T1804" t="n">
        <v>3</v>
      </c>
      <c r="U1804" t="inlineStr">
        <is>
          <t>2002-04-03</t>
        </is>
      </c>
      <c r="V1804" t="inlineStr">
        <is>
          <t>2002-04-03</t>
        </is>
      </c>
      <c r="W1804" t="inlineStr">
        <is>
          <t>1993-10-18</t>
        </is>
      </c>
      <c r="X1804" t="inlineStr">
        <is>
          <t>1993-10-18</t>
        </is>
      </c>
      <c r="Y1804" t="n">
        <v>973</v>
      </c>
      <c r="Z1804" t="n">
        <v>852</v>
      </c>
      <c r="AA1804" t="n">
        <v>1154</v>
      </c>
      <c r="AB1804" t="n">
        <v>9</v>
      </c>
      <c r="AC1804" t="n">
        <v>10</v>
      </c>
      <c r="AD1804" t="n">
        <v>43</v>
      </c>
      <c r="AE1804" t="n">
        <v>49</v>
      </c>
      <c r="AF1804" t="n">
        <v>19</v>
      </c>
      <c r="AG1804" t="n">
        <v>22</v>
      </c>
      <c r="AH1804" t="n">
        <v>9</v>
      </c>
      <c r="AI1804" t="n">
        <v>9</v>
      </c>
      <c r="AJ1804" t="n">
        <v>20</v>
      </c>
      <c r="AK1804" t="n">
        <v>21</v>
      </c>
      <c r="AL1804" t="n">
        <v>6</v>
      </c>
      <c r="AM1804" t="n">
        <v>7</v>
      </c>
      <c r="AN1804" t="n">
        <v>1</v>
      </c>
      <c r="AO1804" t="n">
        <v>2</v>
      </c>
      <c r="AP1804" t="inlineStr">
        <is>
          <t>No</t>
        </is>
      </c>
      <c r="AQ1804" t="inlineStr">
        <is>
          <t>Yes</t>
        </is>
      </c>
      <c r="AR1804">
        <f>HYPERLINK("http://catalog.hathitrust.org/Record/002586038","HathiTrust Record")</f>
        <v/>
      </c>
      <c r="AS1804">
        <f>HYPERLINK("https://creighton-primo.hosted.exlibrisgroup.com/primo-explore/search?tab=default_tab&amp;search_scope=EVERYTHING&amp;vid=01CRU&amp;lang=en_US&amp;offset=0&amp;query=any,contains,991001993709702656","Catalog Record")</f>
        <v/>
      </c>
      <c r="AT1804">
        <f>HYPERLINK("http://www.worldcat.org/oclc/25317305","WorldCat Record")</f>
        <v/>
      </c>
      <c r="AU1804" t="inlineStr">
        <is>
          <t>836872991:eng</t>
        </is>
      </c>
      <c r="AV1804" t="inlineStr">
        <is>
          <t>25317305</t>
        </is>
      </c>
      <c r="AW1804" t="inlineStr">
        <is>
          <t>991001993709702656</t>
        </is>
      </c>
      <c r="AX1804" t="inlineStr">
        <is>
          <t>991001993709702656</t>
        </is>
      </c>
      <c r="AY1804" t="inlineStr">
        <is>
          <t>2267782650002656</t>
        </is>
      </c>
      <c r="AZ1804" t="inlineStr">
        <is>
          <t>BOOK</t>
        </is>
      </c>
      <c r="BB1804" t="inlineStr">
        <is>
          <t>9780195075014</t>
        </is>
      </c>
      <c r="BC1804" t="inlineStr">
        <is>
          <t>32285001786770</t>
        </is>
      </c>
      <c r="BD1804" t="inlineStr">
        <is>
          <t>893709742</t>
        </is>
      </c>
    </row>
    <row r="1805">
      <c r="A1805" t="inlineStr">
        <is>
          <t>No</t>
        </is>
      </c>
      <c r="B1805" t="inlineStr">
        <is>
          <t>E780 .P4 1968</t>
        </is>
      </c>
      <c r="C1805" t="inlineStr">
        <is>
          <t>0                      E  0780000P  4           1968</t>
        </is>
      </c>
      <c r="D1805" t="inlineStr">
        <is>
          <t>Opponents of war, 1917-1918 / H. C. Peterson and Gilbert C. Fite.</t>
        </is>
      </c>
      <c r="F1805" t="inlineStr">
        <is>
          <t>No</t>
        </is>
      </c>
      <c r="G1805" t="inlineStr">
        <is>
          <t>1</t>
        </is>
      </c>
      <c r="H1805" t="inlineStr">
        <is>
          <t>No</t>
        </is>
      </c>
      <c r="I1805" t="inlineStr">
        <is>
          <t>No</t>
        </is>
      </c>
      <c r="J1805" t="inlineStr">
        <is>
          <t>0</t>
        </is>
      </c>
      <c r="K1805" t="inlineStr">
        <is>
          <t>Peterson, H. C. (Horace Cornelius), 1902-1952.</t>
        </is>
      </c>
      <c r="L1805" t="inlineStr">
        <is>
          <t>Seattle : University of Washington Press, 1968.</t>
        </is>
      </c>
      <c r="M1805" t="inlineStr">
        <is>
          <t>1968</t>
        </is>
      </c>
      <c r="O1805" t="inlineStr">
        <is>
          <t>eng</t>
        </is>
      </c>
      <c r="P1805" t="inlineStr">
        <is>
          <t>wau</t>
        </is>
      </c>
      <c r="R1805" t="inlineStr">
        <is>
          <t xml:space="preserve">E  </t>
        </is>
      </c>
      <c r="S1805" t="n">
        <v>3</v>
      </c>
      <c r="T1805" t="n">
        <v>3</v>
      </c>
      <c r="U1805" t="inlineStr">
        <is>
          <t>1997-05-27</t>
        </is>
      </c>
      <c r="V1805" t="inlineStr">
        <is>
          <t>1997-05-27</t>
        </is>
      </c>
      <c r="W1805" t="inlineStr">
        <is>
          <t>1994-05-20</t>
        </is>
      </c>
      <c r="X1805" t="inlineStr">
        <is>
          <t>1994-05-20</t>
        </is>
      </c>
      <c r="Y1805" t="n">
        <v>232</v>
      </c>
      <c r="Z1805" t="n">
        <v>200</v>
      </c>
      <c r="AA1805" t="n">
        <v>874</v>
      </c>
      <c r="AB1805" t="n">
        <v>1</v>
      </c>
      <c r="AC1805" t="n">
        <v>9</v>
      </c>
      <c r="AD1805" t="n">
        <v>4</v>
      </c>
      <c r="AE1805" t="n">
        <v>46</v>
      </c>
      <c r="AF1805" t="n">
        <v>1</v>
      </c>
      <c r="AG1805" t="n">
        <v>19</v>
      </c>
      <c r="AH1805" t="n">
        <v>0</v>
      </c>
      <c r="AI1805" t="n">
        <v>7</v>
      </c>
      <c r="AJ1805" t="n">
        <v>2</v>
      </c>
      <c r="AK1805" t="n">
        <v>20</v>
      </c>
      <c r="AL1805" t="n">
        <v>0</v>
      </c>
      <c r="AM1805" t="n">
        <v>8</v>
      </c>
      <c r="AN1805" t="n">
        <v>1</v>
      </c>
      <c r="AO1805" t="n">
        <v>1</v>
      </c>
      <c r="AP1805" t="inlineStr">
        <is>
          <t>No</t>
        </is>
      </c>
      <c r="AQ1805" t="inlineStr">
        <is>
          <t>Yes</t>
        </is>
      </c>
      <c r="AR1805">
        <f>HYPERLINK("http://catalog.hathitrust.org/Record/000578207","HathiTrust Record")</f>
        <v/>
      </c>
      <c r="AS1805">
        <f>HYPERLINK("https://creighton-primo.hosted.exlibrisgroup.com/primo-explore/search?tab=default_tab&amp;search_scope=EVERYTHING&amp;vid=01CRU&amp;lang=en_US&amp;offset=0&amp;query=any,contains,991004062129702656","Catalog Record")</f>
        <v/>
      </c>
      <c r="AT1805">
        <f>HYPERLINK("http://www.worldcat.org/oclc/2274478","WorldCat Record")</f>
        <v/>
      </c>
      <c r="AU1805" t="inlineStr">
        <is>
          <t>1522931:eng</t>
        </is>
      </c>
      <c r="AV1805" t="inlineStr">
        <is>
          <t>2274478</t>
        </is>
      </c>
      <c r="AW1805" t="inlineStr">
        <is>
          <t>991004062129702656</t>
        </is>
      </c>
      <c r="AX1805" t="inlineStr">
        <is>
          <t>991004062129702656</t>
        </is>
      </c>
      <c r="AY1805" t="inlineStr">
        <is>
          <t>2270218310002656</t>
        </is>
      </c>
      <c r="AZ1805" t="inlineStr">
        <is>
          <t>BOOK</t>
        </is>
      </c>
      <c r="BC1805" t="inlineStr">
        <is>
          <t>32285001911311</t>
        </is>
      </c>
      <c r="BD1805" t="inlineStr">
        <is>
          <t>893240967</t>
        </is>
      </c>
    </row>
    <row r="1806">
      <c r="A1806" t="inlineStr">
        <is>
          <t>No</t>
        </is>
      </c>
      <c r="B1806" t="inlineStr">
        <is>
          <t>E780 .W96 1986</t>
        </is>
      </c>
      <c r="C1806" t="inlineStr">
        <is>
          <t>0                      E  0780000W  96          1986</t>
        </is>
      </c>
      <c r="D1806" t="inlineStr">
        <is>
          <t>From progressivism to prosperity : World War I and American society / Neil A. Wynn.</t>
        </is>
      </c>
      <c r="F1806" t="inlineStr">
        <is>
          <t>No</t>
        </is>
      </c>
      <c r="G1806" t="inlineStr">
        <is>
          <t>1</t>
        </is>
      </c>
      <c r="H1806" t="inlineStr">
        <is>
          <t>No</t>
        </is>
      </c>
      <c r="I1806" t="inlineStr">
        <is>
          <t>No</t>
        </is>
      </c>
      <c r="J1806" t="inlineStr">
        <is>
          <t>0</t>
        </is>
      </c>
      <c r="K1806" t="inlineStr">
        <is>
          <t>Wynn, Neil A.</t>
        </is>
      </c>
      <c r="L1806" t="inlineStr">
        <is>
          <t>New York : Holmes &amp; Meier, 1986.</t>
        </is>
      </c>
      <c r="M1806" t="inlineStr">
        <is>
          <t>1986</t>
        </is>
      </c>
      <c r="O1806" t="inlineStr">
        <is>
          <t>eng</t>
        </is>
      </c>
      <c r="P1806" t="inlineStr">
        <is>
          <t>nyu</t>
        </is>
      </c>
      <c r="R1806" t="inlineStr">
        <is>
          <t xml:space="preserve">E  </t>
        </is>
      </c>
      <c r="S1806" t="n">
        <v>2</v>
      </c>
      <c r="T1806" t="n">
        <v>2</v>
      </c>
      <c r="U1806" t="inlineStr">
        <is>
          <t>1997-05-27</t>
        </is>
      </c>
      <c r="V1806" t="inlineStr">
        <is>
          <t>1997-05-27</t>
        </is>
      </c>
      <c r="W1806" t="inlineStr">
        <is>
          <t>1990-03-20</t>
        </is>
      </c>
      <c r="X1806" t="inlineStr">
        <is>
          <t>1990-03-20</t>
        </is>
      </c>
      <c r="Y1806" t="n">
        <v>449</v>
      </c>
      <c r="Z1806" t="n">
        <v>351</v>
      </c>
      <c r="AA1806" t="n">
        <v>365</v>
      </c>
      <c r="AB1806" t="n">
        <v>1</v>
      </c>
      <c r="AC1806" t="n">
        <v>1</v>
      </c>
      <c r="AD1806" t="n">
        <v>18</v>
      </c>
      <c r="AE1806" t="n">
        <v>18</v>
      </c>
      <c r="AF1806" t="n">
        <v>8</v>
      </c>
      <c r="AG1806" t="n">
        <v>8</v>
      </c>
      <c r="AH1806" t="n">
        <v>7</v>
      </c>
      <c r="AI1806" t="n">
        <v>7</v>
      </c>
      <c r="AJ1806" t="n">
        <v>13</v>
      </c>
      <c r="AK1806" t="n">
        <v>13</v>
      </c>
      <c r="AL1806" t="n">
        <v>0</v>
      </c>
      <c r="AM1806" t="n">
        <v>0</v>
      </c>
      <c r="AN1806" t="n">
        <v>0</v>
      </c>
      <c r="AO1806" t="n">
        <v>0</v>
      </c>
      <c r="AP1806" t="inlineStr">
        <is>
          <t>No</t>
        </is>
      </c>
      <c r="AQ1806" t="inlineStr">
        <is>
          <t>Yes</t>
        </is>
      </c>
      <c r="AR1806">
        <f>HYPERLINK("http://catalog.hathitrust.org/Record/000442366","HathiTrust Record")</f>
        <v/>
      </c>
      <c r="AS1806">
        <f>HYPERLINK("https://creighton-primo.hosted.exlibrisgroup.com/primo-explore/search?tab=default_tab&amp;search_scope=EVERYTHING&amp;vid=01CRU&amp;lang=en_US&amp;offset=0&amp;query=any,contains,991000914449702656","Catalog Record")</f>
        <v/>
      </c>
      <c r="AT1806">
        <f>HYPERLINK("http://www.worldcat.org/oclc/14166485","WorldCat Record")</f>
        <v/>
      </c>
      <c r="AU1806" t="inlineStr">
        <is>
          <t>581615:eng</t>
        </is>
      </c>
      <c r="AV1806" t="inlineStr">
        <is>
          <t>14166485</t>
        </is>
      </c>
      <c r="AW1806" t="inlineStr">
        <is>
          <t>991000914449702656</t>
        </is>
      </c>
      <c r="AX1806" t="inlineStr">
        <is>
          <t>991000914449702656</t>
        </is>
      </c>
      <c r="AY1806" t="inlineStr">
        <is>
          <t>2267363230002656</t>
        </is>
      </c>
      <c r="AZ1806" t="inlineStr">
        <is>
          <t>BOOK</t>
        </is>
      </c>
      <c r="BB1806" t="inlineStr">
        <is>
          <t>9780841911079</t>
        </is>
      </c>
      <c r="BC1806" t="inlineStr">
        <is>
          <t>32285000087634</t>
        </is>
      </c>
      <c r="BD1806" t="inlineStr">
        <is>
          <t>893340001</t>
        </is>
      </c>
    </row>
    <row r="1807">
      <c r="A1807" t="inlineStr">
        <is>
          <t>No</t>
        </is>
      </c>
      <c r="B1807" t="inlineStr">
        <is>
          <t>E786.2 .A58 1998</t>
        </is>
      </c>
      <c r="C1807" t="inlineStr">
        <is>
          <t>0                      E  0786200A  58          1998</t>
        </is>
      </c>
      <c r="D1807" t="inlineStr">
        <is>
          <t>Florence Harding : the first lady, the Jazz Age, and the death of America's most scandalous president / Carl Sferrazza Anthony.</t>
        </is>
      </c>
      <c r="F1807" t="inlineStr">
        <is>
          <t>No</t>
        </is>
      </c>
      <c r="G1807" t="inlineStr">
        <is>
          <t>1</t>
        </is>
      </c>
      <c r="H1807" t="inlineStr">
        <is>
          <t>No</t>
        </is>
      </c>
      <c r="I1807" t="inlineStr">
        <is>
          <t>No</t>
        </is>
      </c>
      <c r="J1807" t="inlineStr">
        <is>
          <t>0</t>
        </is>
      </c>
      <c r="K1807" t="inlineStr">
        <is>
          <t>Anthony, Carl Sferrazza.</t>
        </is>
      </c>
      <c r="L1807" t="inlineStr">
        <is>
          <t>New York : W. Morrow &amp; Co., c1998.</t>
        </is>
      </c>
      <c r="M1807" t="inlineStr">
        <is>
          <t>1998</t>
        </is>
      </c>
      <c r="N1807" t="inlineStr">
        <is>
          <t>1st ed.</t>
        </is>
      </c>
      <c r="O1807" t="inlineStr">
        <is>
          <t>eng</t>
        </is>
      </c>
      <c r="P1807" t="inlineStr">
        <is>
          <t>nyu</t>
        </is>
      </c>
      <c r="R1807" t="inlineStr">
        <is>
          <t xml:space="preserve">E  </t>
        </is>
      </c>
      <c r="S1807" t="n">
        <v>3</v>
      </c>
      <c r="T1807" t="n">
        <v>3</v>
      </c>
      <c r="U1807" t="inlineStr">
        <is>
          <t>1999-02-03</t>
        </is>
      </c>
      <c r="V1807" t="inlineStr">
        <is>
          <t>1999-02-03</t>
        </is>
      </c>
      <c r="W1807" t="inlineStr">
        <is>
          <t>1998-07-13</t>
        </is>
      </c>
      <c r="X1807" t="inlineStr">
        <is>
          <t>1998-07-13</t>
        </is>
      </c>
      <c r="Y1807" t="n">
        <v>1198</v>
      </c>
      <c r="Z1807" t="n">
        <v>1167</v>
      </c>
      <c r="AA1807" t="n">
        <v>1222</v>
      </c>
      <c r="AB1807" t="n">
        <v>8</v>
      </c>
      <c r="AC1807" t="n">
        <v>9</v>
      </c>
      <c r="AD1807" t="n">
        <v>34</v>
      </c>
      <c r="AE1807" t="n">
        <v>35</v>
      </c>
      <c r="AF1807" t="n">
        <v>12</v>
      </c>
      <c r="AG1807" t="n">
        <v>12</v>
      </c>
      <c r="AH1807" t="n">
        <v>8</v>
      </c>
      <c r="AI1807" t="n">
        <v>8</v>
      </c>
      <c r="AJ1807" t="n">
        <v>15</v>
      </c>
      <c r="AK1807" t="n">
        <v>15</v>
      </c>
      <c r="AL1807" t="n">
        <v>4</v>
      </c>
      <c r="AM1807" t="n">
        <v>5</v>
      </c>
      <c r="AN1807" t="n">
        <v>1</v>
      </c>
      <c r="AO1807" t="n">
        <v>1</v>
      </c>
      <c r="AP1807" t="inlineStr">
        <is>
          <t>No</t>
        </is>
      </c>
      <c r="AQ1807" t="inlineStr">
        <is>
          <t>Yes</t>
        </is>
      </c>
      <c r="AR1807">
        <f>HYPERLINK("http://catalog.hathitrust.org/Record/003976180","HathiTrust Record")</f>
        <v/>
      </c>
      <c r="AS1807">
        <f>HYPERLINK("https://creighton-primo.hosted.exlibrisgroup.com/primo-explore/search?tab=default_tab&amp;search_scope=EVERYTHING&amp;vid=01CRU&amp;lang=en_US&amp;offset=0&amp;query=any,contains,991002883379702656","Catalog Record")</f>
        <v/>
      </c>
      <c r="AT1807">
        <f>HYPERLINK("http://www.worldcat.org/oclc/37993669","WorldCat Record")</f>
        <v/>
      </c>
      <c r="AU1807" t="inlineStr">
        <is>
          <t>573653:eng</t>
        </is>
      </c>
      <c r="AV1807" t="inlineStr">
        <is>
          <t>37993669</t>
        </is>
      </c>
      <c r="AW1807" t="inlineStr">
        <is>
          <t>991002883379702656</t>
        </is>
      </c>
      <c r="AX1807" t="inlineStr">
        <is>
          <t>991002883379702656</t>
        </is>
      </c>
      <c r="AY1807" t="inlineStr">
        <is>
          <t>2262767700002656</t>
        </is>
      </c>
      <c r="AZ1807" t="inlineStr">
        <is>
          <t>BOOK</t>
        </is>
      </c>
      <c r="BB1807" t="inlineStr">
        <is>
          <t>9780688077945</t>
        </is>
      </c>
      <c r="BC1807" t="inlineStr">
        <is>
          <t>32285003431664</t>
        </is>
      </c>
      <c r="BD1807" t="inlineStr">
        <is>
          <t>893604167</t>
        </is>
      </c>
    </row>
    <row r="1808">
      <c r="A1808" t="inlineStr">
        <is>
          <t>No</t>
        </is>
      </c>
      <c r="B1808" t="inlineStr">
        <is>
          <t>E792 .W577</t>
        </is>
      </c>
      <c r="C1808" t="inlineStr">
        <is>
          <t>0                      E  0792000W  577</t>
        </is>
      </c>
      <c r="D1808" t="inlineStr">
        <is>
          <t>A Puritan in Babylon, the story of Calvin Coolidge, by William Allen White.</t>
        </is>
      </c>
      <c r="F1808" t="inlineStr">
        <is>
          <t>No</t>
        </is>
      </c>
      <c r="G1808" t="inlineStr">
        <is>
          <t>1</t>
        </is>
      </c>
      <c r="H1808" t="inlineStr">
        <is>
          <t>No</t>
        </is>
      </c>
      <c r="I1808" t="inlineStr">
        <is>
          <t>No</t>
        </is>
      </c>
      <c r="J1808" t="inlineStr">
        <is>
          <t>0</t>
        </is>
      </c>
      <c r="K1808" t="inlineStr">
        <is>
          <t>White, William Allen, 1868-1944.</t>
        </is>
      </c>
      <c r="L1808" t="inlineStr">
        <is>
          <t>New York, The Macmillan Company, 1938.</t>
        </is>
      </c>
      <c r="M1808" t="inlineStr">
        <is>
          <t>1938</t>
        </is>
      </c>
      <c r="O1808" t="inlineStr">
        <is>
          <t>eng</t>
        </is>
      </c>
      <c r="P1808" t="inlineStr">
        <is>
          <t>nyu</t>
        </is>
      </c>
      <c r="R1808" t="inlineStr">
        <is>
          <t xml:space="preserve">E  </t>
        </is>
      </c>
      <c r="S1808" t="n">
        <v>1</v>
      </c>
      <c r="T1808" t="n">
        <v>1</v>
      </c>
      <c r="U1808" t="inlineStr">
        <is>
          <t>2002-04-06</t>
        </is>
      </c>
      <c r="V1808" t="inlineStr">
        <is>
          <t>2002-04-06</t>
        </is>
      </c>
      <c r="W1808" t="inlineStr">
        <is>
          <t>1997-04-24</t>
        </is>
      </c>
      <c r="X1808" t="inlineStr">
        <is>
          <t>1997-04-24</t>
        </is>
      </c>
      <c r="Y1808" t="n">
        <v>278</v>
      </c>
      <c r="Z1808" t="n">
        <v>259</v>
      </c>
      <c r="AA1808" t="n">
        <v>1564</v>
      </c>
      <c r="AB1808" t="n">
        <v>7</v>
      </c>
      <c r="AC1808" t="n">
        <v>20</v>
      </c>
      <c r="AD1808" t="n">
        <v>16</v>
      </c>
      <c r="AE1808" t="n">
        <v>54</v>
      </c>
      <c r="AF1808" t="n">
        <v>7</v>
      </c>
      <c r="AG1808" t="n">
        <v>22</v>
      </c>
      <c r="AH1808" t="n">
        <v>4</v>
      </c>
      <c r="AI1808" t="n">
        <v>8</v>
      </c>
      <c r="AJ1808" t="n">
        <v>4</v>
      </c>
      <c r="AK1808" t="n">
        <v>21</v>
      </c>
      <c r="AL1808" t="n">
        <v>5</v>
      </c>
      <c r="AM1808" t="n">
        <v>11</v>
      </c>
      <c r="AN1808" t="n">
        <v>0</v>
      </c>
      <c r="AO1808" t="n">
        <v>3</v>
      </c>
      <c r="AP1808" t="inlineStr">
        <is>
          <t>Yes</t>
        </is>
      </c>
      <c r="AQ1808" t="inlineStr">
        <is>
          <t>No</t>
        </is>
      </c>
      <c r="AR1808">
        <f>HYPERLINK("http://catalog.hathitrust.org/Record/007121534","HathiTrust Record")</f>
        <v/>
      </c>
      <c r="AS1808">
        <f>HYPERLINK("https://creighton-primo.hosted.exlibrisgroup.com/primo-explore/search?tab=default_tab&amp;search_scope=EVERYTHING&amp;vid=01CRU&amp;lang=en_US&amp;offset=0&amp;query=any,contains,991002821969702656","Catalog Record")</f>
        <v/>
      </c>
      <c r="AT1808">
        <f>HYPERLINK("http://www.worldcat.org/oclc/467049","WorldCat Record")</f>
        <v/>
      </c>
      <c r="AU1808" t="inlineStr">
        <is>
          <t>1801681:eng</t>
        </is>
      </c>
      <c r="AV1808" t="inlineStr">
        <is>
          <t>467049</t>
        </is>
      </c>
      <c r="AW1808" t="inlineStr">
        <is>
          <t>991002821969702656</t>
        </is>
      </c>
      <c r="AX1808" t="inlineStr">
        <is>
          <t>991002821969702656</t>
        </is>
      </c>
      <c r="AY1808" t="inlineStr">
        <is>
          <t>2263578190002656</t>
        </is>
      </c>
      <c r="AZ1808" t="inlineStr">
        <is>
          <t>BOOK</t>
        </is>
      </c>
      <c r="BC1808" t="inlineStr">
        <is>
          <t>32285002565702</t>
        </is>
      </c>
      <c r="BD1808" t="inlineStr">
        <is>
          <t>893329597</t>
        </is>
      </c>
    </row>
    <row r="1809">
      <c r="A1809" t="inlineStr">
        <is>
          <t>No</t>
        </is>
      </c>
      <c r="B1809" t="inlineStr">
        <is>
          <t>E801 .F4 1970</t>
        </is>
      </c>
      <c r="C1809" t="inlineStr">
        <is>
          <t>0                      E  0801000F  4           1970</t>
        </is>
      </c>
      <c r="D1809" t="inlineStr">
        <is>
          <t>American diplomacy in the great depression : Hoover-Stimson foreign policy, 1929-1933 / by Robert H. Ferrell.</t>
        </is>
      </c>
      <c r="F1809" t="inlineStr">
        <is>
          <t>No</t>
        </is>
      </c>
      <c r="G1809" t="inlineStr">
        <is>
          <t>1</t>
        </is>
      </c>
      <c r="H1809" t="inlineStr">
        <is>
          <t>No</t>
        </is>
      </c>
      <c r="I1809" t="inlineStr">
        <is>
          <t>No</t>
        </is>
      </c>
      <c r="J1809" t="inlineStr">
        <is>
          <t>0</t>
        </is>
      </c>
      <c r="K1809" t="inlineStr">
        <is>
          <t>Ferrell, Robert H.</t>
        </is>
      </c>
      <c r="L1809" t="inlineStr">
        <is>
          <t>New York : W. W. Norton, 1970, c1957.</t>
        </is>
      </c>
      <c r="M1809" t="inlineStr">
        <is>
          <t>1970</t>
        </is>
      </c>
      <c r="O1809" t="inlineStr">
        <is>
          <t>eng</t>
        </is>
      </c>
      <c r="P1809" t="inlineStr">
        <is>
          <t>nyu</t>
        </is>
      </c>
      <c r="Q1809" t="inlineStr">
        <is>
          <t>Norton library 511</t>
        </is>
      </c>
      <c r="R1809" t="inlineStr">
        <is>
          <t xml:space="preserve">E  </t>
        </is>
      </c>
      <c r="S1809" t="n">
        <v>6</v>
      </c>
      <c r="T1809" t="n">
        <v>6</v>
      </c>
      <c r="U1809" t="inlineStr">
        <is>
          <t>1998-03-23</t>
        </is>
      </c>
      <c r="V1809" t="inlineStr">
        <is>
          <t>1998-03-23</t>
        </is>
      </c>
      <c r="W1809" t="inlineStr">
        <is>
          <t>1992-03-11</t>
        </is>
      </c>
      <c r="X1809" t="inlineStr">
        <is>
          <t>1992-03-11</t>
        </is>
      </c>
      <c r="Y1809" t="n">
        <v>127</v>
      </c>
      <c r="Z1809" t="n">
        <v>102</v>
      </c>
      <c r="AA1809" t="n">
        <v>908</v>
      </c>
      <c r="AB1809" t="n">
        <v>1</v>
      </c>
      <c r="AC1809" t="n">
        <v>7</v>
      </c>
      <c r="AD1809" t="n">
        <v>4</v>
      </c>
      <c r="AE1809" t="n">
        <v>46</v>
      </c>
      <c r="AF1809" t="n">
        <v>3</v>
      </c>
      <c r="AG1809" t="n">
        <v>19</v>
      </c>
      <c r="AH1809" t="n">
        <v>0</v>
      </c>
      <c r="AI1809" t="n">
        <v>8</v>
      </c>
      <c r="AJ1809" t="n">
        <v>2</v>
      </c>
      <c r="AK1809" t="n">
        <v>24</v>
      </c>
      <c r="AL1809" t="n">
        <v>0</v>
      </c>
      <c r="AM1809" t="n">
        <v>6</v>
      </c>
      <c r="AN1809" t="n">
        <v>0</v>
      </c>
      <c r="AO1809" t="n">
        <v>0</v>
      </c>
      <c r="AP1809" t="inlineStr">
        <is>
          <t>No</t>
        </is>
      </c>
      <c r="AQ1809" t="inlineStr">
        <is>
          <t>No</t>
        </is>
      </c>
      <c r="AS1809">
        <f>HYPERLINK("https://creighton-primo.hosted.exlibrisgroup.com/primo-explore/search?tab=default_tab&amp;search_scope=EVERYTHING&amp;vid=01CRU&amp;lang=en_US&amp;offset=0&amp;query=any,contains,991003964649702656","Catalog Record")</f>
        <v/>
      </c>
      <c r="AT1809">
        <f>HYPERLINK("http://www.worldcat.org/oclc/1979271","WorldCat Record")</f>
        <v/>
      </c>
      <c r="AU1809" t="inlineStr">
        <is>
          <t>1128308:eng</t>
        </is>
      </c>
      <c r="AV1809" t="inlineStr">
        <is>
          <t>1979271</t>
        </is>
      </c>
      <c r="AW1809" t="inlineStr">
        <is>
          <t>991003964649702656</t>
        </is>
      </c>
      <c r="AX1809" t="inlineStr">
        <is>
          <t>991003964649702656</t>
        </is>
      </c>
      <c r="AY1809" t="inlineStr">
        <is>
          <t>2265313170002656</t>
        </is>
      </c>
      <c r="AZ1809" t="inlineStr">
        <is>
          <t>BOOK</t>
        </is>
      </c>
      <c r="BB1809" t="inlineStr">
        <is>
          <t>9780393005110</t>
        </is>
      </c>
      <c r="BC1809" t="inlineStr">
        <is>
          <t>32285000939479</t>
        </is>
      </c>
      <c r="BD1809" t="inlineStr">
        <is>
          <t>893888164</t>
        </is>
      </c>
    </row>
    <row r="1810">
      <c r="A1810" t="inlineStr">
        <is>
          <t>No</t>
        </is>
      </c>
      <c r="B1810" t="inlineStr">
        <is>
          <t>E801 .R65</t>
        </is>
      </c>
      <c r="C1810" t="inlineStr">
        <is>
          <t>0                      E  0801000R  65</t>
        </is>
      </c>
      <c r="D1810" t="inlineStr">
        <is>
          <t>Hoover, Roosevelt, and the Brains Trust : from depression to New Deal / Elliot A. Rosen.</t>
        </is>
      </c>
      <c r="F1810" t="inlineStr">
        <is>
          <t>No</t>
        </is>
      </c>
      <c r="G1810" t="inlineStr">
        <is>
          <t>1</t>
        </is>
      </c>
      <c r="H1810" t="inlineStr">
        <is>
          <t>No</t>
        </is>
      </c>
      <c r="I1810" t="inlineStr">
        <is>
          <t>No</t>
        </is>
      </c>
      <c r="J1810" t="inlineStr">
        <is>
          <t>0</t>
        </is>
      </c>
      <c r="K1810" t="inlineStr">
        <is>
          <t>Rosen, Elliot A., 1928-</t>
        </is>
      </c>
      <c r="L1810" t="inlineStr">
        <is>
          <t>New York : Columbia University Press, 1977.</t>
        </is>
      </c>
      <c r="M1810" t="inlineStr">
        <is>
          <t>1977</t>
        </is>
      </c>
      <c r="O1810" t="inlineStr">
        <is>
          <t>eng</t>
        </is>
      </c>
      <c r="P1810" t="inlineStr">
        <is>
          <t>nyu</t>
        </is>
      </c>
      <c r="R1810" t="inlineStr">
        <is>
          <t xml:space="preserve">E  </t>
        </is>
      </c>
      <c r="S1810" t="n">
        <v>11</v>
      </c>
      <c r="T1810" t="n">
        <v>11</v>
      </c>
      <c r="U1810" t="inlineStr">
        <is>
          <t>2001-04-12</t>
        </is>
      </c>
      <c r="V1810" t="inlineStr">
        <is>
          <t>2001-04-12</t>
        </is>
      </c>
      <c r="W1810" t="inlineStr">
        <is>
          <t>1993-12-01</t>
        </is>
      </c>
      <c r="X1810" t="inlineStr">
        <is>
          <t>1993-12-01</t>
        </is>
      </c>
      <c r="Y1810" t="n">
        <v>1083</v>
      </c>
      <c r="Z1810" t="n">
        <v>944</v>
      </c>
      <c r="AA1810" t="n">
        <v>950</v>
      </c>
      <c r="AB1810" t="n">
        <v>8</v>
      </c>
      <c r="AC1810" t="n">
        <v>8</v>
      </c>
      <c r="AD1810" t="n">
        <v>48</v>
      </c>
      <c r="AE1810" t="n">
        <v>48</v>
      </c>
      <c r="AF1810" t="n">
        <v>22</v>
      </c>
      <c r="AG1810" t="n">
        <v>22</v>
      </c>
      <c r="AH1810" t="n">
        <v>11</v>
      </c>
      <c r="AI1810" t="n">
        <v>11</v>
      </c>
      <c r="AJ1810" t="n">
        <v>21</v>
      </c>
      <c r="AK1810" t="n">
        <v>21</v>
      </c>
      <c r="AL1810" t="n">
        <v>7</v>
      </c>
      <c r="AM1810" t="n">
        <v>7</v>
      </c>
      <c r="AN1810" t="n">
        <v>0</v>
      </c>
      <c r="AO1810" t="n">
        <v>0</v>
      </c>
      <c r="AP1810" t="inlineStr">
        <is>
          <t>No</t>
        </is>
      </c>
      <c r="AQ1810" t="inlineStr">
        <is>
          <t>No</t>
        </is>
      </c>
      <c r="AS1810">
        <f>HYPERLINK("https://creighton-primo.hosted.exlibrisgroup.com/primo-explore/search?tab=default_tab&amp;search_scope=EVERYTHING&amp;vid=01CRU&amp;lang=en_US&amp;offset=0&amp;query=any,contains,991004178839702656","Catalog Record")</f>
        <v/>
      </c>
      <c r="AT1810">
        <f>HYPERLINK("http://www.worldcat.org/oclc/2598515","WorldCat Record")</f>
        <v/>
      </c>
      <c r="AU1810" t="inlineStr">
        <is>
          <t>891305734:eng</t>
        </is>
      </c>
      <c r="AV1810" t="inlineStr">
        <is>
          <t>2598515</t>
        </is>
      </c>
      <c r="AW1810" t="inlineStr">
        <is>
          <t>991004178839702656</t>
        </is>
      </c>
      <c r="AX1810" t="inlineStr">
        <is>
          <t>991004178839702656</t>
        </is>
      </c>
      <c r="AY1810" t="inlineStr">
        <is>
          <t>2265871110002656</t>
        </is>
      </c>
      <c r="AZ1810" t="inlineStr">
        <is>
          <t>BOOK</t>
        </is>
      </c>
      <c r="BB1810" t="inlineStr">
        <is>
          <t>9780231041720</t>
        </is>
      </c>
      <c r="BC1810" t="inlineStr">
        <is>
          <t>32285001805323</t>
        </is>
      </c>
      <c r="BD1810" t="inlineStr">
        <is>
          <t>893800687</t>
        </is>
      </c>
    </row>
    <row r="1811">
      <c r="A1811" t="inlineStr">
        <is>
          <t>No</t>
        </is>
      </c>
      <c r="B1811" t="inlineStr">
        <is>
          <t>E801 .S3</t>
        </is>
      </c>
      <c r="C1811" t="inlineStr">
        <is>
          <t>0                      E  0801000S  3</t>
        </is>
      </c>
      <c r="D1811" t="inlineStr">
        <is>
          <t>The interregnum of despair: Hoover, Congress, and the depression [by] Jordan A. Schwarz.</t>
        </is>
      </c>
      <c r="F1811" t="inlineStr">
        <is>
          <t>No</t>
        </is>
      </c>
      <c r="G1811" t="inlineStr">
        <is>
          <t>1</t>
        </is>
      </c>
      <c r="H1811" t="inlineStr">
        <is>
          <t>No</t>
        </is>
      </c>
      <c r="I1811" t="inlineStr">
        <is>
          <t>No</t>
        </is>
      </c>
      <c r="J1811" t="inlineStr">
        <is>
          <t>0</t>
        </is>
      </c>
      <c r="K1811" t="inlineStr">
        <is>
          <t>Schwarz, Jordan A., 1937-</t>
        </is>
      </c>
      <c r="L1811" t="inlineStr">
        <is>
          <t>Urbana, University of Illinois Press [1970]</t>
        </is>
      </c>
      <c r="M1811" t="inlineStr">
        <is>
          <t>1970</t>
        </is>
      </c>
      <c r="O1811" t="inlineStr">
        <is>
          <t>eng</t>
        </is>
      </c>
      <c r="P1811" t="inlineStr">
        <is>
          <t>ilu</t>
        </is>
      </c>
      <c r="R1811" t="inlineStr">
        <is>
          <t xml:space="preserve">E  </t>
        </is>
      </c>
      <c r="S1811" t="n">
        <v>3</v>
      </c>
      <c r="T1811" t="n">
        <v>3</v>
      </c>
      <c r="U1811" t="inlineStr">
        <is>
          <t>2001-04-12</t>
        </is>
      </c>
      <c r="V1811" t="inlineStr">
        <is>
          <t>2001-04-12</t>
        </is>
      </c>
      <c r="W1811" t="inlineStr">
        <is>
          <t>1997-06-24</t>
        </is>
      </c>
      <c r="X1811" t="inlineStr">
        <is>
          <t>1997-06-24</t>
        </is>
      </c>
      <c r="Y1811" t="n">
        <v>917</v>
      </c>
      <c r="Z1811" t="n">
        <v>820</v>
      </c>
      <c r="AA1811" t="n">
        <v>828</v>
      </c>
      <c r="AB1811" t="n">
        <v>12</v>
      </c>
      <c r="AC1811" t="n">
        <v>12</v>
      </c>
      <c r="AD1811" t="n">
        <v>42</v>
      </c>
      <c r="AE1811" t="n">
        <v>42</v>
      </c>
      <c r="AF1811" t="n">
        <v>15</v>
      </c>
      <c r="AG1811" t="n">
        <v>15</v>
      </c>
      <c r="AH1811" t="n">
        <v>10</v>
      </c>
      <c r="AI1811" t="n">
        <v>10</v>
      </c>
      <c r="AJ1811" t="n">
        <v>16</v>
      </c>
      <c r="AK1811" t="n">
        <v>16</v>
      </c>
      <c r="AL1811" t="n">
        <v>11</v>
      </c>
      <c r="AM1811" t="n">
        <v>11</v>
      </c>
      <c r="AN1811" t="n">
        <v>0</v>
      </c>
      <c r="AO1811" t="n">
        <v>0</v>
      </c>
      <c r="AP1811" t="inlineStr">
        <is>
          <t>No</t>
        </is>
      </c>
      <c r="AQ1811" t="inlineStr">
        <is>
          <t>Yes</t>
        </is>
      </c>
      <c r="AR1811">
        <f>HYPERLINK("http://catalog.hathitrust.org/Record/000470032","HathiTrust Record")</f>
        <v/>
      </c>
      <c r="AS1811">
        <f>HYPERLINK("https://creighton-primo.hosted.exlibrisgroup.com/primo-explore/search?tab=default_tab&amp;search_scope=EVERYTHING&amp;vid=01CRU&amp;lang=en_US&amp;offset=0&amp;query=any,contains,991000632879702656","Catalog Record")</f>
        <v/>
      </c>
      <c r="AT1811">
        <f>HYPERLINK("http://www.worldcat.org/oclc/106503","WorldCat Record")</f>
        <v/>
      </c>
      <c r="AU1811" t="inlineStr">
        <is>
          <t>1189904:eng</t>
        </is>
      </c>
      <c r="AV1811" t="inlineStr">
        <is>
          <t>106503</t>
        </is>
      </c>
      <c r="AW1811" t="inlineStr">
        <is>
          <t>991000632879702656</t>
        </is>
      </c>
      <c r="AX1811" t="inlineStr">
        <is>
          <t>991000632879702656</t>
        </is>
      </c>
      <c r="AY1811" t="inlineStr">
        <is>
          <t>2263931880002656</t>
        </is>
      </c>
      <c r="AZ1811" t="inlineStr">
        <is>
          <t>BOOK</t>
        </is>
      </c>
      <c r="BB1811" t="inlineStr">
        <is>
          <t>9780252001123</t>
        </is>
      </c>
      <c r="BC1811" t="inlineStr">
        <is>
          <t>32285002831443</t>
        </is>
      </c>
      <c r="BD1811" t="inlineStr">
        <is>
          <t>893351596</t>
        </is>
      </c>
    </row>
    <row r="1812">
      <c r="A1812" t="inlineStr">
        <is>
          <t>No</t>
        </is>
      </c>
      <c r="B1812" t="inlineStr">
        <is>
          <t>E801 .S6 1970</t>
        </is>
      </c>
      <c r="C1812" t="inlineStr">
        <is>
          <t>0                      E  0801000S  6           1970</t>
        </is>
      </c>
      <c r="D1812" t="inlineStr">
        <is>
          <t>The shattered dream : Herbert Hoover and the great depression / by Gene Smith.</t>
        </is>
      </c>
      <c r="F1812" t="inlineStr">
        <is>
          <t>No</t>
        </is>
      </c>
      <c r="G1812" t="inlineStr">
        <is>
          <t>1</t>
        </is>
      </c>
      <c r="H1812" t="inlineStr">
        <is>
          <t>No</t>
        </is>
      </c>
      <c r="I1812" t="inlineStr">
        <is>
          <t>No</t>
        </is>
      </c>
      <c r="J1812" t="inlineStr">
        <is>
          <t>0</t>
        </is>
      </c>
      <c r="K1812" t="inlineStr">
        <is>
          <t>Smith, Gene.</t>
        </is>
      </c>
      <c r="L1812" t="inlineStr">
        <is>
          <t>New York : Morrow, 1970.</t>
        </is>
      </c>
      <c r="M1812" t="inlineStr">
        <is>
          <t>1970</t>
        </is>
      </c>
      <c r="O1812" t="inlineStr">
        <is>
          <t>eng</t>
        </is>
      </c>
      <c r="P1812" t="inlineStr">
        <is>
          <t>nyu</t>
        </is>
      </c>
      <c r="R1812" t="inlineStr">
        <is>
          <t xml:space="preserve">E  </t>
        </is>
      </c>
      <c r="S1812" t="n">
        <v>3</v>
      </c>
      <c r="T1812" t="n">
        <v>3</v>
      </c>
      <c r="U1812" t="inlineStr">
        <is>
          <t>1997-11-04</t>
        </is>
      </c>
      <c r="V1812" t="inlineStr">
        <is>
          <t>1997-11-04</t>
        </is>
      </c>
      <c r="W1812" t="inlineStr">
        <is>
          <t>1990-03-21</t>
        </is>
      </c>
      <c r="X1812" t="inlineStr">
        <is>
          <t>1990-03-21</t>
        </is>
      </c>
      <c r="Y1812" t="n">
        <v>1621</v>
      </c>
      <c r="Z1812" t="n">
        <v>1541</v>
      </c>
      <c r="AA1812" t="n">
        <v>1602</v>
      </c>
      <c r="AB1812" t="n">
        <v>20</v>
      </c>
      <c r="AC1812" t="n">
        <v>23</v>
      </c>
      <c r="AD1812" t="n">
        <v>45</v>
      </c>
      <c r="AE1812" t="n">
        <v>49</v>
      </c>
      <c r="AF1812" t="n">
        <v>20</v>
      </c>
      <c r="AG1812" t="n">
        <v>20</v>
      </c>
      <c r="AH1812" t="n">
        <v>8</v>
      </c>
      <c r="AI1812" t="n">
        <v>8</v>
      </c>
      <c r="AJ1812" t="n">
        <v>18</v>
      </c>
      <c r="AK1812" t="n">
        <v>19</v>
      </c>
      <c r="AL1812" t="n">
        <v>8</v>
      </c>
      <c r="AM1812" t="n">
        <v>11</v>
      </c>
      <c r="AN1812" t="n">
        <v>2</v>
      </c>
      <c r="AO1812" t="n">
        <v>2</v>
      </c>
      <c r="AP1812" t="inlineStr">
        <is>
          <t>No</t>
        </is>
      </c>
      <c r="AQ1812" t="inlineStr">
        <is>
          <t>Yes</t>
        </is>
      </c>
      <c r="AR1812">
        <f>HYPERLINK("http://catalog.hathitrust.org/Record/000469987","HathiTrust Record")</f>
        <v/>
      </c>
      <c r="AS1812">
        <f>HYPERLINK("https://creighton-primo.hosted.exlibrisgroup.com/primo-explore/search?tab=default_tab&amp;search_scope=EVERYTHING&amp;vid=01CRU&amp;lang=en_US&amp;offset=0&amp;query=any,contains,991000436399702656","Catalog Record")</f>
        <v/>
      </c>
      <c r="AT1812">
        <f>HYPERLINK("http://www.worldcat.org/oclc/76078","WorldCat Record")</f>
        <v/>
      </c>
      <c r="AU1812" t="inlineStr">
        <is>
          <t>1249457:eng</t>
        </is>
      </c>
      <c r="AV1812" t="inlineStr">
        <is>
          <t>76078</t>
        </is>
      </c>
      <c r="AW1812" t="inlineStr">
        <is>
          <t>991000436399702656</t>
        </is>
      </c>
      <c r="AX1812" t="inlineStr">
        <is>
          <t>991000436399702656</t>
        </is>
      </c>
      <c r="AY1812" t="inlineStr">
        <is>
          <t>2255442570002656</t>
        </is>
      </c>
      <c r="AZ1812" t="inlineStr">
        <is>
          <t>BOOK</t>
        </is>
      </c>
      <c r="BC1812" t="inlineStr">
        <is>
          <t>32285000089705</t>
        </is>
      </c>
      <c r="BD1812" t="inlineStr">
        <is>
          <t>893237311</t>
        </is>
      </c>
    </row>
    <row r="1813">
      <c r="A1813" t="inlineStr">
        <is>
          <t>No</t>
        </is>
      </c>
      <c r="B1813" t="inlineStr">
        <is>
          <t>E801 .S7 1970</t>
        </is>
      </c>
      <c r="C1813" t="inlineStr">
        <is>
          <t>0                      E  0801000S  7           1970</t>
        </is>
      </c>
      <c r="D1813" t="inlineStr">
        <is>
          <t>Hitting home : the Great Depression in town and country / ed., with an intro. by Bernard Sternsher .</t>
        </is>
      </c>
      <c r="F1813" t="inlineStr">
        <is>
          <t>No</t>
        </is>
      </c>
      <c r="G1813" t="inlineStr">
        <is>
          <t>1</t>
        </is>
      </c>
      <c r="H1813" t="inlineStr">
        <is>
          <t>No</t>
        </is>
      </c>
      <c r="I1813" t="inlineStr">
        <is>
          <t>Yes</t>
        </is>
      </c>
      <c r="J1813" t="inlineStr">
        <is>
          <t>0</t>
        </is>
      </c>
      <c r="K1813" t="inlineStr">
        <is>
          <t>Sternsher, Bernard, 1925-2011 compiler.</t>
        </is>
      </c>
      <c r="L1813" t="inlineStr">
        <is>
          <t>Chicago : Quadrangle Books, 1970.</t>
        </is>
      </c>
      <c r="M1813" t="inlineStr">
        <is>
          <t>1970</t>
        </is>
      </c>
      <c r="O1813" t="inlineStr">
        <is>
          <t>eng</t>
        </is>
      </c>
      <c r="P1813" t="inlineStr">
        <is>
          <t>ilu</t>
        </is>
      </c>
      <c r="R1813" t="inlineStr">
        <is>
          <t xml:space="preserve">E  </t>
        </is>
      </c>
      <c r="S1813" t="n">
        <v>7</v>
      </c>
      <c r="T1813" t="n">
        <v>7</v>
      </c>
      <c r="U1813" t="inlineStr">
        <is>
          <t>1998-11-04</t>
        </is>
      </c>
      <c r="V1813" t="inlineStr">
        <is>
          <t>1998-11-04</t>
        </is>
      </c>
      <c r="W1813" t="inlineStr">
        <is>
          <t>1990-05-08</t>
        </is>
      </c>
      <c r="X1813" t="inlineStr">
        <is>
          <t>1990-05-08</t>
        </is>
      </c>
      <c r="Y1813" t="n">
        <v>592</v>
      </c>
      <c r="Z1813" t="n">
        <v>530</v>
      </c>
      <c r="AA1813" t="n">
        <v>666</v>
      </c>
      <c r="AB1813" t="n">
        <v>4</v>
      </c>
      <c r="AC1813" t="n">
        <v>5</v>
      </c>
      <c r="AD1813" t="n">
        <v>22</v>
      </c>
      <c r="AE1813" t="n">
        <v>27</v>
      </c>
      <c r="AF1813" t="n">
        <v>7</v>
      </c>
      <c r="AG1813" t="n">
        <v>10</v>
      </c>
      <c r="AH1813" t="n">
        <v>6</v>
      </c>
      <c r="AI1813" t="n">
        <v>7</v>
      </c>
      <c r="AJ1813" t="n">
        <v>13</v>
      </c>
      <c r="AK1813" t="n">
        <v>14</v>
      </c>
      <c r="AL1813" t="n">
        <v>3</v>
      </c>
      <c r="AM1813" t="n">
        <v>4</v>
      </c>
      <c r="AN1813" t="n">
        <v>0</v>
      </c>
      <c r="AO1813" t="n">
        <v>0</v>
      </c>
      <c r="AP1813" t="inlineStr">
        <is>
          <t>No</t>
        </is>
      </c>
      <c r="AQ1813" t="inlineStr">
        <is>
          <t>Yes</t>
        </is>
      </c>
      <c r="AR1813">
        <f>HYPERLINK("http://catalog.hathitrust.org/Record/000470034","HathiTrust Record")</f>
        <v/>
      </c>
      <c r="AS1813">
        <f>HYPERLINK("https://creighton-primo.hosted.exlibrisgroup.com/primo-explore/search?tab=default_tab&amp;search_scope=EVERYTHING&amp;vid=01CRU&amp;lang=en_US&amp;offset=0&amp;query=any,contains,991000639009702656","Catalog Record")</f>
        <v/>
      </c>
      <c r="AT1813">
        <f>HYPERLINK("http://www.worldcat.org/oclc/108589","WorldCat Record")</f>
        <v/>
      </c>
      <c r="AU1813" t="inlineStr">
        <is>
          <t>1197442:eng</t>
        </is>
      </c>
      <c r="AV1813" t="inlineStr">
        <is>
          <t>108589</t>
        </is>
      </c>
      <c r="AW1813" t="inlineStr">
        <is>
          <t>991000639009702656</t>
        </is>
      </c>
      <c r="AX1813" t="inlineStr">
        <is>
          <t>991000639009702656</t>
        </is>
      </c>
      <c r="AY1813" t="inlineStr">
        <is>
          <t>2262486750002656</t>
        </is>
      </c>
      <c r="AZ1813" t="inlineStr">
        <is>
          <t>BOOK</t>
        </is>
      </c>
      <c r="BC1813" t="inlineStr">
        <is>
          <t>32285000150838</t>
        </is>
      </c>
      <c r="BD1813" t="inlineStr">
        <is>
          <t>893683613</t>
        </is>
      </c>
    </row>
    <row r="1814">
      <c r="A1814" t="inlineStr">
        <is>
          <t>No</t>
        </is>
      </c>
      <c r="B1814" t="inlineStr">
        <is>
          <t>E802 .B47</t>
        </is>
      </c>
      <c r="C1814" t="inlineStr">
        <is>
          <t>0                      E  0802000B  47</t>
        </is>
      </c>
      <c r="D1814" t="inlineStr">
        <is>
          <t>The politics of American individualism : Herbert Hoover in transition, 1918-1921 / Gary Dean Best.</t>
        </is>
      </c>
      <c r="F1814" t="inlineStr">
        <is>
          <t>No</t>
        </is>
      </c>
      <c r="G1814" t="inlineStr">
        <is>
          <t>1</t>
        </is>
      </c>
      <c r="H1814" t="inlineStr">
        <is>
          <t>No</t>
        </is>
      </c>
      <c r="I1814" t="inlineStr">
        <is>
          <t>No</t>
        </is>
      </c>
      <c r="J1814" t="inlineStr">
        <is>
          <t>0</t>
        </is>
      </c>
      <c r="K1814" t="inlineStr">
        <is>
          <t>Best, Gary Dean.</t>
        </is>
      </c>
      <c r="L1814" t="inlineStr">
        <is>
          <t>Westport, Conn. : Greenwood Press, 1975.</t>
        </is>
      </c>
      <c r="M1814" t="inlineStr">
        <is>
          <t>1975</t>
        </is>
      </c>
      <c r="O1814" t="inlineStr">
        <is>
          <t>eng</t>
        </is>
      </c>
      <c r="P1814" t="inlineStr">
        <is>
          <t>ctu</t>
        </is>
      </c>
      <c r="R1814" t="inlineStr">
        <is>
          <t xml:space="preserve">E  </t>
        </is>
      </c>
      <c r="S1814" t="n">
        <v>3</v>
      </c>
      <c r="T1814" t="n">
        <v>3</v>
      </c>
      <c r="U1814" t="inlineStr">
        <is>
          <t>1998-01-30</t>
        </is>
      </c>
      <c r="V1814" t="inlineStr">
        <is>
          <t>1998-01-30</t>
        </is>
      </c>
      <c r="W1814" t="inlineStr">
        <is>
          <t>1992-05-07</t>
        </is>
      </c>
      <c r="X1814" t="inlineStr">
        <is>
          <t>1992-05-07</t>
        </is>
      </c>
      <c r="Y1814" t="n">
        <v>511</v>
      </c>
      <c r="Z1814" t="n">
        <v>452</v>
      </c>
      <c r="AA1814" t="n">
        <v>468</v>
      </c>
      <c r="AB1814" t="n">
        <v>6</v>
      </c>
      <c r="AC1814" t="n">
        <v>6</v>
      </c>
      <c r="AD1814" t="n">
        <v>21</v>
      </c>
      <c r="AE1814" t="n">
        <v>21</v>
      </c>
      <c r="AF1814" t="n">
        <v>4</v>
      </c>
      <c r="AG1814" t="n">
        <v>4</v>
      </c>
      <c r="AH1814" t="n">
        <v>6</v>
      </c>
      <c r="AI1814" t="n">
        <v>6</v>
      </c>
      <c r="AJ1814" t="n">
        <v>12</v>
      </c>
      <c r="AK1814" t="n">
        <v>12</v>
      </c>
      <c r="AL1814" t="n">
        <v>4</v>
      </c>
      <c r="AM1814" t="n">
        <v>4</v>
      </c>
      <c r="AN1814" t="n">
        <v>0</v>
      </c>
      <c r="AO1814" t="n">
        <v>0</v>
      </c>
      <c r="AP1814" t="inlineStr">
        <is>
          <t>No</t>
        </is>
      </c>
      <c r="AQ1814" t="inlineStr">
        <is>
          <t>Yes</t>
        </is>
      </c>
      <c r="AR1814">
        <f>HYPERLINK("http://catalog.hathitrust.org/Record/000044968","HathiTrust Record")</f>
        <v/>
      </c>
      <c r="AS1814">
        <f>HYPERLINK("https://creighton-primo.hosted.exlibrisgroup.com/primo-explore/search?tab=default_tab&amp;search_scope=EVERYTHING&amp;vid=01CRU&amp;lang=en_US&amp;offset=0&amp;query=any,contains,991003802259702656","Catalog Record")</f>
        <v/>
      </c>
      <c r="AT1814">
        <f>HYPERLINK("http://www.worldcat.org/oclc/1528317","WorldCat Record")</f>
        <v/>
      </c>
      <c r="AU1814" t="inlineStr">
        <is>
          <t>2387398:eng</t>
        </is>
      </c>
      <c r="AV1814" t="inlineStr">
        <is>
          <t>1528317</t>
        </is>
      </c>
      <c r="AW1814" t="inlineStr">
        <is>
          <t>991003802259702656</t>
        </is>
      </c>
      <c r="AX1814" t="inlineStr">
        <is>
          <t>991003802259702656</t>
        </is>
      </c>
      <c r="AY1814" t="inlineStr">
        <is>
          <t>2257333660002656</t>
        </is>
      </c>
      <c r="AZ1814" t="inlineStr">
        <is>
          <t>BOOK</t>
        </is>
      </c>
      <c r="BB1814" t="inlineStr">
        <is>
          <t>9780837181608</t>
        </is>
      </c>
      <c r="BC1814" t="inlineStr">
        <is>
          <t>32285001094621</t>
        </is>
      </c>
      <c r="BD1814" t="inlineStr">
        <is>
          <t>893525245</t>
        </is>
      </c>
    </row>
    <row r="1815">
      <c r="A1815" t="inlineStr">
        <is>
          <t>No</t>
        </is>
      </c>
      <c r="B1815" t="inlineStr">
        <is>
          <t>E802 .B87 1979</t>
        </is>
      </c>
      <c r="C1815" t="inlineStr">
        <is>
          <t>0                      E  0802000B  87          1979</t>
        </is>
      </c>
      <c r="D1815" t="inlineStr">
        <is>
          <t>Herbert Hoover, a public life / David Burner.</t>
        </is>
      </c>
      <c r="F1815" t="inlineStr">
        <is>
          <t>No</t>
        </is>
      </c>
      <c r="G1815" t="inlineStr">
        <is>
          <t>1</t>
        </is>
      </c>
      <c r="H1815" t="inlineStr">
        <is>
          <t>No</t>
        </is>
      </c>
      <c r="I1815" t="inlineStr">
        <is>
          <t>No</t>
        </is>
      </c>
      <c r="J1815" t="inlineStr">
        <is>
          <t>0</t>
        </is>
      </c>
      <c r="K1815" t="inlineStr">
        <is>
          <t>Burner, David, 1937-</t>
        </is>
      </c>
      <c r="L1815" t="inlineStr">
        <is>
          <t>New York : Knopf, 1979, c1978.</t>
        </is>
      </c>
      <c r="M1815" t="inlineStr">
        <is>
          <t>1979</t>
        </is>
      </c>
      <c r="N1815" t="inlineStr">
        <is>
          <t>1st ed.</t>
        </is>
      </c>
      <c r="O1815" t="inlineStr">
        <is>
          <t>eng</t>
        </is>
      </c>
      <c r="P1815" t="inlineStr">
        <is>
          <t>nyu</t>
        </is>
      </c>
      <c r="R1815" t="inlineStr">
        <is>
          <t xml:space="preserve">E  </t>
        </is>
      </c>
      <c r="S1815" t="n">
        <v>3</v>
      </c>
      <c r="T1815" t="n">
        <v>3</v>
      </c>
      <c r="U1815" t="inlineStr">
        <is>
          <t>1997-04-29</t>
        </is>
      </c>
      <c r="V1815" t="inlineStr">
        <is>
          <t>1997-04-29</t>
        </is>
      </c>
      <c r="W1815" t="inlineStr">
        <is>
          <t>1990-06-06</t>
        </is>
      </c>
      <c r="X1815" t="inlineStr">
        <is>
          <t>1990-06-06</t>
        </is>
      </c>
      <c r="Y1815" t="n">
        <v>1578</v>
      </c>
      <c r="Z1815" t="n">
        <v>1474</v>
      </c>
      <c r="AA1815" t="n">
        <v>1557</v>
      </c>
      <c r="AB1815" t="n">
        <v>13</v>
      </c>
      <c r="AC1815" t="n">
        <v>16</v>
      </c>
      <c r="AD1815" t="n">
        <v>51</v>
      </c>
      <c r="AE1815" t="n">
        <v>54</v>
      </c>
      <c r="AF1815" t="n">
        <v>19</v>
      </c>
      <c r="AG1815" t="n">
        <v>20</v>
      </c>
      <c r="AH1815" t="n">
        <v>11</v>
      </c>
      <c r="AI1815" t="n">
        <v>11</v>
      </c>
      <c r="AJ1815" t="n">
        <v>20</v>
      </c>
      <c r="AK1815" t="n">
        <v>20</v>
      </c>
      <c r="AL1815" t="n">
        <v>10</v>
      </c>
      <c r="AM1815" t="n">
        <v>11</v>
      </c>
      <c r="AN1815" t="n">
        <v>1</v>
      </c>
      <c r="AO1815" t="n">
        <v>2</v>
      </c>
      <c r="AP1815" t="inlineStr">
        <is>
          <t>No</t>
        </is>
      </c>
      <c r="AQ1815" t="inlineStr">
        <is>
          <t>Yes</t>
        </is>
      </c>
      <c r="AR1815">
        <f>HYPERLINK("http://catalog.hathitrust.org/Record/000215869","HathiTrust Record")</f>
        <v/>
      </c>
      <c r="AS1815">
        <f>HYPERLINK("https://creighton-primo.hosted.exlibrisgroup.com/primo-explore/search?tab=default_tab&amp;search_scope=EVERYTHING&amp;vid=01CRU&amp;lang=en_US&amp;offset=0&amp;query=any,contains,991004604389702656","Catalog Record")</f>
        <v/>
      </c>
      <c r="AT1815">
        <f>HYPERLINK("http://www.worldcat.org/oclc/4193277","WorldCat Record")</f>
        <v/>
      </c>
      <c r="AU1815" t="inlineStr">
        <is>
          <t>462076:eng</t>
        </is>
      </c>
      <c r="AV1815" t="inlineStr">
        <is>
          <t>4193277</t>
        </is>
      </c>
      <c r="AW1815" t="inlineStr">
        <is>
          <t>991004604389702656</t>
        </is>
      </c>
      <c r="AX1815" t="inlineStr">
        <is>
          <t>991004604389702656</t>
        </is>
      </c>
      <c r="AY1815" t="inlineStr">
        <is>
          <t>2261890890002656</t>
        </is>
      </c>
      <c r="AZ1815" t="inlineStr">
        <is>
          <t>BOOK</t>
        </is>
      </c>
      <c r="BB1815" t="inlineStr">
        <is>
          <t>9780394461342</t>
        </is>
      </c>
      <c r="BC1815" t="inlineStr">
        <is>
          <t>32285000182500</t>
        </is>
      </c>
      <c r="BD1815" t="inlineStr">
        <is>
          <t>893241640</t>
        </is>
      </c>
    </row>
    <row r="1816">
      <c r="A1816" t="inlineStr">
        <is>
          <t>No</t>
        </is>
      </c>
      <c r="B1816" t="inlineStr">
        <is>
          <t>E802 .N37 1983, v...</t>
        </is>
      </c>
      <c r="C1816" t="inlineStr">
        <is>
          <t>0                      E  0802000N  37          1983                                        v...</t>
        </is>
      </c>
      <c r="D1816" t="inlineStr">
        <is>
          <t>The life of Herbert Hoover / by George H. Nash.</t>
        </is>
      </c>
      <c r="E1816" t="inlineStr">
        <is>
          <t>V.1</t>
        </is>
      </c>
      <c r="F1816" t="inlineStr">
        <is>
          <t>No</t>
        </is>
      </c>
      <c r="G1816" t="inlineStr">
        <is>
          <t>1</t>
        </is>
      </c>
      <c r="H1816" t="inlineStr">
        <is>
          <t>No</t>
        </is>
      </c>
      <c r="I1816" t="inlineStr">
        <is>
          <t>No</t>
        </is>
      </c>
      <c r="J1816" t="inlineStr">
        <is>
          <t>0</t>
        </is>
      </c>
      <c r="K1816" t="inlineStr">
        <is>
          <t>Nash, George H., 1945-</t>
        </is>
      </c>
      <c r="L1816" t="inlineStr">
        <is>
          <t>New York : W.W. Norton, c1983-</t>
        </is>
      </c>
      <c r="M1816" t="inlineStr">
        <is>
          <t>1983</t>
        </is>
      </c>
      <c r="N1816" t="inlineStr">
        <is>
          <t>1st ed.</t>
        </is>
      </c>
      <c r="O1816" t="inlineStr">
        <is>
          <t>eng</t>
        </is>
      </c>
      <c r="P1816" t="inlineStr">
        <is>
          <t>nyu</t>
        </is>
      </c>
      <c r="R1816" t="inlineStr">
        <is>
          <t xml:space="preserve">E  </t>
        </is>
      </c>
      <c r="S1816" t="n">
        <v>3</v>
      </c>
      <c r="T1816" t="n">
        <v>3</v>
      </c>
      <c r="U1816" t="inlineStr">
        <is>
          <t>1997-04-29</t>
        </is>
      </c>
      <c r="V1816" t="inlineStr">
        <is>
          <t>1997-04-29</t>
        </is>
      </c>
      <c r="W1816" t="inlineStr">
        <is>
          <t>1991-06-05</t>
        </is>
      </c>
      <c r="X1816" t="inlineStr">
        <is>
          <t>1991-06-05</t>
        </is>
      </c>
      <c r="Y1816" t="n">
        <v>1370</v>
      </c>
      <c r="Z1816" t="n">
        <v>1274</v>
      </c>
      <c r="AA1816" t="n">
        <v>1280</v>
      </c>
      <c r="AB1816" t="n">
        <v>8</v>
      </c>
      <c r="AC1816" t="n">
        <v>8</v>
      </c>
      <c r="AD1816" t="n">
        <v>48</v>
      </c>
      <c r="AE1816" t="n">
        <v>48</v>
      </c>
      <c r="AF1816" t="n">
        <v>23</v>
      </c>
      <c r="AG1816" t="n">
        <v>23</v>
      </c>
      <c r="AH1816" t="n">
        <v>10</v>
      </c>
      <c r="AI1816" t="n">
        <v>10</v>
      </c>
      <c r="AJ1816" t="n">
        <v>23</v>
      </c>
      <c r="AK1816" t="n">
        <v>23</v>
      </c>
      <c r="AL1816" t="n">
        <v>6</v>
      </c>
      <c r="AM1816" t="n">
        <v>6</v>
      </c>
      <c r="AN1816" t="n">
        <v>0</v>
      </c>
      <c r="AO1816" t="n">
        <v>0</v>
      </c>
      <c r="AP1816" t="inlineStr">
        <is>
          <t>No</t>
        </is>
      </c>
      <c r="AQ1816" t="inlineStr">
        <is>
          <t>Yes</t>
        </is>
      </c>
      <c r="AR1816">
        <f>HYPERLINK("http://catalog.hathitrust.org/Record/004566950","HathiTrust Record")</f>
        <v/>
      </c>
      <c r="AS1816">
        <f>HYPERLINK("https://creighton-primo.hosted.exlibrisgroup.com/primo-explore/search?tab=default_tab&amp;search_scope=EVERYTHING&amp;vid=01CRU&amp;lang=en_US&amp;offset=0&amp;query=any,contains,991000080459702656","Catalog Record")</f>
        <v/>
      </c>
      <c r="AT1816">
        <f>HYPERLINK("http://www.worldcat.org/oclc/8827610","WorldCat Record")</f>
        <v/>
      </c>
      <c r="AU1816" t="inlineStr">
        <is>
          <t>9438249364:eng</t>
        </is>
      </c>
      <c r="AV1816" t="inlineStr">
        <is>
          <t>8827610</t>
        </is>
      </c>
      <c r="AW1816" t="inlineStr">
        <is>
          <t>991000080459702656</t>
        </is>
      </c>
      <c r="AX1816" t="inlineStr">
        <is>
          <t>991000080459702656</t>
        </is>
      </c>
      <c r="AY1816" t="inlineStr">
        <is>
          <t>2266446310002656</t>
        </is>
      </c>
      <c r="AZ1816" t="inlineStr">
        <is>
          <t>BOOK</t>
        </is>
      </c>
      <c r="BB1816" t="inlineStr">
        <is>
          <t>9780393016345</t>
        </is>
      </c>
      <c r="BC1816" t="inlineStr">
        <is>
          <t>32285000614239</t>
        </is>
      </c>
      <c r="BD1816" t="inlineStr">
        <is>
          <t>893230855</t>
        </is>
      </c>
    </row>
    <row r="1817">
      <c r="A1817" t="inlineStr">
        <is>
          <t>No</t>
        </is>
      </c>
      <c r="B1817" t="inlineStr">
        <is>
          <t>E806 .A32 2003</t>
        </is>
      </c>
      <c r="C1817" t="inlineStr">
        <is>
          <t>0                      E  0806000A  32          2003</t>
        </is>
      </c>
      <c r="D1817" t="inlineStr">
        <is>
          <t>The achievement of American liberalism : the New Deal and its legacies / edited by William H. Chafe.</t>
        </is>
      </c>
      <c r="F1817" t="inlineStr">
        <is>
          <t>No</t>
        </is>
      </c>
      <c r="G1817" t="inlineStr">
        <is>
          <t>1</t>
        </is>
      </c>
      <c r="H1817" t="inlineStr">
        <is>
          <t>No</t>
        </is>
      </c>
      <c r="I1817" t="inlineStr">
        <is>
          <t>No</t>
        </is>
      </c>
      <c r="J1817" t="inlineStr">
        <is>
          <t>0</t>
        </is>
      </c>
      <c r="L1817" t="inlineStr">
        <is>
          <t>New York : Columbia University Press, c2003.</t>
        </is>
      </c>
      <c r="M1817" t="inlineStr">
        <is>
          <t>2003</t>
        </is>
      </c>
      <c r="O1817" t="inlineStr">
        <is>
          <t>eng</t>
        </is>
      </c>
      <c r="P1817" t="inlineStr">
        <is>
          <t>nyu</t>
        </is>
      </c>
      <c r="R1817" t="inlineStr">
        <is>
          <t xml:space="preserve">E  </t>
        </is>
      </c>
      <c r="S1817" t="n">
        <v>1</v>
      </c>
      <c r="T1817" t="n">
        <v>1</v>
      </c>
      <c r="U1817" t="inlineStr">
        <is>
          <t>2004-04-20</t>
        </is>
      </c>
      <c r="V1817" t="inlineStr">
        <is>
          <t>2004-04-20</t>
        </is>
      </c>
      <c r="W1817" t="inlineStr">
        <is>
          <t>2004-04-20</t>
        </is>
      </c>
      <c r="X1817" t="inlineStr">
        <is>
          <t>2004-04-20</t>
        </is>
      </c>
      <c r="Y1817" t="n">
        <v>541</v>
      </c>
      <c r="Z1817" t="n">
        <v>466</v>
      </c>
      <c r="AA1817" t="n">
        <v>1411</v>
      </c>
      <c r="AB1817" t="n">
        <v>3</v>
      </c>
      <c r="AC1817" t="n">
        <v>26</v>
      </c>
      <c r="AD1817" t="n">
        <v>29</v>
      </c>
      <c r="AE1817" t="n">
        <v>53</v>
      </c>
      <c r="AF1817" t="n">
        <v>12</v>
      </c>
      <c r="AG1817" t="n">
        <v>21</v>
      </c>
      <c r="AH1817" t="n">
        <v>6</v>
      </c>
      <c r="AI1817" t="n">
        <v>11</v>
      </c>
      <c r="AJ1817" t="n">
        <v>16</v>
      </c>
      <c r="AK1817" t="n">
        <v>20</v>
      </c>
      <c r="AL1817" t="n">
        <v>2</v>
      </c>
      <c r="AM1817" t="n">
        <v>11</v>
      </c>
      <c r="AN1817" t="n">
        <v>0</v>
      </c>
      <c r="AO1817" t="n">
        <v>1</v>
      </c>
      <c r="AP1817" t="inlineStr">
        <is>
          <t>No</t>
        </is>
      </c>
      <c r="AQ1817" t="inlineStr">
        <is>
          <t>No</t>
        </is>
      </c>
      <c r="AS1817">
        <f>HYPERLINK("https://creighton-primo.hosted.exlibrisgroup.com/primo-explore/search?tab=default_tab&amp;search_scope=EVERYTHING&amp;vid=01CRU&amp;lang=en_US&amp;offset=0&amp;query=any,contains,991004256739702656","Catalog Record")</f>
        <v/>
      </c>
      <c r="AT1817">
        <f>HYPERLINK("http://www.worldcat.org/oclc/50035078","WorldCat Record")</f>
        <v/>
      </c>
      <c r="AU1817" t="inlineStr">
        <is>
          <t>800234224:eng</t>
        </is>
      </c>
      <c r="AV1817" t="inlineStr">
        <is>
          <t>50035078</t>
        </is>
      </c>
      <c r="AW1817" t="inlineStr">
        <is>
          <t>991004256739702656</t>
        </is>
      </c>
      <c r="AX1817" t="inlineStr">
        <is>
          <t>991004256739702656</t>
        </is>
      </c>
      <c r="AY1817" t="inlineStr">
        <is>
          <t>2262222770002656</t>
        </is>
      </c>
      <c r="AZ1817" t="inlineStr">
        <is>
          <t>BOOK</t>
        </is>
      </c>
      <c r="BB1817" t="inlineStr">
        <is>
          <t>9780231112123</t>
        </is>
      </c>
      <c r="BC1817" t="inlineStr">
        <is>
          <t>32285004900790</t>
        </is>
      </c>
      <c r="BD1817" t="inlineStr">
        <is>
          <t>893901005</t>
        </is>
      </c>
    </row>
    <row r="1818">
      <c r="A1818" t="inlineStr">
        <is>
          <t>No</t>
        </is>
      </c>
      <c r="B1818" t="inlineStr">
        <is>
          <t>E806 .B42</t>
        </is>
      </c>
      <c r="C1818" t="inlineStr">
        <is>
          <t>0                      E  0806000B  42</t>
        </is>
      </c>
      <c r="D1818" t="inlineStr">
        <is>
          <t>American foreign policy in the making, 1932-1940; a study in responsibilities, by Charles A. Beard ...</t>
        </is>
      </c>
      <c r="F1818" t="inlineStr">
        <is>
          <t>No</t>
        </is>
      </c>
      <c r="G1818" t="inlineStr">
        <is>
          <t>1</t>
        </is>
      </c>
      <c r="H1818" t="inlineStr">
        <is>
          <t>No</t>
        </is>
      </c>
      <c r="I1818" t="inlineStr">
        <is>
          <t>No</t>
        </is>
      </c>
      <c r="J1818" t="inlineStr">
        <is>
          <t>0</t>
        </is>
      </c>
      <c r="K1818" t="inlineStr">
        <is>
          <t>Beard, Charles A. (Charles Austin), 1874-1948.</t>
        </is>
      </c>
      <c r="L1818" t="inlineStr">
        <is>
          <t>New Haven, Yale University Press, 1946.</t>
        </is>
      </c>
      <c r="M1818" t="inlineStr">
        <is>
          <t>1946</t>
        </is>
      </c>
      <c r="O1818" t="inlineStr">
        <is>
          <t>eng</t>
        </is>
      </c>
      <c r="P1818" t="inlineStr">
        <is>
          <t>ctu</t>
        </is>
      </c>
      <c r="R1818" t="inlineStr">
        <is>
          <t xml:space="preserve">E  </t>
        </is>
      </c>
      <c r="S1818" t="n">
        <v>2</v>
      </c>
      <c r="T1818" t="n">
        <v>2</v>
      </c>
      <c r="U1818" t="inlineStr">
        <is>
          <t>2005-10-13</t>
        </is>
      </c>
      <c r="V1818" t="inlineStr">
        <is>
          <t>2005-10-13</t>
        </is>
      </c>
      <c r="W1818" t="inlineStr">
        <is>
          <t>1997-04-28</t>
        </is>
      </c>
      <c r="X1818" t="inlineStr">
        <is>
          <t>1997-04-28</t>
        </is>
      </c>
      <c r="Y1818" t="n">
        <v>1107</v>
      </c>
      <c r="Z1818" t="n">
        <v>1010</v>
      </c>
      <c r="AA1818" t="n">
        <v>1229</v>
      </c>
      <c r="AB1818" t="n">
        <v>12</v>
      </c>
      <c r="AC1818" t="n">
        <v>12</v>
      </c>
      <c r="AD1818" t="n">
        <v>61</v>
      </c>
      <c r="AE1818" t="n">
        <v>64</v>
      </c>
      <c r="AF1818" t="n">
        <v>23</v>
      </c>
      <c r="AG1818" t="n">
        <v>26</v>
      </c>
      <c r="AH1818" t="n">
        <v>11</v>
      </c>
      <c r="AI1818" t="n">
        <v>11</v>
      </c>
      <c r="AJ1818" t="n">
        <v>24</v>
      </c>
      <c r="AK1818" t="n">
        <v>25</v>
      </c>
      <c r="AL1818" t="n">
        <v>11</v>
      </c>
      <c r="AM1818" t="n">
        <v>11</v>
      </c>
      <c r="AN1818" t="n">
        <v>4</v>
      </c>
      <c r="AO1818" t="n">
        <v>4</v>
      </c>
      <c r="AP1818" t="inlineStr">
        <is>
          <t>No</t>
        </is>
      </c>
      <c r="AQ1818" t="inlineStr">
        <is>
          <t>No</t>
        </is>
      </c>
      <c r="AS1818">
        <f>HYPERLINK("https://creighton-primo.hosted.exlibrisgroup.com/primo-explore/search?tab=default_tab&amp;search_scope=EVERYTHING&amp;vid=01CRU&amp;lang=en_US&amp;offset=0&amp;query=any,contains,991002821079702656","Catalog Record")</f>
        <v/>
      </c>
      <c r="AT1818">
        <f>HYPERLINK("http://www.worldcat.org/oclc/466694","WorldCat Record")</f>
        <v/>
      </c>
      <c r="AU1818" t="inlineStr">
        <is>
          <t>1523547:eng</t>
        </is>
      </c>
      <c r="AV1818" t="inlineStr">
        <is>
          <t>466694</t>
        </is>
      </c>
      <c r="AW1818" t="inlineStr">
        <is>
          <t>991002821079702656</t>
        </is>
      </c>
      <c r="AX1818" t="inlineStr">
        <is>
          <t>991002821079702656</t>
        </is>
      </c>
      <c r="AY1818" t="inlineStr">
        <is>
          <t>2259913250002656</t>
        </is>
      </c>
      <c r="AZ1818" t="inlineStr">
        <is>
          <t>BOOK</t>
        </is>
      </c>
      <c r="BC1818" t="inlineStr">
        <is>
          <t>32285002565991</t>
        </is>
      </c>
      <c r="BD1818" t="inlineStr">
        <is>
          <t>893597918</t>
        </is>
      </c>
    </row>
    <row r="1819">
      <c r="A1819" t="inlineStr">
        <is>
          <t>No</t>
        </is>
      </c>
      <c r="B1819" t="inlineStr">
        <is>
          <t>E806 .B494 1991</t>
        </is>
      </c>
      <c r="C1819" t="inlineStr">
        <is>
          <t>0                      E  0806000B  494         1991</t>
        </is>
      </c>
      <c r="D1819" t="inlineStr">
        <is>
          <t>Pride, prejudice, and politics : Roosevelt versus recovery, 1933-1938 / Gary Dean Best.</t>
        </is>
      </c>
      <c r="F1819" t="inlineStr">
        <is>
          <t>No</t>
        </is>
      </c>
      <c r="G1819" t="inlineStr">
        <is>
          <t>1</t>
        </is>
      </c>
      <c r="H1819" t="inlineStr">
        <is>
          <t>No</t>
        </is>
      </c>
      <c r="I1819" t="inlineStr">
        <is>
          <t>No</t>
        </is>
      </c>
      <c r="J1819" t="inlineStr">
        <is>
          <t>0</t>
        </is>
      </c>
      <c r="K1819" t="inlineStr">
        <is>
          <t>Best, Gary Dean.</t>
        </is>
      </c>
      <c r="L1819" t="inlineStr">
        <is>
          <t>New York : Praeger, 1991.</t>
        </is>
      </c>
      <c r="M1819" t="inlineStr">
        <is>
          <t>1991</t>
        </is>
      </c>
      <c r="O1819" t="inlineStr">
        <is>
          <t>eng</t>
        </is>
      </c>
      <c r="P1819" t="inlineStr">
        <is>
          <t>nyu</t>
        </is>
      </c>
      <c r="R1819" t="inlineStr">
        <is>
          <t xml:space="preserve">E  </t>
        </is>
      </c>
      <c r="S1819" t="n">
        <v>2</v>
      </c>
      <c r="T1819" t="n">
        <v>2</v>
      </c>
      <c r="U1819" t="inlineStr">
        <is>
          <t>1993-11-02</t>
        </is>
      </c>
      <c r="V1819" t="inlineStr">
        <is>
          <t>1993-11-02</t>
        </is>
      </c>
      <c r="W1819" t="inlineStr">
        <is>
          <t>1991-06-13</t>
        </is>
      </c>
      <c r="X1819" t="inlineStr">
        <is>
          <t>1991-06-13</t>
        </is>
      </c>
      <c r="Y1819" t="n">
        <v>397</v>
      </c>
      <c r="Z1819" t="n">
        <v>345</v>
      </c>
      <c r="AA1819" t="n">
        <v>350</v>
      </c>
      <c r="AB1819" t="n">
        <v>4</v>
      </c>
      <c r="AC1819" t="n">
        <v>4</v>
      </c>
      <c r="AD1819" t="n">
        <v>26</v>
      </c>
      <c r="AE1819" t="n">
        <v>26</v>
      </c>
      <c r="AF1819" t="n">
        <v>7</v>
      </c>
      <c r="AG1819" t="n">
        <v>7</v>
      </c>
      <c r="AH1819" t="n">
        <v>8</v>
      </c>
      <c r="AI1819" t="n">
        <v>8</v>
      </c>
      <c r="AJ1819" t="n">
        <v>17</v>
      </c>
      <c r="AK1819" t="n">
        <v>17</v>
      </c>
      <c r="AL1819" t="n">
        <v>3</v>
      </c>
      <c r="AM1819" t="n">
        <v>3</v>
      </c>
      <c r="AN1819" t="n">
        <v>0</v>
      </c>
      <c r="AO1819" t="n">
        <v>0</v>
      </c>
      <c r="AP1819" t="inlineStr">
        <is>
          <t>No</t>
        </is>
      </c>
      <c r="AQ1819" t="inlineStr">
        <is>
          <t>Yes</t>
        </is>
      </c>
      <c r="AR1819">
        <f>HYPERLINK("http://catalog.hathitrust.org/Record/002233510","HathiTrust Record")</f>
        <v/>
      </c>
      <c r="AS1819">
        <f>HYPERLINK("https://creighton-primo.hosted.exlibrisgroup.com/primo-explore/search?tab=default_tab&amp;search_scope=EVERYTHING&amp;vid=01CRU&amp;lang=en_US&amp;offset=0&amp;query=any,contains,991001715999702656","Catalog Record")</f>
        <v/>
      </c>
      <c r="AT1819">
        <f>HYPERLINK("http://www.worldcat.org/oclc/21676954","WorldCat Record")</f>
        <v/>
      </c>
      <c r="AU1819" t="inlineStr">
        <is>
          <t>366542214:eng</t>
        </is>
      </c>
      <c r="AV1819" t="inlineStr">
        <is>
          <t>21676954</t>
        </is>
      </c>
      <c r="AW1819" t="inlineStr">
        <is>
          <t>991001715999702656</t>
        </is>
      </c>
      <c r="AX1819" t="inlineStr">
        <is>
          <t>991001715999702656</t>
        </is>
      </c>
      <c r="AY1819" t="inlineStr">
        <is>
          <t>2259951880002656</t>
        </is>
      </c>
      <c r="AZ1819" t="inlineStr">
        <is>
          <t>BOOK</t>
        </is>
      </c>
      <c r="BB1819" t="inlineStr">
        <is>
          <t>9780275935245</t>
        </is>
      </c>
      <c r="BC1819" t="inlineStr">
        <is>
          <t>32285000655786</t>
        </is>
      </c>
      <c r="BD1819" t="inlineStr">
        <is>
          <t>893534650</t>
        </is>
      </c>
    </row>
    <row r="1820">
      <c r="A1820" t="inlineStr">
        <is>
          <t>No</t>
        </is>
      </c>
      <c r="B1820" t="inlineStr">
        <is>
          <t>E806 .B75 1982</t>
        </is>
      </c>
      <c r="C1820" t="inlineStr">
        <is>
          <t>0                      E  0806000B  75          1982</t>
        </is>
      </c>
      <c r="D1820" t="inlineStr">
        <is>
          <t>Voices of protest : Huey Long, Father Coughlin, and the Great Depression / Alan Brinkley.</t>
        </is>
      </c>
      <c r="F1820" t="inlineStr">
        <is>
          <t>No</t>
        </is>
      </c>
      <c r="G1820" t="inlineStr">
        <is>
          <t>1</t>
        </is>
      </c>
      <c r="H1820" t="inlineStr">
        <is>
          <t>No</t>
        </is>
      </c>
      <c r="I1820" t="inlineStr">
        <is>
          <t>No</t>
        </is>
      </c>
      <c r="J1820" t="inlineStr">
        <is>
          <t>0</t>
        </is>
      </c>
      <c r="K1820" t="inlineStr">
        <is>
          <t>Brinkley, Alan.</t>
        </is>
      </c>
      <c r="L1820" t="inlineStr">
        <is>
          <t>New York : Knopf, 1982.</t>
        </is>
      </c>
      <c r="M1820" t="inlineStr">
        <is>
          <t>1982</t>
        </is>
      </c>
      <c r="N1820" t="inlineStr">
        <is>
          <t>1st ed.</t>
        </is>
      </c>
      <c r="O1820" t="inlineStr">
        <is>
          <t>eng</t>
        </is>
      </c>
      <c r="P1820" t="inlineStr">
        <is>
          <t>nyu</t>
        </is>
      </c>
      <c r="R1820" t="inlineStr">
        <is>
          <t xml:space="preserve">E  </t>
        </is>
      </c>
      <c r="S1820" t="n">
        <v>7</v>
      </c>
      <c r="T1820" t="n">
        <v>7</v>
      </c>
      <c r="U1820" t="inlineStr">
        <is>
          <t>2002-04-15</t>
        </is>
      </c>
      <c r="V1820" t="inlineStr">
        <is>
          <t>2002-04-15</t>
        </is>
      </c>
      <c r="W1820" t="inlineStr">
        <is>
          <t>1990-05-01</t>
        </is>
      </c>
      <c r="X1820" t="inlineStr">
        <is>
          <t>1990-05-01</t>
        </is>
      </c>
      <c r="Y1820" t="n">
        <v>1341</v>
      </c>
      <c r="Z1820" t="n">
        <v>1233</v>
      </c>
      <c r="AA1820" t="n">
        <v>1750</v>
      </c>
      <c r="AB1820" t="n">
        <v>10</v>
      </c>
      <c r="AC1820" t="n">
        <v>14</v>
      </c>
      <c r="AD1820" t="n">
        <v>44</v>
      </c>
      <c r="AE1820" t="n">
        <v>57</v>
      </c>
      <c r="AF1820" t="n">
        <v>19</v>
      </c>
      <c r="AG1820" t="n">
        <v>24</v>
      </c>
      <c r="AH1820" t="n">
        <v>9</v>
      </c>
      <c r="AI1820" t="n">
        <v>10</v>
      </c>
      <c r="AJ1820" t="n">
        <v>21</v>
      </c>
      <c r="AK1820" t="n">
        <v>25</v>
      </c>
      <c r="AL1820" t="n">
        <v>8</v>
      </c>
      <c r="AM1820" t="n">
        <v>11</v>
      </c>
      <c r="AN1820" t="n">
        <v>0</v>
      </c>
      <c r="AO1820" t="n">
        <v>0</v>
      </c>
      <c r="AP1820" t="inlineStr">
        <is>
          <t>No</t>
        </is>
      </c>
      <c r="AQ1820" t="inlineStr">
        <is>
          <t>Yes</t>
        </is>
      </c>
      <c r="AR1820">
        <f>HYPERLINK("http://catalog.hathitrust.org/Record/003936546","HathiTrust Record")</f>
        <v/>
      </c>
      <c r="AS1820">
        <f>HYPERLINK("https://creighton-primo.hosted.exlibrisgroup.com/primo-explore/search?tab=default_tab&amp;search_scope=EVERYTHING&amp;vid=01CRU&amp;lang=en_US&amp;offset=0&amp;query=any,contains,991005198079702656","Catalog Record")</f>
        <v/>
      </c>
      <c r="AT1820">
        <f>HYPERLINK("http://www.worldcat.org/oclc/8052530","WorldCat Record")</f>
        <v/>
      </c>
      <c r="AU1820" t="inlineStr">
        <is>
          <t>463459:eng</t>
        </is>
      </c>
      <c r="AV1820" t="inlineStr">
        <is>
          <t>8052530</t>
        </is>
      </c>
      <c r="AW1820" t="inlineStr">
        <is>
          <t>991005198079702656</t>
        </is>
      </c>
      <c r="AX1820" t="inlineStr">
        <is>
          <t>991005198079702656</t>
        </is>
      </c>
      <c r="AY1820" t="inlineStr">
        <is>
          <t>2256339970002656</t>
        </is>
      </c>
      <c r="AZ1820" t="inlineStr">
        <is>
          <t>BOOK</t>
        </is>
      </c>
      <c r="BB1820" t="inlineStr">
        <is>
          <t>9780394522418</t>
        </is>
      </c>
      <c r="BC1820" t="inlineStr">
        <is>
          <t>32285000145366</t>
        </is>
      </c>
      <c r="BD1820" t="inlineStr">
        <is>
          <t>893594645</t>
        </is>
      </c>
    </row>
    <row r="1821">
      <c r="A1821" t="inlineStr">
        <is>
          <t>No</t>
        </is>
      </c>
      <c r="B1821" t="inlineStr">
        <is>
          <t>E806 .C3845</t>
        </is>
      </c>
      <c r="C1821" t="inlineStr">
        <is>
          <t>0                      E  0806000C  3845</t>
        </is>
      </c>
      <c r="D1821" t="inlineStr">
        <is>
          <t>The new dealers / by Unofficial observer.</t>
        </is>
      </c>
      <c r="F1821" t="inlineStr">
        <is>
          <t>No</t>
        </is>
      </c>
      <c r="G1821" t="inlineStr">
        <is>
          <t>1</t>
        </is>
      </c>
      <c r="H1821" t="inlineStr">
        <is>
          <t>No</t>
        </is>
      </c>
      <c r="I1821" t="inlineStr">
        <is>
          <t>No</t>
        </is>
      </c>
      <c r="J1821" t="inlineStr">
        <is>
          <t>0</t>
        </is>
      </c>
      <c r="K1821" t="inlineStr">
        <is>
          <t>Carter, John Franklin, 1897-1967.</t>
        </is>
      </c>
      <c r="L1821" t="inlineStr">
        <is>
          <t>New York : Literary Guild, [1934]</t>
        </is>
      </c>
      <c r="M1821" t="inlineStr">
        <is>
          <t>1934</t>
        </is>
      </c>
      <c r="O1821" t="inlineStr">
        <is>
          <t>eng</t>
        </is>
      </c>
      <c r="P1821" t="inlineStr">
        <is>
          <t>nyu</t>
        </is>
      </c>
      <c r="R1821" t="inlineStr">
        <is>
          <t xml:space="preserve">E  </t>
        </is>
      </c>
      <c r="S1821" t="n">
        <v>1</v>
      </c>
      <c r="T1821" t="n">
        <v>1</v>
      </c>
      <c r="U1821" t="inlineStr">
        <is>
          <t>1994-04-06</t>
        </is>
      </c>
      <c r="V1821" t="inlineStr">
        <is>
          <t>1994-04-06</t>
        </is>
      </c>
      <c r="W1821" t="inlineStr">
        <is>
          <t>1993-04-21</t>
        </is>
      </c>
      <c r="X1821" t="inlineStr">
        <is>
          <t>1993-04-21</t>
        </is>
      </c>
      <c r="Y1821" t="n">
        <v>275</v>
      </c>
      <c r="Z1821" t="n">
        <v>268</v>
      </c>
      <c r="AA1821" t="n">
        <v>786</v>
      </c>
      <c r="AB1821" t="n">
        <v>4</v>
      </c>
      <c r="AC1821" t="n">
        <v>7</v>
      </c>
      <c r="AD1821" t="n">
        <v>13</v>
      </c>
      <c r="AE1821" t="n">
        <v>36</v>
      </c>
      <c r="AF1821" t="n">
        <v>4</v>
      </c>
      <c r="AG1821" t="n">
        <v>14</v>
      </c>
      <c r="AH1821" t="n">
        <v>1</v>
      </c>
      <c r="AI1821" t="n">
        <v>7</v>
      </c>
      <c r="AJ1821" t="n">
        <v>7</v>
      </c>
      <c r="AK1821" t="n">
        <v>19</v>
      </c>
      <c r="AL1821" t="n">
        <v>3</v>
      </c>
      <c r="AM1821" t="n">
        <v>5</v>
      </c>
      <c r="AN1821" t="n">
        <v>1</v>
      </c>
      <c r="AO1821" t="n">
        <v>1</v>
      </c>
      <c r="AP1821" t="inlineStr">
        <is>
          <t>No</t>
        </is>
      </c>
      <c r="AQ1821" t="inlineStr">
        <is>
          <t>Yes</t>
        </is>
      </c>
      <c r="AR1821">
        <f>HYPERLINK("http://catalog.hathitrust.org/Record/006000809","HathiTrust Record")</f>
        <v/>
      </c>
      <c r="AS1821">
        <f>HYPERLINK("https://creighton-primo.hosted.exlibrisgroup.com/primo-explore/search?tab=default_tab&amp;search_scope=EVERYTHING&amp;vid=01CRU&amp;lang=en_US&amp;offset=0&amp;query=any,contains,991003896979702656","Catalog Record")</f>
        <v/>
      </c>
      <c r="AT1821">
        <f>HYPERLINK("http://www.worldcat.org/oclc/1812858","WorldCat Record")</f>
        <v/>
      </c>
      <c r="AU1821" t="inlineStr">
        <is>
          <t>1968545:eng</t>
        </is>
      </c>
      <c r="AV1821" t="inlineStr">
        <is>
          <t>1812858</t>
        </is>
      </c>
      <c r="AW1821" t="inlineStr">
        <is>
          <t>991003896979702656</t>
        </is>
      </c>
      <c r="AX1821" t="inlineStr">
        <is>
          <t>991003896979702656</t>
        </is>
      </c>
      <c r="AY1821" t="inlineStr">
        <is>
          <t>2259713990002656</t>
        </is>
      </c>
      <c r="AZ1821" t="inlineStr">
        <is>
          <t>BOOK</t>
        </is>
      </c>
      <c r="BC1821" t="inlineStr">
        <is>
          <t>32285001622900</t>
        </is>
      </c>
      <c r="BD1821" t="inlineStr">
        <is>
          <t>893410875</t>
        </is>
      </c>
    </row>
    <row r="1822">
      <c r="A1822" t="inlineStr">
        <is>
          <t>No</t>
        </is>
      </c>
      <c r="B1822" t="inlineStr">
        <is>
          <t>E806 .C387 1989</t>
        </is>
      </c>
      <c r="C1822" t="inlineStr">
        <is>
          <t>0                      E  0806000C  387         1989</t>
        </is>
      </c>
      <c r="D1822" t="inlineStr">
        <is>
          <t>Let the good times roll : life at home in America during World War II / Paul D. Casdorph.</t>
        </is>
      </c>
      <c r="F1822" t="inlineStr">
        <is>
          <t>No</t>
        </is>
      </c>
      <c r="G1822" t="inlineStr">
        <is>
          <t>1</t>
        </is>
      </c>
      <c r="H1822" t="inlineStr">
        <is>
          <t>No</t>
        </is>
      </c>
      <c r="I1822" t="inlineStr">
        <is>
          <t>No</t>
        </is>
      </c>
      <c r="J1822" t="inlineStr">
        <is>
          <t>0</t>
        </is>
      </c>
      <c r="K1822" t="inlineStr">
        <is>
          <t>Casdorph, Paul D.</t>
        </is>
      </c>
      <c r="L1822" t="inlineStr">
        <is>
          <t>New York : Paragon House, c1989.</t>
        </is>
      </c>
      <c r="M1822" t="inlineStr">
        <is>
          <t>1989</t>
        </is>
      </c>
      <c r="O1822" t="inlineStr">
        <is>
          <t>eng</t>
        </is>
      </c>
      <c r="P1822" t="inlineStr">
        <is>
          <t>nyu</t>
        </is>
      </c>
      <c r="R1822" t="inlineStr">
        <is>
          <t xml:space="preserve">E  </t>
        </is>
      </c>
      <c r="S1822" t="n">
        <v>1</v>
      </c>
      <c r="T1822" t="n">
        <v>1</v>
      </c>
      <c r="U1822" t="inlineStr">
        <is>
          <t>1992-02-12</t>
        </is>
      </c>
      <c r="V1822" t="inlineStr">
        <is>
          <t>1992-02-12</t>
        </is>
      </c>
      <c r="W1822" t="inlineStr">
        <is>
          <t>1991-05-29</t>
        </is>
      </c>
      <c r="X1822" t="inlineStr">
        <is>
          <t>1991-05-29</t>
        </is>
      </c>
      <c r="Y1822" t="n">
        <v>1020</v>
      </c>
      <c r="Z1822" t="n">
        <v>973</v>
      </c>
      <c r="AA1822" t="n">
        <v>1028</v>
      </c>
      <c r="AB1822" t="n">
        <v>7</v>
      </c>
      <c r="AC1822" t="n">
        <v>7</v>
      </c>
      <c r="AD1822" t="n">
        <v>21</v>
      </c>
      <c r="AE1822" t="n">
        <v>23</v>
      </c>
      <c r="AF1822" t="n">
        <v>8</v>
      </c>
      <c r="AG1822" t="n">
        <v>8</v>
      </c>
      <c r="AH1822" t="n">
        <v>5</v>
      </c>
      <c r="AI1822" t="n">
        <v>7</v>
      </c>
      <c r="AJ1822" t="n">
        <v>9</v>
      </c>
      <c r="AK1822" t="n">
        <v>9</v>
      </c>
      <c r="AL1822" t="n">
        <v>3</v>
      </c>
      <c r="AM1822" t="n">
        <v>3</v>
      </c>
      <c r="AN1822" t="n">
        <v>0</v>
      </c>
      <c r="AO1822" t="n">
        <v>0</v>
      </c>
      <c r="AP1822" t="inlineStr">
        <is>
          <t>No</t>
        </is>
      </c>
      <c r="AQ1822" t="inlineStr">
        <is>
          <t>Yes</t>
        </is>
      </c>
      <c r="AR1822">
        <f>HYPERLINK("http://catalog.hathitrust.org/Record/001948725","HathiTrust Record")</f>
        <v/>
      </c>
      <c r="AS1822">
        <f>HYPERLINK("https://creighton-primo.hosted.exlibrisgroup.com/primo-explore/search?tab=default_tab&amp;search_scope=EVERYTHING&amp;vid=01CRU&amp;lang=en_US&amp;offset=0&amp;query=any,contains,991001497639702656","Catalog Record")</f>
        <v/>
      </c>
      <c r="AT1822">
        <f>HYPERLINK("http://www.worldcat.org/oclc/19777508","WorldCat Record")</f>
        <v/>
      </c>
      <c r="AU1822" t="inlineStr">
        <is>
          <t>21559842:eng</t>
        </is>
      </c>
      <c r="AV1822" t="inlineStr">
        <is>
          <t>19777508</t>
        </is>
      </c>
      <c r="AW1822" t="inlineStr">
        <is>
          <t>991001497639702656</t>
        </is>
      </c>
      <c r="AX1822" t="inlineStr">
        <is>
          <t>991001497639702656</t>
        </is>
      </c>
      <c r="AY1822" t="inlineStr">
        <is>
          <t>2266292500002656</t>
        </is>
      </c>
      <c r="AZ1822" t="inlineStr">
        <is>
          <t>BOOK</t>
        </is>
      </c>
      <c r="BB1822" t="inlineStr">
        <is>
          <t>9781557781642</t>
        </is>
      </c>
      <c r="BC1822" t="inlineStr">
        <is>
          <t>32285000574904</t>
        </is>
      </c>
      <c r="BD1822" t="inlineStr">
        <is>
          <t>893696793</t>
        </is>
      </c>
    </row>
    <row r="1823">
      <c r="A1823" t="inlineStr">
        <is>
          <t>No</t>
        </is>
      </c>
      <c r="B1823" t="inlineStr">
        <is>
          <t>E806 .D43 1970</t>
        </is>
      </c>
      <c r="C1823" t="inlineStr">
        <is>
          <t>0                      E  0806000D  43          1970</t>
        </is>
      </c>
      <c r="D1823" t="inlineStr">
        <is>
          <t>The New Deal / edited with an introd. by Carl N. Degler.</t>
        </is>
      </c>
      <c r="F1823" t="inlineStr">
        <is>
          <t>No</t>
        </is>
      </c>
      <c r="G1823" t="inlineStr">
        <is>
          <t>1</t>
        </is>
      </c>
      <c r="H1823" t="inlineStr">
        <is>
          <t>No</t>
        </is>
      </c>
      <c r="I1823" t="inlineStr">
        <is>
          <t>No</t>
        </is>
      </c>
      <c r="J1823" t="inlineStr">
        <is>
          <t>0</t>
        </is>
      </c>
      <c r="K1823" t="inlineStr">
        <is>
          <t>Degler, Carl N. compiler.</t>
        </is>
      </c>
      <c r="L1823" t="inlineStr">
        <is>
          <t>Chicago, Quadrangle Books [1970]</t>
        </is>
      </c>
      <c r="M1823" t="inlineStr">
        <is>
          <t>1970</t>
        </is>
      </c>
      <c r="O1823" t="inlineStr">
        <is>
          <t>eng</t>
        </is>
      </c>
      <c r="P1823" t="inlineStr">
        <is>
          <t>ilu</t>
        </is>
      </c>
      <c r="R1823" t="inlineStr">
        <is>
          <t xml:space="preserve">E  </t>
        </is>
      </c>
      <c r="S1823" t="n">
        <v>6</v>
      </c>
      <c r="T1823" t="n">
        <v>6</v>
      </c>
      <c r="U1823" t="inlineStr">
        <is>
          <t>1998-01-30</t>
        </is>
      </c>
      <c r="V1823" t="inlineStr">
        <is>
          <t>1998-01-30</t>
        </is>
      </c>
      <c r="W1823" t="inlineStr">
        <is>
          <t>1990-03-20</t>
        </is>
      </c>
      <c r="X1823" t="inlineStr">
        <is>
          <t>1990-03-20</t>
        </is>
      </c>
      <c r="Y1823" t="n">
        <v>605</v>
      </c>
      <c r="Z1823" t="n">
        <v>545</v>
      </c>
      <c r="AA1823" t="n">
        <v>547</v>
      </c>
      <c r="AB1823" t="n">
        <v>5</v>
      </c>
      <c r="AC1823" t="n">
        <v>5</v>
      </c>
      <c r="AD1823" t="n">
        <v>19</v>
      </c>
      <c r="AE1823" t="n">
        <v>19</v>
      </c>
      <c r="AF1823" t="n">
        <v>7</v>
      </c>
      <c r="AG1823" t="n">
        <v>7</v>
      </c>
      <c r="AH1823" t="n">
        <v>1</v>
      </c>
      <c r="AI1823" t="n">
        <v>1</v>
      </c>
      <c r="AJ1823" t="n">
        <v>9</v>
      </c>
      <c r="AK1823" t="n">
        <v>9</v>
      </c>
      <c r="AL1823" t="n">
        <v>3</v>
      </c>
      <c r="AM1823" t="n">
        <v>3</v>
      </c>
      <c r="AN1823" t="n">
        <v>0</v>
      </c>
      <c r="AO1823" t="n">
        <v>0</v>
      </c>
      <c r="AP1823" t="inlineStr">
        <is>
          <t>No</t>
        </is>
      </c>
      <c r="AQ1823" t="inlineStr">
        <is>
          <t>Yes</t>
        </is>
      </c>
      <c r="AR1823">
        <f>HYPERLINK("http://catalog.hathitrust.org/Record/000469869","HathiTrust Record")</f>
        <v/>
      </c>
      <c r="AS1823">
        <f>HYPERLINK("https://creighton-primo.hosted.exlibrisgroup.com/primo-explore/search?tab=default_tab&amp;search_scope=EVERYTHING&amp;vid=01CRU&amp;lang=en_US&amp;offset=0&amp;query=any,contains,991000365739702656","Catalog Record")</f>
        <v/>
      </c>
      <c r="AT1823">
        <f>HYPERLINK("http://www.worldcat.org/oclc/71090","WorldCat Record")</f>
        <v/>
      </c>
      <c r="AU1823" t="inlineStr">
        <is>
          <t>1240510:eng</t>
        </is>
      </c>
      <c r="AV1823" t="inlineStr">
        <is>
          <t>71090</t>
        </is>
      </c>
      <c r="AW1823" t="inlineStr">
        <is>
          <t>991000365739702656</t>
        </is>
      </c>
      <c r="AX1823" t="inlineStr">
        <is>
          <t>991000365739702656</t>
        </is>
      </c>
      <c r="AY1823" t="inlineStr">
        <is>
          <t>2270967150002656</t>
        </is>
      </c>
      <c r="AZ1823" t="inlineStr">
        <is>
          <t>BOOK</t>
        </is>
      </c>
      <c r="BC1823" t="inlineStr">
        <is>
          <t>32285000087659</t>
        </is>
      </c>
      <c r="BD1823" t="inlineStr">
        <is>
          <t>893784156</t>
        </is>
      </c>
    </row>
    <row r="1824">
      <c r="A1824" t="inlineStr">
        <is>
          <t>No</t>
        </is>
      </c>
      <c r="B1824" t="inlineStr">
        <is>
          <t>E806 .D623 2005</t>
        </is>
      </c>
      <c r="C1824" t="inlineStr">
        <is>
          <t>0                      E  0806000D  623         2005</t>
        </is>
      </c>
      <c r="D1824" t="inlineStr">
        <is>
          <t>Debating Franklin D. Roosevelt's foreign policies, 1933-1945 / Justus D. Doenecke and Mark A. Stoler.</t>
        </is>
      </c>
      <c r="F1824" t="inlineStr">
        <is>
          <t>No</t>
        </is>
      </c>
      <c r="G1824" t="inlineStr">
        <is>
          <t>1</t>
        </is>
      </c>
      <c r="H1824" t="inlineStr">
        <is>
          <t>No</t>
        </is>
      </c>
      <c r="I1824" t="inlineStr">
        <is>
          <t>No</t>
        </is>
      </c>
      <c r="J1824" t="inlineStr">
        <is>
          <t>0</t>
        </is>
      </c>
      <c r="K1824" t="inlineStr">
        <is>
          <t>Doenecke, Justus D.</t>
        </is>
      </c>
      <c r="L1824" t="inlineStr">
        <is>
          <t>Lanham : Rowman &amp; Littlefield Publishers, c2005.</t>
        </is>
      </c>
      <c r="M1824" t="inlineStr">
        <is>
          <t>2005</t>
        </is>
      </c>
      <c r="O1824" t="inlineStr">
        <is>
          <t>eng</t>
        </is>
      </c>
      <c r="P1824" t="inlineStr">
        <is>
          <t>mdu</t>
        </is>
      </c>
      <c r="Q1824" t="inlineStr">
        <is>
          <t>Debating twentieth-century America</t>
        </is>
      </c>
      <c r="R1824" t="inlineStr">
        <is>
          <t xml:space="preserve">E  </t>
        </is>
      </c>
      <c r="S1824" t="n">
        <v>2</v>
      </c>
      <c r="T1824" t="n">
        <v>2</v>
      </c>
      <c r="U1824" t="inlineStr">
        <is>
          <t>2005-10-13</t>
        </is>
      </c>
      <c r="V1824" t="inlineStr">
        <is>
          <t>2005-10-13</t>
        </is>
      </c>
      <c r="W1824" t="inlineStr">
        <is>
          <t>2005-10-13</t>
        </is>
      </c>
      <c r="X1824" t="inlineStr">
        <is>
          <t>2005-10-13</t>
        </is>
      </c>
      <c r="Y1824" t="n">
        <v>322</v>
      </c>
      <c r="Z1824" t="n">
        <v>262</v>
      </c>
      <c r="AA1824" t="n">
        <v>279</v>
      </c>
      <c r="AB1824" t="n">
        <v>3</v>
      </c>
      <c r="AC1824" t="n">
        <v>3</v>
      </c>
      <c r="AD1824" t="n">
        <v>12</v>
      </c>
      <c r="AE1824" t="n">
        <v>13</v>
      </c>
      <c r="AF1824" t="n">
        <v>4</v>
      </c>
      <c r="AG1824" t="n">
        <v>5</v>
      </c>
      <c r="AH1824" t="n">
        <v>6</v>
      </c>
      <c r="AI1824" t="n">
        <v>7</v>
      </c>
      <c r="AJ1824" t="n">
        <v>7</v>
      </c>
      <c r="AK1824" t="n">
        <v>7</v>
      </c>
      <c r="AL1824" t="n">
        <v>1</v>
      </c>
      <c r="AM1824" t="n">
        <v>1</v>
      </c>
      <c r="AN1824" t="n">
        <v>0</v>
      </c>
      <c r="AO1824" t="n">
        <v>0</v>
      </c>
      <c r="AP1824" t="inlineStr">
        <is>
          <t>No</t>
        </is>
      </c>
      <c r="AQ1824" t="inlineStr">
        <is>
          <t>Yes</t>
        </is>
      </c>
      <c r="AR1824">
        <f>HYPERLINK("http://catalog.hathitrust.org/Record/005039865","HathiTrust Record")</f>
        <v/>
      </c>
      <c r="AS1824">
        <f>HYPERLINK("https://creighton-primo.hosted.exlibrisgroup.com/primo-explore/search?tab=default_tab&amp;search_scope=EVERYTHING&amp;vid=01CRU&amp;lang=en_US&amp;offset=0&amp;query=any,contains,991004651689702656","Catalog Record")</f>
        <v/>
      </c>
      <c r="AT1824">
        <f>HYPERLINK("http://www.worldcat.org/oclc/56793815","WorldCat Record")</f>
        <v/>
      </c>
      <c r="AU1824" t="inlineStr">
        <is>
          <t>927468:eng</t>
        </is>
      </c>
      <c r="AV1824" t="inlineStr">
        <is>
          <t>56793815</t>
        </is>
      </c>
      <c r="AW1824" t="inlineStr">
        <is>
          <t>991004651689702656</t>
        </is>
      </c>
      <c r="AX1824" t="inlineStr">
        <is>
          <t>991004651689702656</t>
        </is>
      </c>
      <c r="AY1824" t="inlineStr">
        <is>
          <t>2257362560002656</t>
        </is>
      </c>
      <c r="AZ1824" t="inlineStr">
        <is>
          <t>BOOK</t>
        </is>
      </c>
      <c r="BB1824" t="inlineStr">
        <is>
          <t>9780847694150</t>
        </is>
      </c>
      <c r="BC1824" t="inlineStr">
        <is>
          <t>32285005089502</t>
        </is>
      </c>
      <c r="BD1824" t="inlineStr">
        <is>
          <t>893430325</t>
        </is>
      </c>
    </row>
    <row r="1825">
      <c r="A1825" t="inlineStr">
        <is>
          <t>No</t>
        </is>
      </c>
      <c r="B1825" t="inlineStr">
        <is>
          <t>E806 .D628 2000</t>
        </is>
      </c>
      <c r="C1825" t="inlineStr">
        <is>
          <t>0                      E  0806000D  628         2000</t>
        </is>
      </c>
      <c r="D1825" t="inlineStr">
        <is>
          <t>Storm on the horizon : the challenge to American intervention, 1939-1941 / Justus D. Doenecke.</t>
        </is>
      </c>
      <c r="F1825" t="inlineStr">
        <is>
          <t>No</t>
        </is>
      </c>
      <c r="G1825" t="inlineStr">
        <is>
          <t>1</t>
        </is>
      </c>
      <c r="H1825" t="inlineStr">
        <is>
          <t>No</t>
        </is>
      </c>
      <c r="I1825" t="inlineStr">
        <is>
          <t>No</t>
        </is>
      </c>
      <c r="J1825" t="inlineStr">
        <is>
          <t>0</t>
        </is>
      </c>
      <c r="K1825" t="inlineStr">
        <is>
          <t>Doenecke, Justus D.</t>
        </is>
      </c>
      <c r="L1825" t="inlineStr">
        <is>
          <t>Lanham, Md. : Rowman &amp; Littlefield Publishers, c2000.</t>
        </is>
      </c>
      <c r="M1825" t="inlineStr">
        <is>
          <t>2000</t>
        </is>
      </c>
      <c r="O1825" t="inlineStr">
        <is>
          <t>eng</t>
        </is>
      </c>
      <c r="P1825" t="inlineStr">
        <is>
          <t>mdu</t>
        </is>
      </c>
      <c r="R1825" t="inlineStr">
        <is>
          <t xml:space="preserve">E  </t>
        </is>
      </c>
      <c r="S1825" t="n">
        <v>6</v>
      </c>
      <c r="T1825" t="n">
        <v>6</v>
      </c>
      <c r="U1825" t="inlineStr">
        <is>
          <t>2001-05-21</t>
        </is>
      </c>
      <c r="V1825" t="inlineStr">
        <is>
          <t>2001-05-21</t>
        </is>
      </c>
      <c r="W1825" t="inlineStr">
        <is>
          <t>2001-05-09</t>
        </is>
      </c>
      <c r="X1825" t="inlineStr">
        <is>
          <t>2001-05-09</t>
        </is>
      </c>
      <c r="Y1825" t="n">
        <v>504</v>
      </c>
      <c r="Z1825" t="n">
        <v>431</v>
      </c>
      <c r="AA1825" t="n">
        <v>474</v>
      </c>
      <c r="AB1825" t="n">
        <v>4</v>
      </c>
      <c r="AC1825" t="n">
        <v>5</v>
      </c>
      <c r="AD1825" t="n">
        <v>29</v>
      </c>
      <c r="AE1825" t="n">
        <v>32</v>
      </c>
      <c r="AF1825" t="n">
        <v>12</v>
      </c>
      <c r="AG1825" t="n">
        <v>14</v>
      </c>
      <c r="AH1825" t="n">
        <v>6</v>
      </c>
      <c r="AI1825" t="n">
        <v>7</v>
      </c>
      <c r="AJ1825" t="n">
        <v>15</v>
      </c>
      <c r="AK1825" t="n">
        <v>16</v>
      </c>
      <c r="AL1825" t="n">
        <v>3</v>
      </c>
      <c r="AM1825" t="n">
        <v>4</v>
      </c>
      <c r="AN1825" t="n">
        <v>0</v>
      </c>
      <c r="AO1825" t="n">
        <v>0</v>
      </c>
      <c r="AP1825" t="inlineStr">
        <is>
          <t>No</t>
        </is>
      </c>
      <c r="AQ1825" t="inlineStr">
        <is>
          <t>Yes</t>
        </is>
      </c>
      <c r="AR1825">
        <f>HYPERLINK("http://catalog.hathitrust.org/Record/004121933","HathiTrust Record")</f>
        <v/>
      </c>
      <c r="AS1825">
        <f>HYPERLINK("https://creighton-primo.hosted.exlibrisgroup.com/primo-explore/search?tab=default_tab&amp;search_scope=EVERYTHING&amp;vid=01CRU&amp;lang=en_US&amp;offset=0&amp;query=any,contains,991003499489702656","Catalog Record")</f>
        <v/>
      </c>
      <c r="AT1825">
        <f>HYPERLINK("http://www.worldcat.org/oclc/43859534","WorldCat Record")</f>
        <v/>
      </c>
      <c r="AU1825" t="inlineStr">
        <is>
          <t>739855:eng</t>
        </is>
      </c>
      <c r="AV1825" t="inlineStr">
        <is>
          <t>43859534</t>
        </is>
      </c>
      <c r="AW1825" t="inlineStr">
        <is>
          <t>991003499489702656</t>
        </is>
      </c>
      <c r="AX1825" t="inlineStr">
        <is>
          <t>991003499489702656</t>
        </is>
      </c>
      <c r="AY1825" t="inlineStr">
        <is>
          <t>2268025610002656</t>
        </is>
      </c>
      <c r="AZ1825" t="inlineStr">
        <is>
          <t>BOOK</t>
        </is>
      </c>
      <c r="BB1825" t="inlineStr">
        <is>
          <t>9780742507845</t>
        </is>
      </c>
      <c r="BC1825" t="inlineStr">
        <is>
          <t>32285004316617</t>
        </is>
      </c>
      <c r="BD1825" t="inlineStr">
        <is>
          <t>893887529</t>
        </is>
      </c>
    </row>
    <row r="1826">
      <c r="A1826" t="inlineStr">
        <is>
          <t>No</t>
        </is>
      </c>
      <c r="B1826" t="inlineStr">
        <is>
          <t>E806 .F47 1985</t>
        </is>
      </c>
      <c r="C1826" t="inlineStr">
        <is>
          <t>0                      E  0806000F  47          1985</t>
        </is>
      </c>
      <c r="D1826" t="inlineStr">
        <is>
          <t>Fifty years later : the New Deal evaluated / edited by Harvard Sitkoff.</t>
        </is>
      </c>
      <c r="F1826" t="inlineStr">
        <is>
          <t>No</t>
        </is>
      </c>
      <c r="G1826" t="inlineStr">
        <is>
          <t>1</t>
        </is>
      </c>
      <c r="H1826" t="inlineStr">
        <is>
          <t>No</t>
        </is>
      </c>
      <c r="I1826" t="inlineStr">
        <is>
          <t>No</t>
        </is>
      </c>
      <c r="J1826" t="inlineStr">
        <is>
          <t>0</t>
        </is>
      </c>
      <c r="L1826" t="inlineStr">
        <is>
          <t>New York : Knopf : Distributed by Random House, c1985.</t>
        </is>
      </c>
      <c r="M1826" t="inlineStr">
        <is>
          <t>1985</t>
        </is>
      </c>
      <c r="N1826" t="inlineStr">
        <is>
          <t>1st ed.</t>
        </is>
      </c>
      <c r="O1826" t="inlineStr">
        <is>
          <t>eng</t>
        </is>
      </c>
      <c r="P1826" t="inlineStr">
        <is>
          <t>nyu</t>
        </is>
      </c>
      <c r="R1826" t="inlineStr">
        <is>
          <t xml:space="preserve">E  </t>
        </is>
      </c>
      <c r="S1826" t="n">
        <v>13</v>
      </c>
      <c r="T1826" t="n">
        <v>13</v>
      </c>
      <c r="U1826" t="inlineStr">
        <is>
          <t>2004-04-03</t>
        </is>
      </c>
      <c r="V1826" t="inlineStr">
        <is>
          <t>2004-04-03</t>
        </is>
      </c>
      <c r="W1826" t="inlineStr">
        <is>
          <t>1990-07-02</t>
        </is>
      </c>
      <c r="X1826" t="inlineStr">
        <is>
          <t>1990-07-02</t>
        </is>
      </c>
      <c r="Y1826" t="n">
        <v>330</v>
      </c>
      <c r="Z1826" t="n">
        <v>287</v>
      </c>
      <c r="AA1826" t="n">
        <v>527</v>
      </c>
      <c r="AB1826" t="n">
        <v>5</v>
      </c>
      <c r="AC1826" t="n">
        <v>6</v>
      </c>
      <c r="AD1826" t="n">
        <v>25</v>
      </c>
      <c r="AE1826" t="n">
        <v>34</v>
      </c>
      <c r="AF1826" t="n">
        <v>9</v>
      </c>
      <c r="AG1826" t="n">
        <v>13</v>
      </c>
      <c r="AH1826" t="n">
        <v>6</v>
      </c>
      <c r="AI1826" t="n">
        <v>9</v>
      </c>
      <c r="AJ1826" t="n">
        <v>13</v>
      </c>
      <c r="AK1826" t="n">
        <v>18</v>
      </c>
      <c r="AL1826" t="n">
        <v>4</v>
      </c>
      <c r="AM1826" t="n">
        <v>5</v>
      </c>
      <c r="AN1826" t="n">
        <v>0</v>
      </c>
      <c r="AO1826" t="n">
        <v>0</v>
      </c>
      <c r="AP1826" t="inlineStr">
        <is>
          <t>No</t>
        </is>
      </c>
      <c r="AQ1826" t="inlineStr">
        <is>
          <t>Yes</t>
        </is>
      </c>
      <c r="AR1826">
        <f>HYPERLINK("http://catalog.hathitrust.org/Record/004553384","HathiTrust Record")</f>
        <v/>
      </c>
      <c r="AS1826">
        <f>HYPERLINK("https://creighton-primo.hosted.exlibrisgroup.com/primo-explore/search?tab=default_tab&amp;search_scope=EVERYTHING&amp;vid=01CRU&amp;lang=en_US&amp;offset=0&amp;query=any,contains,991000485029702656","Catalog Record")</f>
        <v/>
      </c>
      <c r="AT1826">
        <f>HYPERLINK("http://www.worldcat.org/oclc/11068912","WorldCat Record")</f>
        <v/>
      </c>
      <c r="AU1826" t="inlineStr">
        <is>
          <t>980612437:eng</t>
        </is>
      </c>
      <c r="AV1826" t="inlineStr">
        <is>
          <t>11068912</t>
        </is>
      </c>
      <c r="AW1826" t="inlineStr">
        <is>
          <t>991000485029702656</t>
        </is>
      </c>
      <c r="AX1826" t="inlineStr">
        <is>
          <t>991000485029702656</t>
        </is>
      </c>
      <c r="AY1826" t="inlineStr">
        <is>
          <t>2261504540002656</t>
        </is>
      </c>
      <c r="AZ1826" t="inlineStr">
        <is>
          <t>BOOK</t>
        </is>
      </c>
      <c r="BB1826" t="inlineStr">
        <is>
          <t>9780394335483</t>
        </is>
      </c>
      <c r="BC1826" t="inlineStr">
        <is>
          <t>32285000218619</t>
        </is>
      </c>
      <c r="BD1826" t="inlineStr">
        <is>
          <t>893683456</t>
        </is>
      </c>
    </row>
    <row r="1827">
      <c r="A1827" t="inlineStr">
        <is>
          <t>No</t>
        </is>
      </c>
      <c r="B1827" t="inlineStr">
        <is>
          <t>E806 .H63</t>
        </is>
      </c>
      <c r="C1827" t="inlineStr">
        <is>
          <t>0                      E  0806000H  63</t>
        </is>
      </c>
      <c r="D1827" t="inlineStr">
        <is>
          <t>Essays on the New Deal / by Wilmon H. Droze, George Wolfskill [and] William E. Leuchtenburg. Foreword by C. B. Smith. Edited by Harold M. Hollingsworth and William F. Holmes.</t>
        </is>
      </c>
      <c r="F1827" t="inlineStr">
        <is>
          <t>No</t>
        </is>
      </c>
      <c r="G1827" t="inlineStr">
        <is>
          <t>1</t>
        </is>
      </c>
      <c r="H1827" t="inlineStr">
        <is>
          <t>No</t>
        </is>
      </c>
      <c r="I1827" t="inlineStr">
        <is>
          <t>No</t>
        </is>
      </c>
      <c r="J1827" t="inlineStr">
        <is>
          <t>0</t>
        </is>
      </c>
      <c r="K1827" t="inlineStr">
        <is>
          <t>Hollingsworth, Harold M., compiler.</t>
        </is>
      </c>
      <c r="L1827" t="inlineStr">
        <is>
          <t>Austin : Published for the University of Texas at Arlington by the University of Texas Press, [1969]</t>
        </is>
      </c>
      <c r="M1827" t="inlineStr">
        <is>
          <t>1969</t>
        </is>
      </c>
      <c r="O1827" t="inlineStr">
        <is>
          <t>eng</t>
        </is>
      </c>
      <c r="P1827" t="inlineStr">
        <is>
          <t>txu</t>
        </is>
      </c>
      <c r="Q1827" t="inlineStr">
        <is>
          <t>The Walter Prescott Webb memorial lectures, 2</t>
        </is>
      </c>
      <c r="R1827" t="inlineStr">
        <is>
          <t xml:space="preserve">E  </t>
        </is>
      </c>
      <c r="S1827" t="n">
        <v>9</v>
      </c>
      <c r="T1827" t="n">
        <v>9</v>
      </c>
      <c r="U1827" t="inlineStr">
        <is>
          <t>1998-03-03</t>
        </is>
      </c>
      <c r="V1827" t="inlineStr">
        <is>
          <t>1998-03-03</t>
        </is>
      </c>
      <c r="W1827" t="inlineStr">
        <is>
          <t>1993-04-13</t>
        </is>
      </c>
      <c r="X1827" t="inlineStr">
        <is>
          <t>1993-04-13</t>
        </is>
      </c>
      <c r="Y1827" t="n">
        <v>806</v>
      </c>
      <c r="Z1827" t="n">
        <v>731</v>
      </c>
      <c r="AA1827" t="n">
        <v>734</v>
      </c>
      <c r="AB1827" t="n">
        <v>6</v>
      </c>
      <c r="AC1827" t="n">
        <v>6</v>
      </c>
      <c r="AD1827" t="n">
        <v>30</v>
      </c>
      <c r="AE1827" t="n">
        <v>30</v>
      </c>
      <c r="AF1827" t="n">
        <v>11</v>
      </c>
      <c r="AG1827" t="n">
        <v>11</v>
      </c>
      <c r="AH1827" t="n">
        <v>6</v>
      </c>
      <c r="AI1827" t="n">
        <v>6</v>
      </c>
      <c r="AJ1827" t="n">
        <v>16</v>
      </c>
      <c r="AK1827" t="n">
        <v>16</v>
      </c>
      <c r="AL1827" t="n">
        <v>5</v>
      </c>
      <c r="AM1827" t="n">
        <v>5</v>
      </c>
      <c r="AN1827" t="n">
        <v>0</v>
      </c>
      <c r="AO1827" t="n">
        <v>0</v>
      </c>
      <c r="AP1827" t="inlineStr">
        <is>
          <t>No</t>
        </is>
      </c>
      <c r="AQ1827" t="inlineStr">
        <is>
          <t>Yes</t>
        </is>
      </c>
      <c r="AR1827">
        <f>HYPERLINK("http://catalog.hathitrust.org/Record/000577306","HathiTrust Record")</f>
        <v/>
      </c>
      <c r="AS1827">
        <f>HYPERLINK("https://creighton-primo.hosted.exlibrisgroup.com/primo-explore/search?tab=default_tab&amp;search_scope=EVERYTHING&amp;vid=01CRU&amp;lang=en_US&amp;offset=0&amp;query=any,contains,991000014069702656","Catalog Record")</f>
        <v/>
      </c>
      <c r="AT1827">
        <f>HYPERLINK("http://www.worldcat.org/oclc/16171","WorldCat Record")</f>
        <v/>
      </c>
      <c r="AU1827" t="inlineStr">
        <is>
          <t>433515:eng</t>
        </is>
      </c>
      <c r="AV1827" t="inlineStr">
        <is>
          <t>16171</t>
        </is>
      </c>
      <c r="AW1827" t="inlineStr">
        <is>
          <t>991000014069702656</t>
        </is>
      </c>
      <c r="AX1827" t="inlineStr">
        <is>
          <t>991000014069702656</t>
        </is>
      </c>
      <c r="AY1827" t="inlineStr">
        <is>
          <t>2271589070002656</t>
        </is>
      </c>
      <c r="AZ1827" t="inlineStr">
        <is>
          <t>BOOK</t>
        </is>
      </c>
      <c r="BB1827" t="inlineStr">
        <is>
          <t>9780292784109</t>
        </is>
      </c>
      <c r="BC1827" t="inlineStr">
        <is>
          <t>32285001617173</t>
        </is>
      </c>
      <c r="BD1827" t="inlineStr">
        <is>
          <t>893871322</t>
        </is>
      </c>
    </row>
    <row r="1828">
      <c r="A1828" t="inlineStr">
        <is>
          <t>No</t>
        </is>
      </c>
      <c r="B1828" t="inlineStr">
        <is>
          <t>E806 .H67 1962</t>
        </is>
      </c>
      <c r="C1828" t="inlineStr">
        <is>
          <t>0                      E  0806000H  67          1962</t>
        </is>
      </c>
      <c r="D1828" t="inlineStr">
        <is>
          <t>The desperate years, a pictorial history of the thirties.</t>
        </is>
      </c>
      <c r="F1828" t="inlineStr">
        <is>
          <t>No</t>
        </is>
      </c>
      <c r="G1828" t="inlineStr">
        <is>
          <t>1</t>
        </is>
      </c>
      <c r="H1828" t="inlineStr">
        <is>
          <t>No</t>
        </is>
      </c>
      <c r="I1828" t="inlineStr">
        <is>
          <t>No</t>
        </is>
      </c>
      <c r="J1828" t="inlineStr">
        <is>
          <t>0</t>
        </is>
      </c>
      <c r="K1828" t="inlineStr">
        <is>
          <t>Horan, James D. (James David), 1914-1981.</t>
        </is>
      </c>
      <c r="L1828" t="inlineStr">
        <is>
          <t>New York : Crown Publishers, [1962]</t>
        </is>
      </c>
      <c r="M1828" t="inlineStr">
        <is>
          <t>1962</t>
        </is>
      </c>
      <c r="O1828" t="inlineStr">
        <is>
          <t>eng</t>
        </is>
      </c>
      <c r="P1828" t="inlineStr">
        <is>
          <t>nyu</t>
        </is>
      </c>
      <c r="R1828" t="inlineStr">
        <is>
          <t xml:space="preserve">E  </t>
        </is>
      </c>
      <c r="S1828" t="n">
        <v>6</v>
      </c>
      <c r="T1828" t="n">
        <v>6</v>
      </c>
      <c r="U1828" t="inlineStr">
        <is>
          <t>1998-09-20</t>
        </is>
      </c>
      <c r="V1828" t="inlineStr">
        <is>
          <t>1998-09-20</t>
        </is>
      </c>
      <c r="W1828" t="inlineStr">
        <is>
          <t>1990-03-21</t>
        </is>
      </c>
      <c r="X1828" t="inlineStr">
        <is>
          <t>1990-03-21</t>
        </is>
      </c>
      <c r="Y1828" t="n">
        <v>743</v>
      </c>
      <c r="Z1828" t="n">
        <v>731</v>
      </c>
      <c r="AA1828" t="n">
        <v>1211</v>
      </c>
      <c r="AB1828" t="n">
        <v>14</v>
      </c>
      <c r="AC1828" t="n">
        <v>15</v>
      </c>
      <c r="AD1828" t="n">
        <v>21</v>
      </c>
      <c r="AE1828" t="n">
        <v>33</v>
      </c>
      <c r="AF1828" t="n">
        <v>7</v>
      </c>
      <c r="AG1828" t="n">
        <v>12</v>
      </c>
      <c r="AH1828" t="n">
        <v>3</v>
      </c>
      <c r="AI1828" t="n">
        <v>8</v>
      </c>
      <c r="AJ1828" t="n">
        <v>8</v>
      </c>
      <c r="AK1828" t="n">
        <v>12</v>
      </c>
      <c r="AL1828" t="n">
        <v>6</v>
      </c>
      <c r="AM1828" t="n">
        <v>7</v>
      </c>
      <c r="AN1828" t="n">
        <v>0</v>
      </c>
      <c r="AO1828" t="n">
        <v>0</v>
      </c>
      <c r="AP1828" t="inlineStr">
        <is>
          <t>No</t>
        </is>
      </c>
      <c r="AQ1828" t="inlineStr">
        <is>
          <t>Yes</t>
        </is>
      </c>
      <c r="AR1828">
        <f>HYPERLINK("http://catalog.hathitrust.org/Record/009908893","HathiTrust Record")</f>
        <v/>
      </c>
      <c r="AS1828">
        <f>HYPERLINK("https://creighton-primo.hosted.exlibrisgroup.com/primo-explore/search?tab=default_tab&amp;search_scope=EVERYTHING&amp;vid=01CRU&amp;lang=en_US&amp;offset=0&amp;query=any,contains,991003967359702656","Catalog Record")</f>
        <v/>
      </c>
      <c r="AT1828">
        <f>HYPERLINK("http://www.worldcat.org/oclc/1988157","WorldCat Record")</f>
        <v/>
      </c>
      <c r="AU1828" t="inlineStr">
        <is>
          <t>195177118:eng</t>
        </is>
      </c>
      <c r="AV1828" t="inlineStr">
        <is>
          <t>1988157</t>
        </is>
      </c>
      <c r="AW1828" t="inlineStr">
        <is>
          <t>991003967359702656</t>
        </is>
      </c>
      <c r="AX1828" t="inlineStr">
        <is>
          <t>991003967359702656</t>
        </is>
      </c>
      <c r="AY1828" t="inlineStr">
        <is>
          <t>2266900890002656</t>
        </is>
      </c>
      <c r="AZ1828" t="inlineStr">
        <is>
          <t>BOOK</t>
        </is>
      </c>
      <c r="BC1828" t="inlineStr">
        <is>
          <t>32285000089499</t>
        </is>
      </c>
      <c r="BD1828" t="inlineStr">
        <is>
          <t>893337193</t>
        </is>
      </c>
    </row>
    <row r="1829">
      <c r="A1829" t="inlineStr">
        <is>
          <t>No</t>
        </is>
      </c>
      <c r="B1829" t="inlineStr">
        <is>
          <t>E806 .H8657 2001</t>
        </is>
      </c>
      <c r="C1829" t="inlineStr">
        <is>
          <t>0                      E  0806000H  8657        2001</t>
        </is>
      </c>
      <c r="D1829" t="inlineStr">
        <is>
          <t>The human tradition in the World War II era / edited by Malcolm Muir, Jr.</t>
        </is>
      </c>
      <c r="F1829" t="inlineStr">
        <is>
          <t>No</t>
        </is>
      </c>
      <c r="G1829" t="inlineStr">
        <is>
          <t>1</t>
        </is>
      </c>
      <c r="H1829" t="inlineStr">
        <is>
          <t>No</t>
        </is>
      </c>
      <c r="I1829" t="inlineStr">
        <is>
          <t>No</t>
        </is>
      </c>
      <c r="J1829" t="inlineStr">
        <is>
          <t>0</t>
        </is>
      </c>
      <c r="L1829" t="inlineStr">
        <is>
          <t>Wilmington, Del. : SR Books, 2001.</t>
        </is>
      </c>
      <c r="M1829" t="inlineStr">
        <is>
          <t>2001</t>
        </is>
      </c>
      <c r="O1829" t="inlineStr">
        <is>
          <t>eng</t>
        </is>
      </c>
      <c r="P1829" t="inlineStr">
        <is>
          <t>deu</t>
        </is>
      </c>
      <c r="Q1829" t="inlineStr">
        <is>
          <t>The human tradition in America ; no. 8</t>
        </is>
      </c>
      <c r="R1829" t="inlineStr">
        <is>
          <t xml:space="preserve">E  </t>
        </is>
      </c>
      <c r="S1829" t="n">
        <v>3</v>
      </c>
      <c r="T1829" t="n">
        <v>3</v>
      </c>
      <c r="U1829" t="inlineStr">
        <is>
          <t>2002-09-25</t>
        </is>
      </c>
      <c r="V1829" t="inlineStr">
        <is>
          <t>2002-09-25</t>
        </is>
      </c>
      <c r="W1829" t="inlineStr">
        <is>
          <t>2001-02-20</t>
        </is>
      </c>
      <c r="X1829" t="inlineStr">
        <is>
          <t>2001-02-20</t>
        </is>
      </c>
      <c r="Y1829" t="n">
        <v>233</v>
      </c>
      <c r="Z1829" t="n">
        <v>209</v>
      </c>
      <c r="AA1829" t="n">
        <v>216</v>
      </c>
      <c r="AB1829" t="n">
        <v>2</v>
      </c>
      <c r="AC1829" t="n">
        <v>2</v>
      </c>
      <c r="AD1829" t="n">
        <v>10</v>
      </c>
      <c r="AE1829" t="n">
        <v>10</v>
      </c>
      <c r="AF1829" t="n">
        <v>3</v>
      </c>
      <c r="AG1829" t="n">
        <v>3</v>
      </c>
      <c r="AH1829" t="n">
        <v>4</v>
      </c>
      <c r="AI1829" t="n">
        <v>4</v>
      </c>
      <c r="AJ1829" t="n">
        <v>6</v>
      </c>
      <c r="AK1829" t="n">
        <v>6</v>
      </c>
      <c r="AL1829" t="n">
        <v>1</v>
      </c>
      <c r="AM1829" t="n">
        <v>1</v>
      </c>
      <c r="AN1829" t="n">
        <v>0</v>
      </c>
      <c r="AO1829" t="n">
        <v>0</v>
      </c>
      <c r="AP1829" t="inlineStr">
        <is>
          <t>No</t>
        </is>
      </c>
      <c r="AQ1829" t="inlineStr">
        <is>
          <t>Yes</t>
        </is>
      </c>
      <c r="AR1829">
        <f>HYPERLINK("http://catalog.hathitrust.org/Record/004134233","HathiTrust Record")</f>
        <v/>
      </c>
      <c r="AS1829">
        <f>HYPERLINK("https://creighton-primo.hosted.exlibrisgroup.com/primo-explore/search?tab=default_tab&amp;search_scope=EVERYTHING&amp;vid=01CRU&amp;lang=en_US&amp;offset=0&amp;query=any,contains,991003479489702656","Catalog Record")</f>
        <v/>
      </c>
      <c r="AT1829">
        <f>HYPERLINK("http://www.worldcat.org/oclc/43662185","WorldCat Record")</f>
        <v/>
      </c>
      <c r="AU1829" t="inlineStr">
        <is>
          <t>44865458:eng</t>
        </is>
      </c>
      <c r="AV1829" t="inlineStr">
        <is>
          <t>43662185</t>
        </is>
      </c>
      <c r="AW1829" t="inlineStr">
        <is>
          <t>991003479489702656</t>
        </is>
      </c>
      <c r="AX1829" t="inlineStr">
        <is>
          <t>991003479489702656</t>
        </is>
      </c>
      <c r="AY1829" t="inlineStr">
        <is>
          <t>2263418330002656</t>
        </is>
      </c>
      <c r="AZ1829" t="inlineStr">
        <is>
          <t>BOOK</t>
        </is>
      </c>
      <c r="BB1829" t="inlineStr">
        <is>
          <t>9780842027854</t>
        </is>
      </c>
      <c r="BC1829" t="inlineStr">
        <is>
          <t>32285004295381</t>
        </is>
      </c>
      <c r="BD1829" t="inlineStr">
        <is>
          <t>893416416</t>
        </is>
      </c>
    </row>
    <row r="1830">
      <c r="A1830" t="inlineStr">
        <is>
          <t>No</t>
        </is>
      </c>
      <c r="B1830" t="inlineStr">
        <is>
          <t>E806 .L475</t>
        </is>
      </c>
      <c r="C1830" t="inlineStr">
        <is>
          <t>0                      E  0806000L  475</t>
        </is>
      </c>
      <c r="D1830" t="inlineStr">
        <is>
          <t>Franklin D. Roosevelt and the New Deal, 1932-1940.</t>
        </is>
      </c>
      <c r="F1830" t="inlineStr">
        <is>
          <t>No</t>
        </is>
      </c>
      <c r="G1830" t="inlineStr">
        <is>
          <t>1</t>
        </is>
      </c>
      <c r="H1830" t="inlineStr">
        <is>
          <t>No</t>
        </is>
      </c>
      <c r="I1830" t="inlineStr">
        <is>
          <t>No</t>
        </is>
      </c>
      <c r="J1830" t="inlineStr">
        <is>
          <t>0</t>
        </is>
      </c>
      <c r="K1830" t="inlineStr">
        <is>
          <t>Leuchtenburg, William E. (William Edward), 1922-</t>
        </is>
      </c>
      <c r="L1830" t="inlineStr">
        <is>
          <t>New York, Harper &amp; Row [1963]</t>
        </is>
      </c>
      <c r="M1830" t="inlineStr">
        <is>
          <t>1963</t>
        </is>
      </c>
      <c r="N1830" t="inlineStr">
        <is>
          <t>[1st ed.]</t>
        </is>
      </c>
      <c r="O1830" t="inlineStr">
        <is>
          <t>eng</t>
        </is>
      </c>
      <c r="P1830" t="inlineStr">
        <is>
          <t>nyu</t>
        </is>
      </c>
      <c r="Q1830" t="inlineStr">
        <is>
          <t>The New American Nation series</t>
        </is>
      </c>
      <c r="R1830" t="inlineStr">
        <is>
          <t xml:space="preserve">E  </t>
        </is>
      </c>
      <c r="S1830" t="n">
        <v>2</v>
      </c>
      <c r="T1830" t="n">
        <v>2</v>
      </c>
      <c r="U1830" t="inlineStr">
        <is>
          <t>2004-04-06</t>
        </is>
      </c>
      <c r="V1830" t="inlineStr">
        <is>
          <t>2004-04-06</t>
        </is>
      </c>
      <c r="W1830" t="inlineStr">
        <is>
          <t>1997-04-28</t>
        </is>
      </c>
      <c r="X1830" t="inlineStr">
        <is>
          <t>1997-04-28</t>
        </is>
      </c>
      <c r="Y1830" t="n">
        <v>2676</v>
      </c>
      <c r="Z1830" t="n">
        <v>2361</v>
      </c>
      <c r="AA1830" t="n">
        <v>2458</v>
      </c>
      <c r="AB1830" t="n">
        <v>21</v>
      </c>
      <c r="AC1830" t="n">
        <v>21</v>
      </c>
      <c r="AD1830" t="n">
        <v>69</v>
      </c>
      <c r="AE1830" t="n">
        <v>69</v>
      </c>
      <c r="AF1830" t="n">
        <v>28</v>
      </c>
      <c r="AG1830" t="n">
        <v>28</v>
      </c>
      <c r="AH1830" t="n">
        <v>11</v>
      </c>
      <c r="AI1830" t="n">
        <v>11</v>
      </c>
      <c r="AJ1830" t="n">
        <v>25</v>
      </c>
      <c r="AK1830" t="n">
        <v>25</v>
      </c>
      <c r="AL1830" t="n">
        <v>16</v>
      </c>
      <c r="AM1830" t="n">
        <v>16</v>
      </c>
      <c r="AN1830" t="n">
        <v>3</v>
      </c>
      <c r="AO1830" t="n">
        <v>3</v>
      </c>
      <c r="AP1830" t="inlineStr">
        <is>
          <t>No</t>
        </is>
      </c>
      <c r="AQ1830" t="inlineStr">
        <is>
          <t>Yes</t>
        </is>
      </c>
      <c r="AR1830">
        <f>HYPERLINK("http://catalog.hathitrust.org/Record/000577226","HathiTrust Record")</f>
        <v/>
      </c>
      <c r="AS1830">
        <f>HYPERLINK("https://creighton-primo.hosted.exlibrisgroup.com/primo-explore/search?tab=default_tab&amp;search_scope=EVERYTHING&amp;vid=01CRU&amp;lang=en_US&amp;offset=0&amp;query=any,contains,991002826759702656","Catalog Record")</f>
        <v/>
      </c>
      <c r="AT1830">
        <f>HYPERLINK("http://www.worldcat.org/oclc/475792","WorldCat Record")</f>
        <v/>
      </c>
      <c r="AU1830" t="inlineStr">
        <is>
          <t>402182:eng</t>
        </is>
      </c>
      <c r="AV1830" t="inlineStr">
        <is>
          <t>475792</t>
        </is>
      </c>
      <c r="AW1830" t="inlineStr">
        <is>
          <t>991002826759702656</t>
        </is>
      </c>
      <c r="AX1830" t="inlineStr">
        <is>
          <t>991002826759702656</t>
        </is>
      </c>
      <c r="AY1830" t="inlineStr">
        <is>
          <t>2255313830002656</t>
        </is>
      </c>
      <c r="AZ1830" t="inlineStr">
        <is>
          <t>BOOK</t>
        </is>
      </c>
      <c r="BC1830" t="inlineStr">
        <is>
          <t>32285002566205</t>
        </is>
      </c>
      <c r="BD1830" t="inlineStr">
        <is>
          <t>893434337</t>
        </is>
      </c>
    </row>
    <row r="1831">
      <c r="A1831" t="inlineStr">
        <is>
          <t>No</t>
        </is>
      </c>
      <c r="B1831" t="inlineStr">
        <is>
          <t>E806 .L478 1968b</t>
        </is>
      </c>
      <c r="C1831" t="inlineStr">
        <is>
          <t>0                      E  0806000L  478         1968b</t>
        </is>
      </c>
      <c r="D1831" t="inlineStr">
        <is>
          <t>The New Deal : a documentary history / edited by William E. Leuchtenburg.</t>
        </is>
      </c>
      <c r="F1831" t="inlineStr">
        <is>
          <t>No</t>
        </is>
      </c>
      <c r="G1831" t="inlineStr">
        <is>
          <t>1</t>
        </is>
      </c>
      <c r="H1831" t="inlineStr">
        <is>
          <t>No</t>
        </is>
      </c>
      <c r="I1831" t="inlineStr">
        <is>
          <t>No</t>
        </is>
      </c>
      <c r="J1831" t="inlineStr">
        <is>
          <t>0</t>
        </is>
      </c>
      <c r="K1831" t="inlineStr">
        <is>
          <t>Leuchtenburg, William E. (William Edward), 1922-, compiler.</t>
        </is>
      </c>
      <c r="L1831" t="inlineStr">
        <is>
          <t>Columbia : University of South Carolina Press, [1968]</t>
        </is>
      </c>
      <c r="M1831" t="inlineStr">
        <is>
          <t>1968</t>
        </is>
      </c>
      <c r="O1831" t="inlineStr">
        <is>
          <t>eng</t>
        </is>
      </c>
      <c r="P1831" t="inlineStr">
        <is>
          <t>scu</t>
        </is>
      </c>
      <c r="R1831" t="inlineStr">
        <is>
          <t xml:space="preserve">E  </t>
        </is>
      </c>
      <c r="S1831" t="n">
        <v>1</v>
      </c>
      <c r="T1831" t="n">
        <v>1</v>
      </c>
      <c r="U1831" t="inlineStr">
        <is>
          <t>1994-04-06</t>
        </is>
      </c>
      <c r="V1831" t="inlineStr">
        <is>
          <t>1994-04-06</t>
        </is>
      </c>
      <c r="W1831" t="inlineStr">
        <is>
          <t>1992-08-13</t>
        </is>
      </c>
      <c r="X1831" t="inlineStr">
        <is>
          <t>1992-08-13</t>
        </is>
      </c>
      <c r="Y1831" t="n">
        <v>562</v>
      </c>
      <c r="Z1831" t="n">
        <v>508</v>
      </c>
      <c r="AA1831" t="n">
        <v>911</v>
      </c>
      <c r="AB1831" t="n">
        <v>5</v>
      </c>
      <c r="AC1831" t="n">
        <v>7</v>
      </c>
      <c r="AD1831" t="n">
        <v>23</v>
      </c>
      <c r="AE1831" t="n">
        <v>36</v>
      </c>
      <c r="AF1831" t="n">
        <v>10</v>
      </c>
      <c r="AG1831" t="n">
        <v>16</v>
      </c>
      <c r="AH1831" t="n">
        <v>5</v>
      </c>
      <c r="AI1831" t="n">
        <v>9</v>
      </c>
      <c r="AJ1831" t="n">
        <v>11</v>
      </c>
      <c r="AK1831" t="n">
        <v>16</v>
      </c>
      <c r="AL1831" t="n">
        <v>4</v>
      </c>
      <c r="AM1831" t="n">
        <v>5</v>
      </c>
      <c r="AN1831" t="n">
        <v>0</v>
      </c>
      <c r="AO1831" t="n">
        <v>0</v>
      </c>
      <c r="AP1831" t="inlineStr">
        <is>
          <t>No</t>
        </is>
      </c>
      <c r="AQ1831" t="inlineStr">
        <is>
          <t>Yes</t>
        </is>
      </c>
      <c r="AR1831">
        <f>HYPERLINK("http://catalog.hathitrust.org/Record/000576541","HathiTrust Record")</f>
        <v/>
      </c>
      <c r="AS1831">
        <f>HYPERLINK("https://creighton-primo.hosted.exlibrisgroup.com/primo-explore/search?tab=default_tab&amp;search_scope=EVERYTHING&amp;vid=01CRU&amp;lang=en_US&amp;offset=0&amp;query=any,contains,991002764149702656","Catalog Record")</f>
        <v/>
      </c>
      <c r="AT1831">
        <f>HYPERLINK("http://www.worldcat.org/oclc/431741","WorldCat Record")</f>
        <v/>
      </c>
      <c r="AU1831" t="inlineStr">
        <is>
          <t>875686772:eng</t>
        </is>
      </c>
      <c r="AV1831" t="inlineStr">
        <is>
          <t>431741</t>
        </is>
      </c>
      <c r="AW1831" t="inlineStr">
        <is>
          <t>991002764149702656</t>
        </is>
      </c>
      <c r="AX1831" t="inlineStr">
        <is>
          <t>991002764149702656</t>
        </is>
      </c>
      <c r="AY1831" t="inlineStr">
        <is>
          <t>2271226630002656</t>
        </is>
      </c>
      <c r="AZ1831" t="inlineStr">
        <is>
          <t>BOOK</t>
        </is>
      </c>
      <c r="BC1831" t="inlineStr">
        <is>
          <t>32285001244267</t>
        </is>
      </c>
      <c r="BD1831" t="inlineStr">
        <is>
          <t>893427989</t>
        </is>
      </c>
    </row>
    <row r="1832">
      <c r="A1832" t="inlineStr">
        <is>
          <t>No</t>
        </is>
      </c>
      <c r="B1832" t="inlineStr">
        <is>
          <t>E806 .M215 1981</t>
        </is>
      </c>
      <c r="C1832" t="inlineStr">
        <is>
          <t>0                      E  0806000M  215         1981</t>
        </is>
      </c>
      <c r="D1832" t="inlineStr">
        <is>
          <t>The United States, Britain, and appeasement, 1936-1939 / C. A. MacDonald.</t>
        </is>
      </c>
      <c r="F1832" t="inlineStr">
        <is>
          <t>No</t>
        </is>
      </c>
      <c r="G1832" t="inlineStr">
        <is>
          <t>1</t>
        </is>
      </c>
      <c r="H1832" t="inlineStr">
        <is>
          <t>No</t>
        </is>
      </c>
      <c r="I1832" t="inlineStr">
        <is>
          <t>No</t>
        </is>
      </c>
      <c r="J1832" t="inlineStr">
        <is>
          <t>0</t>
        </is>
      </c>
      <c r="K1832" t="inlineStr">
        <is>
          <t>MacDonald, C. A.</t>
        </is>
      </c>
      <c r="L1832" t="inlineStr">
        <is>
          <t>New York : St. Martin's Press, 1981.</t>
        </is>
      </c>
      <c r="M1832" t="inlineStr">
        <is>
          <t>1980</t>
        </is>
      </c>
      <c r="O1832" t="inlineStr">
        <is>
          <t>eng</t>
        </is>
      </c>
      <c r="P1832" t="inlineStr">
        <is>
          <t>nyu</t>
        </is>
      </c>
      <c r="R1832" t="inlineStr">
        <is>
          <t xml:space="preserve">E  </t>
        </is>
      </c>
      <c r="S1832" t="n">
        <v>3</v>
      </c>
      <c r="T1832" t="n">
        <v>3</v>
      </c>
      <c r="U1832" t="inlineStr">
        <is>
          <t>2005-11-08</t>
        </is>
      </c>
      <c r="V1832" t="inlineStr">
        <is>
          <t>2005-11-08</t>
        </is>
      </c>
      <c r="W1832" t="inlineStr">
        <is>
          <t>1991-06-05</t>
        </is>
      </c>
      <c r="X1832" t="inlineStr">
        <is>
          <t>1991-06-05</t>
        </is>
      </c>
      <c r="Y1832" t="n">
        <v>392</v>
      </c>
      <c r="Z1832" t="n">
        <v>354</v>
      </c>
      <c r="AA1832" t="n">
        <v>405</v>
      </c>
      <c r="AB1832" t="n">
        <v>2</v>
      </c>
      <c r="AC1832" t="n">
        <v>3</v>
      </c>
      <c r="AD1832" t="n">
        <v>13</v>
      </c>
      <c r="AE1832" t="n">
        <v>16</v>
      </c>
      <c r="AF1832" t="n">
        <v>2</v>
      </c>
      <c r="AG1832" t="n">
        <v>3</v>
      </c>
      <c r="AH1832" t="n">
        <v>6</v>
      </c>
      <c r="AI1832" t="n">
        <v>6</v>
      </c>
      <c r="AJ1832" t="n">
        <v>8</v>
      </c>
      <c r="AK1832" t="n">
        <v>10</v>
      </c>
      <c r="AL1832" t="n">
        <v>1</v>
      </c>
      <c r="AM1832" t="n">
        <v>2</v>
      </c>
      <c r="AN1832" t="n">
        <v>0</v>
      </c>
      <c r="AO1832" t="n">
        <v>0</v>
      </c>
      <c r="AP1832" t="inlineStr">
        <is>
          <t>No</t>
        </is>
      </c>
      <c r="AQ1832" t="inlineStr">
        <is>
          <t>No</t>
        </is>
      </c>
      <c r="AS1832">
        <f>HYPERLINK("https://creighton-primo.hosted.exlibrisgroup.com/primo-explore/search?tab=default_tab&amp;search_scope=EVERYTHING&amp;vid=01CRU&amp;lang=en_US&amp;offset=0&amp;query=any,contains,991004888229702656","Catalog Record")</f>
        <v/>
      </c>
      <c r="AT1832">
        <f>HYPERLINK("http://www.worldcat.org/oclc/5846700","WorldCat Record")</f>
        <v/>
      </c>
      <c r="AU1832" t="inlineStr">
        <is>
          <t>444493:eng</t>
        </is>
      </c>
      <c r="AV1832" t="inlineStr">
        <is>
          <t>5846700</t>
        </is>
      </c>
      <c r="AW1832" t="inlineStr">
        <is>
          <t>991004888229702656</t>
        </is>
      </c>
      <c r="AX1832" t="inlineStr">
        <is>
          <t>991004888229702656</t>
        </is>
      </c>
      <c r="AY1832" t="inlineStr">
        <is>
          <t>2255173600002656</t>
        </is>
      </c>
      <c r="AZ1832" t="inlineStr">
        <is>
          <t>BOOK</t>
        </is>
      </c>
      <c r="BB1832" t="inlineStr">
        <is>
          <t>9780312833138</t>
        </is>
      </c>
      <c r="BC1832" t="inlineStr">
        <is>
          <t>32285000614288</t>
        </is>
      </c>
      <c r="BD1832" t="inlineStr">
        <is>
          <t>893706958</t>
        </is>
      </c>
    </row>
    <row r="1833">
      <c r="A1833" t="inlineStr">
        <is>
          <t>No</t>
        </is>
      </c>
      <c r="B1833" t="inlineStr">
        <is>
          <t>E806 .M27 1967</t>
        </is>
      </c>
      <c r="C1833" t="inlineStr">
        <is>
          <t>0                      E  0806000M  27          1967</t>
        </is>
      </c>
      <c r="D1833" t="inlineStr">
        <is>
          <t>The New Deal.</t>
        </is>
      </c>
      <c r="F1833" t="inlineStr">
        <is>
          <t>No</t>
        </is>
      </c>
      <c r="G1833" t="inlineStr">
        <is>
          <t>1</t>
        </is>
      </c>
      <c r="H1833" t="inlineStr">
        <is>
          <t>No</t>
        </is>
      </c>
      <c r="I1833" t="inlineStr">
        <is>
          <t>No</t>
        </is>
      </c>
      <c r="J1833" t="inlineStr">
        <is>
          <t>0</t>
        </is>
      </c>
      <c r="K1833" t="inlineStr">
        <is>
          <t>Major, John, 1936-</t>
        </is>
      </c>
      <c r="L1833" t="inlineStr">
        <is>
          <t>New York : Barnes &amp; Noble, [1967]</t>
        </is>
      </c>
      <c r="M1833" t="inlineStr">
        <is>
          <t>1967</t>
        </is>
      </c>
      <c r="O1833" t="inlineStr">
        <is>
          <t>eng</t>
        </is>
      </c>
      <c r="P1833" t="inlineStr">
        <is>
          <t>nyu</t>
        </is>
      </c>
      <c r="Q1833" t="inlineStr">
        <is>
          <t>Problems and perspectives in history</t>
        </is>
      </c>
      <c r="R1833" t="inlineStr">
        <is>
          <t xml:space="preserve">E  </t>
        </is>
      </c>
      <c r="S1833" t="n">
        <v>4</v>
      </c>
      <c r="T1833" t="n">
        <v>4</v>
      </c>
      <c r="U1833" t="inlineStr">
        <is>
          <t>2005-04-11</t>
        </is>
      </c>
      <c r="V1833" t="inlineStr">
        <is>
          <t>2005-04-11</t>
        </is>
      </c>
      <c r="W1833" t="inlineStr">
        <is>
          <t>1993-04-23</t>
        </is>
      </c>
      <c r="X1833" t="inlineStr">
        <is>
          <t>1993-04-23</t>
        </is>
      </c>
      <c r="Y1833" t="n">
        <v>296</v>
      </c>
      <c r="Z1833" t="n">
        <v>280</v>
      </c>
      <c r="AA1833" t="n">
        <v>304</v>
      </c>
      <c r="AB1833" t="n">
        <v>3</v>
      </c>
      <c r="AC1833" t="n">
        <v>3</v>
      </c>
      <c r="AD1833" t="n">
        <v>14</v>
      </c>
      <c r="AE1833" t="n">
        <v>15</v>
      </c>
      <c r="AF1833" t="n">
        <v>6</v>
      </c>
      <c r="AG1833" t="n">
        <v>6</v>
      </c>
      <c r="AH1833" t="n">
        <v>6</v>
      </c>
      <c r="AI1833" t="n">
        <v>7</v>
      </c>
      <c r="AJ1833" t="n">
        <v>7</v>
      </c>
      <c r="AK1833" t="n">
        <v>8</v>
      </c>
      <c r="AL1833" t="n">
        <v>2</v>
      </c>
      <c r="AM1833" t="n">
        <v>2</v>
      </c>
      <c r="AN1833" t="n">
        <v>0</v>
      </c>
      <c r="AO1833" t="n">
        <v>0</v>
      </c>
      <c r="AP1833" t="inlineStr">
        <is>
          <t>No</t>
        </is>
      </c>
      <c r="AQ1833" t="inlineStr">
        <is>
          <t>Yes</t>
        </is>
      </c>
      <c r="AR1833">
        <f>HYPERLINK("http://catalog.hathitrust.org/Record/000469075","HathiTrust Record")</f>
        <v/>
      </c>
      <c r="AS1833">
        <f>HYPERLINK("https://creighton-primo.hosted.exlibrisgroup.com/primo-explore/search?tab=default_tab&amp;search_scope=EVERYTHING&amp;vid=01CRU&amp;lang=en_US&amp;offset=0&amp;query=any,contains,991002764319702656","Catalog Record")</f>
        <v/>
      </c>
      <c r="AT1833">
        <f>HYPERLINK("http://www.worldcat.org/oclc/432019","WorldCat Record")</f>
        <v/>
      </c>
      <c r="AU1833" t="inlineStr">
        <is>
          <t>1489560:eng</t>
        </is>
      </c>
      <c r="AV1833" t="inlineStr">
        <is>
          <t>432019</t>
        </is>
      </c>
      <c r="AW1833" t="inlineStr">
        <is>
          <t>991002764319702656</t>
        </is>
      </c>
      <c r="AX1833" t="inlineStr">
        <is>
          <t>991002764319702656</t>
        </is>
      </c>
      <c r="AY1833" t="inlineStr">
        <is>
          <t>2272499490002656</t>
        </is>
      </c>
      <c r="AZ1833" t="inlineStr">
        <is>
          <t>BOOK</t>
        </is>
      </c>
      <c r="BC1833" t="inlineStr">
        <is>
          <t>32285001623395</t>
        </is>
      </c>
      <c r="BD1833" t="inlineStr">
        <is>
          <t>893440489</t>
        </is>
      </c>
    </row>
    <row r="1834">
      <c r="A1834" t="inlineStr">
        <is>
          <t>No</t>
        </is>
      </c>
      <c r="B1834" t="inlineStr">
        <is>
          <t>E806 .M34</t>
        </is>
      </c>
      <c r="C1834" t="inlineStr">
        <is>
          <t>0                      E  0806000M  34</t>
        </is>
      </c>
      <c r="D1834" t="inlineStr">
        <is>
          <t>The glory and the dream: a narrative history of America, 1932-1972 [by] William Manchester.</t>
        </is>
      </c>
      <c r="F1834" t="inlineStr">
        <is>
          <t>No</t>
        </is>
      </c>
      <c r="G1834" t="inlineStr">
        <is>
          <t>1</t>
        </is>
      </c>
      <c r="H1834" t="inlineStr">
        <is>
          <t>No</t>
        </is>
      </c>
      <c r="I1834" t="inlineStr">
        <is>
          <t>No</t>
        </is>
      </c>
      <c r="J1834" t="inlineStr">
        <is>
          <t>0</t>
        </is>
      </c>
      <c r="K1834" t="inlineStr">
        <is>
          <t>Manchester, William, 1922-2004.</t>
        </is>
      </c>
      <c r="L1834" t="inlineStr">
        <is>
          <t>Boston, Little, Brown [1974]</t>
        </is>
      </c>
      <c r="M1834" t="inlineStr">
        <is>
          <t>1974</t>
        </is>
      </c>
      <c r="N1834" t="inlineStr">
        <is>
          <t>[1st ed.]</t>
        </is>
      </c>
      <c r="O1834" t="inlineStr">
        <is>
          <t>eng</t>
        </is>
      </c>
      <c r="P1834" t="inlineStr">
        <is>
          <t>mau</t>
        </is>
      </c>
      <c r="R1834" t="inlineStr">
        <is>
          <t xml:space="preserve">E  </t>
        </is>
      </c>
      <c r="S1834" t="n">
        <v>2</v>
      </c>
      <c r="T1834" t="n">
        <v>2</v>
      </c>
      <c r="U1834" t="inlineStr">
        <is>
          <t>1999-05-03</t>
        </is>
      </c>
      <c r="V1834" t="inlineStr">
        <is>
          <t>1999-05-03</t>
        </is>
      </c>
      <c r="W1834" t="inlineStr">
        <is>
          <t>1997-04-28</t>
        </is>
      </c>
      <c r="X1834" t="inlineStr">
        <is>
          <t>1997-04-28</t>
        </is>
      </c>
      <c r="Y1834" t="n">
        <v>2148</v>
      </c>
      <c r="Z1834" t="n">
        <v>2041</v>
      </c>
      <c r="AA1834" t="n">
        <v>2973</v>
      </c>
      <c r="AB1834" t="n">
        <v>24</v>
      </c>
      <c r="AC1834" t="n">
        <v>34</v>
      </c>
      <c r="AD1834" t="n">
        <v>50</v>
      </c>
      <c r="AE1834" t="n">
        <v>61</v>
      </c>
      <c r="AF1834" t="n">
        <v>19</v>
      </c>
      <c r="AG1834" t="n">
        <v>23</v>
      </c>
      <c r="AH1834" t="n">
        <v>7</v>
      </c>
      <c r="AI1834" t="n">
        <v>7</v>
      </c>
      <c r="AJ1834" t="n">
        <v>21</v>
      </c>
      <c r="AK1834" t="n">
        <v>25</v>
      </c>
      <c r="AL1834" t="n">
        <v>11</v>
      </c>
      <c r="AM1834" t="n">
        <v>16</v>
      </c>
      <c r="AN1834" t="n">
        <v>2</v>
      </c>
      <c r="AO1834" t="n">
        <v>2</v>
      </c>
      <c r="AP1834" t="inlineStr">
        <is>
          <t>No</t>
        </is>
      </c>
      <c r="AQ1834" t="inlineStr">
        <is>
          <t>No</t>
        </is>
      </c>
      <c r="AS1834">
        <f>HYPERLINK("https://creighton-primo.hosted.exlibrisgroup.com/primo-explore/search?tab=default_tab&amp;search_scope=EVERYTHING&amp;vid=01CRU&amp;lang=en_US&amp;offset=0&amp;query=any,contains,991003396369702656","Catalog Record")</f>
        <v/>
      </c>
      <c r="AT1834">
        <f>HYPERLINK("http://www.worldcat.org/oclc/934714","WorldCat Record")</f>
        <v/>
      </c>
      <c r="AU1834" t="inlineStr">
        <is>
          <t>291976873:eng</t>
        </is>
      </c>
      <c r="AV1834" t="inlineStr">
        <is>
          <t>934714</t>
        </is>
      </c>
      <c r="AW1834" t="inlineStr">
        <is>
          <t>991003396369702656</t>
        </is>
      </c>
      <c r="AX1834" t="inlineStr">
        <is>
          <t>991003396369702656</t>
        </is>
      </c>
      <c r="AY1834" t="inlineStr">
        <is>
          <t>2271715870002656</t>
        </is>
      </c>
      <c r="AZ1834" t="inlineStr">
        <is>
          <t>BOOK</t>
        </is>
      </c>
      <c r="BB1834" t="inlineStr">
        <is>
          <t>9780316544962</t>
        </is>
      </c>
      <c r="BC1834" t="inlineStr">
        <is>
          <t>32285002566262</t>
        </is>
      </c>
      <c r="BD1834" t="inlineStr">
        <is>
          <t>893445644</t>
        </is>
      </c>
    </row>
    <row r="1835">
      <c r="A1835" t="inlineStr">
        <is>
          <t>No</t>
        </is>
      </c>
      <c r="B1835" t="inlineStr">
        <is>
          <t>E806 .M43 1984</t>
        </is>
      </c>
      <c r="C1835" t="inlineStr">
        <is>
          <t>0                      E  0806000M  43          1984</t>
        </is>
      </c>
      <c r="D1835" t="inlineStr">
        <is>
          <t>The Great Depression : America, 1929-1941 / Robert S. McElvaine.</t>
        </is>
      </c>
      <c r="F1835" t="inlineStr">
        <is>
          <t>No</t>
        </is>
      </c>
      <c r="G1835" t="inlineStr">
        <is>
          <t>1</t>
        </is>
      </c>
      <c r="H1835" t="inlineStr">
        <is>
          <t>No</t>
        </is>
      </c>
      <c r="I1835" t="inlineStr">
        <is>
          <t>Yes</t>
        </is>
      </c>
      <c r="J1835" t="inlineStr">
        <is>
          <t>0</t>
        </is>
      </c>
      <c r="K1835" t="inlineStr">
        <is>
          <t>McElvaine, Robert S., 1947-</t>
        </is>
      </c>
      <c r="L1835" t="inlineStr">
        <is>
          <t>New York, N.Y. : Times Book, c1984.</t>
        </is>
      </c>
      <c r="M1835" t="inlineStr">
        <is>
          <t>1983</t>
        </is>
      </c>
      <c r="O1835" t="inlineStr">
        <is>
          <t>eng</t>
        </is>
      </c>
      <c r="P1835" t="inlineStr">
        <is>
          <t>nyu</t>
        </is>
      </c>
      <c r="R1835" t="inlineStr">
        <is>
          <t xml:space="preserve">E  </t>
        </is>
      </c>
      <c r="S1835" t="n">
        <v>25</v>
      </c>
      <c r="T1835" t="n">
        <v>25</v>
      </c>
      <c r="U1835" t="inlineStr">
        <is>
          <t>2005-04-11</t>
        </is>
      </c>
      <c r="V1835" t="inlineStr">
        <is>
          <t>2005-04-11</t>
        </is>
      </c>
      <c r="W1835" t="inlineStr">
        <is>
          <t>1990-02-13</t>
        </is>
      </c>
      <c r="X1835" t="inlineStr">
        <is>
          <t>1990-02-13</t>
        </is>
      </c>
      <c r="Y1835" t="n">
        <v>1921</v>
      </c>
      <c r="Z1835" t="n">
        <v>1763</v>
      </c>
      <c r="AA1835" t="n">
        <v>2301</v>
      </c>
      <c r="AB1835" t="n">
        <v>18</v>
      </c>
      <c r="AC1835" t="n">
        <v>20</v>
      </c>
      <c r="AD1835" t="n">
        <v>48</v>
      </c>
      <c r="AE1835" t="n">
        <v>52</v>
      </c>
      <c r="AF1835" t="n">
        <v>21</v>
      </c>
      <c r="AG1835" t="n">
        <v>22</v>
      </c>
      <c r="AH1835" t="n">
        <v>9</v>
      </c>
      <c r="AI1835" t="n">
        <v>9</v>
      </c>
      <c r="AJ1835" t="n">
        <v>20</v>
      </c>
      <c r="AK1835" t="n">
        <v>22</v>
      </c>
      <c r="AL1835" t="n">
        <v>9</v>
      </c>
      <c r="AM1835" t="n">
        <v>10</v>
      </c>
      <c r="AN1835" t="n">
        <v>0</v>
      </c>
      <c r="AO1835" t="n">
        <v>0</v>
      </c>
      <c r="AP1835" t="inlineStr">
        <is>
          <t>No</t>
        </is>
      </c>
      <c r="AQ1835" t="inlineStr">
        <is>
          <t>Yes</t>
        </is>
      </c>
      <c r="AR1835">
        <f>HYPERLINK("http://catalog.hathitrust.org/Record/000201597","HathiTrust Record")</f>
        <v/>
      </c>
      <c r="AS1835">
        <f>HYPERLINK("https://creighton-primo.hosted.exlibrisgroup.com/primo-explore/search?tab=default_tab&amp;search_scope=EVERYTHING&amp;vid=01CRU&amp;lang=en_US&amp;offset=0&amp;query=any,contains,991000181309702656","Catalog Record")</f>
        <v/>
      </c>
      <c r="AT1835">
        <f>HYPERLINK("http://www.worldcat.org/oclc/9383902","WorldCat Record")</f>
        <v/>
      </c>
      <c r="AU1835" t="inlineStr">
        <is>
          <t>804807874:eng</t>
        </is>
      </c>
      <c r="AV1835" t="inlineStr">
        <is>
          <t>9383902</t>
        </is>
      </c>
      <c r="AW1835" t="inlineStr">
        <is>
          <t>991000181309702656</t>
        </is>
      </c>
      <c r="AX1835" t="inlineStr">
        <is>
          <t>991000181309702656</t>
        </is>
      </c>
      <c r="AY1835" t="inlineStr">
        <is>
          <t>2269356440002656</t>
        </is>
      </c>
      <c r="AZ1835" t="inlineStr">
        <is>
          <t>BOOK</t>
        </is>
      </c>
      <c r="BB1835" t="inlineStr">
        <is>
          <t>9780812910612</t>
        </is>
      </c>
      <c r="BC1835" t="inlineStr">
        <is>
          <t>32285000052158</t>
        </is>
      </c>
      <c r="BD1835" t="inlineStr">
        <is>
          <t>893534081</t>
        </is>
      </c>
    </row>
    <row r="1836">
      <c r="A1836" t="inlineStr">
        <is>
          <t>No</t>
        </is>
      </c>
      <c r="B1836" t="inlineStr">
        <is>
          <t>E806 .M84 1979</t>
        </is>
      </c>
      <c r="C1836" t="inlineStr">
        <is>
          <t>0                      E  0806000M  84          1979</t>
        </is>
      </c>
      <c r="D1836" t="inlineStr">
        <is>
          <t>The insurgent progressives in the United States Senate and the New Deal, 1933-1939 / Ronald A. Mulder.</t>
        </is>
      </c>
      <c r="F1836" t="inlineStr">
        <is>
          <t>No</t>
        </is>
      </c>
      <c r="G1836" t="inlineStr">
        <is>
          <t>1</t>
        </is>
      </c>
      <c r="H1836" t="inlineStr">
        <is>
          <t>No</t>
        </is>
      </c>
      <c r="I1836" t="inlineStr">
        <is>
          <t>No</t>
        </is>
      </c>
      <c r="J1836" t="inlineStr">
        <is>
          <t>0</t>
        </is>
      </c>
      <c r="K1836" t="inlineStr">
        <is>
          <t>Mulder, Ronald A.</t>
        </is>
      </c>
      <c r="L1836" t="inlineStr">
        <is>
          <t>New York : Garland Pub., 1979.</t>
        </is>
      </c>
      <c r="M1836" t="inlineStr">
        <is>
          <t>1979</t>
        </is>
      </c>
      <c r="O1836" t="inlineStr">
        <is>
          <t>eng</t>
        </is>
      </c>
      <c r="P1836" t="inlineStr">
        <is>
          <t>nyu</t>
        </is>
      </c>
      <c r="Q1836" t="inlineStr">
        <is>
          <t>Modern American history</t>
        </is>
      </c>
      <c r="R1836" t="inlineStr">
        <is>
          <t xml:space="preserve">E  </t>
        </is>
      </c>
      <c r="S1836" t="n">
        <v>1</v>
      </c>
      <c r="T1836" t="n">
        <v>1</v>
      </c>
      <c r="U1836" t="inlineStr">
        <is>
          <t>1995-03-29</t>
        </is>
      </c>
      <c r="V1836" t="inlineStr">
        <is>
          <t>1995-03-29</t>
        </is>
      </c>
      <c r="W1836" t="inlineStr">
        <is>
          <t>1991-06-05</t>
        </is>
      </c>
      <c r="X1836" t="inlineStr">
        <is>
          <t>1991-06-05</t>
        </is>
      </c>
      <c r="Y1836" t="n">
        <v>228</v>
      </c>
      <c r="Z1836" t="n">
        <v>191</v>
      </c>
      <c r="AA1836" t="n">
        <v>193</v>
      </c>
      <c r="AB1836" t="n">
        <v>3</v>
      </c>
      <c r="AC1836" t="n">
        <v>3</v>
      </c>
      <c r="AD1836" t="n">
        <v>14</v>
      </c>
      <c r="AE1836" t="n">
        <v>14</v>
      </c>
      <c r="AF1836" t="n">
        <v>3</v>
      </c>
      <c r="AG1836" t="n">
        <v>3</v>
      </c>
      <c r="AH1836" t="n">
        <v>5</v>
      </c>
      <c r="AI1836" t="n">
        <v>5</v>
      </c>
      <c r="AJ1836" t="n">
        <v>9</v>
      </c>
      <c r="AK1836" t="n">
        <v>9</v>
      </c>
      <c r="AL1836" t="n">
        <v>2</v>
      </c>
      <c r="AM1836" t="n">
        <v>2</v>
      </c>
      <c r="AN1836" t="n">
        <v>0</v>
      </c>
      <c r="AO1836" t="n">
        <v>0</v>
      </c>
      <c r="AP1836" t="inlineStr">
        <is>
          <t>No</t>
        </is>
      </c>
      <c r="AQ1836" t="inlineStr">
        <is>
          <t>Yes</t>
        </is>
      </c>
      <c r="AR1836">
        <f>HYPERLINK("http://catalog.hathitrust.org/Record/000255363","HathiTrust Record")</f>
        <v/>
      </c>
      <c r="AS1836">
        <f>HYPERLINK("https://creighton-primo.hosted.exlibrisgroup.com/primo-explore/search?tab=default_tab&amp;search_scope=EVERYTHING&amp;vid=01CRU&amp;lang=en_US&amp;offset=0&amp;query=any,contains,991004645119702656","Catalog Record")</f>
        <v/>
      </c>
      <c r="AT1836">
        <f>HYPERLINK("http://www.worldcat.org/oclc/4491002","WorldCat Record")</f>
        <v/>
      </c>
      <c r="AU1836" t="inlineStr">
        <is>
          <t>3858366158:eng</t>
        </is>
      </c>
      <c r="AV1836" t="inlineStr">
        <is>
          <t>4491002</t>
        </is>
      </c>
      <c r="AW1836" t="inlineStr">
        <is>
          <t>991004645119702656</t>
        </is>
      </c>
      <c r="AX1836" t="inlineStr">
        <is>
          <t>991004645119702656</t>
        </is>
      </c>
      <c r="AY1836" t="inlineStr">
        <is>
          <t>2264000770002656</t>
        </is>
      </c>
      <c r="AZ1836" t="inlineStr">
        <is>
          <t>BOOK</t>
        </is>
      </c>
      <c r="BB1836" t="inlineStr">
        <is>
          <t>9780824036379</t>
        </is>
      </c>
      <c r="BC1836" t="inlineStr">
        <is>
          <t>32285000614296</t>
        </is>
      </c>
      <c r="BD1836" t="inlineStr">
        <is>
          <t>893411794</t>
        </is>
      </c>
    </row>
    <row r="1837">
      <c r="A1837" t="inlineStr">
        <is>
          <t>No</t>
        </is>
      </c>
      <c r="B1837" t="inlineStr">
        <is>
          <t>E806 .N4145 1989</t>
        </is>
      </c>
      <c r="C1837" t="inlineStr">
        <is>
          <t>0                      E  0806000N  4145        1989</t>
        </is>
      </c>
      <c r="D1837" t="inlineStr">
        <is>
          <t>The New Deal and its legacy : critique and reappraisal / edited by Robert Eden.</t>
        </is>
      </c>
      <c r="F1837" t="inlineStr">
        <is>
          <t>No</t>
        </is>
      </c>
      <c r="G1837" t="inlineStr">
        <is>
          <t>1</t>
        </is>
      </c>
      <c r="H1837" t="inlineStr">
        <is>
          <t>No</t>
        </is>
      </c>
      <c r="I1837" t="inlineStr">
        <is>
          <t>No</t>
        </is>
      </c>
      <c r="J1837" t="inlineStr">
        <is>
          <t>0</t>
        </is>
      </c>
      <c r="L1837" t="inlineStr">
        <is>
          <t>New York : Greenwood Press, 1989.</t>
        </is>
      </c>
      <c r="M1837" t="inlineStr">
        <is>
          <t>1989</t>
        </is>
      </c>
      <c r="O1837" t="inlineStr">
        <is>
          <t>eng</t>
        </is>
      </c>
      <c r="P1837" t="inlineStr">
        <is>
          <t>nyu</t>
        </is>
      </c>
      <c r="Q1837" t="inlineStr">
        <is>
          <t>Contributions in American history, 0084-9219 ; no. 132</t>
        </is>
      </c>
      <c r="R1837" t="inlineStr">
        <is>
          <t xml:space="preserve">E  </t>
        </is>
      </c>
      <c r="S1837" t="n">
        <v>7</v>
      </c>
      <c r="T1837" t="n">
        <v>7</v>
      </c>
      <c r="U1837" t="inlineStr">
        <is>
          <t>1999-08-10</t>
        </is>
      </c>
      <c r="V1837" t="inlineStr">
        <is>
          <t>1999-08-10</t>
        </is>
      </c>
      <c r="W1837" t="inlineStr">
        <is>
          <t>1990-03-28</t>
        </is>
      </c>
      <c r="X1837" t="inlineStr">
        <is>
          <t>1990-03-28</t>
        </is>
      </c>
      <c r="Y1837" t="n">
        <v>453</v>
      </c>
      <c r="Z1837" t="n">
        <v>371</v>
      </c>
      <c r="AA1837" t="n">
        <v>373</v>
      </c>
      <c r="AB1837" t="n">
        <v>2</v>
      </c>
      <c r="AC1837" t="n">
        <v>2</v>
      </c>
      <c r="AD1837" t="n">
        <v>19</v>
      </c>
      <c r="AE1837" t="n">
        <v>19</v>
      </c>
      <c r="AF1837" t="n">
        <v>9</v>
      </c>
      <c r="AG1837" t="n">
        <v>9</v>
      </c>
      <c r="AH1837" t="n">
        <v>4</v>
      </c>
      <c r="AI1837" t="n">
        <v>4</v>
      </c>
      <c r="AJ1837" t="n">
        <v>8</v>
      </c>
      <c r="AK1837" t="n">
        <v>8</v>
      </c>
      <c r="AL1837" t="n">
        <v>1</v>
      </c>
      <c r="AM1837" t="n">
        <v>1</v>
      </c>
      <c r="AN1837" t="n">
        <v>0</v>
      </c>
      <c r="AO1837" t="n">
        <v>0</v>
      </c>
      <c r="AP1837" t="inlineStr">
        <is>
          <t>No</t>
        </is>
      </c>
      <c r="AQ1837" t="inlineStr">
        <is>
          <t>Yes</t>
        </is>
      </c>
      <c r="AR1837">
        <f>HYPERLINK("http://catalog.hathitrust.org/Record/001540537","HathiTrust Record")</f>
        <v/>
      </c>
      <c r="AS1837">
        <f>HYPERLINK("https://creighton-primo.hosted.exlibrisgroup.com/primo-explore/search?tab=default_tab&amp;search_scope=EVERYTHING&amp;vid=01CRU&amp;lang=en_US&amp;offset=0&amp;query=any,contains,991001393919702656","Catalog Record")</f>
        <v/>
      </c>
      <c r="AT1837">
        <f>HYPERLINK("http://www.worldcat.org/oclc/18780103","WorldCat Record")</f>
        <v/>
      </c>
      <c r="AU1837" t="inlineStr">
        <is>
          <t>836744661:eng</t>
        </is>
      </c>
      <c r="AV1837" t="inlineStr">
        <is>
          <t>18780103</t>
        </is>
      </c>
      <c r="AW1837" t="inlineStr">
        <is>
          <t>991001393919702656</t>
        </is>
      </c>
      <c r="AX1837" t="inlineStr">
        <is>
          <t>991001393919702656</t>
        </is>
      </c>
      <c r="AY1837" t="inlineStr">
        <is>
          <t>2260557780002656</t>
        </is>
      </c>
      <c r="AZ1837" t="inlineStr">
        <is>
          <t>BOOK</t>
        </is>
      </c>
      <c r="BB1837" t="inlineStr">
        <is>
          <t>9780313261817</t>
        </is>
      </c>
      <c r="BC1837" t="inlineStr">
        <is>
          <t>32285000092410</t>
        </is>
      </c>
      <c r="BD1837" t="inlineStr">
        <is>
          <t>893340405</t>
        </is>
      </c>
    </row>
    <row r="1838">
      <c r="A1838" t="inlineStr">
        <is>
          <t>No</t>
        </is>
      </c>
      <c r="B1838" t="inlineStr">
        <is>
          <t>E806 .N56</t>
        </is>
      </c>
      <c r="C1838" t="inlineStr">
        <is>
          <t>0                      E  0806000N  56</t>
        </is>
      </c>
      <c r="D1838" t="inlineStr">
        <is>
          <t>The diplomacy of ideas : U.S. foreign policy and cultural relations, 1938-1950 / Frank A. Ninkovich.</t>
        </is>
      </c>
      <c r="F1838" t="inlineStr">
        <is>
          <t>No</t>
        </is>
      </c>
      <c r="G1838" t="inlineStr">
        <is>
          <t>1</t>
        </is>
      </c>
      <c r="H1838" t="inlineStr">
        <is>
          <t>No</t>
        </is>
      </c>
      <c r="I1838" t="inlineStr">
        <is>
          <t>No</t>
        </is>
      </c>
      <c r="J1838" t="inlineStr">
        <is>
          <t>0</t>
        </is>
      </c>
      <c r="K1838" t="inlineStr">
        <is>
          <t>Ninkovich, Frank A., 1944-</t>
        </is>
      </c>
      <c r="L1838" t="inlineStr">
        <is>
          <t>Cambridge [Eng.] ; New York : Cambridge University Press, 1981.</t>
        </is>
      </c>
      <c r="M1838" t="inlineStr">
        <is>
          <t>1981</t>
        </is>
      </c>
      <c r="O1838" t="inlineStr">
        <is>
          <t>eng</t>
        </is>
      </c>
      <c r="P1838" t="inlineStr">
        <is>
          <t>enk</t>
        </is>
      </c>
      <c r="R1838" t="inlineStr">
        <is>
          <t xml:space="preserve">E  </t>
        </is>
      </c>
      <c r="S1838" t="n">
        <v>2</v>
      </c>
      <c r="T1838" t="n">
        <v>2</v>
      </c>
      <c r="U1838" t="inlineStr">
        <is>
          <t>1999-08-10</t>
        </is>
      </c>
      <c r="V1838" t="inlineStr">
        <is>
          <t>1999-08-10</t>
        </is>
      </c>
      <c r="W1838" t="inlineStr">
        <is>
          <t>1991-06-05</t>
        </is>
      </c>
      <c r="X1838" t="inlineStr">
        <is>
          <t>1991-06-05</t>
        </is>
      </c>
      <c r="Y1838" t="n">
        <v>625</v>
      </c>
      <c r="Z1838" t="n">
        <v>491</v>
      </c>
      <c r="AA1838" t="n">
        <v>499</v>
      </c>
      <c r="AB1838" t="n">
        <v>4</v>
      </c>
      <c r="AC1838" t="n">
        <v>4</v>
      </c>
      <c r="AD1838" t="n">
        <v>19</v>
      </c>
      <c r="AE1838" t="n">
        <v>20</v>
      </c>
      <c r="AF1838" t="n">
        <v>6</v>
      </c>
      <c r="AG1838" t="n">
        <v>7</v>
      </c>
      <c r="AH1838" t="n">
        <v>5</v>
      </c>
      <c r="AI1838" t="n">
        <v>5</v>
      </c>
      <c r="AJ1838" t="n">
        <v>11</v>
      </c>
      <c r="AK1838" t="n">
        <v>12</v>
      </c>
      <c r="AL1838" t="n">
        <v>3</v>
      </c>
      <c r="AM1838" t="n">
        <v>3</v>
      </c>
      <c r="AN1838" t="n">
        <v>0</v>
      </c>
      <c r="AO1838" t="n">
        <v>0</v>
      </c>
      <c r="AP1838" t="inlineStr">
        <is>
          <t>No</t>
        </is>
      </c>
      <c r="AQ1838" t="inlineStr">
        <is>
          <t>Yes</t>
        </is>
      </c>
      <c r="AR1838">
        <f>HYPERLINK("http://catalog.hathitrust.org/Record/000746899","HathiTrust Record")</f>
        <v/>
      </c>
      <c r="AS1838">
        <f>HYPERLINK("https://creighton-primo.hosted.exlibrisgroup.com/primo-explore/search?tab=default_tab&amp;search_scope=EVERYTHING&amp;vid=01CRU&amp;lang=en_US&amp;offset=0&amp;query=any,contains,991004942939702656","Catalog Record")</f>
        <v/>
      </c>
      <c r="AT1838">
        <f>HYPERLINK("http://www.worldcat.org/oclc/6195571","WorldCat Record")</f>
        <v/>
      </c>
      <c r="AU1838" t="inlineStr">
        <is>
          <t>504520:eng</t>
        </is>
      </c>
      <c r="AV1838" t="inlineStr">
        <is>
          <t>6195571</t>
        </is>
      </c>
      <c r="AW1838" t="inlineStr">
        <is>
          <t>991004942939702656</t>
        </is>
      </c>
      <c r="AX1838" t="inlineStr">
        <is>
          <t>991004942939702656</t>
        </is>
      </c>
      <c r="AY1838" t="inlineStr">
        <is>
          <t>2265733900002656</t>
        </is>
      </c>
      <c r="AZ1838" t="inlineStr">
        <is>
          <t>BOOK</t>
        </is>
      </c>
      <c r="BB1838" t="inlineStr">
        <is>
          <t>9780521232418</t>
        </is>
      </c>
      <c r="BC1838" t="inlineStr">
        <is>
          <t>32285000614304</t>
        </is>
      </c>
      <c r="BD1838" t="inlineStr">
        <is>
          <t>893230028</t>
        </is>
      </c>
    </row>
    <row r="1839">
      <c r="A1839" t="inlineStr">
        <is>
          <t>No</t>
        </is>
      </c>
      <c r="B1839" t="inlineStr">
        <is>
          <t>E806 .R43</t>
        </is>
      </c>
      <c r="C1839" t="inlineStr">
        <is>
          <t>0                      E  0806000R  43</t>
        </is>
      </c>
      <c r="D1839" t="inlineStr">
        <is>
          <t>Frankie in wonderland : with apologies to Lewis Carroll, the originator and pre-historian of the new deal / by a Tory.</t>
        </is>
      </c>
      <c r="F1839" t="inlineStr">
        <is>
          <t>No</t>
        </is>
      </c>
      <c r="G1839" t="inlineStr">
        <is>
          <t>1</t>
        </is>
      </c>
      <c r="H1839" t="inlineStr">
        <is>
          <t>No</t>
        </is>
      </c>
      <c r="I1839" t="inlineStr">
        <is>
          <t>No</t>
        </is>
      </c>
      <c r="J1839" t="inlineStr">
        <is>
          <t>0</t>
        </is>
      </c>
      <c r="L1839" t="inlineStr">
        <is>
          <t>New York, E.P. Dutton, c1934.</t>
        </is>
      </c>
      <c r="M1839" t="inlineStr">
        <is>
          <t>1934</t>
        </is>
      </c>
      <c r="O1839" t="inlineStr">
        <is>
          <t>eng</t>
        </is>
      </c>
      <c r="P1839" t="inlineStr">
        <is>
          <t>nyu</t>
        </is>
      </c>
      <c r="R1839" t="inlineStr">
        <is>
          <t xml:space="preserve">E  </t>
        </is>
      </c>
      <c r="S1839" t="n">
        <v>2</v>
      </c>
      <c r="T1839" t="n">
        <v>2</v>
      </c>
      <c r="U1839" t="inlineStr">
        <is>
          <t>1999-08-10</t>
        </is>
      </c>
      <c r="V1839" t="inlineStr">
        <is>
          <t>1999-08-10</t>
        </is>
      </c>
      <c r="W1839" t="inlineStr">
        <is>
          <t>1996-08-22</t>
        </is>
      </c>
      <c r="X1839" t="inlineStr">
        <is>
          <t>1996-08-22</t>
        </is>
      </c>
      <c r="Y1839" t="n">
        <v>128</v>
      </c>
      <c r="Z1839" t="n">
        <v>117</v>
      </c>
      <c r="AA1839" t="n">
        <v>124</v>
      </c>
      <c r="AB1839" t="n">
        <v>1</v>
      </c>
      <c r="AC1839" t="n">
        <v>1</v>
      </c>
      <c r="AD1839" t="n">
        <v>2</v>
      </c>
      <c r="AE1839" t="n">
        <v>2</v>
      </c>
      <c r="AF1839" t="n">
        <v>0</v>
      </c>
      <c r="AG1839" t="n">
        <v>0</v>
      </c>
      <c r="AH1839" t="n">
        <v>2</v>
      </c>
      <c r="AI1839" t="n">
        <v>2</v>
      </c>
      <c r="AJ1839" t="n">
        <v>1</v>
      </c>
      <c r="AK1839" t="n">
        <v>1</v>
      </c>
      <c r="AL1839" t="n">
        <v>0</v>
      </c>
      <c r="AM1839" t="n">
        <v>0</v>
      </c>
      <c r="AN1839" t="n">
        <v>0</v>
      </c>
      <c r="AO1839" t="n">
        <v>0</v>
      </c>
      <c r="AP1839" t="inlineStr">
        <is>
          <t>No</t>
        </is>
      </c>
      <c r="AQ1839" t="inlineStr">
        <is>
          <t>Yes</t>
        </is>
      </c>
      <c r="AR1839">
        <f>HYPERLINK("http://catalog.hathitrust.org/Record/000577351","HathiTrust Record")</f>
        <v/>
      </c>
      <c r="AS1839">
        <f>HYPERLINK("https://creighton-primo.hosted.exlibrisgroup.com/primo-explore/search?tab=default_tab&amp;search_scope=EVERYTHING&amp;vid=01CRU&amp;lang=en_US&amp;offset=0&amp;query=any,contains,991003472299702656","Catalog Record")</f>
        <v/>
      </c>
      <c r="AT1839">
        <f>HYPERLINK("http://www.worldcat.org/oclc/1015711","WorldCat Record")</f>
        <v/>
      </c>
      <c r="AU1839" t="inlineStr">
        <is>
          <t>1940258:eng</t>
        </is>
      </c>
      <c r="AV1839" t="inlineStr">
        <is>
          <t>1015711</t>
        </is>
      </c>
      <c r="AW1839" t="inlineStr">
        <is>
          <t>991003472299702656</t>
        </is>
      </c>
      <c r="AX1839" t="inlineStr">
        <is>
          <t>991003472299702656</t>
        </is>
      </c>
      <c r="AY1839" t="inlineStr">
        <is>
          <t>2255822970002656</t>
        </is>
      </c>
      <c r="AZ1839" t="inlineStr">
        <is>
          <t>BOOK</t>
        </is>
      </c>
      <c r="BC1839" t="inlineStr">
        <is>
          <t>32285002283330</t>
        </is>
      </c>
      <c r="BD1839" t="inlineStr">
        <is>
          <t>893410307</t>
        </is>
      </c>
    </row>
    <row r="1840">
      <c r="A1840" t="inlineStr">
        <is>
          <t>No</t>
        </is>
      </c>
      <c r="B1840" t="inlineStr">
        <is>
          <t>E806 .R47 1983</t>
        </is>
      </c>
      <c r="C1840" t="inlineStr">
        <is>
          <t>0                      E  0806000R  47          1983</t>
        </is>
      </c>
      <c r="D1840" t="inlineStr">
        <is>
          <t>The old Christian right : the Protestant far right from the Great Depression to the cold war / Leo P. Ribuffo.</t>
        </is>
      </c>
      <c r="F1840" t="inlineStr">
        <is>
          <t>No</t>
        </is>
      </c>
      <c r="G1840" t="inlineStr">
        <is>
          <t>1</t>
        </is>
      </c>
      <c r="H1840" t="inlineStr">
        <is>
          <t>No</t>
        </is>
      </c>
      <c r="I1840" t="inlineStr">
        <is>
          <t>No</t>
        </is>
      </c>
      <c r="J1840" t="inlineStr">
        <is>
          <t>0</t>
        </is>
      </c>
      <c r="K1840" t="inlineStr">
        <is>
          <t>Ribuffo, Leo P.</t>
        </is>
      </c>
      <c r="L1840" t="inlineStr">
        <is>
          <t>Philadelphia : Temple University Press, 1983.</t>
        </is>
      </c>
      <c r="M1840" t="inlineStr">
        <is>
          <t>1983</t>
        </is>
      </c>
      <c r="O1840" t="inlineStr">
        <is>
          <t>eng</t>
        </is>
      </c>
      <c r="P1840" t="inlineStr">
        <is>
          <t>pau</t>
        </is>
      </c>
      <c r="R1840" t="inlineStr">
        <is>
          <t xml:space="preserve">E  </t>
        </is>
      </c>
      <c r="S1840" t="n">
        <v>1</v>
      </c>
      <c r="T1840" t="n">
        <v>1</v>
      </c>
      <c r="U1840" t="inlineStr">
        <is>
          <t>1998-02-04</t>
        </is>
      </c>
      <c r="V1840" t="inlineStr">
        <is>
          <t>1998-02-04</t>
        </is>
      </c>
      <c r="W1840" t="inlineStr">
        <is>
          <t>1991-06-05</t>
        </is>
      </c>
      <c r="X1840" t="inlineStr">
        <is>
          <t>1991-06-05</t>
        </is>
      </c>
      <c r="Y1840" t="n">
        <v>676</v>
      </c>
      <c r="Z1840" t="n">
        <v>600</v>
      </c>
      <c r="AA1840" t="n">
        <v>739</v>
      </c>
      <c r="AB1840" t="n">
        <v>7</v>
      </c>
      <c r="AC1840" t="n">
        <v>8</v>
      </c>
      <c r="AD1840" t="n">
        <v>34</v>
      </c>
      <c r="AE1840" t="n">
        <v>44</v>
      </c>
      <c r="AF1840" t="n">
        <v>12</v>
      </c>
      <c r="AG1840" t="n">
        <v>17</v>
      </c>
      <c r="AH1840" t="n">
        <v>9</v>
      </c>
      <c r="AI1840" t="n">
        <v>11</v>
      </c>
      <c r="AJ1840" t="n">
        <v>15</v>
      </c>
      <c r="AK1840" t="n">
        <v>20</v>
      </c>
      <c r="AL1840" t="n">
        <v>6</v>
      </c>
      <c r="AM1840" t="n">
        <v>7</v>
      </c>
      <c r="AN1840" t="n">
        <v>1</v>
      </c>
      <c r="AO1840" t="n">
        <v>1</v>
      </c>
      <c r="AP1840" t="inlineStr">
        <is>
          <t>No</t>
        </is>
      </c>
      <c r="AQ1840" t="inlineStr">
        <is>
          <t>No</t>
        </is>
      </c>
      <c r="AS1840">
        <f>HYPERLINK("https://creighton-primo.hosted.exlibrisgroup.com/primo-explore/search?tab=default_tab&amp;search_scope=EVERYTHING&amp;vid=01CRU&amp;lang=en_US&amp;offset=0&amp;query=any,contains,991000139399702656","Catalog Record")</f>
        <v/>
      </c>
      <c r="AT1840">
        <f>HYPERLINK("http://www.worldcat.org/oclc/9153988","WorldCat Record")</f>
        <v/>
      </c>
      <c r="AU1840" t="inlineStr">
        <is>
          <t>15677087:eng</t>
        </is>
      </c>
      <c r="AV1840" t="inlineStr">
        <is>
          <t>9153988</t>
        </is>
      </c>
      <c r="AW1840" t="inlineStr">
        <is>
          <t>991000139399702656</t>
        </is>
      </c>
      <c r="AX1840" t="inlineStr">
        <is>
          <t>991000139399702656</t>
        </is>
      </c>
      <c r="AY1840" t="inlineStr">
        <is>
          <t>2264979000002656</t>
        </is>
      </c>
      <c r="AZ1840" t="inlineStr">
        <is>
          <t>BOOK</t>
        </is>
      </c>
      <c r="BB1840" t="inlineStr">
        <is>
          <t>9780877222972</t>
        </is>
      </c>
      <c r="BC1840" t="inlineStr">
        <is>
          <t>32285000614320</t>
        </is>
      </c>
      <c r="BD1840" t="inlineStr">
        <is>
          <t>893237101</t>
        </is>
      </c>
    </row>
    <row r="1841">
      <c r="A1841" t="inlineStr">
        <is>
          <t>No</t>
        </is>
      </c>
      <c r="B1841" t="inlineStr">
        <is>
          <t>E806 .R7424 1972</t>
        </is>
      </c>
      <c r="C1841" t="inlineStr">
        <is>
          <t>0                      E  0806000R  7424        1972</t>
        </is>
      </c>
      <c r="D1841" t="inlineStr">
        <is>
          <t>Complete presidential press conferences of Franklin D. Roosevelt / introd. by Jonathan Daniels.</t>
        </is>
      </c>
      <c r="E1841" t="inlineStr">
        <is>
          <t>V.1-2</t>
        </is>
      </c>
      <c r="F1841" t="inlineStr">
        <is>
          <t>Yes</t>
        </is>
      </c>
      <c r="G1841" t="inlineStr">
        <is>
          <t>1</t>
        </is>
      </c>
      <c r="H1841" t="inlineStr">
        <is>
          <t>No</t>
        </is>
      </c>
      <c r="I1841" t="inlineStr">
        <is>
          <t>No</t>
        </is>
      </c>
      <c r="J1841" t="inlineStr">
        <is>
          <t>0</t>
        </is>
      </c>
      <c r="K1841" t="inlineStr">
        <is>
          <t>Roosevelt, Franklin D. (Franklin Delano), 1882-1945.</t>
        </is>
      </c>
      <c r="L1841" t="inlineStr">
        <is>
          <t>New York : Da Capo Press, 1972-</t>
        </is>
      </c>
      <c r="M1841" t="inlineStr">
        <is>
          <t>1972</t>
        </is>
      </c>
      <c r="O1841" t="inlineStr">
        <is>
          <t>eng</t>
        </is>
      </c>
      <c r="P1841" t="inlineStr">
        <is>
          <t>nyu</t>
        </is>
      </c>
      <c r="R1841" t="inlineStr">
        <is>
          <t xml:space="preserve">E  </t>
        </is>
      </c>
      <c r="S1841" t="n">
        <v>1</v>
      </c>
      <c r="T1841" t="n">
        <v>10</v>
      </c>
      <c r="U1841" t="inlineStr">
        <is>
          <t>1992-09-08</t>
        </is>
      </c>
      <c r="V1841" t="inlineStr">
        <is>
          <t>2010-04-18</t>
        </is>
      </c>
      <c r="W1841" t="inlineStr">
        <is>
          <t>1992-09-08</t>
        </is>
      </c>
      <c r="X1841" t="inlineStr">
        <is>
          <t>1995-08-21</t>
        </is>
      </c>
      <c r="Y1841" t="n">
        <v>325</v>
      </c>
      <c r="Z1841" t="n">
        <v>296</v>
      </c>
      <c r="AA1841" t="n">
        <v>298</v>
      </c>
      <c r="AB1841" t="n">
        <v>2</v>
      </c>
      <c r="AC1841" t="n">
        <v>2</v>
      </c>
      <c r="AD1841" t="n">
        <v>12</v>
      </c>
      <c r="AE1841" t="n">
        <v>12</v>
      </c>
      <c r="AF1841" t="n">
        <v>4</v>
      </c>
      <c r="AG1841" t="n">
        <v>4</v>
      </c>
      <c r="AH1841" t="n">
        <v>5</v>
      </c>
      <c r="AI1841" t="n">
        <v>5</v>
      </c>
      <c r="AJ1841" t="n">
        <v>7</v>
      </c>
      <c r="AK1841" t="n">
        <v>7</v>
      </c>
      <c r="AL1841" t="n">
        <v>1</v>
      </c>
      <c r="AM1841" t="n">
        <v>1</v>
      </c>
      <c r="AN1841" t="n">
        <v>0</v>
      </c>
      <c r="AO1841" t="n">
        <v>0</v>
      </c>
      <c r="AP1841" t="inlineStr">
        <is>
          <t>No</t>
        </is>
      </c>
      <c r="AQ1841" t="inlineStr">
        <is>
          <t>Yes</t>
        </is>
      </c>
      <c r="AR1841">
        <f>HYPERLINK("http://catalog.hathitrust.org/Record/004389998","HathiTrust Record")</f>
        <v/>
      </c>
      <c r="AS1841">
        <f>HYPERLINK("https://creighton-primo.hosted.exlibrisgroup.com/primo-explore/search?tab=default_tab&amp;search_scope=EVERYTHING&amp;vid=01CRU&amp;lang=en_US&amp;offset=0&amp;query=any,contains,991002456929702656","Catalog Record")</f>
        <v/>
      </c>
      <c r="AT1841">
        <f>HYPERLINK("http://www.worldcat.org/oclc/354807","WorldCat Record")</f>
        <v/>
      </c>
      <c r="AU1841" t="inlineStr">
        <is>
          <t>1396330:eng</t>
        </is>
      </c>
      <c r="AV1841" t="inlineStr">
        <is>
          <t>354807</t>
        </is>
      </c>
      <c r="AW1841" t="inlineStr">
        <is>
          <t>991002456929702656</t>
        </is>
      </c>
      <c r="AX1841" t="inlineStr">
        <is>
          <t>991002456929702656</t>
        </is>
      </c>
      <c r="AY1841" t="inlineStr">
        <is>
          <t>2266373840002656</t>
        </is>
      </c>
      <c r="AZ1841" t="inlineStr">
        <is>
          <t>BOOK</t>
        </is>
      </c>
      <c r="BB1841" t="inlineStr">
        <is>
          <t>9780306775000</t>
        </is>
      </c>
      <c r="BC1841" t="inlineStr">
        <is>
          <t>32285001297703</t>
        </is>
      </c>
      <c r="BD1841" t="inlineStr">
        <is>
          <t>893226861</t>
        </is>
      </c>
    </row>
    <row r="1842">
      <c r="A1842" t="inlineStr">
        <is>
          <t>No</t>
        </is>
      </c>
      <c r="B1842" t="inlineStr">
        <is>
          <t>E806 .R7424 1972</t>
        </is>
      </c>
      <c r="C1842" t="inlineStr">
        <is>
          <t>0                      E  0806000R  7424        1972</t>
        </is>
      </c>
      <c r="D1842" t="inlineStr">
        <is>
          <t>Complete presidential press conferences of Franklin D. Roosevelt / introd. by Jonathan Daniels.</t>
        </is>
      </c>
      <c r="E1842" t="inlineStr">
        <is>
          <t>V.17-18</t>
        </is>
      </c>
      <c r="F1842" t="inlineStr">
        <is>
          <t>Yes</t>
        </is>
      </c>
      <c r="G1842" t="inlineStr">
        <is>
          <t>1</t>
        </is>
      </c>
      <c r="H1842" t="inlineStr">
        <is>
          <t>No</t>
        </is>
      </c>
      <c r="I1842" t="inlineStr">
        <is>
          <t>No</t>
        </is>
      </c>
      <c r="J1842" t="inlineStr">
        <is>
          <t>0</t>
        </is>
      </c>
      <c r="K1842" t="inlineStr">
        <is>
          <t>Roosevelt, Franklin D. (Franklin Delano), 1882-1945.</t>
        </is>
      </c>
      <c r="L1842" t="inlineStr">
        <is>
          <t>New York : Da Capo Press, 1972-</t>
        </is>
      </c>
      <c r="M1842" t="inlineStr">
        <is>
          <t>1972</t>
        </is>
      </c>
      <c r="O1842" t="inlineStr">
        <is>
          <t>eng</t>
        </is>
      </c>
      <c r="P1842" t="inlineStr">
        <is>
          <t>nyu</t>
        </is>
      </c>
      <c r="R1842" t="inlineStr">
        <is>
          <t xml:space="preserve">E  </t>
        </is>
      </c>
      <c r="S1842" t="n">
        <v>4</v>
      </c>
      <c r="T1842" t="n">
        <v>10</v>
      </c>
      <c r="U1842" t="inlineStr">
        <is>
          <t>2003-04-02</t>
        </is>
      </c>
      <c r="V1842" t="inlineStr">
        <is>
          <t>2010-04-18</t>
        </is>
      </c>
      <c r="W1842" t="inlineStr">
        <is>
          <t>1995-08-21</t>
        </is>
      </c>
      <c r="X1842" t="inlineStr">
        <is>
          <t>1995-08-21</t>
        </is>
      </c>
      <c r="Y1842" t="n">
        <v>325</v>
      </c>
      <c r="Z1842" t="n">
        <v>296</v>
      </c>
      <c r="AA1842" t="n">
        <v>298</v>
      </c>
      <c r="AB1842" t="n">
        <v>2</v>
      </c>
      <c r="AC1842" t="n">
        <v>2</v>
      </c>
      <c r="AD1842" t="n">
        <v>12</v>
      </c>
      <c r="AE1842" t="n">
        <v>12</v>
      </c>
      <c r="AF1842" t="n">
        <v>4</v>
      </c>
      <c r="AG1842" t="n">
        <v>4</v>
      </c>
      <c r="AH1842" t="n">
        <v>5</v>
      </c>
      <c r="AI1842" t="n">
        <v>5</v>
      </c>
      <c r="AJ1842" t="n">
        <v>7</v>
      </c>
      <c r="AK1842" t="n">
        <v>7</v>
      </c>
      <c r="AL1842" t="n">
        <v>1</v>
      </c>
      <c r="AM1842" t="n">
        <v>1</v>
      </c>
      <c r="AN1842" t="n">
        <v>0</v>
      </c>
      <c r="AO1842" t="n">
        <v>0</v>
      </c>
      <c r="AP1842" t="inlineStr">
        <is>
          <t>No</t>
        </is>
      </c>
      <c r="AQ1842" t="inlineStr">
        <is>
          <t>Yes</t>
        </is>
      </c>
      <c r="AR1842">
        <f>HYPERLINK("http://catalog.hathitrust.org/Record/004389998","HathiTrust Record")</f>
        <v/>
      </c>
      <c r="AS1842">
        <f>HYPERLINK("https://creighton-primo.hosted.exlibrisgroup.com/primo-explore/search?tab=default_tab&amp;search_scope=EVERYTHING&amp;vid=01CRU&amp;lang=en_US&amp;offset=0&amp;query=any,contains,991002456929702656","Catalog Record")</f>
        <v/>
      </c>
      <c r="AT1842">
        <f>HYPERLINK("http://www.worldcat.org/oclc/354807","WorldCat Record")</f>
        <v/>
      </c>
      <c r="AU1842" t="inlineStr">
        <is>
          <t>1396330:eng</t>
        </is>
      </c>
      <c r="AV1842" t="inlineStr">
        <is>
          <t>354807</t>
        </is>
      </c>
      <c r="AW1842" t="inlineStr">
        <is>
          <t>991002456929702656</t>
        </is>
      </c>
      <c r="AX1842" t="inlineStr">
        <is>
          <t>991002456929702656</t>
        </is>
      </c>
      <c r="AY1842" t="inlineStr">
        <is>
          <t>2266373840002656</t>
        </is>
      </c>
      <c r="AZ1842" t="inlineStr">
        <is>
          <t>BOOK</t>
        </is>
      </c>
      <c r="BB1842" t="inlineStr">
        <is>
          <t>9780306775000</t>
        </is>
      </c>
      <c r="BC1842" t="inlineStr">
        <is>
          <t>32285002023215</t>
        </is>
      </c>
      <c r="BD1842" t="inlineStr">
        <is>
          <t>893245204</t>
        </is>
      </c>
    </row>
    <row r="1843">
      <c r="A1843" t="inlineStr">
        <is>
          <t>No</t>
        </is>
      </c>
      <c r="B1843" t="inlineStr">
        <is>
          <t>E806 .R7424 1972</t>
        </is>
      </c>
      <c r="C1843" t="inlineStr">
        <is>
          <t>0                      E  0806000R  7424        1972</t>
        </is>
      </c>
      <c r="D1843" t="inlineStr">
        <is>
          <t>Complete presidential press conferences of Franklin D. Roosevelt / introd. by Jonathan Daniels.</t>
        </is>
      </c>
      <c r="E1843" t="inlineStr">
        <is>
          <t>V.23-25</t>
        </is>
      </c>
      <c r="F1843" t="inlineStr">
        <is>
          <t>Yes</t>
        </is>
      </c>
      <c r="G1843" t="inlineStr">
        <is>
          <t>1</t>
        </is>
      </c>
      <c r="H1843" t="inlineStr">
        <is>
          <t>No</t>
        </is>
      </c>
      <c r="I1843" t="inlineStr">
        <is>
          <t>No</t>
        </is>
      </c>
      <c r="J1843" t="inlineStr">
        <is>
          <t>0</t>
        </is>
      </c>
      <c r="K1843" t="inlineStr">
        <is>
          <t>Roosevelt, Franklin D. (Franklin Delano), 1882-1945.</t>
        </is>
      </c>
      <c r="L1843" t="inlineStr">
        <is>
          <t>New York : Da Capo Press, 1972-</t>
        </is>
      </c>
      <c r="M1843" t="inlineStr">
        <is>
          <t>1972</t>
        </is>
      </c>
      <c r="O1843" t="inlineStr">
        <is>
          <t>eng</t>
        </is>
      </c>
      <c r="P1843" t="inlineStr">
        <is>
          <t>nyu</t>
        </is>
      </c>
      <c r="R1843" t="inlineStr">
        <is>
          <t xml:space="preserve">E  </t>
        </is>
      </c>
      <c r="S1843" t="n">
        <v>3</v>
      </c>
      <c r="T1843" t="n">
        <v>10</v>
      </c>
      <c r="U1843" t="inlineStr">
        <is>
          <t>2003-04-02</t>
        </is>
      </c>
      <c r="V1843" t="inlineStr">
        <is>
          <t>2010-04-18</t>
        </is>
      </c>
      <c r="W1843" t="inlineStr">
        <is>
          <t>1995-08-21</t>
        </is>
      </c>
      <c r="X1843" t="inlineStr">
        <is>
          <t>1995-08-21</t>
        </is>
      </c>
      <c r="Y1843" t="n">
        <v>325</v>
      </c>
      <c r="Z1843" t="n">
        <v>296</v>
      </c>
      <c r="AA1843" t="n">
        <v>298</v>
      </c>
      <c r="AB1843" t="n">
        <v>2</v>
      </c>
      <c r="AC1843" t="n">
        <v>2</v>
      </c>
      <c r="AD1843" t="n">
        <v>12</v>
      </c>
      <c r="AE1843" t="n">
        <v>12</v>
      </c>
      <c r="AF1843" t="n">
        <v>4</v>
      </c>
      <c r="AG1843" t="n">
        <v>4</v>
      </c>
      <c r="AH1843" t="n">
        <v>5</v>
      </c>
      <c r="AI1843" t="n">
        <v>5</v>
      </c>
      <c r="AJ1843" t="n">
        <v>7</v>
      </c>
      <c r="AK1843" t="n">
        <v>7</v>
      </c>
      <c r="AL1843" t="n">
        <v>1</v>
      </c>
      <c r="AM1843" t="n">
        <v>1</v>
      </c>
      <c r="AN1843" t="n">
        <v>0</v>
      </c>
      <c r="AO1843" t="n">
        <v>0</v>
      </c>
      <c r="AP1843" t="inlineStr">
        <is>
          <t>No</t>
        </is>
      </c>
      <c r="AQ1843" t="inlineStr">
        <is>
          <t>Yes</t>
        </is>
      </c>
      <c r="AR1843">
        <f>HYPERLINK("http://catalog.hathitrust.org/Record/004389998","HathiTrust Record")</f>
        <v/>
      </c>
      <c r="AS1843">
        <f>HYPERLINK("https://creighton-primo.hosted.exlibrisgroup.com/primo-explore/search?tab=default_tab&amp;search_scope=EVERYTHING&amp;vid=01CRU&amp;lang=en_US&amp;offset=0&amp;query=any,contains,991002456929702656","Catalog Record")</f>
        <v/>
      </c>
      <c r="AT1843">
        <f>HYPERLINK("http://www.worldcat.org/oclc/354807","WorldCat Record")</f>
        <v/>
      </c>
      <c r="AU1843" t="inlineStr">
        <is>
          <t>1396330:eng</t>
        </is>
      </c>
      <c r="AV1843" t="inlineStr">
        <is>
          <t>354807</t>
        </is>
      </c>
      <c r="AW1843" t="inlineStr">
        <is>
          <t>991002456929702656</t>
        </is>
      </c>
      <c r="AX1843" t="inlineStr">
        <is>
          <t>991002456929702656</t>
        </is>
      </c>
      <c r="AY1843" t="inlineStr">
        <is>
          <t>2266373840002656</t>
        </is>
      </c>
      <c r="AZ1843" t="inlineStr">
        <is>
          <t>BOOK</t>
        </is>
      </c>
      <c r="BB1843" t="inlineStr">
        <is>
          <t>9780306775000</t>
        </is>
      </c>
      <c r="BC1843" t="inlineStr">
        <is>
          <t>32285002023249</t>
        </is>
      </c>
      <c r="BD1843" t="inlineStr">
        <is>
          <t>893232975</t>
        </is>
      </c>
    </row>
    <row r="1844">
      <c r="A1844" t="inlineStr">
        <is>
          <t>No</t>
        </is>
      </c>
      <c r="B1844" t="inlineStr">
        <is>
          <t>E806 .R7445 1946</t>
        </is>
      </c>
      <c r="C1844" t="inlineStr">
        <is>
          <t>0                      E  0806000R  7445        1946</t>
        </is>
      </c>
      <c r="D1844" t="inlineStr">
        <is>
          <t>Nothing to fear : the selected addresses of Franklin Delano Roosevelt, 1932-1945 / edited, with an introduction and historical notes, by B.D. Zevin ; foreword by Harry L. Hopkins ...</t>
        </is>
      </c>
      <c r="F1844" t="inlineStr">
        <is>
          <t>No</t>
        </is>
      </c>
      <c r="G1844" t="inlineStr">
        <is>
          <t>1</t>
        </is>
      </c>
      <c r="H1844" t="inlineStr">
        <is>
          <t>No</t>
        </is>
      </c>
      <c r="I1844" t="inlineStr">
        <is>
          <t>No</t>
        </is>
      </c>
      <c r="J1844" t="inlineStr">
        <is>
          <t>0</t>
        </is>
      </c>
      <c r="K1844" t="inlineStr">
        <is>
          <t>Roosevelt, Franklin D. (Franklin Delano), 1882-1945.</t>
        </is>
      </c>
      <c r="L1844" t="inlineStr">
        <is>
          <t>[Boston] : Houghton Mifflin Company, 1946.</t>
        </is>
      </c>
      <c r="M1844" t="inlineStr">
        <is>
          <t>1946</t>
        </is>
      </c>
      <c r="O1844" t="inlineStr">
        <is>
          <t>eng</t>
        </is>
      </c>
      <c r="P1844" t="inlineStr">
        <is>
          <t>mau</t>
        </is>
      </c>
      <c r="R1844" t="inlineStr">
        <is>
          <t xml:space="preserve">E  </t>
        </is>
      </c>
      <c r="S1844" t="n">
        <v>1</v>
      </c>
      <c r="T1844" t="n">
        <v>1</v>
      </c>
      <c r="U1844" t="inlineStr">
        <is>
          <t>1992-01-28</t>
        </is>
      </c>
      <c r="V1844" t="inlineStr">
        <is>
          <t>1992-01-28</t>
        </is>
      </c>
      <c r="W1844" t="inlineStr">
        <is>
          <t>1991-06-06</t>
        </is>
      </c>
      <c r="X1844" t="inlineStr">
        <is>
          <t>1991-06-06</t>
        </is>
      </c>
      <c r="Y1844" t="n">
        <v>740</v>
      </c>
      <c r="Z1844" t="n">
        <v>687</v>
      </c>
      <c r="AA1844" t="n">
        <v>992</v>
      </c>
      <c r="AB1844" t="n">
        <v>3</v>
      </c>
      <c r="AC1844" t="n">
        <v>7</v>
      </c>
      <c r="AD1844" t="n">
        <v>32</v>
      </c>
      <c r="AE1844" t="n">
        <v>50</v>
      </c>
      <c r="AF1844" t="n">
        <v>14</v>
      </c>
      <c r="AG1844" t="n">
        <v>19</v>
      </c>
      <c r="AH1844" t="n">
        <v>6</v>
      </c>
      <c r="AI1844" t="n">
        <v>9</v>
      </c>
      <c r="AJ1844" t="n">
        <v>14</v>
      </c>
      <c r="AK1844" t="n">
        <v>20</v>
      </c>
      <c r="AL1844" t="n">
        <v>1</v>
      </c>
      <c r="AM1844" t="n">
        <v>4</v>
      </c>
      <c r="AN1844" t="n">
        <v>4</v>
      </c>
      <c r="AO1844" t="n">
        <v>9</v>
      </c>
      <c r="AP1844" t="inlineStr">
        <is>
          <t>No</t>
        </is>
      </c>
      <c r="AQ1844" t="inlineStr">
        <is>
          <t>No</t>
        </is>
      </c>
      <c r="AR1844">
        <f>HYPERLINK("http://catalog.hathitrust.org/Record/000469967","HathiTrust Record")</f>
        <v/>
      </c>
      <c r="AS1844">
        <f>HYPERLINK("https://creighton-primo.hosted.exlibrisgroup.com/primo-explore/search?tab=default_tab&amp;search_scope=EVERYTHING&amp;vid=01CRU&amp;lang=en_US&amp;offset=0&amp;query=any,contains,991004228889702656","Catalog Record")</f>
        <v/>
      </c>
      <c r="AT1844">
        <f>HYPERLINK("http://www.worldcat.org/oclc/2739400","WorldCat Record")</f>
        <v/>
      </c>
      <c r="AU1844" t="inlineStr">
        <is>
          <t>5534531442:eng</t>
        </is>
      </c>
      <c r="AV1844" t="inlineStr">
        <is>
          <t>2739400</t>
        </is>
      </c>
      <c r="AW1844" t="inlineStr">
        <is>
          <t>991004228889702656</t>
        </is>
      </c>
      <c r="AX1844" t="inlineStr">
        <is>
          <t>991004228889702656</t>
        </is>
      </c>
      <c r="AY1844" t="inlineStr">
        <is>
          <t>2271973320002656</t>
        </is>
      </c>
      <c r="AZ1844" t="inlineStr">
        <is>
          <t>BOOK</t>
        </is>
      </c>
      <c r="BC1844" t="inlineStr">
        <is>
          <t>32285000614478</t>
        </is>
      </c>
      <c r="BD1844" t="inlineStr">
        <is>
          <t>893235225</t>
        </is>
      </c>
    </row>
    <row r="1845">
      <c r="A1845" t="inlineStr">
        <is>
          <t>No</t>
        </is>
      </c>
      <c r="B1845" t="inlineStr">
        <is>
          <t>E806 .S34</t>
        </is>
      </c>
      <c r="C1845" t="inlineStr">
        <is>
          <t>0                      E  0806000S  34</t>
        </is>
      </c>
      <c r="D1845" t="inlineStr">
        <is>
          <t>The age of Roosevelt.</t>
        </is>
      </c>
      <c r="E1845" t="inlineStr">
        <is>
          <t>V.1</t>
        </is>
      </c>
      <c r="F1845" t="inlineStr">
        <is>
          <t>Yes</t>
        </is>
      </c>
      <c r="G1845" t="inlineStr">
        <is>
          <t>1</t>
        </is>
      </c>
      <c r="H1845" t="inlineStr">
        <is>
          <t>No</t>
        </is>
      </c>
      <c r="I1845" t="inlineStr">
        <is>
          <t>No</t>
        </is>
      </c>
      <c r="J1845" t="inlineStr">
        <is>
          <t>0</t>
        </is>
      </c>
      <c r="K1845" t="inlineStr">
        <is>
          <t>Schlesinger, Arthur M., Jr. (Arthur Meier), 1917-2007.</t>
        </is>
      </c>
      <c r="L1845" t="inlineStr">
        <is>
          <t>Boston, Houghton Mifflin, 1957-</t>
        </is>
      </c>
      <c r="M1845" t="inlineStr">
        <is>
          <t>1957</t>
        </is>
      </c>
      <c r="O1845" t="inlineStr">
        <is>
          <t>eng</t>
        </is>
      </c>
      <c r="P1845" t="inlineStr">
        <is>
          <t>mau</t>
        </is>
      </c>
      <c r="R1845" t="inlineStr">
        <is>
          <t xml:space="preserve">E  </t>
        </is>
      </c>
      <c r="S1845" t="n">
        <v>4</v>
      </c>
      <c r="T1845" t="n">
        <v>7</v>
      </c>
      <c r="U1845" t="inlineStr">
        <is>
          <t>1998-02-04</t>
        </is>
      </c>
      <c r="V1845" t="inlineStr">
        <is>
          <t>1998-02-04</t>
        </is>
      </c>
      <c r="W1845" t="inlineStr">
        <is>
          <t>1993-04-15</t>
        </is>
      </c>
      <c r="X1845" t="inlineStr">
        <is>
          <t>1993-04-15</t>
        </is>
      </c>
      <c r="Y1845" t="n">
        <v>2536</v>
      </c>
      <c r="Z1845" t="n">
        <v>2394</v>
      </c>
      <c r="AA1845" t="n">
        <v>2541</v>
      </c>
      <c r="AB1845" t="n">
        <v>23</v>
      </c>
      <c r="AC1845" t="n">
        <v>23</v>
      </c>
      <c r="AD1845" t="n">
        <v>68</v>
      </c>
      <c r="AE1845" t="n">
        <v>68</v>
      </c>
      <c r="AF1845" t="n">
        <v>27</v>
      </c>
      <c r="AG1845" t="n">
        <v>27</v>
      </c>
      <c r="AH1845" t="n">
        <v>11</v>
      </c>
      <c r="AI1845" t="n">
        <v>11</v>
      </c>
      <c r="AJ1845" t="n">
        <v>24</v>
      </c>
      <c r="AK1845" t="n">
        <v>24</v>
      </c>
      <c r="AL1845" t="n">
        <v>17</v>
      </c>
      <c r="AM1845" t="n">
        <v>17</v>
      </c>
      <c r="AN1845" t="n">
        <v>2</v>
      </c>
      <c r="AO1845" t="n">
        <v>2</v>
      </c>
      <c r="AP1845" t="inlineStr">
        <is>
          <t>No</t>
        </is>
      </c>
      <c r="AQ1845" t="inlineStr">
        <is>
          <t>Yes</t>
        </is>
      </c>
      <c r="AR1845">
        <f>HYPERLINK("http://catalog.hathitrust.org/Record/000006285","HathiTrust Record")</f>
        <v/>
      </c>
      <c r="AS1845">
        <f>HYPERLINK("https://creighton-primo.hosted.exlibrisgroup.com/primo-explore/search?tab=default_tab&amp;search_scope=EVERYTHING&amp;vid=01CRU&amp;lang=en_US&amp;offset=0&amp;query=any,contains,991002821269702656","Catalog Record")</f>
        <v/>
      </c>
      <c r="AT1845">
        <f>HYPERLINK("http://www.worldcat.org/oclc/466716","WorldCat Record")</f>
        <v/>
      </c>
      <c r="AU1845" t="inlineStr">
        <is>
          <t>4757656946:eng</t>
        </is>
      </c>
      <c r="AV1845" t="inlineStr">
        <is>
          <t>466716</t>
        </is>
      </c>
      <c r="AW1845" t="inlineStr">
        <is>
          <t>991002821269702656</t>
        </is>
      </c>
      <c r="AX1845" t="inlineStr">
        <is>
          <t>991002821269702656</t>
        </is>
      </c>
      <c r="AY1845" t="inlineStr">
        <is>
          <t>2259896280002656</t>
        </is>
      </c>
      <c r="AZ1845" t="inlineStr">
        <is>
          <t>BOOK</t>
        </is>
      </c>
      <c r="BC1845" t="inlineStr">
        <is>
          <t>32285001621084</t>
        </is>
      </c>
      <c r="BD1845" t="inlineStr">
        <is>
          <t>893530520</t>
        </is>
      </c>
    </row>
    <row r="1846">
      <c r="A1846" t="inlineStr">
        <is>
          <t>No</t>
        </is>
      </c>
      <c r="B1846" t="inlineStr">
        <is>
          <t>E806 .S34</t>
        </is>
      </c>
      <c r="C1846" t="inlineStr">
        <is>
          <t>0                      E  0806000S  34</t>
        </is>
      </c>
      <c r="D1846" t="inlineStr">
        <is>
          <t>The age of Roosevelt.</t>
        </is>
      </c>
      <c r="E1846" t="inlineStr">
        <is>
          <t>V.2</t>
        </is>
      </c>
      <c r="F1846" t="inlineStr">
        <is>
          <t>Yes</t>
        </is>
      </c>
      <c r="G1846" t="inlineStr">
        <is>
          <t>1</t>
        </is>
      </c>
      <c r="H1846" t="inlineStr">
        <is>
          <t>No</t>
        </is>
      </c>
      <c r="I1846" t="inlineStr">
        <is>
          <t>No</t>
        </is>
      </c>
      <c r="J1846" t="inlineStr">
        <is>
          <t>0</t>
        </is>
      </c>
      <c r="K1846" t="inlineStr">
        <is>
          <t>Schlesinger, Arthur M., Jr. (Arthur Meier), 1917-2007.</t>
        </is>
      </c>
      <c r="L1846" t="inlineStr">
        <is>
          <t>Boston, Houghton Mifflin, 1957-</t>
        </is>
      </c>
      <c r="M1846" t="inlineStr">
        <is>
          <t>1957</t>
        </is>
      </c>
      <c r="O1846" t="inlineStr">
        <is>
          <t>eng</t>
        </is>
      </c>
      <c r="P1846" t="inlineStr">
        <is>
          <t>mau</t>
        </is>
      </c>
      <c r="R1846" t="inlineStr">
        <is>
          <t xml:space="preserve">E  </t>
        </is>
      </c>
      <c r="S1846" t="n">
        <v>3</v>
      </c>
      <c r="T1846" t="n">
        <v>7</v>
      </c>
      <c r="U1846" t="inlineStr">
        <is>
          <t>1993-11-07</t>
        </is>
      </c>
      <c r="V1846" t="inlineStr">
        <is>
          <t>1998-02-04</t>
        </is>
      </c>
      <c r="W1846" t="inlineStr">
        <is>
          <t>1992-02-19</t>
        </is>
      </c>
      <c r="X1846" t="inlineStr">
        <is>
          <t>1993-04-15</t>
        </is>
      </c>
      <c r="Y1846" t="n">
        <v>2536</v>
      </c>
      <c r="Z1846" t="n">
        <v>2394</v>
      </c>
      <c r="AA1846" t="n">
        <v>2541</v>
      </c>
      <c r="AB1846" t="n">
        <v>23</v>
      </c>
      <c r="AC1846" t="n">
        <v>23</v>
      </c>
      <c r="AD1846" t="n">
        <v>68</v>
      </c>
      <c r="AE1846" t="n">
        <v>68</v>
      </c>
      <c r="AF1846" t="n">
        <v>27</v>
      </c>
      <c r="AG1846" t="n">
        <v>27</v>
      </c>
      <c r="AH1846" t="n">
        <v>11</v>
      </c>
      <c r="AI1846" t="n">
        <v>11</v>
      </c>
      <c r="AJ1846" t="n">
        <v>24</v>
      </c>
      <c r="AK1846" t="n">
        <v>24</v>
      </c>
      <c r="AL1846" t="n">
        <v>17</v>
      </c>
      <c r="AM1846" t="n">
        <v>17</v>
      </c>
      <c r="AN1846" t="n">
        <v>2</v>
      </c>
      <c r="AO1846" t="n">
        <v>2</v>
      </c>
      <c r="AP1846" t="inlineStr">
        <is>
          <t>No</t>
        </is>
      </c>
      <c r="AQ1846" t="inlineStr">
        <is>
          <t>Yes</t>
        </is>
      </c>
      <c r="AR1846">
        <f>HYPERLINK("http://catalog.hathitrust.org/Record/000006285","HathiTrust Record")</f>
        <v/>
      </c>
      <c r="AS1846">
        <f>HYPERLINK("https://creighton-primo.hosted.exlibrisgroup.com/primo-explore/search?tab=default_tab&amp;search_scope=EVERYTHING&amp;vid=01CRU&amp;lang=en_US&amp;offset=0&amp;query=any,contains,991002821269702656","Catalog Record")</f>
        <v/>
      </c>
      <c r="AT1846">
        <f>HYPERLINK("http://www.worldcat.org/oclc/466716","WorldCat Record")</f>
        <v/>
      </c>
      <c r="AU1846" t="inlineStr">
        <is>
          <t>4757656946:eng</t>
        </is>
      </c>
      <c r="AV1846" t="inlineStr">
        <is>
          <t>466716</t>
        </is>
      </c>
      <c r="AW1846" t="inlineStr">
        <is>
          <t>991002821269702656</t>
        </is>
      </c>
      <c r="AX1846" t="inlineStr">
        <is>
          <t>991002821269702656</t>
        </is>
      </c>
      <c r="AY1846" t="inlineStr">
        <is>
          <t>2259896280002656</t>
        </is>
      </c>
      <c r="AZ1846" t="inlineStr">
        <is>
          <t>BOOK</t>
        </is>
      </c>
      <c r="BC1846" t="inlineStr">
        <is>
          <t>32285000947878</t>
        </is>
      </c>
      <c r="BD1846" t="inlineStr">
        <is>
          <t>893511236</t>
        </is>
      </c>
    </row>
    <row r="1847">
      <c r="A1847" t="inlineStr">
        <is>
          <t>No</t>
        </is>
      </c>
      <c r="B1847" t="inlineStr">
        <is>
          <t>E806 .S34</t>
        </is>
      </c>
      <c r="C1847" t="inlineStr">
        <is>
          <t>0                      E  0806000S  34</t>
        </is>
      </c>
      <c r="D1847" t="inlineStr">
        <is>
          <t>The age of Roosevelt.</t>
        </is>
      </c>
      <c r="E1847" t="inlineStr">
        <is>
          <t>V.3</t>
        </is>
      </c>
      <c r="F1847" t="inlineStr">
        <is>
          <t>Yes</t>
        </is>
      </c>
      <c r="G1847" t="inlineStr">
        <is>
          <t>1</t>
        </is>
      </c>
      <c r="H1847" t="inlineStr">
        <is>
          <t>No</t>
        </is>
      </c>
      <c r="I1847" t="inlineStr">
        <is>
          <t>No</t>
        </is>
      </c>
      <c r="J1847" t="inlineStr">
        <is>
          <t>0</t>
        </is>
      </c>
      <c r="K1847" t="inlineStr">
        <is>
          <t>Schlesinger, Arthur M., Jr. (Arthur Meier), 1917-2007.</t>
        </is>
      </c>
      <c r="L1847" t="inlineStr">
        <is>
          <t>Boston, Houghton Mifflin, 1957-</t>
        </is>
      </c>
      <c r="M1847" t="inlineStr">
        <is>
          <t>1957</t>
        </is>
      </c>
      <c r="O1847" t="inlineStr">
        <is>
          <t>eng</t>
        </is>
      </c>
      <c r="P1847" t="inlineStr">
        <is>
          <t>mau</t>
        </is>
      </c>
      <c r="R1847" t="inlineStr">
        <is>
          <t xml:space="preserve">E  </t>
        </is>
      </c>
      <c r="S1847" t="n">
        <v>0</v>
      </c>
      <c r="T1847" t="n">
        <v>7</v>
      </c>
      <c r="V1847" t="inlineStr">
        <is>
          <t>1998-02-04</t>
        </is>
      </c>
      <c r="W1847" t="inlineStr">
        <is>
          <t>1993-04-15</t>
        </is>
      </c>
      <c r="X1847" t="inlineStr">
        <is>
          <t>1993-04-15</t>
        </is>
      </c>
      <c r="Y1847" t="n">
        <v>2536</v>
      </c>
      <c r="Z1847" t="n">
        <v>2394</v>
      </c>
      <c r="AA1847" t="n">
        <v>2541</v>
      </c>
      <c r="AB1847" t="n">
        <v>23</v>
      </c>
      <c r="AC1847" t="n">
        <v>23</v>
      </c>
      <c r="AD1847" t="n">
        <v>68</v>
      </c>
      <c r="AE1847" t="n">
        <v>68</v>
      </c>
      <c r="AF1847" t="n">
        <v>27</v>
      </c>
      <c r="AG1847" t="n">
        <v>27</v>
      </c>
      <c r="AH1847" t="n">
        <v>11</v>
      </c>
      <c r="AI1847" t="n">
        <v>11</v>
      </c>
      <c r="AJ1847" t="n">
        <v>24</v>
      </c>
      <c r="AK1847" t="n">
        <v>24</v>
      </c>
      <c r="AL1847" t="n">
        <v>17</v>
      </c>
      <c r="AM1847" t="n">
        <v>17</v>
      </c>
      <c r="AN1847" t="n">
        <v>2</v>
      </c>
      <c r="AO1847" t="n">
        <v>2</v>
      </c>
      <c r="AP1847" t="inlineStr">
        <is>
          <t>No</t>
        </is>
      </c>
      <c r="AQ1847" t="inlineStr">
        <is>
          <t>Yes</t>
        </is>
      </c>
      <c r="AR1847">
        <f>HYPERLINK("http://catalog.hathitrust.org/Record/000006285","HathiTrust Record")</f>
        <v/>
      </c>
      <c r="AS1847">
        <f>HYPERLINK("https://creighton-primo.hosted.exlibrisgroup.com/primo-explore/search?tab=default_tab&amp;search_scope=EVERYTHING&amp;vid=01CRU&amp;lang=en_US&amp;offset=0&amp;query=any,contains,991002821269702656","Catalog Record")</f>
        <v/>
      </c>
      <c r="AT1847">
        <f>HYPERLINK("http://www.worldcat.org/oclc/466716","WorldCat Record")</f>
        <v/>
      </c>
      <c r="AU1847" t="inlineStr">
        <is>
          <t>4757656946:eng</t>
        </is>
      </c>
      <c r="AV1847" t="inlineStr">
        <is>
          <t>466716</t>
        </is>
      </c>
      <c r="AW1847" t="inlineStr">
        <is>
          <t>991002821269702656</t>
        </is>
      </c>
      <c r="AX1847" t="inlineStr">
        <is>
          <t>991002821269702656</t>
        </is>
      </c>
      <c r="AY1847" t="inlineStr">
        <is>
          <t>2259896280002656</t>
        </is>
      </c>
      <c r="AZ1847" t="inlineStr">
        <is>
          <t>BOOK</t>
        </is>
      </c>
      <c r="BC1847" t="inlineStr">
        <is>
          <t>32285001621092</t>
        </is>
      </c>
      <c r="BD1847" t="inlineStr">
        <is>
          <t>893530519</t>
        </is>
      </c>
    </row>
    <row r="1848">
      <c r="A1848" t="inlineStr">
        <is>
          <t>No</t>
        </is>
      </c>
      <c r="B1848" t="inlineStr">
        <is>
          <t>E806 .S684 1992</t>
        </is>
      </c>
      <c r="C1848" t="inlineStr">
        <is>
          <t>0                      E  0806000S  684         1992</t>
        </is>
      </c>
      <c r="D1848" t="inlineStr">
        <is>
          <t>To save a nation : American extremism, the New Deal, and the coming of World War II / Geoffrey S. Smith ; with a new epilogue by the author.</t>
        </is>
      </c>
      <c r="F1848" t="inlineStr">
        <is>
          <t>No</t>
        </is>
      </c>
      <c r="G1848" t="inlineStr">
        <is>
          <t>1</t>
        </is>
      </c>
      <c r="H1848" t="inlineStr">
        <is>
          <t>No</t>
        </is>
      </c>
      <c r="I1848" t="inlineStr">
        <is>
          <t>No</t>
        </is>
      </c>
      <c r="J1848" t="inlineStr">
        <is>
          <t>0</t>
        </is>
      </c>
      <c r="K1848" t="inlineStr">
        <is>
          <t>Smith, Geoffrey S.</t>
        </is>
      </c>
      <c r="L1848" t="inlineStr">
        <is>
          <t>Chicago : I.R. Dee, c1992.</t>
        </is>
      </c>
      <c r="M1848" t="inlineStr">
        <is>
          <t>1992</t>
        </is>
      </c>
      <c r="N1848" t="inlineStr">
        <is>
          <t>Rev. ed.</t>
        </is>
      </c>
      <c r="O1848" t="inlineStr">
        <is>
          <t>eng</t>
        </is>
      </c>
      <c r="P1848" t="inlineStr">
        <is>
          <t>ilu</t>
        </is>
      </c>
      <c r="R1848" t="inlineStr">
        <is>
          <t xml:space="preserve">E  </t>
        </is>
      </c>
      <c r="S1848" t="n">
        <v>9</v>
      </c>
      <c r="T1848" t="n">
        <v>9</v>
      </c>
      <c r="U1848" t="inlineStr">
        <is>
          <t>1999-03-03</t>
        </is>
      </c>
      <c r="V1848" t="inlineStr">
        <is>
          <t>1999-03-03</t>
        </is>
      </c>
      <c r="W1848" t="inlineStr">
        <is>
          <t>1993-11-15</t>
        </is>
      </c>
      <c r="X1848" t="inlineStr">
        <is>
          <t>1993-11-15</t>
        </is>
      </c>
      <c r="Y1848" t="n">
        <v>139</v>
      </c>
      <c r="Z1848" t="n">
        <v>129</v>
      </c>
      <c r="AA1848" t="n">
        <v>155</v>
      </c>
      <c r="AB1848" t="n">
        <v>2</v>
      </c>
      <c r="AC1848" t="n">
        <v>2</v>
      </c>
      <c r="AD1848" t="n">
        <v>7</v>
      </c>
      <c r="AE1848" t="n">
        <v>9</v>
      </c>
      <c r="AF1848" t="n">
        <v>4</v>
      </c>
      <c r="AG1848" t="n">
        <v>4</v>
      </c>
      <c r="AH1848" t="n">
        <v>1</v>
      </c>
      <c r="AI1848" t="n">
        <v>3</v>
      </c>
      <c r="AJ1848" t="n">
        <v>4</v>
      </c>
      <c r="AK1848" t="n">
        <v>5</v>
      </c>
      <c r="AL1848" t="n">
        <v>1</v>
      </c>
      <c r="AM1848" t="n">
        <v>1</v>
      </c>
      <c r="AN1848" t="n">
        <v>0</v>
      </c>
      <c r="AO1848" t="n">
        <v>0</v>
      </c>
      <c r="AP1848" t="inlineStr">
        <is>
          <t>No</t>
        </is>
      </c>
      <c r="AQ1848" t="inlineStr">
        <is>
          <t>Yes</t>
        </is>
      </c>
      <c r="AR1848">
        <f>HYPERLINK("http://catalog.hathitrust.org/Record/002593381","HathiTrust Record")</f>
        <v/>
      </c>
      <c r="AS1848">
        <f>HYPERLINK("https://creighton-primo.hosted.exlibrisgroup.com/primo-explore/search?tab=default_tab&amp;search_scope=EVERYTHING&amp;vid=01CRU&amp;lang=en_US&amp;offset=0&amp;query=any,contains,991002024879702656","Catalog Record")</f>
        <v/>
      </c>
      <c r="AT1848">
        <f>HYPERLINK("http://www.worldcat.org/oclc/25748185","WorldCat Record")</f>
        <v/>
      </c>
      <c r="AU1848" t="inlineStr">
        <is>
          <t>29125596:eng</t>
        </is>
      </c>
      <c r="AV1848" t="inlineStr">
        <is>
          <t>25748185</t>
        </is>
      </c>
      <c r="AW1848" t="inlineStr">
        <is>
          <t>991002024879702656</t>
        </is>
      </c>
      <c r="AX1848" t="inlineStr">
        <is>
          <t>991002024879702656</t>
        </is>
      </c>
      <c r="AY1848" t="inlineStr">
        <is>
          <t>2272082950002656</t>
        </is>
      </c>
      <c r="AZ1848" t="inlineStr">
        <is>
          <t>BOOK</t>
        </is>
      </c>
      <c r="BB1848" t="inlineStr">
        <is>
          <t>9780929587974</t>
        </is>
      </c>
      <c r="BC1848" t="inlineStr">
        <is>
          <t>32285001811297</t>
        </is>
      </c>
      <c r="BD1848" t="inlineStr">
        <is>
          <t>893615603</t>
        </is>
      </c>
    </row>
    <row r="1849">
      <c r="A1849" t="inlineStr">
        <is>
          <t>No</t>
        </is>
      </c>
      <c r="B1849" t="inlineStr">
        <is>
          <t>E806 .T3</t>
        </is>
      </c>
      <c r="C1849" t="inlineStr">
        <is>
          <t>0                      E  0806000T  3</t>
        </is>
      </c>
      <c r="D1849" t="inlineStr">
        <is>
          <t>Back door to war; the Roosevelt foreign policy, 1933-1941.</t>
        </is>
      </c>
      <c r="F1849" t="inlineStr">
        <is>
          <t>No</t>
        </is>
      </c>
      <c r="G1849" t="inlineStr">
        <is>
          <t>1</t>
        </is>
      </c>
      <c r="H1849" t="inlineStr">
        <is>
          <t>No</t>
        </is>
      </c>
      <c r="I1849" t="inlineStr">
        <is>
          <t>No</t>
        </is>
      </c>
      <c r="J1849" t="inlineStr">
        <is>
          <t>0</t>
        </is>
      </c>
      <c r="K1849" t="inlineStr">
        <is>
          <t>Tansill, Charles Callan, 1890-1964.</t>
        </is>
      </c>
      <c r="L1849" t="inlineStr">
        <is>
          <t>Chicago, H. Regnery Co. [1952]</t>
        </is>
      </c>
      <c r="M1849" t="inlineStr">
        <is>
          <t>1952</t>
        </is>
      </c>
      <c r="N1849" t="inlineStr">
        <is>
          <t>[1st ed.]</t>
        </is>
      </c>
      <c r="O1849" t="inlineStr">
        <is>
          <t>eng</t>
        </is>
      </c>
      <c r="P1849" t="inlineStr">
        <is>
          <t>ilu</t>
        </is>
      </c>
      <c r="R1849" t="inlineStr">
        <is>
          <t xml:space="preserve">E  </t>
        </is>
      </c>
      <c r="S1849" t="n">
        <v>4</v>
      </c>
      <c r="T1849" t="n">
        <v>4</v>
      </c>
      <c r="U1849" t="inlineStr">
        <is>
          <t>2001-06-17</t>
        </is>
      </c>
      <c r="V1849" t="inlineStr">
        <is>
          <t>2001-06-17</t>
        </is>
      </c>
      <c r="W1849" t="inlineStr">
        <is>
          <t>1997-04-28</t>
        </is>
      </c>
      <c r="X1849" t="inlineStr">
        <is>
          <t>1997-04-28</t>
        </is>
      </c>
      <c r="Y1849" t="n">
        <v>1236</v>
      </c>
      <c r="Z1849" t="n">
        <v>1128</v>
      </c>
      <c r="AA1849" t="n">
        <v>1321</v>
      </c>
      <c r="AB1849" t="n">
        <v>12</v>
      </c>
      <c r="AC1849" t="n">
        <v>15</v>
      </c>
      <c r="AD1849" t="n">
        <v>52</v>
      </c>
      <c r="AE1849" t="n">
        <v>62</v>
      </c>
      <c r="AF1849" t="n">
        <v>20</v>
      </c>
      <c r="AG1849" t="n">
        <v>23</v>
      </c>
      <c r="AH1849" t="n">
        <v>9</v>
      </c>
      <c r="AI1849" t="n">
        <v>10</v>
      </c>
      <c r="AJ1849" t="n">
        <v>21</v>
      </c>
      <c r="AK1849" t="n">
        <v>22</v>
      </c>
      <c r="AL1849" t="n">
        <v>10</v>
      </c>
      <c r="AM1849" t="n">
        <v>12</v>
      </c>
      <c r="AN1849" t="n">
        <v>0</v>
      </c>
      <c r="AO1849" t="n">
        <v>5</v>
      </c>
      <c r="AP1849" t="inlineStr">
        <is>
          <t>Yes</t>
        </is>
      </c>
      <c r="AQ1849" t="inlineStr">
        <is>
          <t>No</t>
        </is>
      </c>
      <c r="AR1849">
        <f>HYPERLINK("http://catalog.hathitrust.org/Record/000468622","HathiTrust Record")</f>
        <v/>
      </c>
      <c r="AS1849">
        <f>HYPERLINK("https://creighton-primo.hosted.exlibrisgroup.com/primo-explore/search?tab=default_tab&amp;search_scope=EVERYTHING&amp;vid=01CRU&amp;lang=en_US&amp;offset=0&amp;query=any,contains,991002819419702656","Catalog Record")</f>
        <v/>
      </c>
      <c r="AT1849">
        <f>HYPERLINK("http://www.worldcat.org/oclc/466306","WorldCat Record")</f>
        <v/>
      </c>
      <c r="AU1849" t="inlineStr">
        <is>
          <t>501250:eng</t>
        </is>
      </c>
      <c r="AV1849" t="inlineStr">
        <is>
          <t>466306</t>
        </is>
      </c>
      <c r="AW1849" t="inlineStr">
        <is>
          <t>991002819419702656</t>
        </is>
      </c>
      <c r="AX1849" t="inlineStr">
        <is>
          <t>991002819419702656</t>
        </is>
      </c>
      <c r="AY1849" t="inlineStr">
        <is>
          <t>2259789070002656</t>
        </is>
      </c>
      <c r="AZ1849" t="inlineStr">
        <is>
          <t>BOOK</t>
        </is>
      </c>
      <c r="BC1849" t="inlineStr">
        <is>
          <t>32285002566403</t>
        </is>
      </c>
      <c r="BD1849" t="inlineStr">
        <is>
          <t>893591822</t>
        </is>
      </c>
    </row>
    <row r="1850">
      <c r="A1850" t="inlineStr">
        <is>
          <t>No</t>
        </is>
      </c>
      <c r="B1850" t="inlineStr">
        <is>
          <t>E806 .T83</t>
        </is>
      </c>
      <c r="C1850" t="inlineStr">
        <is>
          <t>0                      E  0806000T  83</t>
        </is>
      </c>
      <c r="D1850" t="inlineStr">
        <is>
          <t>Roosevelt's revolution : the first year, a personal perspective / Rexford G. Tugwell.</t>
        </is>
      </c>
      <c r="F1850" t="inlineStr">
        <is>
          <t>No</t>
        </is>
      </c>
      <c r="G1850" t="inlineStr">
        <is>
          <t>1</t>
        </is>
      </c>
      <c r="H1850" t="inlineStr">
        <is>
          <t>No</t>
        </is>
      </c>
      <c r="I1850" t="inlineStr">
        <is>
          <t>No</t>
        </is>
      </c>
      <c r="J1850" t="inlineStr">
        <is>
          <t>0</t>
        </is>
      </c>
      <c r="K1850" t="inlineStr">
        <is>
          <t>Tugwell, Rexford G. (Rexford Guy), 1891-1979.</t>
        </is>
      </c>
      <c r="L1850" t="inlineStr">
        <is>
          <t>New York : Macmillan, c1977.</t>
        </is>
      </c>
      <c r="M1850" t="inlineStr">
        <is>
          <t>1976</t>
        </is>
      </c>
      <c r="O1850" t="inlineStr">
        <is>
          <t>eng</t>
        </is>
      </c>
      <c r="P1850" t="inlineStr">
        <is>
          <t>nyu</t>
        </is>
      </c>
      <c r="R1850" t="inlineStr">
        <is>
          <t xml:space="preserve">E  </t>
        </is>
      </c>
      <c r="S1850" t="n">
        <v>3</v>
      </c>
      <c r="T1850" t="n">
        <v>3</v>
      </c>
      <c r="U1850" t="inlineStr">
        <is>
          <t>1992-03-24</t>
        </is>
      </c>
      <c r="V1850" t="inlineStr">
        <is>
          <t>1992-03-24</t>
        </is>
      </c>
      <c r="W1850" t="inlineStr">
        <is>
          <t>1990-06-21</t>
        </is>
      </c>
      <c r="X1850" t="inlineStr">
        <is>
          <t>1990-06-21</t>
        </is>
      </c>
      <c r="Y1850" t="n">
        <v>772</v>
      </c>
      <c r="Z1850" t="n">
        <v>706</v>
      </c>
      <c r="AA1850" t="n">
        <v>716</v>
      </c>
      <c r="AB1850" t="n">
        <v>5</v>
      </c>
      <c r="AC1850" t="n">
        <v>5</v>
      </c>
      <c r="AD1850" t="n">
        <v>26</v>
      </c>
      <c r="AE1850" t="n">
        <v>26</v>
      </c>
      <c r="AF1850" t="n">
        <v>9</v>
      </c>
      <c r="AG1850" t="n">
        <v>9</v>
      </c>
      <c r="AH1850" t="n">
        <v>8</v>
      </c>
      <c r="AI1850" t="n">
        <v>8</v>
      </c>
      <c r="AJ1850" t="n">
        <v>13</v>
      </c>
      <c r="AK1850" t="n">
        <v>13</v>
      </c>
      <c r="AL1850" t="n">
        <v>3</v>
      </c>
      <c r="AM1850" t="n">
        <v>3</v>
      </c>
      <c r="AN1850" t="n">
        <v>0</v>
      </c>
      <c r="AO1850" t="n">
        <v>0</v>
      </c>
      <c r="AP1850" t="inlineStr">
        <is>
          <t>No</t>
        </is>
      </c>
      <c r="AQ1850" t="inlineStr">
        <is>
          <t>Yes</t>
        </is>
      </c>
      <c r="AR1850">
        <f>HYPERLINK("http://catalog.hathitrust.org/Record/000740324","HathiTrust Record")</f>
        <v/>
      </c>
      <c r="AS1850">
        <f>HYPERLINK("https://creighton-primo.hosted.exlibrisgroup.com/primo-explore/search?tab=default_tab&amp;search_scope=EVERYTHING&amp;vid=01CRU&amp;lang=en_US&amp;offset=0&amp;query=any,contains,991004084499702656","Catalog Record")</f>
        <v/>
      </c>
      <c r="AT1850">
        <f>HYPERLINK("http://www.worldcat.org/oclc/2331729","WorldCat Record")</f>
        <v/>
      </c>
      <c r="AU1850" t="inlineStr">
        <is>
          <t>117976855:eng</t>
        </is>
      </c>
      <c r="AV1850" t="inlineStr">
        <is>
          <t>2331729</t>
        </is>
      </c>
      <c r="AW1850" t="inlineStr">
        <is>
          <t>991004084499702656</t>
        </is>
      </c>
      <c r="AX1850" t="inlineStr">
        <is>
          <t>991004084499702656</t>
        </is>
      </c>
      <c r="AY1850" t="inlineStr">
        <is>
          <t>2264266940002656</t>
        </is>
      </c>
      <c r="AZ1850" t="inlineStr">
        <is>
          <t>BOOK</t>
        </is>
      </c>
      <c r="BB1850" t="inlineStr">
        <is>
          <t>9780026203708</t>
        </is>
      </c>
      <c r="BC1850" t="inlineStr">
        <is>
          <t>32285000211044</t>
        </is>
      </c>
      <c r="BD1850" t="inlineStr">
        <is>
          <t>893253222</t>
        </is>
      </c>
    </row>
    <row r="1851">
      <c r="A1851" t="inlineStr">
        <is>
          <t>No</t>
        </is>
      </c>
      <c r="B1851" t="inlineStr">
        <is>
          <t>E806 .W43</t>
        </is>
      </c>
      <c r="C1851" t="inlineStr">
        <is>
          <t>0                      E  0806000W  43</t>
        </is>
      </c>
      <c r="D1851" t="inlineStr">
        <is>
          <t>The age of the great depression, 1929-1941.</t>
        </is>
      </c>
      <c r="F1851" t="inlineStr">
        <is>
          <t>No</t>
        </is>
      </c>
      <c r="G1851" t="inlineStr">
        <is>
          <t>1</t>
        </is>
      </c>
      <c r="H1851" t="inlineStr">
        <is>
          <t>No</t>
        </is>
      </c>
      <c r="I1851" t="inlineStr">
        <is>
          <t>No</t>
        </is>
      </c>
      <c r="J1851" t="inlineStr">
        <is>
          <t>0</t>
        </is>
      </c>
      <c r="K1851" t="inlineStr">
        <is>
          <t>Wecter, Dixon, 1906-1950.</t>
        </is>
      </c>
      <c r="L1851" t="inlineStr">
        <is>
          <t>New York, Macmillan, 1948.</t>
        </is>
      </c>
      <c r="M1851" t="inlineStr">
        <is>
          <t>1948</t>
        </is>
      </c>
      <c r="O1851" t="inlineStr">
        <is>
          <t>eng</t>
        </is>
      </c>
      <c r="P1851" t="inlineStr">
        <is>
          <t>nyu</t>
        </is>
      </c>
      <c r="Q1851" t="inlineStr">
        <is>
          <t>A history of American life. vol. XIII</t>
        </is>
      </c>
      <c r="R1851" t="inlineStr">
        <is>
          <t xml:space="preserve">E  </t>
        </is>
      </c>
      <c r="S1851" t="n">
        <v>6</v>
      </c>
      <c r="T1851" t="n">
        <v>6</v>
      </c>
      <c r="U1851" t="inlineStr">
        <is>
          <t>1998-03-23</t>
        </is>
      </c>
      <c r="V1851" t="inlineStr">
        <is>
          <t>1998-03-23</t>
        </is>
      </c>
      <c r="W1851" t="inlineStr">
        <is>
          <t>1997-04-28</t>
        </is>
      </c>
      <c r="X1851" t="inlineStr">
        <is>
          <t>1997-04-28</t>
        </is>
      </c>
      <c r="Y1851" t="n">
        <v>792</v>
      </c>
      <c r="Z1851" t="n">
        <v>697</v>
      </c>
      <c r="AA1851" t="n">
        <v>1823</v>
      </c>
      <c r="AB1851" t="n">
        <v>8</v>
      </c>
      <c r="AC1851" t="n">
        <v>18</v>
      </c>
      <c r="AD1851" t="n">
        <v>20</v>
      </c>
      <c r="AE1851" t="n">
        <v>57</v>
      </c>
      <c r="AF1851" t="n">
        <v>10</v>
      </c>
      <c r="AG1851" t="n">
        <v>25</v>
      </c>
      <c r="AH1851" t="n">
        <v>3</v>
      </c>
      <c r="AI1851" t="n">
        <v>8</v>
      </c>
      <c r="AJ1851" t="n">
        <v>6</v>
      </c>
      <c r="AK1851" t="n">
        <v>24</v>
      </c>
      <c r="AL1851" t="n">
        <v>5</v>
      </c>
      <c r="AM1851" t="n">
        <v>11</v>
      </c>
      <c r="AN1851" t="n">
        <v>0</v>
      </c>
      <c r="AO1851" t="n">
        <v>1</v>
      </c>
      <c r="AP1851" t="inlineStr">
        <is>
          <t>No</t>
        </is>
      </c>
      <c r="AQ1851" t="inlineStr">
        <is>
          <t>Yes</t>
        </is>
      </c>
      <c r="AR1851">
        <f>HYPERLINK("http://catalog.hathitrust.org/Record/000580170","HathiTrust Record")</f>
        <v/>
      </c>
      <c r="AS1851">
        <f>HYPERLINK("https://creighton-primo.hosted.exlibrisgroup.com/primo-explore/search?tab=default_tab&amp;search_scope=EVERYTHING&amp;vid=01CRU&amp;lang=en_US&amp;offset=0&amp;query=any,contains,991002533689702656","Catalog Record")</f>
        <v/>
      </c>
      <c r="AT1851">
        <f>HYPERLINK("http://www.worldcat.org/oclc/367315","WorldCat Record")</f>
        <v/>
      </c>
      <c r="AU1851" t="inlineStr">
        <is>
          <t>1430670:eng</t>
        </is>
      </c>
      <c r="AV1851" t="inlineStr">
        <is>
          <t>367315</t>
        </is>
      </c>
      <c r="AW1851" t="inlineStr">
        <is>
          <t>991002533689702656</t>
        </is>
      </c>
      <c r="AX1851" t="inlineStr">
        <is>
          <t>991002533689702656</t>
        </is>
      </c>
      <c r="AY1851" t="inlineStr">
        <is>
          <t>2265016300002656</t>
        </is>
      </c>
      <c r="AZ1851" t="inlineStr">
        <is>
          <t>BOOK</t>
        </is>
      </c>
      <c r="BC1851" t="inlineStr">
        <is>
          <t>32285002566452</t>
        </is>
      </c>
      <c r="BD1851" t="inlineStr">
        <is>
          <t>893892680</t>
        </is>
      </c>
    </row>
    <row r="1852">
      <c r="A1852" t="inlineStr">
        <is>
          <t>No</t>
        </is>
      </c>
      <c r="B1852" t="inlineStr">
        <is>
          <t>E807 .A4 1975</t>
        </is>
      </c>
      <c r="C1852" t="inlineStr">
        <is>
          <t>0                      E  0807000A  4           1975</t>
        </is>
      </c>
      <c r="D1852" t="inlineStr">
        <is>
          <t>Roosevelt and Churchill : their secret wartime correspondence / edited by Francis L. Loewenheim, Harold D. Langley [and] Manfred Jonas.</t>
        </is>
      </c>
      <c r="F1852" t="inlineStr">
        <is>
          <t>No</t>
        </is>
      </c>
      <c r="G1852" t="inlineStr">
        <is>
          <t>1</t>
        </is>
      </c>
      <c r="H1852" t="inlineStr">
        <is>
          <t>No</t>
        </is>
      </c>
      <c r="I1852" t="inlineStr">
        <is>
          <t>No</t>
        </is>
      </c>
      <c r="J1852" t="inlineStr">
        <is>
          <t>0</t>
        </is>
      </c>
      <c r="K1852" t="inlineStr">
        <is>
          <t>Roosevelt, Franklin D. (Franklin Delano), 1882-1945.</t>
        </is>
      </c>
      <c r="L1852" t="inlineStr">
        <is>
          <t>New York : Saturday Review Press, 1975.</t>
        </is>
      </c>
      <c r="M1852" t="inlineStr">
        <is>
          <t>1975</t>
        </is>
      </c>
      <c r="N1852" t="inlineStr">
        <is>
          <t>[1st ed.]</t>
        </is>
      </c>
      <c r="O1852" t="inlineStr">
        <is>
          <t>eng</t>
        </is>
      </c>
      <c r="P1852" t="inlineStr">
        <is>
          <t>nyu</t>
        </is>
      </c>
      <c r="R1852" t="inlineStr">
        <is>
          <t xml:space="preserve">E  </t>
        </is>
      </c>
      <c r="S1852" t="n">
        <v>3</v>
      </c>
      <c r="T1852" t="n">
        <v>3</v>
      </c>
      <c r="U1852" t="inlineStr">
        <is>
          <t>1994-10-18</t>
        </is>
      </c>
      <c r="V1852" t="inlineStr">
        <is>
          <t>1994-10-18</t>
        </is>
      </c>
      <c r="W1852" t="inlineStr">
        <is>
          <t>1993-12-22</t>
        </is>
      </c>
      <c r="X1852" t="inlineStr">
        <is>
          <t>1993-12-22</t>
        </is>
      </c>
      <c r="Y1852" t="n">
        <v>1604</v>
      </c>
      <c r="Z1852" t="n">
        <v>1465</v>
      </c>
      <c r="AA1852" t="n">
        <v>1574</v>
      </c>
      <c r="AB1852" t="n">
        <v>13</v>
      </c>
      <c r="AC1852" t="n">
        <v>14</v>
      </c>
      <c r="AD1852" t="n">
        <v>53</v>
      </c>
      <c r="AE1852" t="n">
        <v>57</v>
      </c>
      <c r="AF1852" t="n">
        <v>22</v>
      </c>
      <c r="AG1852" t="n">
        <v>23</v>
      </c>
      <c r="AH1852" t="n">
        <v>9</v>
      </c>
      <c r="AI1852" t="n">
        <v>10</v>
      </c>
      <c r="AJ1852" t="n">
        <v>20</v>
      </c>
      <c r="AK1852" t="n">
        <v>23</v>
      </c>
      <c r="AL1852" t="n">
        <v>10</v>
      </c>
      <c r="AM1852" t="n">
        <v>11</v>
      </c>
      <c r="AN1852" t="n">
        <v>1</v>
      </c>
      <c r="AO1852" t="n">
        <v>1</v>
      </c>
      <c r="AP1852" t="inlineStr">
        <is>
          <t>No</t>
        </is>
      </c>
      <c r="AQ1852" t="inlineStr">
        <is>
          <t>Yes</t>
        </is>
      </c>
      <c r="AR1852">
        <f>HYPERLINK("http://catalog.hathitrust.org/Record/000469997","HathiTrust Record")</f>
        <v/>
      </c>
      <c r="AS1852">
        <f>HYPERLINK("https://creighton-primo.hosted.exlibrisgroup.com/primo-explore/search?tab=default_tab&amp;search_scope=EVERYTHING&amp;vid=01CRU&amp;lang=en_US&amp;offset=0&amp;query=any,contains,991003467979702656","Catalog Record")</f>
        <v/>
      </c>
      <c r="AT1852">
        <f>HYPERLINK("http://www.worldcat.org/oclc/1009433","WorldCat Record")</f>
        <v/>
      </c>
      <c r="AU1852" t="inlineStr">
        <is>
          <t>9437907951:eng</t>
        </is>
      </c>
      <c r="AV1852" t="inlineStr">
        <is>
          <t>1009433</t>
        </is>
      </c>
      <c r="AW1852" t="inlineStr">
        <is>
          <t>991003467979702656</t>
        </is>
      </c>
      <c r="AX1852" t="inlineStr">
        <is>
          <t>991003467979702656</t>
        </is>
      </c>
      <c r="AY1852" t="inlineStr">
        <is>
          <t>2263752380002656</t>
        </is>
      </c>
      <c r="AZ1852" t="inlineStr">
        <is>
          <t>BOOK</t>
        </is>
      </c>
      <c r="BB1852" t="inlineStr">
        <is>
          <t>9780841503311</t>
        </is>
      </c>
      <c r="BC1852" t="inlineStr">
        <is>
          <t>32285001827160</t>
        </is>
      </c>
      <c r="BD1852" t="inlineStr">
        <is>
          <t>893627596</t>
        </is>
      </c>
    </row>
    <row r="1853">
      <c r="A1853" t="inlineStr">
        <is>
          <t>No</t>
        </is>
      </c>
      <c r="B1853" t="inlineStr">
        <is>
          <t>E807 .A85</t>
        </is>
      </c>
      <c r="C1853" t="inlineStr">
        <is>
          <t>0                      E  0807000A  85</t>
        </is>
      </c>
      <c r="D1853" t="inlineStr">
        <is>
          <t>When F.D.R. died.</t>
        </is>
      </c>
      <c r="F1853" t="inlineStr">
        <is>
          <t>No</t>
        </is>
      </c>
      <c r="G1853" t="inlineStr">
        <is>
          <t>1</t>
        </is>
      </c>
      <c r="H1853" t="inlineStr">
        <is>
          <t>No</t>
        </is>
      </c>
      <c r="I1853" t="inlineStr">
        <is>
          <t>No</t>
        </is>
      </c>
      <c r="J1853" t="inlineStr">
        <is>
          <t>0</t>
        </is>
      </c>
      <c r="K1853" t="inlineStr">
        <is>
          <t>Asbell, Bernard.</t>
        </is>
      </c>
      <c r="L1853" t="inlineStr">
        <is>
          <t>New York, Holt, Rinehart and Winston [1961]</t>
        </is>
      </c>
      <c r="M1853" t="inlineStr">
        <is>
          <t>1961</t>
        </is>
      </c>
      <c r="N1853" t="inlineStr">
        <is>
          <t>[1st ed.]</t>
        </is>
      </c>
      <c r="O1853" t="inlineStr">
        <is>
          <t>eng</t>
        </is>
      </c>
      <c r="P1853" t="inlineStr">
        <is>
          <t>nyu</t>
        </is>
      </c>
      <c r="R1853" t="inlineStr">
        <is>
          <t xml:space="preserve">E  </t>
        </is>
      </c>
      <c r="S1853" t="n">
        <v>1</v>
      </c>
      <c r="T1853" t="n">
        <v>1</v>
      </c>
      <c r="U1853" t="inlineStr">
        <is>
          <t>1998-03-04</t>
        </is>
      </c>
      <c r="V1853" t="inlineStr">
        <is>
          <t>1998-03-04</t>
        </is>
      </c>
      <c r="W1853" t="inlineStr">
        <is>
          <t>1997-04-28</t>
        </is>
      </c>
      <c r="X1853" t="inlineStr">
        <is>
          <t>1997-04-28</t>
        </is>
      </c>
      <c r="Y1853" t="n">
        <v>764</v>
      </c>
      <c r="Z1853" t="n">
        <v>732</v>
      </c>
      <c r="AA1853" t="n">
        <v>778</v>
      </c>
      <c r="AB1853" t="n">
        <v>6</v>
      </c>
      <c r="AC1853" t="n">
        <v>6</v>
      </c>
      <c r="AD1853" t="n">
        <v>23</v>
      </c>
      <c r="AE1853" t="n">
        <v>26</v>
      </c>
      <c r="AF1853" t="n">
        <v>7</v>
      </c>
      <c r="AG1853" t="n">
        <v>8</v>
      </c>
      <c r="AH1853" t="n">
        <v>4</v>
      </c>
      <c r="AI1853" t="n">
        <v>5</v>
      </c>
      <c r="AJ1853" t="n">
        <v>11</v>
      </c>
      <c r="AK1853" t="n">
        <v>12</v>
      </c>
      <c r="AL1853" t="n">
        <v>5</v>
      </c>
      <c r="AM1853" t="n">
        <v>5</v>
      </c>
      <c r="AN1853" t="n">
        <v>0</v>
      </c>
      <c r="AO1853" t="n">
        <v>0</v>
      </c>
      <c r="AP1853" t="inlineStr">
        <is>
          <t>No</t>
        </is>
      </c>
      <c r="AQ1853" t="inlineStr">
        <is>
          <t>No</t>
        </is>
      </c>
      <c r="AS1853">
        <f>HYPERLINK("https://creighton-primo.hosted.exlibrisgroup.com/primo-explore/search?tab=default_tab&amp;search_scope=EVERYTHING&amp;vid=01CRU&amp;lang=en_US&amp;offset=0&amp;query=any,contains,991003290069702656","Catalog Record")</f>
        <v/>
      </c>
      <c r="AT1853">
        <f>HYPERLINK("http://www.worldcat.org/oclc/812061","WorldCat Record")</f>
        <v/>
      </c>
      <c r="AU1853" t="inlineStr">
        <is>
          <t>1658193:eng</t>
        </is>
      </c>
      <c r="AV1853" t="inlineStr">
        <is>
          <t>812061</t>
        </is>
      </c>
      <c r="AW1853" t="inlineStr">
        <is>
          <t>991003290069702656</t>
        </is>
      </c>
      <c r="AX1853" t="inlineStr">
        <is>
          <t>991003290069702656</t>
        </is>
      </c>
      <c r="AY1853" t="inlineStr">
        <is>
          <t>2269193600002656</t>
        </is>
      </c>
      <c r="AZ1853" t="inlineStr">
        <is>
          <t>BOOK</t>
        </is>
      </c>
      <c r="BC1853" t="inlineStr">
        <is>
          <t>32285002566494</t>
        </is>
      </c>
      <c r="BD1853" t="inlineStr">
        <is>
          <t>893721879</t>
        </is>
      </c>
    </row>
    <row r="1854">
      <c r="A1854" t="inlineStr">
        <is>
          <t>No</t>
        </is>
      </c>
      <c r="B1854" t="inlineStr">
        <is>
          <t>E807 .B386</t>
        </is>
      </c>
      <c r="C1854" t="inlineStr">
        <is>
          <t>0                      E  0807000B  386</t>
        </is>
      </c>
      <c r="D1854" t="inlineStr">
        <is>
          <t>Roosevelt : the soldier of freedom.</t>
        </is>
      </c>
      <c r="F1854" t="inlineStr">
        <is>
          <t>No</t>
        </is>
      </c>
      <c r="G1854" t="inlineStr">
        <is>
          <t>1</t>
        </is>
      </c>
      <c r="H1854" t="inlineStr">
        <is>
          <t>No</t>
        </is>
      </c>
      <c r="I1854" t="inlineStr">
        <is>
          <t>No</t>
        </is>
      </c>
      <c r="J1854" t="inlineStr">
        <is>
          <t>0</t>
        </is>
      </c>
      <c r="K1854" t="inlineStr">
        <is>
          <t>Burns, James MacGregor.</t>
        </is>
      </c>
      <c r="L1854" t="inlineStr">
        <is>
          <t>New York : Harcourt Brace Jovanovich, [1970]</t>
        </is>
      </c>
      <c r="M1854" t="inlineStr">
        <is>
          <t>1970</t>
        </is>
      </c>
      <c r="N1854" t="inlineStr">
        <is>
          <t>[1st ed.]</t>
        </is>
      </c>
      <c r="O1854" t="inlineStr">
        <is>
          <t>eng</t>
        </is>
      </c>
      <c r="P1854" t="inlineStr">
        <is>
          <t>nyu</t>
        </is>
      </c>
      <c r="R1854" t="inlineStr">
        <is>
          <t xml:space="preserve">E  </t>
        </is>
      </c>
      <c r="S1854" t="n">
        <v>1</v>
      </c>
      <c r="T1854" t="n">
        <v>1</v>
      </c>
      <c r="U1854" t="inlineStr">
        <is>
          <t>1997-02-22</t>
        </is>
      </c>
      <c r="V1854" t="inlineStr">
        <is>
          <t>1997-02-22</t>
        </is>
      </c>
      <c r="W1854" t="inlineStr">
        <is>
          <t>1990-04-12</t>
        </is>
      </c>
      <c r="X1854" t="inlineStr">
        <is>
          <t>1990-04-12</t>
        </is>
      </c>
      <c r="Y1854" t="n">
        <v>2718</v>
      </c>
      <c r="Z1854" t="n">
        <v>2533</v>
      </c>
      <c r="AA1854" t="n">
        <v>2654</v>
      </c>
      <c r="AB1854" t="n">
        <v>25</v>
      </c>
      <c r="AC1854" t="n">
        <v>28</v>
      </c>
      <c r="AD1854" t="n">
        <v>71</v>
      </c>
      <c r="AE1854" t="n">
        <v>72</v>
      </c>
      <c r="AF1854" t="n">
        <v>28</v>
      </c>
      <c r="AG1854" t="n">
        <v>28</v>
      </c>
      <c r="AH1854" t="n">
        <v>10</v>
      </c>
      <c r="AI1854" t="n">
        <v>11</v>
      </c>
      <c r="AJ1854" t="n">
        <v>26</v>
      </c>
      <c r="AK1854" t="n">
        <v>26</v>
      </c>
      <c r="AL1854" t="n">
        <v>15</v>
      </c>
      <c r="AM1854" t="n">
        <v>15</v>
      </c>
      <c r="AN1854" t="n">
        <v>6</v>
      </c>
      <c r="AO1854" t="n">
        <v>6</v>
      </c>
      <c r="AP1854" t="inlineStr">
        <is>
          <t>No</t>
        </is>
      </c>
      <c r="AQ1854" t="inlineStr">
        <is>
          <t>Yes</t>
        </is>
      </c>
      <c r="AR1854">
        <f>HYPERLINK("http://catalog.hathitrust.org/Record/000577527","HathiTrust Record")</f>
        <v/>
      </c>
      <c r="AS1854">
        <f>HYPERLINK("https://creighton-primo.hosted.exlibrisgroup.com/primo-explore/search?tab=default_tab&amp;search_scope=EVERYTHING&amp;vid=01CRU&amp;lang=en_US&amp;offset=0&amp;query=any,contains,991000515769702656","Catalog Record")</f>
        <v/>
      </c>
      <c r="AT1854">
        <f>HYPERLINK("http://www.worldcat.org/oclc/85568","WorldCat Record")</f>
        <v/>
      </c>
      <c r="AU1854" t="inlineStr">
        <is>
          <t>2999333954:eng</t>
        </is>
      </c>
      <c r="AV1854" t="inlineStr">
        <is>
          <t>85568</t>
        </is>
      </c>
      <c r="AW1854" t="inlineStr">
        <is>
          <t>991000515769702656</t>
        </is>
      </c>
      <c r="AX1854" t="inlineStr">
        <is>
          <t>991000515769702656</t>
        </is>
      </c>
      <c r="AY1854" t="inlineStr">
        <is>
          <t>2267067290002656</t>
        </is>
      </c>
      <c r="AZ1854" t="inlineStr">
        <is>
          <t>BOOK</t>
        </is>
      </c>
      <c r="BB1854" t="inlineStr">
        <is>
          <t>9780151788712</t>
        </is>
      </c>
      <c r="BC1854" t="inlineStr">
        <is>
          <t>32285000115294</t>
        </is>
      </c>
      <c r="BD1854" t="inlineStr">
        <is>
          <t>893865428</t>
        </is>
      </c>
    </row>
    <row r="1855">
      <c r="A1855" t="inlineStr">
        <is>
          <t>No</t>
        </is>
      </c>
      <c r="B1855" t="inlineStr">
        <is>
          <t>E807 .B57</t>
        </is>
      </c>
      <c r="C1855" t="inlineStr">
        <is>
          <t>0                      E  0807000B  57</t>
        </is>
      </c>
      <c r="D1855" t="inlineStr">
        <is>
          <t>FDR's last year, April 1944-April 1945 / by Jim Bishop.</t>
        </is>
      </c>
      <c r="F1855" t="inlineStr">
        <is>
          <t>No</t>
        </is>
      </c>
      <c r="G1855" t="inlineStr">
        <is>
          <t>1</t>
        </is>
      </c>
      <c r="H1855" t="inlineStr">
        <is>
          <t>No</t>
        </is>
      </c>
      <c r="I1855" t="inlineStr">
        <is>
          <t>No</t>
        </is>
      </c>
      <c r="J1855" t="inlineStr">
        <is>
          <t>0</t>
        </is>
      </c>
      <c r="K1855" t="inlineStr">
        <is>
          <t>Bishop, Jim, 1907-1987.</t>
        </is>
      </c>
      <c r="L1855" t="inlineStr">
        <is>
          <t>New York : W. Morrow, 1974.</t>
        </is>
      </c>
      <c r="M1855" t="inlineStr">
        <is>
          <t>1974</t>
        </is>
      </c>
      <c r="O1855" t="inlineStr">
        <is>
          <t>eng</t>
        </is>
      </c>
      <c r="P1855" t="inlineStr">
        <is>
          <t>nyu</t>
        </is>
      </c>
      <c r="R1855" t="inlineStr">
        <is>
          <t xml:space="preserve">E  </t>
        </is>
      </c>
      <c r="S1855" t="n">
        <v>6</v>
      </c>
      <c r="T1855" t="n">
        <v>6</v>
      </c>
      <c r="U1855" t="inlineStr">
        <is>
          <t>1998-03-04</t>
        </is>
      </c>
      <c r="V1855" t="inlineStr">
        <is>
          <t>1998-03-04</t>
        </is>
      </c>
      <c r="W1855" t="inlineStr">
        <is>
          <t>1990-04-10</t>
        </is>
      </c>
      <c r="X1855" t="inlineStr">
        <is>
          <t>1990-04-10</t>
        </is>
      </c>
      <c r="Y1855" t="n">
        <v>1724</v>
      </c>
      <c r="Z1855" t="n">
        <v>1661</v>
      </c>
      <c r="AA1855" t="n">
        <v>1878</v>
      </c>
      <c r="AB1855" t="n">
        <v>17</v>
      </c>
      <c r="AC1855" t="n">
        <v>17</v>
      </c>
      <c r="AD1855" t="n">
        <v>41</v>
      </c>
      <c r="AE1855" t="n">
        <v>44</v>
      </c>
      <c r="AF1855" t="n">
        <v>18</v>
      </c>
      <c r="AG1855" t="n">
        <v>20</v>
      </c>
      <c r="AH1855" t="n">
        <v>8</v>
      </c>
      <c r="AI1855" t="n">
        <v>9</v>
      </c>
      <c r="AJ1855" t="n">
        <v>12</v>
      </c>
      <c r="AK1855" t="n">
        <v>14</v>
      </c>
      <c r="AL1855" t="n">
        <v>9</v>
      </c>
      <c r="AM1855" t="n">
        <v>9</v>
      </c>
      <c r="AN1855" t="n">
        <v>1</v>
      </c>
      <c r="AO1855" t="n">
        <v>1</v>
      </c>
      <c r="AP1855" t="inlineStr">
        <is>
          <t>No</t>
        </is>
      </c>
      <c r="AQ1855" t="inlineStr">
        <is>
          <t>Yes</t>
        </is>
      </c>
      <c r="AR1855">
        <f>HYPERLINK("http://catalog.hathitrust.org/Record/000013617","HathiTrust Record")</f>
        <v/>
      </c>
      <c r="AS1855">
        <f>HYPERLINK("https://creighton-primo.hosted.exlibrisgroup.com/primo-explore/search?tab=default_tab&amp;search_scope=EVERYTHING&amp;vid=01CRU&amp;lang=en_US&amp;offset=0&amp;query=any,contains,991003343529702656","Catalog Record")</f>
        <v/>
      </c>
      <c r="AT1855">
        <f>HYPERLINK("http://www.worldcat.org/oclc/874240","WorldCat Record")</f>
        <v/>
      </c>
      <c r="AU1855" t="inlineStr">
        <is>
          <t>352651358:eng</t>
        </is>
      </c>
      <c r="AV1855" t="inlineStr">
        <is>
          <t>874240</t>
        </is>
      </c>
      <c r="AW1855" t="inlineStr">
        <is>
          <t>991003343529702656</t>
        </is>
      </c>
      <c r="AX1855" t="inlineStr">
        <is>
          <t>991003343529702656</t>
        </is>
      </c>
      <c r="AY1855" t="inlineStr">
        <is>
          <t>2262441020002656</t>
        </is>
      </c>
      <c r="AZ1855" t="inlineStr">
        <is>
          <t>BOOK</t>
        </is>
      </c>
      <c r="BB1855" t="inlineStr">
        <is>
          <t>9780688002763</t>
        </is>
      </c>
      <c r="BC1855" t="inlineStr">
        <is>
          <t>32285000114180</t>
        </is>
      </c>
      <c r="BD1855" t="inlineStr">
        <is>
          <t>893252285</t>
        </is>
      </c>
    </row>
    <row r="1856">
      <c r="A1856" t="inlineStr">
        <is>
          <t>No</t>
        </is>
      </c>
      <c r="B1856" t="inlineStr">
        <is>
          <t>E807 .B835</t>
        </is>
      </c>
      <c r="C1856" t="inlineStr">
        <is>
          <t>0                      E  0807000B  835</t>
        </is>
      </c>
      <c r="D1856" t="inlineStr">
        <is>
          <t>Roosevelt : the lion and the fox.</t>
        </is>
      </c>
      <c r="F1856" t="inlineStr">
        <is>
          <t>No</t>
        </is>
      </c>
      <c r="G1856" t="inlineStr">
        <is>
          <t>1</t>
        </is>
      </c>
      <c r="H1856" t="inlineStr">
        <is>
          <t>No</t>
        </is>
      </c>
      <c r="I1856" t="inlineStr">
        <is>
          <t>No</t>
        </is>
      </c>
      <c r="J1856" t="inlineStr">
        <is>
          <t>0</t>
        </is>
      </c>
      <c r="K1856" t="inlineStr">
        <is>
          <t>Burns, James MacGregor.</t>
        </is>
      </c>
      <c r="L1856" t="inlineStr">
        <is>
          <t>New York : Harcourt, Brace, [1956]</t>
        </is>
      </c>
      <c r="M1856" t="inlineStr">
        <is>
          <t>1956</t>
        </is>
      </c>
      <c r="N1856" t="inlineStr">
        <is>
          <t>[1st ed.]</t>
        </is>
      </c>
      <c r="O1856" t="inlineStr">
        <is>
          <t>eng</t>
        </is>
      </c>
      <c r="P1856" t="inlineStr">
        <is>
          <t>nyu</t>
        </is>
      </c>
      <c r="R1856" t="inlineStr">
        <is>
          <t xml:space="preserve">E  </t>
        </is>
      </c>
      <c r="S1856" t="n">
        <v>3</v>
      </c>
      <c r="T1856" t="n">
        <v>3</v>
      </c>
      <c r="U1856" t="inlineStr">
        <is>
          <t>1993-11-07</t>
        </is>
      </c>
      <c r="V1856" t="inlineStr">
        <is>
          <t>1993-11-07</t>
        </is>
      </c>
      <c r="W1856" t="inlineStr">
        <is>
          <t>1990-03-13</t>
        </is>
      </c>
      <c r="X1856" t="inlineStr">
        <is>
          <t>1990-03-13</t>
        </is>
      </c>
      <c r="Y1856" t="n">
        <v>2426</v>
      </c>
      <c r="Z1856" t="n">
        <v>2203</v>
      </c>
      <c r="AA1856" t="n">
        <v>2373</v>
      </c>
      <c r="AB1856" t="n">
        <v>21</v>
      </c>
      <c r="AC1856" t="n">
        <v>23</v>
      </c>
      <c r="AD1856" t="n">
        <v>67</v>
      </c>
      <c r="AE1856" t="n">
        <v>70</v>
      </c>
      <c r="AF1856" t="n">
        <v>23</v>
      </c>
      <c r="AG1856" t="n">
        <v>26</v>
      </c>
      <c r="AH1856" t="n">
        <v>10</v>
      </c>
      <c r="AI1856" t="n">
        <v>10</v>
      </c>
      <c r="AJ1856" t="n">
        <v>26</v>
      </c>
      <c r="AK1856" t="n">
        <v>26</v>
      </c>
      <c r="AL1856" t="n">
        <v>13</v>
      </c>
      <c r="AM1856" t="n">
        <v>13</v>
      </c>
      <c r="AN1856" t="n">
        <v>8</v>
      </c>
      <c r="AO1856" t="n">
        <v>8</v>
      </c>
      <c r="AP1856" t="inlineStr">
        <is>
          <t>No</t>
        </is>
      </c>
      <c r="AQ1856" t="inlineStr">
        <is>
          <t>Yes</t>
        </is>
      </c>
      <c r="AR1856">
        <f>HYPERLINK("http://catalog.hathitrust.org/Record/000004301","HathiTrust Record")</f>
        <v/>
      </c>
      <c r="AS1856">
        <f>HYPERLINK("https://creighton-primo.hosted.exlibrisgroup.com/primo-explore/search?tab=default_tab&amp;search_scope=EVERYTHING&amp;vid=01CRU&amp;lang=en_US&amp;offset=0&amp;query=any,contains,991002253789702656","Catalog Record")</f>
        <v/>
      </c>
      <c r="AT1856">
        <f>HYPERLINK("http://www.worldcat.org/oclc/300565","WorldCat Record")</f>
        <v/>
      </c>
      <c r="AU1856" t="inlineStr">
        <is>
          <t>660430:eng</t>
        </is>
      </c>
      <c r="AV1856" t="inlineStr">
        <is>
          <t>300565</t>
        </is>
      </c>
      <c r="AW1856" t="inlineStr">
        <is>
          <t>991002253789702656</t>
        </is>
      </c>
      <c r="AX1856" t="inlineStr">
        <is>
          <t>991002253789702656</t>
        </is>
      </c>
      <c r="AY1856" t="inlineStr">
        <is>
          <t>2269534520002656</t>
        </is>
      </c>
      <c r="AZ1856" t="inlineStr">
        <is>
          <t>BOOK</t>
        </is>
      </c>
      <c r="BC1856" t="inlineStr">
        <is>
          <t>32285000082650</t>
        </is>
      </c>
      <c r="BD1856" t="inlineStr">
        <is>
          <t>893898539</t>
        </is>
      </c>
    </row>
    <row r="1857">
      <c r="A1857" t="inlineStr">
        <is>
          <t>No</t>
        </is>
      </c>
      <c r="B1857" t="inlineStr">
        <is>
          <t>E807 .D38 2000</t>
        </is>
      </c>
      <c r="C1857" t="inlineStr">
        <is>
          <t>0                      E  0807000D  38          2000</t>
        </is>
      </c>
      <c r="D1857" t="inlineStr">
        <is>
          <t>FDR, the war president, 1940-1943 : a history / Kenneth S. Davis.</t>
        </is>
      </c>
      <c r="F1857" t="inlineStr">
        <is>
          <t>No</t>
        </is>
      </c>
      <c r="G1857" t="inlineStr">
        <is>
          <t>1</t>
        </is>
      </c>
      <c r="H1857" t="inlineStr">
        <is>
          <t>No</t>
        </is>
      </c>
      <c r="I1857" t="inlineStr">
        <is>
          <t>No</t>
        </is>
      </c>
      <c r="J1857" t="inlineStr">
        <is>
          <t>0</t>
        </is>
      </c>
      <c r="K1857" t="inlineStr">
        <is>
          <t>Davis, Kenneth S. (Kenneth Sydney), 1912-1999.</t>
        </is>
      </c>
      <c r="L1857" t="inlineStr">
        <is>
          <t>New York : Random House, c2000.</t>
        </is>
      </c>
      <c r="M1857" t="inlineStr">
        <is>
          <t>2000</t>
        </is>
      </c>
      <c r="N1857" t="inlineStr">
        <is>
          <t>1st ed.</t>
        </is>
      </c>
      <c r="O1857" t="inlineStr">
        <is>
          <t>eng</t>
        </is>
      </c>
      <c r="P1857" t="inlineStr">
        <is>
          <t>nyu</t>
        </is>
      </c>
      <c r="R1857" t="inlineStr">
        <is>
          <t xml:space="preserve">E  </t>
        </is>
      </c>
      <c r="S1857" t="n">
        <v>4</v>
      </c>
      <c r="T1857" t="n">
        <v>4</v>
      </c>
      <c r="U1857" t="inlineStr">
        <is>
          <t>2003-03-08</t>
        </is>
      </c>
      <c r="V1857" t="inlineStr">
        <is>
          <t>2003-03-08</t>
        </is>
      </c>
      <c r="W1857" t="inlineStr">
        <is>
          <t>2002-09-26</t>
        </is>
      </c>
      <c r="X1857" t="inlineStr">
        <is>
          <t>2002-09-26</t>
        </is>
      </c>
      <c r="Y1857" t="n">
        <v>1404</v>
      </c>
      <c r="Z1857" t="n">
        <v>1334</v>
      </c>
      <c r="AA1857" t="n">
        <v>1341</v>
      </c>
      <c r="AB1857" t="n">
        <v>17</v>
      </c>
      <c r="AC1857" t="n">
        <v>17</v>
      </c>
      <c r="AD1857" t="n">
        <v>37</v>
      </c>
      <c r="AE1857" t="n">
        <v>37</v>
      </c>
      <c r="AF1857" t="n">
        <v>14</v>
      </c>
      <c r="AG1857" t="n">
        <v>14</v>
      </c>
      <c r="AH1857" t="n">
        <v>8</v>
      </c>
      <c r="AI1857" t="n">
        <v>8</v>
      </c>
      <c r="AJ1857" t="n">
        <v>15</v>
      </c>
      <c r="AK1857" t="n">
        <v>15</v>
      </c>
      <c r="AL1857" t="n">
        <v>8</v>
      </c>
      <c r="AM1857" t="n">
        <v>8</v>
      </c>
      <c r="AN1857" t="n">
        <v>0</v>
      </c>
      <c r="AO1857" t="n">
        <v>0</v>
      </c>
      <c r="AP1857" t="inlineStr">
        <is>
          <t>No</t>
        </is>
      </c>
      <c r="AQ1857" t="inlineStr">
        <is>
          <t>Yes</t>
        </is>
      </c>
      <c r="AR1857">
        <f>HYPERLINK("http://catalog.hathitrust.org/Record/004137716","HathiTrust Record")</f>
        <v/>
      </c>
      <c r="AS1857">
        <f>HYPERLINK("https://creighton-primo.hosted.exlibrisgroup.com/primo-explore/search?tab=default_tab&amp;search_scope=EVERYTHING&amp;vid=01CRU&amp;lang=en_US&amp;offset=0&amp;query=any,contains,991003869459702656","Catalog Record")</f>
        <v/>
      </c>
      <c r="AT1857">
        <f>HYPERLINK("http://www.worldcat.org/oclc/43694290","WorldCat Record")</f>
        <v/>
      </c>
      <c r="AU1857" t="inlineStr">
        <is>
          <t>3856827279:eng</t>
        </is>
      </c>
      <c r="AV1857" t="inlineStr">
        <is>
          <t>43694290</t>
        </is>
      </c>
      <c r="AW1857" t="inlineStr">
        <is>
          <t>991003869459702656</t>
        </is>
      </c>
      <c r="AX1857" t="inlineStr">
        <is>
          <t>991003869459702656</t>
        </is>
      </c>
      <c r="AY1857" t="inlineStr">
        <is>
          <t>2272707570002656</t>
        </is>
      </c>
      <c r="AZ1857" t="inlineStr">
        <is>
          <t>BOOK</t>
        </is>
      </c>
      <c r="BB1857" t="inlineStr">
        <is>
          <t>9780679415428</t>
        </is>
      </c>
      <c r="BC1857" t="inlineStr">
        <is>
          <t>32285004650106</t>
        </is>
      </c>
      <c r="BD1857" t="inlineStr">
        <is>
          <t>893410809</t>
        </is>
      </c>
    </row>
    <row r="1858">
      <c r="A1858" t="inlineStr">
        <is>
          <t>No</t>
        </is>
      </c>
      <c r="B1858" t="inlineStr">
        <is>
          <t>E807 .E9 1945</t>
        </is>
      </c>
      <c r="C1858" t="inlineStr">
        <is>
          <t>0                      E  0807000E  9           1945</t>
        </is>
      </c>
      <c r="D1858" t="inlineStr">
        <is>
          <t>Roosevelt album : the highlights in the life and work of the 32nd president of the United States, Franklin Delano Roosevelt / edited by A.J. Ezickson.</t>
        </is>
      </c>
      <c r="F1858" t="inlineStr">
        <is>
          <t>No</t>
        </is>
      </c>
      <c r="G1858" t="inlineStr">
        <is>
          <t>1</t>
        </is>
      </c>
      <c r="H1858" t="inlineStr">
        <is>
          <t>No</t>
        </is>
      </c>
      <c r="I1858" t="inlineStr">
        <is>
          <t>No</t>
        </is>
      </c>
      <c r="J1858" t="inlineStr">
        <is>
          <t>0</t>
        </is>
      </c>
      <c r="K1858" t="inlineStr">
        <is>
          <t>Ezickson, A. J. (Aaron Jacob), 1896-1971.</t>
        </is>
      </c>
      <c r="L1858" t="inlineStr">
        <is>
          <t>New York : Knickerbocker publishing company, [1945]</t>
        </is>
      </c>
      <c r="M1858" t="inlineStr">
        <is>
          <t>1945</t>
        </is>
      </c>
      <c r="O1858" t="inlineStr">
        <is>
          <t>eng</t>
        </is>
      </c>
      <c r="P1858" t="inlineStr">
        <is>
          <t>nyu</t>
        </is>
      </c>
      <c r="R1858" t="inlineStr">
        <is>
          <t xml:space="preserve">E  </t>
        </is>
      </c>
      <c r="S1858" t="n">
        <v>3</v>
      </c>
      <c r="T1858" t="n">
        <v>3</v>
      </c>
      <c r="U1858" t="inlineStr">
        <is>
          <t>2002-10-07</t>
        </is>
      </c>
      <c r="V1858" t="inlineStr">
        <is>
          <t>2002-10-07</t>
        </is>
      </c>
      <c r="W1858" t="inlineStr">
        <is>
          <t>1991-06-06</t>
        </is>
      </c>
      <c r="X1858" t="inlineStr">
        <is>
          <t>1991-06-06</t>
        </is>
      </c>
      <c r="Y1858" t="n">
        <v>138</v>
      </c>
      <c r="Z1858" t="n">
        <v>130</v>
      </c>
      <c r="AA1858" t="n">
        <v>142</v>
      </c>
      <c r="AB1858" t="n">
        <v>3</v>
      </c>
      <c r="AC1858" t="n">
        <v>3</v>
      </c>
      <c r="AD1858" t="n">
        <v>3</v>
      </c>
      <c r="AE1858" t="n">
        <v>3</v>
      </c>
      <c r="AF1858" t="n">
        <v>1</v>
      </c>
      <c r="AG1858" t="n">
        <v>1</v>
      </c>
      <c r="AH1858" t="n">
        <v>0</v>
      </c>
      <c r="AI1858" t="n">
        <v>0</v>
      </c>
      <c r="AJ1858" t="n">
        <v>0</v>
      </c>
      <c r="AK1858" t="n">
        <v>0</v>
      </c>
      <c r="AL1858" t="n">
        <v>2</v>
      </c>
      <c r="AM1858" t="n">
        <v>2</v>
      </c>
      <c r="AN1858" t="n">
        <v>0</v>
      </c>
      <c r="AO1858" t="n">
        <v>0</v>
      </c>
      <c r="AP1858" t="inlineStr">
        <is>
          <t>No</t>
        </is>
      </c>
      <c r="AQ1858" t="inlineStr">
        <is>
          <t>No</t>
        </is>
      </c>
      <c r="AR1858">
        <f>HYPERLINK("http://catalog.hathitrust.org/Record/000469798","HathiTrust Record")</f>
        <v/>
      </c>
      <c r="AS1858">
        <f>HYPERLINK("https://creighton-primo.hosted.exlibrisgroup.com/primo-explore/search?tab=default_tab&amp;search_scope=EVERYTHING&amp;vid=01CRU&amp;lang=en_US&amp;offset=0&amp;query=any,contains,991004225339702656","Catalog Record")</f>
        <v/>
      </c>
      <c r="AT1858">
        <f>HYPERLINK("http://www.worldcat.org/oclc/2728199","WorldCat Record")</f>
        <v/>
      </c>
      <c r="AU1858" t="inlineStr">
        <is>
          <t>403448143:eng</t>
        </is>
      </c>
      <c r="AV1858" t="inlineStr">
        <is>
          <t>2728199</t>
        </is>
      </c>
      <c r="AW1858" t="inlineStr">
        <is>
          <t>991004225339702656</t>
        </is>
      </c>
      <c r="AX1858" t="inlineStr">
        <is>
          <t>991004225339702656</t>
        </is>
      </c>
      <c r="AY1858" t="inlineStr">
        <is>
          <t>2270204170002656</t>
        </is>
      </c>
      <c r="AZ1858" t="inlineStr">
        <is>
          <t>BOOK</t>
        </is>
      </c>
      <c r="BC1858" t="inlineStr">
        <is>
          <t>32285000614544</t>
        </is>
      </c>
      <c r="BD1858" t="inlineStr">
        <is>
          <t>893693693</t>
        </is>
      </c>
    </row>
    <row r="1859">
      <c r="A1859" t="inlineStr">
        <is>
          <t>No</t>
        </is>
      </c>
      <c r="B1859" t="inlineStr">
        <is>
          <t>E807 .F2</t>
        </is>
      </c>
      <c r="C1859" t="inlineStr">
        <is>
          <t>0                      E  0807000F  2</t>
        </is>
      </c>
      <c r="D1859" t="inlineStr">
        <is>
          <t>FDR [by] Robert D. Graff &amp; Robert Emmett Ginna. Text by Roger Butterfield.</t>
        </is>
      </c>
      <c r="F1859" t="inlineStr">
        <is>
          <t>No</t>
        </is>
      </c>
      <c r="G1859" t="inlineStr">
        <is>
          <t>1</t>
        </is>
      </c>
      <c r="H1859" t="inlineStr">
        <is>
          <t>No</t>
        </is>
      </c>
      <c r="I1859" t="inlineStr">
        <is>
          <t>No</t>
        </is>
      </c>
      <c r="J1859" t="inlineStr">
        <is>
          <t>0</t>
        </is>
      </c>
      <c r="K1859" t="inlineStr">
        <is>
          <t>FDR (Television program)</t>
        </is>
      </c>
      <c r="L1859" t="inlineStr">
        <is>
          <t>New York, Harper &amp; Row [1963]</t>
        </is>
      </c>
      <c r="M1859" t="inlineStr">
        <is>
          <t>1963</t>
        </is>
      </c>
      <c r="O1859" t="inlineStr">
        <is>
          <t>eng</t>
        </is>
      </c>
      <c r="P1859" t="inlineStr">
        <is>
          <t>nyu</t>
        </is>
      </c>
      <c r="R1859" t="inlineStr">
        <is>
          <t xml:space="preserve">E  </t>
        </is>
      </c>
      <c r="S1859" t="n">
        <v>3</v>
      </c>
      <c r="T1859" t="n">
        <v>3</v>
      </c>
      <c r="U1859" t="inlineStr">
        <is>
          <t>2002-10-07</t>
        </is>
      </c>
      <c r="V1859" t="inlineStr">
        <is>
          <t>2002-10-07</t>
        </is>
      </c>
      <c r="W1859" t="inlineStr">
        <is>
          <t>1997-04-28</t>
        </is>
      </c>
      <c r="X1859" t="inlineStr">
        <is>
          <t>1997-04-28</t>
        </is>
      </c>
      <c r="Y1859" t="n">
        <v>756</v>
      </c>
      <c r="Z1859" t="n">
        <v>719</v>
      </c>
      <c r="AA1859" t="n">
        <v>728</v>
      </c>
      <c r="AB1859" t="n">
        <v>3</v>
      </c>
      <c r="AC1859" t="n">
        <v>3</v>
      </c>
      <c r="AD1859" t="n">
        <v>19</v>
      </c>
      <c r="AE1859" t="n">
        <v>19</v>
      </c>
      <c r="AF1859" t="n">
        <v>8</v>
      </c>
      <c r="AG1859" t="n">
        <v>8</v>
      </c>
      <c r="AH1859" t="n">
        <v>4</v>
      </c>
      <c r="AI1859" t="n">
        <v>4</v>
      </c>
      <c r="AJ1859" t="n">
        <v>12</v>
      </c>
      <c r="AK1859" t="n">
        <v>12</v>
      </c>
      <c r="AL1859" t="n">
        <v>2</v>
      </c>
      <c r="AM1859" t="n">
        <v>2</v>
      </c>
      <c r="AN1859" t="n">
        <v>0</v>
      </c>
      <c r="AO1859" t="n">
        <v>0</v>
      </c>
      <c r="AP1859" t="inlineStr">
        <is>
          <t>No</t>
        </is>
      </c>
      <c r="AQ1859" t="inlineStr">
        <is>
          <t>No</t>
        </is>
      </c>
      <c r="AR1859">
        <f>HYPERLINK("http://catalog.hathitrust.org/Record/000469801","HathiTrust Record")</f>
        <v/>
      </c>
      <c r="AS1859">
        <f>HYPERLINK("https://creighton-primo.hosted.exlibrisgroup.com/primo-explore/search?tab=default_tab&amp;search_scope=EVERYTHING&amp;vid=01CRU&amp;lang=en_US&amp;offset=0&amp;query=any,contains,991002744449702656","Catalog Record")</f>
        <v/>
      </c>
      <c r="AT1859">
        <f>HYPERLINK("http://www.worldcat.org/oclc/422267","WorldCat Record")</f>
        <v/>
      </c>
      <c r="AU1859" t="inlineStr">
        <is>
          <t>1507607:eng</t>
        </is>
      </c>
      <c r="AV1859" t="inlineStr">
        <is>
          <t>422267</t>
        </is>
      </c>
      <c r="AW1859" t="inlineStr">
        <is>
          <t>991002744449702656</t>
        </is>
      </c>
      <c r="AX1859" t="inlineStr">
        <is>
          <t>991002744449702656</t>
        </is>
      </c>
      <c r="AY1859" t="inlineStr">
        <is>
          <t>2267522550002656</t>
        </is>
      </c>
      <c r="AZ1859" t="inlineStr">
        <is>
          <t>BOOK</t>
        </is>
      </c>
      <c r="BC1859" t="inlineStr">
        <is>
          <t>32285002566502</t>
        </is>
      </c>
      <c r="BD1859" t="inlineStr">
        <is>
          <t>893511137</t>
        </is>
      </c>
    </row>
    <row r="1860">
      <c r="A1860" t="inlineStr">
        <is>
          <t>No</t>
        </is>
      </c>
      <c r="B1860" t="inlineStr">
        <is>
          <t>E807 .F75 1990</t>
        </is>
      </c>
      <c r="C1860" t="inlineStr">
        <is>
          <t>0                      E  0807000F  75          1990</t>
        </is>
      </c>
      <c r="D1860" t="inlineStr">
        <is>
          <t>Franklin D. Roosevelt : a rendezvous with destiny / by Frank Freidel.</t>
        </is>
      </c>
      <c r="F1860" t="inlineStr">
        <is>
          <t>No</t>
        </is>
      </c>
      <c r="G1860" t="inlineStr">
        <is>
          <t>1</t>
        </is>
      </c>
      <c r="H1860" t="inlineStr">
        <is>
          <t>No</t>
        </is>
      </c>
      <c r="I1860" t="inlineStr">
        <is>
          <t>No</t>
        </is>
      </c>
      <c r="J1860" t="inlineStr">
        <is>
          <t>0</t>
        </is>
      </c>
      <c r="K1860" t="inlineStr">
        <is>
          <t>Freidel, Frank, 1916-1993.</t>
        </is>
      </c>
      <c r="L1860" t="inlineStr">
        <is>
          <t>Boston : Little, Brown, c1990.</t>
        </is>
      </c>
      <c r="M1860" t="inlineStr">
        <is>
          <t>1990</t>
        </is>
      </c>
      <c r="N1860" t="inlineStr">
        <is>
          <t>1st ed.</t>
        </is>
      </c>
      <c r="O1860" t="inlineStr">
        <is>
          <t>eng</t>
        </is>
      </c>
      <c r="P1860" t="inlineStr">
        <is>
          <t>mau</t>
        </is>
      </c>
      <c r="R1860" t="inlineStr">
        <is>
          <t xml:space="preserve">E  </t>
        </is>
      </c>
      <c r="S1860" t="n">
        <v>4</v>
      </c>
      <c r="T1860" t="n">
        <v>4</v>
      </c>
      <c r="U1860" t="inlineStr">
        <is>
          <t>1999-02-11</t>
        </is>
      </c>
      <c r="V1860" t="inlineStr">
        <is>
          <t>1999-02-11</t>
        </is>
      </c>
      <c r="W1860" t="inlineStr">
        <is>
          <t>1990-07-05</t>
        </is>
      </c>
      <c r="X1860" t="inlineStr">
        <is>
          <t>1990-07-05</t>
        </is>
      </c>
      <c r="Y1860" t="n">
        <v>1491</v>
      </c>
      <c r="Z1860" t="n">
        <v>1350</v>
      </c>
      <c r="AA1860" t="n">
        <v>1446</v>
      </c>
      <c r="AB1860" t="n">
        <v>8</v>
      </c>
      <c r="AC1860" t="n">
        <v>9</v>
      </c>
      <c r="AD1860" t="n">
        <v>35</v>
      </c>
      <c r="AE1860" t="n">
        <v>36</v>
      </c>
      <c r="AF1860" t="n">
        <v>15</v>
      </c>
      <c r="AG1860" t="n">
        <v>15</v>
      </c>
      <c r="AH1860" t="n">
        <v>8</v>
      </c>
      <c r="AI1860" t="n">
        <v>8</v>
      </c>
      <c r="AJ1860" t="n">
        <v>16</v>
      </c>
      <c r="AK1860" t="n">
        <v>16</v>
      </c>
      <c r="AL1860" t="n">
        <v>4</v>
      </c>
      <c r="AM1860" t="n">
        <v>5</v>
      </c>
      <c r="AN1860" t="n">
        <v>1</v>
      </c>
      <c r="AO1860" t="n">
        <v>1</v>
      </c>
      <c r="AP1860" t="inlineStr">
        <is>
          <t>No</t>
        </is>
      </c>
      <c r="AQ1860" t="inlineStr">
        <is>
          <t>No</t>
        </is>
      </c>
      <c r="AS1860">
        <f>HYPERLINK("https://creighton-primo.hosted.exlibrisgroup.com/primo-explore/search?tab=default_tab&amp;search_scope=EVERYTHING&amp;vid=01CRU&amp;lang=en_US&amp;offset=0&amp;query=any,contains,991001529079702656","Catalog Record")</f>
        <v/>
      </c>
      <c r="AT1860">
        <f>HYPERLINK("http://www.worldcat.org/oclc/20015002","WorldCat Record")</f>
        <v/>
      </c>
      <c r="AU1860" t="inlineStr">
        <is>
          <t>4417296552:eng</t>
        </is>
      </c>
      <c r="AV1860" t="inlineStr">
        <is>
          <t>20015002</t>
        </is>
      </c>
      <c r="AW1860" t="inlineStr">
        <is>
          <t>991001529079702656</t>
        </is>
      </c>
      <c r="AX1860" t="inlineStr">
        <is>
          <t>991001529079702656</t>
        </is>
      </c>
      <c r="AY1860" t="inlineStr">
        <is>
          <t>2264232910002656</t>
        </is>
      </c>
      <c r="AZ1860" t="inlineStr">
        <is>
          <t>BOOK</t>
        </is>
      </c>
      <c r="BB1860" t="inlineStr">
        <is>
          <t>9780316292603</t>
        </is>
      </c>
      <c r="BC1860" t="inlineStr">
        <is>
          <t>32285000207208</t>
        </is>
      </c>
      <c r="BD1860" t="inlineStr">
        <is>
          <t>893791498</t>
        </is>
      </c>
    </row>
    <row r="1861">
      <c r="A1861" t="inlineStr">
        <is>
          <t>No</t>
        </is>
      </c>
      <c r="B1861" t="inlineStr">
        <is>
          <t>E807 .M54 1983</t>
        </is>
      </c>
      <c r="C1861" t="inlineStr">
        <is>
          <t>0                      E  0807000M  54          1983</t>
        </is>
      </c>
      <c r="D1861" t="inlineStr">
        <is>
          <t>FDR, an intimate history / Nathan Miller.</t>
        </is>
      </c>
      <c r="F1861" t="inlineStr">
        <is>
          <t>No</t>
        </is>
      </c>
      <c r="G1861" t="inlineStr">
        <is>
          <t>1</t>
        </is>
      </c>
      <c r="H1861" t="inlineStr">
        <is>
          <t>No</t>
        </is>
      </c>
      <c r="I1861" t="inlineStr">
        <is>
          <t>No</t>
        </is>
      </c>
      <c r="J1861" t="inlineStr">
        <is>
          <t>0</t>
        </is>
      </c>
      <c r="K1861" t="inlineStr">
        <is>
          <t>Miller, Nathan, 1927-2004.</t>
        </is>
      </c>
      <c r="L1861" t="inlineStr">
        <is>
          <t>Garden City, N.Y. : Doubleday, 1983.</t>
        </is>
      </c>
      <c r="M1861" t="inlineStr">
        <is>
          <t>1983</t>
        </is>
      </c>
      <c r="N1861" t="inlineStr">
        <is>
          <t>1st ed.</t>
        </is>
      </c>
      <c r="O1861" t="inlineStr">
        <is>
          <t>eng</t>
        </is>
      </c>
      <c r="P1861" t="inlineStr">
        <is>
          <t>nyu</t>
        </is>
      </c>
      <c r="R1861" t="inlineStr">
        <is>
          <t xml:space="preserve">E  </t>
        </is>
      </c>
      <c r="S1861" t="n">
        <v>7</v>
      </c>
      <c r="T1861" t="n">
        <v>7</v>
      </c>
      <c r="U1861" t="inlineStr">
        <is>
          <t>1998-02-13</t>
        </is>
      </c>
      <c r="V1861" t="inlineStr">
        <is>
          <t>1998-02-13</t>
        </is>
      </c>
      <c r="W1861" t="inlineStr">
        <is>
          <t>1990-06-06</t>
        </is>
      </c>
      <c r="X1861" t="inlineStr">
        <is>
          <t>1990-06-06</t>
        </is>
      </c>
      <c r="Y1861" t="n">
        <v>1358</v>
      </c>
      <c r="Z1861" t="n">
        <v>1295</v>
      </c>
      <c r="AA1861" t="n">
        <v>1419</v>
      </c>
      <c r="AB1861" t="n">
        <v>14</v>
      </c>
      <c r="AC1861" t="n">
        <v>15</v>
      </c>
      <c r="AD1861" t="n">
        <v>31</v>
      </c>
      <c r="AE1861" t="n">
        <v>37</v>
      </c>
      <c r="AF1861" t="n">
        <v>13</v>
      </c>
      <c r="AG1861" t="n">
        <v>15</v>
      </c>
      <c r="AH1861" t="n">
        <v>4</v>
      </c>
      <c r="AI1861" t="n">
        <v>7</v>
      </c>
      <c r="AJ1861" t="n">
        <v>15</v>
      </c>
      <c r="AK1861" t="n">
        <v>16</v>
      </c>
      <c r="AL1861" t="n">
        <v>7</v>
      </c>
      <c r="AM1861" t="n">
        <v>8</v>
      </c>
      <c r="AN1861" t="n">
        <v>0</v>
      </c>
      <c r="AO1861" t="n">
        <v>0</v>
      </c>
      <c r="AP1861" t="inlineStr">
        <is>
          <t>No</t>
        </is>
      </c>
      <c r="AQ1861" t="inlineStr">
        <is>
          <t>No</t>
        </is>
      </c>
      <c r="AS1861">
        <f>HYPERLINK("https://creighton-primo.hosted.exlibrisgroup.com/primo-explore/search?tab=default_tab&amp;search_scope=EVERYTHING&amp;vid=01CRU&amp;lang=en_US&amp;offset=0&amp;query=any,contains,991005225319702656","Catalog Record")</f>
        <v/>
      </c>
      <c r="AT1861">
        <f>HYPERLINK("http://www.worldcat.org/oclc/8281358","WorldCat Record")</f>
        <v/>
      </c>
      <c r="AU1861" t="inlineStr">
        <is>
          <t>455364:eng</t>
        </is>
      </c>
      <c r="AV1861" t="inlineStr">
        <is>
          <t>8281358</t>
        </is>
      </c>
      <c r="AW1861" t="inlineStr">
        <is>
          <t>991005225319702656</t>
        </is>
      </c>
      <c r="AX1861" t="inlineStr">
        <is>
          <t>991005225319702656</t>
        </is>
      </c>
      <c r="AY1861" t="inlineStr">
        <is>
          <t>2266836570002656</t>
        </is>
      </c>
      <c r="AZ1861" t="inlineStr">
        <is>
          <t>BOOK</t>
        </is>
      </c>
      <c r="BB1861" t="inlineStr">
        <is>
          <t>9780385151085</t>
        </is>
      </c>
      <c r="BC1861" t="inlineStr">
        <is>
          <t>32285000182518</t>
        </is>
      </c>
      <c r="BD1861" t="inlineStr">
        <is>
          <t>893514263</t>
        </is>
      </c>
    </row>
    <row r="1862">
      <c r="A1862" t="inlineStr">
        <is>
          <t>No</t>
        </is>
      </c>
      <c r="B1862" t="inlineStr">
        <is>
          <t>E807 .M75 1985</t>
        </is>
      </c>
      <c r="C1862" t="inlineStr">
        <is>
          <t>0                      E  0807000M  75          1985</t>
        </is>
      </c>
      <c r="D1862" t="inlineStr">
        <is>
          <t>FDR : a biography / Ted Morgan.</t>
        </is>
      </c>
      <c r="F1862" t="inlineStr">
        <is>
          <t>No</t>
        </is>
      </c>
      <c r="G1862" t="inlineStr">
        <is>
          <t>1</t>
        </is>
      </c>
      <c r="H1862" t="inlineStr">
        <is>
          <t>No</t>
        </is>
      </c>
      <c r="I1862" t="inlineStr">
        <is>
          <t>No</t>
        </is>
      </c>
      <c r="J1862" t="inlineStr">
        <is>
          <t>0</t>
        </is>
      </c>
      <c r="K1862" t="inlineStr">
        <is>
          <t>Morgan, Ted, 1932-</t>
        </is>
      </c>
      <c r="L1862" t="inlineStr">
        <is>
          <t>New York : Simon and Schuster, c1985.</t>
        </is>
      </c>
      <c r="M1862" t="inlineStr">
        <is>
          <t>1985</t>
        </is>
      </c>
      <c r="O1862" t="inlineStr">
        <is>
          <t>eng</t>
        </is>
      </c>
      <c r="P1862" t="inlineStr">
        <is>
          <t>nyu</t>
        </is>
      </c>
      <c r="R1862" t="inlineStr">
        <is>
          <t xml:space="preserve">E  </t>
        </is>
      </c>
      <c r="S1862" t="n">
        <v>9</v>
      </c>
      <c r="T1862" t="n">
        <v>9</v>
      </c>
      <c r="U1862" t="inlineStr">
        <is>
          <t>1998-02-13</t>
        </is>
      </c>
      <c r="V1862" t="inlineStr">
        <is>
          <t>1998-02-13</t>
        </is>
      </c>
      <c r="W1862" t="inlineStr">
        <is>
          <t>1990-06-06</t>
        </is>
      </c>
      <c r="X1862" t="inlineStr">
        <is>
          <t>1990-06-06</t>
        </is>
      </c>
      <c r="Y1862" t="n">
        <v>1801</v>
      </c>
      <c r="Z1862" t="n">
        <v>1658</v>
      </c>
      <c r="AA1862" t="n">
        <v>1702</v>
      </c>
      <c r="AB1862" t="n">
        <v>15</v>
      </c>
      <c r="AC1862" t="n">
        <v>17</v>
      </c>
      <c r="AD1862" t="n">
        <v>44</v>
      </c>
      <c r="AE1862" t="n">
        <v>45</v>
      </c>
      <c r="AF1862" t="n">
        <v>18</v>
      </c>
      <c r="AG1862" t="n">
        <v>18</v>
      </c>
      <c r="AH1862" t="n">
        <v>9</v>
      </c>
      <c r="AI1862" t="n">
        <v>9</v>
      </c>
      <c r="AJ1862" t="n">
        <v>22</v>
      </c>
      <c r="AK1862" t="n">
        <v>22</v>
      </c>
      <c r="AL1862" t="n">
        <v>5</v>
      </c>
      <c r="AM1862" t="n">
        <v>6</v>
      </c>
      <c r="AN1862" t="n">
        <v>1</v>
      </c>
      <c r="AO1862" t="n">
        <v>1</v>
      </c>
      <c r="AP1862" t="inlineStr">
        <is>
          <t>No</t>
        </is>
      </c>
      <c r="AQ1862" t="inlineStr">
        <is>
          <t>Yes</t>
        </is>
      </c>
      <c r="AR1862">
        <f>HYPERLINK("http://catalog.hathitrust.org/Record/000352101","HathiTrust Record")</f>
        <v/>
      </c>
      <c r="AS1862">
        <f>HYPERLINK("https://creighton-primo.hosted.exlibrisgroup.com/primo-explore/search?tab=default_tab&amp;search_scope=EVERYTHING&amp;vid=01CRU&amp;lang=en_US&amp;offset=0&amp;query=any,contains,991000629529702656","Catalog Record")</f>
        <v/>
      </c>
      <c r="AT1862">
        <f>HYPERLINK("http://www.worldcat.org/oclc/12051520","WorldCat Record")</f>
        <v/>
      </c>
      <c r="AU1862" t="inlineStr">
        <is>
          <t>836672142:eng</t>
        </is>
      </c>
      <c r="AV1862" t="inlineStr">
        <is>
          <t>12051520</t>
        </is>
      </c>
      <c r="AW1862" t="inlineStr">
        <is>
          <t>991000629529702656</t>
        </is>
      </c>
      <c r="AX1862" t="inlineStr">
        <is>
          <t>991000629529702656</t>
        </is>
      </c>
      <c r="AY1862" t="inlineStr">
        <is>
          <t>2266432950002656</t>
        </is>
      </c>
      <c r="AZ1862" t="inlineStr">
        <is>
          <t>BOOK</t>
        </is>
      </c>
      <c r="BB1862" t="inlineStr">
        <is>
          <t>9780671454951</t>
        </is>
      </c>
      <c r="BC1862" t="inlineStr">
        <is>
          <t>32285000182526</t>
        </is>
      </c>
      <c r="BD1862" t="inlineStr">
        <is>
          <t>893689882</t>
        </is>
      </c>
    </row>
    <row r="1863">
      <c r="A1863" t="inlineStr">
        <is>
          <t>No</t>
        </is>
      </c>
      <c r="B1863" t="inlineStr">
        <is>
          <t>E807 .P27 1989</t>
        </is>
      </c>
      <c r="C1863" t="inlineStr">
        <is>
          <t>0                      E  0807000P  27          1989</t>
        </is>
      </c>
      <c r="D1863" t="inlineStr">
        <is>
          <t>Roosevelt and Marshall : partners in politics and war / Thomas Parrish.</t>
        </is>
      </c>
      <c r="F1863" t="inlineStr">
        <is>
          <t>No</t>
        </is>
      </c>
      <c r="G1863" t="inlineStr">
        <is>
          <t>1</t>
        </is>
      </c>
      <c r="H1863" t="inlineStr">
        <is>
          <t>No</t>
        </is>
      </c>
      <c r="I1863" t="inlineStr">
        <is>
          <t>No</t>
        </is>
      </c>
      <c r="J1863" t="inlineStr">
        <is>
          <t>0</t>
        </is>
      </c>
      <c r="K1863" t="inlineStr">
        <is>
          <t>Parrish, Thomas (Thomas D.)</t>
        </is>
      </c>
      <c r="L1863" t="inlineStr">
        <is>
          <t>New York : W. Morrow, c1989.</t>
        </is>
      </c>
      <c r="M1863" t="inlineStr">
        <is>
          <t>1989</t>
        </is>
      </c>
      <c r="O1863" t="inlineStr">
        <is>
          <t>eng</t>
        </is>
      </c>
      <c r="P1863" t="inlineStr">
        <is>
          <t>nyu</t>
        </is>
      </c>
      <c r="R1863" t="inlineStr">
        <is>
          <t xml:space="preserve">E  </t>
        </is>
      </c>
      <c r="S1863" t="n">
        <v>5</v>
      </c>
      <c r="T1863" t="n">
        <v>5</v>
      </c>
      <c r="U1863" t="inlineStr">
        <is>
          <t>1999-04-26</t>
        </is>
      </c>
      <c r="V1863" t="inlineStr">
        <is>
          <t>1999-04-26</t>
        </is>
      </c>
      <c r="W1863" t="inlineStr">
        <is>
          <t>1990-08-15</t>
        </is>
      </c>
      <c r="X1863" t="inlineStr">
        <is>
          <t>1990-08-15</t>
        </is>
      </c>
      <c r="Y1863" t="n">
        <v>699</v>
      </c>
      <c r="Z1863" t="n">
        <v>632</v>
      </c>
      <c r="AA1863" t="n">
        <v>643</v>
      </c>
      <c r="AB1863" t="n">
        <v>4</v>
      </c>
      <c r="AC1863" t="n">
        <v>4</v>
      </c>
      <c r="AD1863" t="n">
        <v>24</v>
      </c>
      <c r="AE1863" t="n">
        <v>24</v>
      </c>
      <c r="AF1863" t="n">
        <v>8</v>
      </c>
      <c r="AG1863" t="n">
        <v>8</v>
      </c>
      <c r="AH1863" t="n">
        <v>6</v>
      </c>
      <c r="AI1863" t="n">
        <v>6</v>
      </c>
      <c r="AJ1863" t="n">
        <v>12</v>
      </c>
      <c r="AK1863" t="n">
        <v>12</v>
      </c>
      <c r="AL1863" t="n">
        <v>3</v>
      </c>
      <c r="AM1863" t="n">
        <v>3</v>
      </c>
      <c r="AN1863" t="n">
        <v>1</v>
      </c>
      <c r="AO1863" t="n">
        <v>1</v>
      </c>
      <c r="AP1863" t="inlineStr">
        <is>
          <t>No</t>
        </is>
      </c>
      <c r="AQ1863" t="inlineStr">
        <is>
          <t>Yes</t>
        </is>
      </c>
      <c r="AR1863">
        <f>HYPERLINK("http://catalog.hathitrust.org/Record/001548308","HathiTrust Record")</f>
        <v/>
      </c>
      <c r="AS1863">
        <f>HYPERLINK("https://creighton-primo.hosted.exlibrisgroup.com/primo-explore/search?tab=default_tab&amp;search_scope=EVERYTHING&amp;vid=01CRU&amp;lang=en_US&amp;offset=0&amp;query=any,contains,991001507799702656","Catalog Record")</f>
        <v/>
      </c>
      <c r="AT1863">
        <f>HYPERLINK("http://www.worldcat.org/oclc/19849048","WorldCat Record")</f>
        <v/>
      </c>
      <c r="AU1863" t="inlineStr">
        <is>
          <t>21964130:eng</t>
        </is>
      </c>
      <c r="AV1863" t="inlineStr">
        <is>
          <t>19849048</t>
        </is>
      </c>
      <c r="AW1863" t="inlineStr">
        <is>
          <t>991001507799702656</t>
        </is>
      </c>
      <c r="AX1863" t="inlineStr">
        <is>
          <t>991001507799702656</t>
        </is>
      </c>
      <c r="AY1863" t="inlineStr">
        <is>
          <t>2264403610002656</t>
        </is>
      </c>
      <c r="AZ1863" t="inlineStr">
        <is>
          <t>BOOK</t>
        </is>
      </c>
      <c r="BB1863" t="inlineStr">
        <is>
          <t>9780688090999</t>
        </is>
      </c>
      <c r="BC1863" t="inlineStr">
        <is>
          <t>32285000243575</t>
        </is>
      </c>
      <c r="BD1863" t="inlineStr">
        <is>
          <t>893346563</t>
        </is>
      </c>
    </row>
    <row r="1864">
      <c r="A1864" t="inlineStr">
        <is>
          <t>No</t>
        </is>
      </c>
      <c r="B1864" t="inlineStr">
        <is>
          <t>E807 .R64</t>
        </is>
      </c>
      <c r="C1864" t="inlineStr">
        <is>
          <t>0                      E  0807000R  64</t>
        </is>
      </c>
      <c r="D1864" t="inlineStr">
        <is>
          <t>As he saw it / with a foreword by Eleanor Roosevelt.</t>
        </is>
      </c>
      <c r="F1864" t="inlineStr">
        <is>
          <t>No</t>
        </is>
      </c>
      <c r="G1864" t="inlineStr">
        <is>
          <t>1</t>
        </is>
      </c>
      <c r="H1864" t="inlineStr">
        <is>
          <t>No</t>
        </is>
      </c>
      <c r="I1864" t="inlineStr">
        <is>
          <t>No</t>
        </is>
      </c>
      <c r="J1864" t="inlineStr">
        <is>
          <t>0</t>
        </is>
      </c>
      <c r="K1864" t="inlineStr">
        <is>
          <t>Roosevelt, Elliott, 1910-1990.</t>
        </is>
      </c>
      <c r="L1864" t="inlineStr">
        <is>
          <t>New York : Duell, Sloan and Pearce, [1946]</t>
        </is>
      </c>
      <c r="M1864" t="inlineStr">
        <is>
          <t>1946</t>
        </is>
      </c>
      <c r="O1864" t="inlineStr">
        <is>
          <t>eng</t>
        </is>
      </c>
      <c r="P1864" t="inlineStr">
        <is>
          <t>nyu</t>
        </is>
      </c>
      <c r="R1864" t="inlineStr">
        <is>
          <t xml:space="preserve">E  </t>
        </is>
      </c>
      <c r="S1864" t="n">
        <v>4</v>
      </c>
      <c r="T1864" t="n">
        <v>4</v>
      </c>
      <c r="U1864" t="inlineStr">
        <is>
          <t>1999-02-11</t>
        </is>
      </c>
      <c r="V1864" t="inlineStr">
        <is>
          <t>1999-02-11</t>
        </is>
      </c>
      <c r="W1864" t="inlineStr">
        <is>
          <t>1990-03-08</t>
        </is>
      </c>
      <c r="X1864" t="inlineStr">
        <is>
          <t>1990-03-08</t>
        </is>
      </c>
      <c r="Y1864" t="n">
        <v>1331</v>
      </c>
      <c r="Z1864" t="n">
        <v>1233</v>
      </c>
      <c r="AA1864" t="n">
        <v>1300</v>
      </c>
      <c r="AB1864" t="n">
        <v>13</v>
      </c>
      <c r="AC1864" t="n">
        <v>13</v>
      </c>
      <c r="AD1864" t="n">
        <v>54</v>
      </c>
      <c r="AE1864" t="n">
        <v>54</v>
      </c>
      <c r="AF1864" t="n">
        <v>26</v>
      </c>
      <c r="AG1864" t="n">
        <v>26</v>
      </c>
      <c r="AH1864" t="n">
        <v>9</v>
      </c>
      <c r="AI1864" t="n">
        <v>9</v>
      </c>
      <c r="AJ1864" t="n">
        <v>23</v>
      </c>
      <c r="AK1864" t="n">
        <v>23</v>
      </c>
      <c r="AL1864" t="n">
        <v>9</v>
      </c>
      <c r="AM1864" t="n">
        <v>9</v>
      </c>
      <c r="AN1864" t="n">
        <v>0</v>
      </c>
      <c r="AO1864" t="n">
        <v>0</v>
      </c>
      <c r="AP1864" t="inlineStr">
        <is>
          <t>No</t>
        </is>
      </c>
      <c r="AQ1864" t="inlineStr">
        <is>
          <t>Yes</t>
        </is>
      </c>
      <c r="AR1864">
        <f>HYPERLINK("http://catalog.hathitrust.org/Record/000577116","HathiTrust Record")</f>
        <v/>
      </c>
      <c r="AS1864">
        <f>HYPERLINK("https://creighton-primo.hosted.exlibrisgroup.com/primo-explore/search?tab=default_tab&amp;search_scope=EVERYTHING&amp;vid=01CRU&amp;lang=en_US&amp;offset=0&amp;query=any,contains,991002820499702656","Catalog Record")</f>
        <v/>
      </c>
      <c r="AT1864">
        <f>HYPERLINK("http://www.worldcat.org/oclc/466457","WorldCat Record")</f>
        <v/>
      </c>
      <c r="AU1864" t="inlineStr">
        <is>
          <t>53367514:eng</t>
        </is>
      </c>
      <c r="AV1864" t="inlineStr">
        <is>
          <t>466457</t>
        </is>
      </c>
      <c r="AW1864" t="inlineStr">
        <is>
          <t>991002820499702656</t>
        </is>
      </c>
      <c r="AX1864" t="inlineStr">
        <is>
          <t>991002820499702656</t>
        </is>
      </c>
      <c r="AY1864" t="inlineStr">
        <is>
          <t>2259830210002656</t>
        </is>
      </c>
      <c r="AZ1864" t="inlineStr">
        <is>
          <t>BOOK</t>
        </is>
      </c>
      <c r="BC1864" t="inlineStr">
        <is>
          <t>32285000080837</t>
        </is>
      </c>
      <c r="BD1864" t="inlineStr">
        <is>
          <t>893799065</t>
        </is>
      </c>
    </row>
    <row r="1865">
      <c r="A1865" t="inlineStr">
        <is>
          <t>No</t>
        </is>
      </c>
      <c r="B1865" t="inlineStr">
        <is>
          <t>E807 .R658 1976</t>
        </is>
      </c>
      <c r="C1865" t="inlineStr">
        <is>
          <t>0                      E  0807000R  658         1976</t>
        </is>
      </c>
      <c r="D1865" t="inlineStr">
        <is>
          <t>My parents : a differing view / James Roosevelt, with Bill Libby.</t>
        </is>
      </c>
      <c r="F1865" t="inlineStr">
        <is>
          <t>No</t>
        </is>
      </c>
      <c r="G1865" t="inlineStr">
        <is>
          <t>1</t>
        </is>
      </c>
      <c r="H1865" t="inlineStr">
        <is>
          <t>No</t>
        </is>
      </c>
      <c r="I1865" t="inlineStr">
        <is>
          <t>No</t>
        </is>
      </c>
      <c r="J1865" t="inlineStr">
        <is>
          <t>0</t>
        </is>
      </c>
      <c r="K1865" t="inlineStr">
        <is>
          <t>Roosevelt, James, 1907-1991.</t>
        </is>
      </c>
      <c r="L1865" t="inlineStr">
        <is>
          <t>Chicago : Playboy Press, c1976.</t>
        </is>
      </c>
      <c r="M1865" t="inlineStr">
        <is>
          <t>1976</t>
        </is>
      </c>
      <c r="N1865" t="inlineStr">
        <is>
          <t>1st ed.</t>
        </is>
      </c>
      <c r="O1865" t="inlineStr">
        <is>
          <t>eng</t>
        </is>
      </c>
      <c r="P1865" t="inlineStr">
        <is>
          <t>ilu</t>
        </is>
      </c>
      <c r="R1865" t="inlineStr">
        <is>
          <t xml:space="preserve">E  </t>
        </is>
      </c>
      <c r="S1865" t="n">
        <v>4</v>
      </c>
      <c r="T1865" t="n">
        <v>4</v>
      </c>
      <c r="U1865" t="inlineStr">
        <is>
          <t>2005-04-27</t>
        </is>
      </c>
      <c r="V1865" t="inlineStr">
        <is>
          <t>2005-04-27</t>
        </is>
      </c>
      <c r="W1865" t="inlineStr">
        <is>
          <t>1990-05-02</t>
        </is>
      </c>
      <c r="X1865" t="inlineStr">
        <is>
          <t>1990-05-02</t>
        </is>
      </c>
      <c r="Y1865" t="n">
        <v>1177</v>
      </c>
      <c r="Z1865" t="n">
        <v>1139</v>
      </c>
      <c r="AA1865" t="n">
        <v>1165</v>
      </c>
      <c r="AB1865" t="n">
        <v>11</v>
      </c>
      <c r="AC1865" t="n">
        <v>12</v>
      </c>
      <c r="AD1865" t="n">
        <v>23</v>
      </c>
      <c r="AE1865" t="n">
        <v>25</v>
      </c>
      <c r="AF1865" t="n">
        <v>8</v>
      </c>
      <c r="AG1865" t="n">
        <v>10</v>
      </c>
      <c r="AH1865" t="n">
        <v>5</v>
      </c>
      <c r="AI1865" t="n">
        <v>5</v>
      </c>
      <c r="AJ1865" t="n">
        <v>11</v>
      </c>
      <c r="AK1865" t="n">
        <v>12</v>
      </c>
      <c r="AL1865" t="n">
        <v>3</v>
      </c>
      <c r="AM1865" t="n">
        <v>3</v>
      </c>
      <c r="AN1865" t="n">
        <v>1</v>
      </c>
      <c r="AO1865" t="n">
        <v>1</v>
      </c>
      <c r="AP1865" t="inlineStr">
        <is>
          <t>No</t>
        </is>
      </c>
      <c r="AQ1865" t="inlineStr">
        <is>
          <t>Yes</t>
        </is>
      </c>
      <c r="AR1865">
        <f>HYPERLINK("http://catalog.hathitrust.org/Record/000085954","HathiTrust Record")</f>
        <v/>
      </c>
      <c r="AS1865">
        <f>HYPERLINK("https://creighton-primo.hosted.exlibrisgroup.com/primo-explore/search?tab=default_tab&amp;search_scope=EVERYTHING&amp;vid=01CRU&amp;lang=en_US&amp;offset=0&amp;query=any,contains,991004168249702656","Catalog Record")</f>
        <v/>
      </c>
      <c r="AT1865">
        <f>HYPERLINK("http://www.worldcat.org/oclc/2571765","WorldCat Record")</f>
        <v/>
      </c>
      <c r="AU1865" t="inlineStr">
        <is>
          <t>196654451:eng</t>
        </is>
      </c>
      <c r="AV1865" t="inlineStr">
        <is>
          <t>2571765</t>
        </is>
      </c>
      <c r="AW1865" t="inlineStr">
        <is>
          <t>991004168249702656</t>
        </is>
      </c>
      <c r="AX1865" t="inlineStr">
        <is>
          <t>991004168249702656</t>
        </is>
      </c>
      <c r="AY1865" t="inlineStr">
        <is>
          <t>2263159710002656</t>
        </is>
      </c>
      <c r="AZ1865" t="inlineStr">
        <is>
          <t>BOOK</t>
        </is>
      </c>
      <c r="BB1865" t="inlineStr">
        <is>
          <t>9780872234765</t>
        </is>
      </c>
      <c r="BC1865" t="inlineStr">
        <is>
          <t>32285000146604</t>
        </is>
      </c>
      <c r="BD1865" t="inlineStr">
        <is>
          <t>893325017</t>
        </is>
      </c>
    </row>
    <row r="1866">
      <c r="A1866" t="inlineStr">
        <is>
          <t>No</t>
        </is>
      </c>
      <c r="B1866" t="inlineStr">
        <is>
          <t>E807 .S9</t>
        </is>
      </c>
      <c r="C1866" t="inlineStr">
        <is>
          <t>0                      E  0807000S  9</t>
        </is>
      </c>
      <c r="D1866" t="inlineStr">
        <is>
          <t>Franklin Delano Roosevelt / by the editors of American heritage. Author: Wilson Sullivan. Consultant: Frank Freidel.</t>
        </is>
      </c>
      <c r="F1866" t="inlineStr">
        <is>
          <t>No</t>
        </is>
      </c>
      <c r="G1866" t="inlineStr">
        <is>
          <t>1</t>
        </is>
      </c>
      <c r="H1866" t="inlineStr">
        <is>
          <t>No</t>
        </is>
      </c>
      <c r="I1866" t="inlineStr">
        <is>
          <t>No</t>
        </is>
      </c>
      <c r="J1866" t="inlineStr">
        <is>
          <t>0</t>
        </is>
      </c>
      <c r="K1866" t="inlineStr">
        <is>
          <t>Sullivan, Wilson.</t>
        </is>
      </c>
      <c r="L1866" t="inlineStr">
        <is>
          <t>New York : American Heritage Pub. Co.; book trade and institutional distribution by Harper &amp; Row, 1970.</t>
        </is>
      </c>
      <c r="M1866" t="inlineStr">
        <is>
          <t>1970</t>
        </is>
      </c>
      <c r="N1866" t="inlineStr">
        <is>
          <t>1st ed.</t>
        </is>
      </c>
      <c r="O1866" t="inlineStr">
        <is>
          <t>eng</t>
        </is>
      </c>
      <c r="P1866" t="inlineStr">
        <is>
          <t>nyu</t>
        </is>
      </c>
      <c r="Q1866" t="inlineStr">
        <is>
          <t>American heritage junior library</t>
        </is>
      </c>
      <c r="R1866" t="inlineStr">
        <is>
          <t xml:space="preserve">E  </t>
        </is>
      </c>
      <c r="S1866" t="n">
        <v>2</v>
      </c>
      <c r="T1866" t="n">
        <v>2</v>
      </c>
      <c r="U1866" t="inlineStr">
        <is>
          <t>2002-10-07</t>
        </is>
      </c>
      <c r="V1866" t="inlineStr">
        <is>
          <t>2002-10-07</t>
        </is>
      </c>
      <c r="W1866" t="inlineStr">
        <is>
          <t>1992-09-08</t>
        </is>
      </c>
      <c r="X1866" t="inlineStr">
        <is>
          <t>1992-09-08</t>
        </is>
      </c>
      <c r="Y1866" t="n">
        <v>581</v>
      </c>
      <c r="Z1866" t="n">
        <v>573</v>
      </c>
      <c r="AA1866" t="n">
        <v>585</v>
      </c>
      <c r="AB1866" t="n">
        <v>5</v>
      </c>
      <c r="AC1866" t="n">
        <v>5</v>
      </c>
      <c r="AD1866" t="n">
        <v>3</v>
      </c>
      <c r="AE1866" t="n">
        <v>3</v>
      </c>
      <c r="AF1866" t="n">
        <v>1</v>
      </c>
      <c r="AG1866" t="n">
        <v>1</v>
      </c>
      <c r="AH1866" t="n">
        <v>0</v>
      </c>
      <c r="AI1866" t="n">
        <v>0</v>
      </c>
      <c r="AJ1866" t="n">
        <v>1</v>
      </c>
      <c r="AK1866" t="n">
        <v>1</v>
      </c>
      <c r="AL1866" t="n">
        <v>2</v>
      </c>
      <c r="AM1866" t="n">
        <v>2</v>
      </c>
      <c r="AN1866" t="n">
        <v>0</v>
      </c>
      <c r="AO1866" t="n">
        <v>0</v>
      </c>
      <c r="AP1866" t="inlineStr">
        <is>
          <t>No</t>
        </is>
      </c>
      <c r="AQ1866" t="inlineStr">
        <is>
          <t>Yes</t>
        </is>
      </c>
      <c r="AR1866">
        <f>HYPERLINK("http://catalog.hathitrust.org/Record/006153673","HathiTrust Record")</f>
        <v/>
      </c>
      <c r="AS1866">
        <f>HYPERLINK("https://creighton-primo.hosted.exlibrisgroup.com/primo-explore/search?tab=default_tab&amp;search_scope=EVERYTHING&amp;vid=01CRU&amp;lang=en_US&amp;offset=0&amp;query=any,contains,991004094329702656","Catalog Record")</f>
        <v/>
      </c>
      <c r="AT1866">
        <f>HYPERLINK("http://www.worldcat.org/oclc/77305","WorldCat Record")</f>
        <v/>
      </c>
      <c r="AU1866" t="inlineStr">
        <is>
          <t>403396:eng</t>
        </is>
      </c>
      <c r="AV1866" t="inlineStr">
        <is>
          <t>77305</t>
        </is>
      </c>
      <c r="AW1866" t="inlineStr">
        <is>
          <t>991004094329702656</t>
        </is>
      </c>
      <c r="AX1866" t="inlineStr">
        <is>
          <t>991004094329702656</t>
        </is>
      </c>
      <c r="AY1866" t="inlineStr">
        <is>
          <t>2256500940002656</t>
        </is>
      </c>
      <c r="AZ1866" t="inlineStr">
        <is>
          <t>BOOK</t>
        </is>
      </c>
      <c r="BB1866" t="inlineStr">
        <is>
          <t>9780828150293</t>
        </is>
      </c>
      <c r="BC1866" t="inlineStr">
        <is>
          <t>32285001296366</t>
        </is>
      </c>
      <c r="BD1866" t="inlineStr">
        <is>
          <t>893679286</t>
        </is>
      </c>
    </row>
    <row r="1867">
      <c r="A1867" t="inlineStr">
        <is>
          <t>No</t>
        </is>
      </c>
      <c r="B1867" t="inlineStr">
        <is>
          <t>E807 .T765</t>
        </is>
      </c>
      <c r="C1867" t="inlineStr">
        <is>
          <t>0                      E  0807000T  765</t>
        </is>
      </c>
      <c r="D1867" t="inlineStr">
        <is>
          <t>In search of Roosevelt / by Rexford G. Tugwell.</t>
        </is>
      </c>
      <c r="F1867" t="inlineStr">
        <is>
          <t>No</t>
        </is>
      </c>
      <c r="G1867" t="inlineStr">
        <is>
          <t>1</t>
        </is>
      </c>
      <c r="H1867" t="inlineStr">
        <is>
          <t>No</t>
        </is>
      </c>
      <c r="I1867" t="inlineStr">
        <is>
          <t>No</t>
        </is>
      </c>
      <c r="J1867" t="inlineStr">
        <is>
          <t>0</t>
        </is>
      </c>
      <c r="K1867" t="inlineStr">
        <is>
          <t>Tugwell, Rexford G. (Rexford Guy), 1891-1979.</t>
        </is>
      </c>
      <c r="L1867" t="inlineStr">
        <is>
          <t>Cambridge : Harvard University Press, 1972.</t>
        </is>
      </c>
      <c r="M1867" t="inlineStr">
        <is>
          <t>1972</t>
        </is>
      </c>
      <c r="O1867" t="inlineStr">
        <is>
          <t>eng</t>
        </is>
      </c>
      <c r="P1867" t="inlineStr">
        <is>
          <t>mau</t>
        </is>
      </c>
      <c r="R1867" t="inlineStr">
        <is>
          <t xml:space="preserve">E  </t>
        </is>
      </c>
      <c r="S1867" t="n">
        <v>4</v>
      </c>
      <c r="T1867" t="n">
        <v>4</v>
      </c>
      <c r="U1867" t="inlineStr">
        <is>
          <t>1999-02-11</t>
        </is>
      </c>
      <c r="V1867" t="inlineStr">
        <is>
          <t>1999-02-11</t>
        </is>
      </c>
      <c r="W1867" t="inlineStr">
        <is>
          <t>1991-06-06</t>
        </is>
      </c>
      <c r="X1867" t="inlineStr">
        <is>
          <t>1991-06-06</t>
        </is>
      </c>
      <c r="Y1867" t="n">
        <v>1001</v>
      </c>
      <c r="Z1867" t="n">
        <v>891</v>
      </c>
      <c r="AA1867" t="n">
        <v>902</v>
      </c>
      <c r="AB1867" t="n">
        <v>5</v>
      </c>
      <c r="AC1867" t="n">
        <v>5</v>
      </c>
      <c r="AD1867" t="n">
        <v>32</v>
      </c>
      <c r="AE1867" t="n">
        <v>32</v>
      </c>
      <c r="AF1867" t="n">
        <v>13</v>
      </c>
      <c r="AG1867" t="n">
        <v>13</v>
      </c>
      <c r="AH1867" t="n">
        <v>7</v>
      </c>
      <c r="AI1867" t="n">
        <v>7</v>
      </c>
      <c r="AJ1867" t="n">
        <v>18</v>
      </c>
      <c r="AK1867" t="n">
        <v>18</v>
      </c>
      <c r="AL1867" t="n">
        <v>4</v>
      </c>
      <c r="AM1867" t="n">
        <v>4</v>
      </c>
      <c r="AN1867" t="n">
        <v>1</v>
      </c>
      <c r="AO1867" t="n">
        <v>1</v>
      </c>
      <c r="AP1867" t="inlineStr">
        <is>
          <t>No</t>
        </is>
      </c>
      <c r="AQ1867" t="inlineStr">
        <is>
          <t>Yes</t>
        </is>
      </c>
      <c r="AR1867">
        <f>HYPERLINK("http://catalog.hathitrust.org/Record/000470179","HathiTrust Record")</f>
        <v/>
      </c>
      <c r="AS1867">
        <f>HYPERLINK("https://creighton-primo.hosted.exlibrisgroup.com/primo-explore/search?tab=default_tab&amp;search_scope=EVERYTHING&amp;vid=01CRU&amp;lang=en_US&amp;offset=0&amp;query=any,contains,991002885729702656","Catalog Record")</f>
        <v/>
      </c>
      <c r="AT1867">
        <f>HYPERLINK("http://www.worldcat.org/oclc/508213","WorldCat Record")</f>
        <v/>
      </c>
      <c r="AU1867" t="inlineStr">
        <is>
          <t>521522:eng</t>
        </is>
      </c>
      <c r="AV1867" t="inlineStr">
        <is>
          <t>508213</t>
        </is>
      </c>
      <c r="AW1867" t="inlineStr">
        <is>
          <t>991002885729702656</t>
        </is>
      </c>
      <c r="AX1867" t="inlineStr">
        <is>
          <t>991002885729702656</t>
        </is>
      </c>
      <c r="AY1867" t="inlineStr">
        <is>
          <t>2261100690002656</t>
        </is>
      </c>
      <c r="AZ1867" t="inlineStr">
        <is>
          <t>BOOK</t>
        </is>
      </c>
      <c r="BB1867" t="inlineStr">
        <is>
          <t>9780674446250</t>
        </is>
      </c>
      <c r="BC1867" t="inlineStr">
        <is>
          <t>32285000614585</t>
        </is>
      </c>
      <c r="BD1867" t="inlineStr">
        <is>
          <t>893517877</t>
        </is>
      </c>
    </row>
    <row r="1868">
      <c r="A1868" t="inlineStr">
        <is>
          <t>No</t>
        </is>
      </c>
      <c r="B1868" t="inlineStr">
        <is>
          <t>E807 .W328 1989</t>
        </is>
      </c>
      <c r="C1868" t="inlineStr">
        <is>
          <t>0                      E  0807000W  328         1989</t>
        </is>
      </c>
      <c r="D1868" t="inlineStr">
        <is>
          <t>A first-class temperament : the emergence of Franklin Roosevelt / Geoffrey C. Ward.</t>
        </is>
      </c>
      <c r="F1868" t="inlineStr">
        <is>
          <t>No</t>
        </is>
      </c>
      <c r="G1868" t="inlineStr">
        <is>
          <t>1</t>
        </is>
      </c>
      <c r="H1868" t="inlineStr">
        <is>
          <t>No</t>
        </is>
      </c>
      <c r="I1868" t="inlineStr">
        <is>
          <t>No</t>
        </is>
      </c>
      <c r="J1868" t="inlineStr">
        <is>
          <t>0</t>
        </is>
      </c>
      <c r="K1868" t="inlineStr">
        <is>
          <t>Ward, Geoffrey C.</t>
        </is>
      </c>
      <c r="L1868" t="inlineStr">
        <is>
          <t>New York : Harper &amp; Row, c1989.</t>
        </is>
      </c>
      <c r="M1868" t="inlineStr">
        <is>
          <t>1989</t>
        </is>
      </c>
      <c r="N1868" t="inlineStr">
        <is>
          <t>1st ed.</t>
        </is>
      </c>
      <c r="O1868" t="inlineStr">
        <is>
          <t>eng</t>
        </is>
      </c>
      <c r="P1868" t="inlineStr">
        <is>
          <t>nyu</t>
        </is>
      </c>
      <c r="R1868" t="inlineStr">
        <is>
          <t xml:space="preserve">E  </t>
        </is>
      </c>
      <c r="S1868" t="n">
        <v>0</v>
      </c>
      <c r="T1868" t="n">
        <v>0</v>
      </c>
      <c r="U1868" t="inlineStr">
        <is>
          <t>2003-07-28</t>
        </is>
      </c>
      <c r="V1868" t="inlineStr">
        <is>
          <t>2003-07-28</t>
        </is>
      </c>
      <c r="W1868" t="inlineStr">
        <is>
          <t>1990-07-30</t>
        </is>
      </c>
      <c r="X1868" t="inlineStr">
        <is>
          <t>1990-07-30</t>
        </is>
      </c>
      <c r="Y1868" t="n">
        <v>1472</v>
      </c>
      <c r="Z1868" t="n">
        <v>1389</v>
      </c>
      <c r="AA1868" t="n">
        <v>1488</v>
      </c>
      <c r="AB1868" t="n">
        <v>13</v>
      </c>
      <c r="AC1868" t="n">
        <v>14</v>
      </c>
      <c r="AD1868" t="n">
        <v>40</v>
      </c>
      <c r="AE1868" t="n">
        <v>44</v>
      </c>
      <c r="AF1868" t="n">
        <v>16</v>
      </c>
      <c r="AG1868" t="n">
        <v>18</v>
      </c>
      <c r="AH1868" t="n">
        <v>8</v>
      </c>
      <c r="AI1868" t="n">
        <v>8</v>
      </c>
      <c r="AJ1868" t="n">
        <v>19</v>
      </c>
      <c r="AK1868" t="n">
        <v>20</v>
      </c>
      <c r="AL1868" t="n">
        <v>7</v>
      </c>
      <c r="AM1868" t="n">
        <v>8</v>
      </c>
      <c r="AN1868" t="n">
        <v>1</v>
      </c>
      <c r="AO1868" t="n">
        <v>1</v>
      </c>
      <c r="AP1868" t="inlineStr">
        <is>
          <t>No</t>
        </is>
      </c>
      <c r="AQ1868" t="inlineStr">
        <is>
          <t>Yes</t>
        </is>
      </c>
      <c r="AR1868">
        <f>HYPERLINK("http://catalog.hathitrust.org/Record/001541498","HathiTrust Record")</f>
        <v/>
      </c>
      <c r="AS1868">
        <f>HYPERLINK("https://creighton-primo.hosted.exlibrisgroup.com/primo-explore/search?tab=default_tab&amp;search_scope=EVERYTHING&amp;vid=01CRU&amp;lang=en_US&amp;offset=0&amp;query=any,contains,991001423399702656","Catalog Record")</f>
        <v/>
      </c>
      <c r="AT1868">
        <f>HYPERLINK("http://www.worldcat.org/oclc/18986277","WorldCat Record")</f>
        <v/>
      </c>
      <c r="AU1868" t="inlineStr">
        <is>
          <t>19104309:eng</t>
        </is>
      </c>
      <c r="AV1868" t="inlineStr">
        <is>
          <t>18986277</t>
        </is>
      </c>
      <c r="AW1868" t="inlineStr">
        <is>
          <t>991001423399702656</t>
        </is>
      </c>
      <c r="AX1868" t="inlineStr">
        <is>
          <t>991001423399702656</t>
        </is>
      </c>
      <c r="AY1868" t="inlineStr">
        <is>
          <t>2268427610002656</t>
        </is>
      </c>
      <c r="AZ1868" t="inlineStr">
        <is>
          <t>BOOK</t>
        </is>
      </c>
      <c r="BB1868" t="inlineStr">
        <is>
          <t>9780060160661</t>
        </is>
      </c>
      <c r="BC1868" t="inlineStr">
        <is>
          <t>32285000229244</t>
        </is>
      </c>
      <c r="BD1868" t="inlineStr">
        <is>
          <t>893426596</t>
        </is>
      </c>
    </row>
    <row r="1869">
      <c r="A1869" t="inlineStr">
        <is>
          <t>No</t>
        </is>
      </c>
      <c r="B1869" t="inlineStr">
        <is>
          <t>E807 .W58 1990</t>
        </is>
      </c>
      <c r="C1869" t="inlineStr">
        <is>
          <t>0                      E  0807000W  58          1990</t>
        </is>
      </c>
      <c r="D1869" t="inlineStr">
        <is>
          <t>FDR and the news media / Betty Houchin Winfield.</t>
        </is>
      </c>
      <c r="F1869" t="inlineStr">
        <is>
          <t>No</t>
        </is>
      </c>
      <c r="G1869" t="inlineStr">
        <is>
          <t>1</t>
        </is>
      </c>
      <c r="H1869" t="inlineStr">
        <is>
          <t>No</t>
        </is>
      </c>
      <c r="I1869" t="inlineStr">
        <is>
          <t>No</t>
        </is>
      </c>
      <c r="J1869" t="inlineStr">
        <is>
          <t>0</t>
        </is>
      </c>
      <c r="K1869" t="inlineStr">
        <is>
          <t>Winfield, Betty Houchin, 1939-</t>
        </is>
      </c>
      <c r="L1869" t="inlineStr">
        <is>
          <t>Urbana : University of Illinois Press, c1990.</t>
        </is>
      </c>
      <c r="M1869" t="inlineStr">
        <is>
          <t>1990</t>
        </is>
      </c>
      <c r="O1869" t="inlineStr">
        <is>
          <t>eng</t>
        </is>
      </c>
      <c r="P1869" t="inlineStr">
        <is>
          <t>ilu</t>
        </is>
      </c>
      <c r="R1869" t="inlineStr">
        <is>
          <t xml:space="preserve">E  </t>
        </is>
      </c>
      <c r="S1869" t="n">
        <v>3</v>
      </c>
      <c r="T1869" t="n">
        <v>3</v>
      </c>
      <c r="U1869" t="inlineStr">
        <is>
          <t>1995-02-20</t>
        </is>
      </c>
      <c r="V1869" t="inlineStr">
        <is>
          <t>1995-02-20</t>
        </is>
      </c>
      <c r="W1869" t="inlineStr">
        <is>
          <t>1991-04-16</t>
        </is>
      </c>
      <c r="X1869" t="inlineStr">
        <is>
          <t>1991-04-16</t>
        </is>
      </c>
      <c r="Y1869" t="n">
        <v>567</v>
      </c>
      <c r="Z1869" t="n">
        <v>504</v>
      </c>
      <c r="AA1869" t="n">
        <v>549</v>
      </c>
      <c r="AB1869" t="n">
        <v>4</v>
      </c>
      <c r="AC1869" t="n">
        <v>4</v>
      </c>
      <c r="AD1869" t="n">
        <v>29</v>
      </c>
      <c r="AE1869" t="n">
        <v>32</v>
      </c>
      <c r="AF1869" t="n">
        <v>8</v>
      </c>
      <c r="AG1869" t="n">
        <v>11</v>
      </c>
      <c r="AH1869" t="n">
        <v>9</v>
      </c>
      <c r="AI1869" t="n">
        <v>9</v>
      </c>
      <c r="AJ1869" t="n">
        <v>16</v>
      </c>
      <c r="AK1869" t="n">
        <v>16</v>
      </c>
      <c r="AL1869" t="n">
        <v>3</v>
      </c>
      <c r="AM1869" t="n">
        <v>3</v>
      </c>
      <c r="AN1869" t="n">
        <v>0</v>
      </c>
      <c r="AO1869" t="n">
        <v>0</v>
      </c>
      <c r="AP1869" t="inlineStr">
        <is>
          <t>No</t>
        </is>
      </c>
      <c r="AQ1869" t="inlineStr">
        <is>
          <t>No</t>
        </is>
      </c>
      <c r="AS1869">
        <f>HYPERLINK("https://creighton-primo.hosted.exlibrisgroup.com/primo-explore/search?tab=default_tab&amp;search_scope=EVERYTHING&amp;vid=01CRU&amp;lang=en_US&amp;offset=0&amp;query=any,contains,991001594459702656","Catalog Record")</f>
        <v/>
      </c>
      <c r="AT1869">
        <f>HYPERLINK("http://www.worldcat.org/oclc/20596074","WorldCat Record")</f>
        <v/>
      </c>
      <c r="AU1869" t="inlineStr">
        <is>
          <t>1062442:eng</t>
        </is>
      </c>
      <c r="AV1869" t="inlineStr">
        <is>
          <t>20596074</t>
        </is>
      </c>
      <c r="AW1869" t="inlineStr">
        <is>
          <t>991001594459702656</t>
        </is>
      </c>
      <c r="AX1869" t="inlineStr">
        <is>
          <t>991001594459702656</t>
        </is>
      </c>
      <c r="AY1869" t="inlineStr">
        <is>
          <t>2268894080002656</t>
        </is>
      </c>
      <c r="AZ1869" t="inlineStr">
        <is>
          <t>BOOK</t>
        </is>
      </c>
      <c r="BB1869" t="inlineStr">
        <is>
          <t>9780252016721</t>
        </is>
      </c>
      <c r="BC1869" t="inlineStr">
        <is>
          <t>32285000567635</t>
        </is>
      </c>
      <c r="BD1869" t="inlineStr">
        <is>
          <t>893516304</t>
        </is>
      </c>
    </row>
    <row r="1870">
      <c r="A1870" t="inlineStr">
        <is>
          <t>No</t>
        </is>
      </c>
      <c r="B1870" t="inlineStr">
        <is>
          <t>E807.1 .R418 1982</t>
        </is>
      </c>
      <c r="C1870" t="inlineStr">
        <is>
          <t>0                      E  0807100R  418         1982</t>
        </is>
      </c>
      <c r="D1870" t="inlineStr">
        <is>
          <t>Mother &amp; daughter : the letters of Eleanor and Anna Roosevelt / edited by Bernard Asbell.</t>
        </is>
      </c>
      <c r="F1870" t="inlineStr">
        <is>
          <t>No</t>
        </is>
      </c>
      <c r="G1870" t="inlineStr">
        <is>
          <t>1</t>
        </is>
      </c>
      <c r="H1870" t="inlineStr">
        <is>
          <t>No</t>
        </is>
      </c>
      <c r="I1870" t="inlineStr">
        <is>
          <t>No</t>
        </is>
      </c>
      <c r="J1870" t="inlineStr">
        <is>
          <t>0</t>
        </is>
      </c>
      <c r="K1870" t="inlineStr">
        <is>
          <t>Roosevelt, Eleanor, 1884-1962.</t>
        </is>
      </c>
      <c r="L1870" t="inlineStr">
        <is>
          <t>New York : Coward, McCann &amp; Geoghegan, c1982.</t>
        </is>
      </c>
      <c r="M1870" t="inlineStr">
        <is>
          <t>1982</t>
        </is>
      </c>
      <c r="O1870" t="inlineStr">
        <is>
          <t>eng</t>
        </is>
      </c>
      <c r="P1870" t="inlineStr">
        <is>
          <t>nyu</t>
        </is>
      </c>
      <c r="R1870" t="inlineStr">
        <is>
          <t xml:space="preserve">E  </t>
        </is>
      </c>
      <c r="S1870" t="n">
        <v>5</v>
      </c>
      <c r="T1870" t="n">
        <v>5</v>
      </c>
      <c r="U1870" t="inlineStr">
        <is>
          <t>2005-04-27</t>
        </is>
      </c>
      <c r="V1870" t="inlineStr">
        <is>
          <t>2005-04-27</t>
        </is>
      </c>
      <c r="W1870" t="inlineStr">
        <is>
          <t>1991-06-06</t>
        </is>
      </c>
      <c r="X1870" t="inlineStr">
        <is>
          <t>1991-06-06</t>
        </is>
      </c>
      <c r="Y1870" t="n">
        <v>812</v>
      </c>
      <c r="Z1870" t="n">
        <v>769</v>
      </c>
      <c r="AA1870" t="n">
        <v>836</v>
      </c>
      <c r="AB1870" t="n">
        <v>7</v>
      </c>
      <c r="AC1870" t="n">
        <v>7</v>
      </c>
      <c r="AD1870" t="n">
        <v>21</v>
      </c>
      <c r="AE1870" t="n">
        <v>24</v>
      </c>
      <c r="AF1870" t="n">
        <v>8</v>
      </c>
      <c r="AG1870" t="n">
        <v>9</v>
      </c>
      <c r="AH1870" t="n">
        <v>5</v>
      </c>
      <c r="AI1870" t="n">
        <v>5</v>
      </c>
      <c r="AJ1870" t="n">
        <v>9</v>
      </c>
      <c r="AK1870" t="n">
        <v>11</v>
      </c>
      <c r="AL1870" t="n">
        <v>3</v>
      </c>
      <c r="AM1870" t="n">
        <v>3</v>
      </c>
      <c r="AN1870" t="n">
        <v>0</v>
      </c>
      <c r="AO1870" t="n">
        <v>0</v>
      </c>
      <c r="AP1870" t="inlineStr">
        <is>
          <t>No</t>
        </is>
      </c>
      <c r="AQ1870" t="inlineStr">
        <is>
          <t>Yes</t>
        </is>
      </c>
      <c r="AR1870">
        <f>HYPERLINK("http://catalog.hathitrust.org/Record/000764334","HathiTrust Record")</f>
        <v/>
      </c>
      <c r="AS1870">
        <f>HYPERLINK("https://creighton-primo.hosted.exlibrisgroup.com/primo-explore/search?tab=default_tab&amp;search_scope=EVERYTHING&amp;vid=01CRU&amp;lang=en_US&amp;offset=0&amp;query=any,contains,991005205299702656","Catalog Record")</f>
        <v/>
      </c>
      <c r="AT1870">
        <f>HYPERLINK("http://www.worldcat.org/oclc/8113497","WorldCat Record")</f>
        <v/>
      </c>
      <c r="AU1870" t="inlineStr">
        <is>
          <t>443625:eng</t>
        </is>
      </c>
      <c r="AV1870" t="inlineStr">
        <is>
          <t>8113497</t>
        </is>
      </c>
      <c r="AW1870" t="inlineStr">
        <is>
          <t>991005205299702656</t>
        </is>
      </c>
      <c r="AX1870" t="inlineStr">
        <is>
          <t>991005205299702656</t>
        </is>
      </c>
      <c r="AY1870" t="inlineStr">
        <is>
          <t>2256530800002656</t>
        </is>
      </c>
      <c r="AZ1870" t="inlineStr">
        <is>
          <t>BOOK</t>
        </is>
      </c>
      <c r="BB1870" t="inlineStr">
        <is>
          <t>9780698111615</t>
        </is>
      </c>
      <c r="BC1870" t="inlineStr">
        <is>
          <t>32285000614619</t>
        </is>
      </c>
      <c r="BD1870" t="inlineStr">
        <is>
          <t>893412500</t>
        </is>
      </c>
    </row>
    <row r="1871">
      <c r="A1871" t="inlineStr">
        <is>
          <t>No</t>
        </is>
      </c>
      <c r="B1871" t="inlineStr">
        <is>
          <t>E807.1 .R572</t>
        </is>
      </c>
      <c r="C1871" t="inlineStr">
        <is>
          <t>0                      E  0807100R  572</t>
        </is>
      </c>
      <c r="D1871" t="inlineStr">
        <is>
          <t>Eleanor and Franklin : the story of their relationship, based on Eleanor Roosevelt's private papers / [by] Joseph P. Lash. Foreword by Arthur M. Schlesinger, Jr. Introd. by Franklin D. Roosevelt, Jr.</t>
        </is>
      </c>
      <c r="F1871" t="inlineStr">
        <is>
          <t>No</t>
        </is>
      </c>
      <c r="G1871" t="inlineStr">
        <is>
          <t>1</t>
        </is>
      </c>
      <c r="H1871" t="inlineStr">
        <is>
          <t>No</t>
        </is>
      </c>
      <c r="I1871" t="inlineStr">
        <is>
          <t>No</t>
        </is>
      </c>
      <c r="J1871" t="inlineStr">
        <is>
          <t>0</t>
        </is>
      </c>
      <c r="K1871" t="inlineStr">
        <is>
          <t>Lash, Joseph P., 1909-1987.</t>
        </is>
      </c>
      <c r="L1871" t="inlineStr">
        <is>
          <t>New York, Norton [1971]</t>
        </is>
      </c>
      <c r="M1871" t="inlineStr">
        <is>
          <t>1971</t>
        </is>
      </c>
      <c r="O1871" t="inlineStr">
        <is>
          <t>eng</t>
        </is>
      </c>
      <c r="P1871" t="inlineStr">
        <is>
          <t>nyu</t>
        </is>
      </c>
      <c r="R1871" t="inlineStr">
        <is>
          <t xml:space="preserve">E  </t>
        </is>
      </c>
      <c r="S1871" t="n">
        <v>4</v>
      </c>
      <c r="T1871" t="n">
        <v>4</v>
      </c>
      <c r="U1871" t="inlineStr">
        <is>
          <t>2005-04-27</t>
        </is>
      </c>
      <c r="V1871" t="inlineStr">
        <is>
          <t>2005-04-27</t>
        </is>
      </c>
      <c r="W1871" t="inlineStr">
        <is>
          <t>1996-08-21</t>
        </is>
      </c>
      <c r="X1871" t="inlineStr">
        <is>
          <t>1996-08-21</t>
        </is>
      </c>
      <c r="Y1871" t="n">
        <v>3394</v>
      </c>
      <c r="Z1871" t="n">
        <v>3236</v>
      </c>
      <c r="AA1871" t="n">
        <v>3765</v>
      </c>
      <c r="AB1871" t="n">
        <v>43</v>
      </c>
      <c r="AC1871" t="n">
        <v>49</v>
      </c>
      <c r="AD1871" t="n">
        <v>62</v>
      </c>
      <c r="AE1871" t="n">
        <v>66</v>
      </c>
      <c r="AF1871" t="n">
        <v>26</v>
      </c>
      <c r="AG1871" t="n">
        <v>27</v>
      </c>
      <c r="AH1871" t="n">
        <v>10</v>
      </c>
      <c r="AI1871" t="n">
        <v>11</v>
      </c>
      <c r="AJ1871" t="n">
        <v>23</v>
      </c>
      <c r="AK1871" t="n">
        <v>25</v>
      </c>
      <c r="AL1871" t="n">
        <v>13</v>
      </c>
      <c r="AM1871" t="n">
        <v>15</v>
      </c>
      <c r="AN1871" t="n">
        <v>1</v>
      </c>
      <c r="AO1871" t="n">
        <v>1</v>
      </c>
      <c r="AP1871" t="inlineStr">
        <is>
          <t>No</t>
        </is>
      </c>
      <c r="AQ1871" t="inlineStr">
        <is>
          <t>No</t>
        </is>
      </c>
      <c r="AS1871">
        <f>HYPERLINK("https://creighton-primo.hosted.exlibrisgroup.com/primo-explore/search?tab=default_tab&amp;search_scope=EVERYTHING&amp;vid=01CRU&amp;lang=en_US&amp;offset=0&amp;query=any,contains,991000921849702656","Catalog Record")</f>
        <v/>
      </c>
      <c r="AT1871">
        <f>HYPERLINK("http://www.worldcat.org/oclc/161979","WorldCat Record")</f>
        <v/>
      </c>
      <c r="AU1871" t="inlineStr">
        <is>
          <t>196084090:eng</t>
        </is>
      </c>
      <c r="AV1871" t="inlineStr">
        <is>
          <t>161979</t>
        </is>
      </c>
      <c r="AW1871" t="inlineStr">
        <is>
          <t>991000921849702656</t>
        </is>
      </c>
      <c r="AX1871" t="inlineStr">
        <is>
          <t>991000921849702656</t>
        </is>
      </c>
      <c r="AY1871" t="inlineStr">
        <is>
          <t>2269433320002656</t>
        </is>
      </c>
      <c r="AZ1871" t="inlineStr">
        <is>
          <t>BOOK</t>
        </is>
      </c>
      <c r="BB1871" t="inlineStr">
        <is>
          <t>9780393074598</t>
        </is>
      </c>
      <c r="BC1871" t="inlineStr">
        <is>
          <t>32285002283116</t>
        </is>
      </c>
      <c r="BD1871" t="inlineStr">
        <is>
          <t>893231533</t>
        </is>
      </c>
    </row>
    <row r="1872">
      <c r="A1872" t="inlineStr">
        <is>
          <t>No</t>
        </is>
      </c>
      <c r="B1872" t="inlineStr">
        <is>
          <t>E807.1 .R574</t>
        </is>
      </c>
      <c r="C1872" t="inlineStr">
        <is>
          <t>0                      E  0807100R  574</t>
        </is>
      </c>
      <c r="D1872" t="inlineStr">
        <is>
          <t>Eleanor: the years alone [by] Joseph P. Lash. Foreword by Franklin D. Roosevelt, Jr.</t>
        </is>
      </c>
      <c r="F1872" t="inlineStr">
        <is>
          <t>No</t>
        </is>
      </c>
      <c r="G1872" t="inlineStr">
        <is>
          <t>1</t>
        </is>
      </c>
      <c r="H1872" t="inlineStr">
        <is>
          <t>No</t>
        </is>
      </c>
      <c r="I1872" t="inlineStr">
        <is>
          <t>No</t>
        </is>
      </c>
      <c r="J1872" t="inlineStr">
        <is>
          <t>0</t>
        </is>
      </c>
      <c r="K1872" t="inlineStr">
        <is>
          <t>Lash, Joseph P., 1909-1987.</t>
        </is>
      </c>
      <c r="L1872" t="inlineStr">
        <is>
          <t>New York, Norton [1972]</t>
        </is>
      </c>
      <c r="M1872" t="inlineStr">
        <is>
          <t>1972</t>
        </is>
      </c>
      <c r="O1872" t="inlineStr">
        <is>
          <t>eng</t>
        </is>
      </c>
      <c r="P1872" t="inlineStr">
        <is>
          <t>nyu</t>
        </is>
      </c>
      <c r="R1872" t="inlineStr">
        <is>
          <t xml:space="preserve">E  </t>
        </is>
      </c>
      <c r="S1872" t="n">
        <v>3</v>
      </c>
      <c r="T1872" t="n">
        <v>3</v>
      </c>
      <c r="U1872" t="inlineStr">
        <is>
          <t>2005-09-16</t>
        </is>
      </c>
      <c r="V1872" t="inlineStr">
        <is>
          <t>2005-09-16</t>
        </is>
      </c>
      <c r="W1872" t="inlineStr">
        <is>
          <t>1997-04-28</t>
        </is>
      </c>
      <c r="X1872" t="inlineStr">
        <is>
          <t>1997-04-28</t>
        </is>
      </c>
      <c r="Y1872" t="n">
        <v>3337</v>
      </c>
      <c r="Z1872" t="n">
        <v>3183</v>
      </c>
      <c r="AA1872" t="n">
        <v>3353</v>
      </c>
      <c r="AB1872" t="n">
        <v>34</v>
      </c>
      <c r="AC1872" t="n">
        <v>36</v>
      </c>
      <c r="AD1872" t="n">
        <v>63</v>
      </c>
      <c r="AE1872" t="n">
        <v>65</v>
      </c>
      <c r="AF1872" t="n">
        <v>25</v>
      </c>
      <c r="AG1872" t="n">
        <v>26</v>
      </c>
      <c r="AH1872" t="n">
        <v>10</v>
      </c>
      <c r="AI1872" t="n">
        <v>10</v>
      </c>
      <c r="AJ1872" t="n">
        <v>27</v>
      </c>
      <c r="AK1872" t="n">
        <v>27</v>
      </c>
      <c r="AL1872" t="n">
        <v>14</v>
      </c>
      <c r="AM1872" t="n">
        <v>15</v>
      </c>
      <c r="AN1872" t="n">
        <v>1</v>
      </c>
      <c r="AO1872" t="n">
        <v>1</v>
      </c>
      <c r="AP1872" t="inlineStr">
        <is>
          <t>No</t>
        </is>
      </c>
      <c r="AQ1872" t="inlineStr">
        <is>
          <t>No</t>
        </is>
      </c>
      <c r="AS1872">
        <f>HYPERLINK("https://creighton-primo.hosted.exlibrisgroup.com/primo-explore/search?tab=default_tab&amp;search_scope=EVERYTHING&amp;vid=01CRU&amp;lang=en_US&amp;offset=0&amp;query=any,contains,991002293949702656","Catalog Record")</f>
        <v/>
      </c>
      <c r="AT1872">
        <f>HYPERLINK("http://www.worldcat.org/oclc/314253","WorldCat Record")</f>
        <v/>
      </c>
      <c r="AU1872" t="inlineStr">
        <is>
          <t>500616694:eng</t>
        </is>
      </c>
      <c r="AV1872" t="inlineStr">
        <is>
          <t>314253</t>
        </is>
      </c>
      <c r="AW1872" t="inlineStr">
        <is>
          <t>991002293949702656</t>
        </is>
      </c>
      <c r="AX1872" t="inlineStr">
        <is>
          <t>991002293949702656</t>
        </is>
      </c>
      <c r="AY1872" t="inlineStr">
        <is>
          <t>2272327570002656</t>
        </is>
      </c>
      <c r="AZ1872" t="inlineStr">
        <is>
          <t>BOOK</t>
        </is>
      </c>
      <c r="BB1872" t="inlineStr">
        <is>
          <t>9780393073614</t>
        </is>
      </c>
      <c r="BC1872" t="inlineStr">
        <is>
          <t>32285002566783</t>
        </is>
      </c>
      <c r="BD1872" t="inlineStr">
        <is>
          <t>893798416</t>
        </is>
      </c>
    </row>
    <row r="1873">
      <c r="A1873" t="inlineStr">
        <is>
          <t>No</t>
        </is>
      </c>
      <c r="B1873" t="inlineStr">
        <is>
          <t>E807.1.R48 A4 2002</t>
        </is>
      </c>
      <c r="C1873" t="inlineStr">
        <is>
          <t>0                      E  0807100R  48                 A  4           2002</t>
        </is>
      </c>
      <c r="D1873" t="inlineStr">
        <is>
          <t>Eleanor and Harry : the correspondence of Eleanor Roosevelt and Harry S. Truman / edited and with commentary by Steve Neal ; foreword by Gloria Steinem.</t>
        </is>
      </c>
      <c r="F1873" t="inlineStr">
        <is>
          <t>No</t>
        </is>
      </c>
      <c r="G1873" t="inlineStr">
        <is>
          <t>1</t>
        </is>
      </c>
      <c r="H1873" t="inlineStr">
        <is>
          <t>No</t>
        </is>
      </c>
      <c r="I1873" t="inlineStr">
        <is>
          <t>No</t>
        </is>
      </c>
      <c r="J1873" t="inlineStr">
        <is>
          <t>0</t>
        </is>
      </c>
      <c r="K1873" t="inlineStr">
        <is>
          <t>Roosevelt, Eleanor, 1884-1962.</t>
        </is>
      </c>
      <c r="L1873" t="inlineStr">
        <is>
          <t>New York : Scribner, c2002.</t>
        </is>
      </c>
      <c r="M1873" t="inlineStr">
        <is>
          <t>2002</t>
        </is>
      </c>
      <c r="O1873" t="inlineStr">
        <is>
          <t>eng</t>
        </is>
      </c>
      <c r="P1873" t="inlineStr">
        <is>
          <t>nyu</t>
        </is>
      </c>
      <c r="R1873" t="inlineStr">
        <is>
          <t xml:space="preserve">E  </t>
        </is>
      </c>
      <c r="S1873" t="n">
        <v>1</v>
      </c>
      <c r="T1873" t="n">
        <v>1</v>
      </c>
      <c r="U1873" t="inlineStr">
        <is>
          <t>2003-07-16</t>
        </is>
      </c>
      <c r="V1873" t="inlineStr">
        <is>
          <t>2003-07-16</t>
        </is>
      </c>
      <c r="W1873" t="inlineStr">
        <is>
          <t>2003-07-16</t>
        </is>
      </c>
      <c r="X1873" t="inlineStr">
        <is>
          <t>2003-07-16</t>
        </is>
      </c>
      <c r="Y1873" t="n">
        <v>910</v>
      </c>
      <c r="Z1873" t="n">
        <v>873</v>
      </c>
      <c r="AA1873" t="n">
        <v>890</v>
      </c>
      <c r="AB1873" t="n">
        <v>7</v>
      </c>
      <c r="AC1873" t="n">
        <v>7</v>
      </c>
      <c r="AD1873" t="n">
        <v>29</v>
      </c>
      <c r="AE1873" t="n">
        <v>30</v>
      </c>
      <c r="AF1873" t="n">
        <v>11</v>
      </c>
      <c r="AG1873" t="n">
        <v>12</v>
      </c>
      <c r="AH1873" t="n">
        <v>5</v>
      </c>
      <c r="AI1873" t="n">
        <v>5</v>
      </c>
      <c r="AJ1873" t="n">
        <v>13</v>
      </c>
      <c r="AK1873" t="n">
        <v>13</v>
      </c>
      <c r="AL1873" t="n">
        <v>5</v>
      </c>
      <c r="AM1873" t="n">
        <v>5</v>
      </c>
      <c r="AN1873" t="n">
        <v>0</v>
      </c>
      <c r="AO1873" t="n">
        <v>0</v>
      </c>
      <c r="AP1873" t="inlineStr">
        <is>
          <t>No</t>
        </is>
      </c>
      <c r="AQ1873" t="inlineStr">
        <is>
          <t>Yes</t>
        </is>
      </c>
      <c r="AR1873">
        <f>HYPERLINK("http://catalog.hathitrust.org/Record/004275396","HathiTrust Record")</f>
        <v/>
      </c>
      <c r="AS1873">
        <f>HYPERLINK("https://creighton-primo.hosted.exlibrisgroup.com/primo-explore/search?tab=default_tab&amp;search_scope=EVERYTHING&amp;vid=01CRU&amp;lang=en_US&amp;offset=0&amp;query=any,contains,991003843289702656","Catalog Record")</f>
        <v/>
      </c>
      <c r="AT1873">
        <f>HYPERLINK("http://www.worldcat.org/oclc/49991461","WorldCat Record")</f>
        <v/>
      </c>
      <c r="AU1873" t="inlineStr">
        <is>
          <t>12281053:eng</t>
        </is>
      </c>
      <c r="AV1873" t="inlineStr">
        <is>
          <t>49991461</t>
        </is>
      </c>
      <c r="AW1873" t="inlineStr">
        <is>
          <t>991003843289702656</t>
        </is>
      </c>
      <c r="AX1873" t="inlineStr">
        <is>
          <t>991003843289702656</t>
        </is>
      </c>
      <c r="AY1873" t="inlineStr">
        <is>
          <t>2271797090002656</t>
        </is>
      </c>
      <c r="AZ1873" t="inlineStr">
        <is>
          <t>BOOK</t>
        </is>
      </c>
      <c r="BB1873" t="inlineStr">
        <is>
          <t>9780743202435</t>
        </is>
      </c>
      <c r="BC1873" t="inlineStr">
        <is>
          <t>32285004756309</t>
        </is>
      </c>
      <c r="BD1873" t="inlineStr">
        <is>
          <t>893410768</t>
        </is>
      </c>
    </row>
    <row r="1874">
      <c r="A1874" t="inlineStr">
        <is>
          <t>No</t>
        </is>
      </c>
      <c r="B1874" t="inlineStr">
        <is>
          <t>E807.1.R48 B88 1984</t>
        </is>
      </c>
      <c r="C1874" t="inlineStr">
        <is>
          <t>0                      E  0807100R  48                 B  88          1984</t>
        </is>
      </c>
      <c r="D1874" t="inlineStr">
        <is>
          <t>Eleanor Roosevelt, an eager spirit : the letters of Dorothy Dow, 1933-45 / edited by Ruth K. McClure.</t>
        </is>
      </c>
      <c r="F1874" t="inlineStr">
        <is>
          <t>No</t>
        </is>
      </c>
      <c r="G1874" t="inlineStr">
        <is>
          <t>1</t>
        </is>
      </c>
      <c r="H1874" t="inlineStr">
        <is>
          <t>No</t>
        </is>
      </c>
      <c r="I1874" t="inlineStr">
        <is>
          <t>No</t>
        </is>
      </c>
      <c r="J1874" t="inlineStr">
        <is>
          <t>0</t>
        </is>
      </c>
      <c r="K1874" t="inlineStr">
        <is>
          <t>Butturff, Dorothy Dow, 1904-</t>
        </is>
      </c>
      <c r="L1874" t="inlineStr">
        <is>
          <t>New York : Norton, c1984.</t>
        </is>
      </c>
      <c r="M1874" t="inlineStr">
        <is>
          <t>1984</t>
        </is>
      </c>
      <c r="N1874" t="inlineStr">
        <is>
          <t>1st ed.</t>
        </is>
      </c>
      <c r="O1874" t="inlineStr">
        <is>
          <t>eng</t>
        </is>
      </c>
      <c r="P1874" t="inlineStr">
        <is>
          <t>nyu</t>
        </is>
      </c>
      <c r="R1874" t="inlineStr">
        <is>
          <t xml:space="preserve">E  </t>
        </is>
      </c>
      <c r="S1874" t="n">
        <v>3</v>
      </c>
      <c r="T1874" t="n">
        <v>3</v>
      </c>
      <c r="U1874" t="inlineStr">
        <is>
          <t>1997-01-31</t>
        </is>
      </c>
      <c r="V1874" t="inlineStr">
        <is>
          <t>1997-01-31</t>
        </is>
      </c>
      <c r="W1874" t="inlineStr">
        <is>
          <t>1991-06-06</t>
        </is>
      </c>
      <c r="X1874" t="inlineStr">
        <is>
          <t>1991-06-06</t>
        </is>
      </c>
      <c r="Y1874" t="n">
        <v>496</v>
      </c>
      <c r="Z1874" t="n">
        <v>467</v>
      </c>
      <c r="AA1874" t="n">
        <v>547</v>
      </c>
      <c r="AB1874" t="n">
        <v>3</v>
      </c>
      <c r="AC1874" t="n">
        <v>3</v>
      </c>
      <c r="AD1874" t="n">
        <v>8</v>
      </c>
      <c r="AE1874" t="n">
        <v>10</v>
      </c>
      <c r="AF1874" t="n">
        <v>3</v>
      </c>
      <c r="AG1874" t="n">
        <v>4</v>
      </c>
      <c r="AH1874" t="n">
        <v>2</v>
      </c>
      <c r="AI1874" t="n">
        <v>3</v>
      </c>
      <c r="AJ1874" t="n">
        <v>4</v>
      </c>
      <c r="AK1874" t="n">
        <v>6</v>
      </c>
      <c r="AL1874" t="n">
        <v>1</v>
      </c>
      <c r="AM1874" t="n">
        <v>1</v>
      </c>
      <c r="AN1874" t="n">
        <v>0</v>
      </c>
      <c r="AO1874" t="n">
        <v>0</v>
      </c>
      <c r="AP1874" t="inlineStr">
        <is>
          <t>No</t>
        </is>
      </c>
      <c r="AQ1874" t="inlineStr">
        <is>
          <t>No</t>
        </is>
      </c>
      <c r="AS1874">
        <f>HYPERLINK("https://creighton-primo.hosted.exlibrisgroup.com/primo-explore/search?tab=default_tab&amp;search_scope=EVERYTHING&amp;vid=01CRU&amp;lang=en_US&amp;offset=0&amp;query=any,contains,991000409859702656","Catalog Record")</f>
        <v/>
      </c>
      <c r="AT1874">
        <f>HYPERLINK("http://www.worldcat.org/oclc/10697306","WorldCat Record")</f>
        <v/>
      </c>
      <c r="AU1874" t="inlineStr">
        <is>
          <t>37273055:eng</t>
        </is>
      </c>
      <c r="AV1874" t="inlineStr">
        <is>
          <t>10697306</t>
        </is>
      </c>
      <c r="AW1874" t="inlineStr">
        <is>
          <t>991000409859702656</t>
        </is>
      </c>
      <c r="AX1874" t="inlineStr">
        <is>
          <t>991000409859702656</t>
        </is>
      </c>
      <c r="AY1874" t="inlineStr">
        <is>
          <t>2270608090002656</t>
        </is>
      </c>
      <c r="AZ1874" t="inlineStr">
        <is>
          <t>BOOK</t>
        </is>
      </c>
      <c r="BB1874" t="inlineStr">
        <is>
          <t>9780393018790</t>
        </is>
      </c>
      <c r="BC1874" t="inlineStr">
        <is>
          <t>32285000614635</t>
        </is>
      </c>
      <c r="BD1874" t="inlineStr">
        <is>
          <t>893425669</t>
        </is>
      </c>
    </row>
    <row r="1875">
      <c r="A1875" t="inlineStr">
        <is>
          <t>No</t>
        </is>
      </c>
      <c r="B1875" t="inlineStr">
        <is>
          <t>E807.1.R48 L37 1982</t>
        </is>
      </c>
      <c r="C1875" t="inlineStr">
        <is>
          <t>0                      E  0807100R  48                 L  37          1982</t>
        </is>
      </c>
      <c r="D1875" t="inlineStr">
        <is>
          <t>Love, Eleanor : Eleanor Roosevelt and her friends / Joseph P. Lash ; forword by Franklin D. Roosevelt, Jr.</t>
        </is>
      </c>
      <c r="F1875" t="inlineStr">
        <is>
          <t>No</t>
        </is>
      </c>
      <c r="G1875" t="inlineStr">
        <is>
          <t>1</t>
        </is>
      </c>
      <c r="H1875" t="inlineStr">
        <is>
          <t>No</t>
        </is>
      </c>
      <c r="I1875" t="inlineStr">
        <is>
          <t>No</t>
        </is>
      </c>
      <c r="J1875" t="inlineStr">
        <is>
          <t>0</t>
        </is>
      </c>
      <c r="K1875" t="inlineStr">
        <is>
          <t>Lash, Joseph P., 1909-1987.</t>
        </is>
      </c>
      <c r="L1875" t="inlineStr">
        <is>
          <t>Garden City, N.Y. : Doubleday, 1982.</t>
        </is>
      </c>
      <c r="M1875" t="inlineStr">
        <is>
          <t>1982</t>
        </is>
      </c>
      <c r="N1875" t="inlineStr">
        <is>
          <t>1st ed.</t>
        </is>
      </c>
      <c r="O1875" t="inlineStr">
        <is>
          <t>eng</t>
        </is>
      </c>
      <c r="P1875" t="inlineStr">
        <is>
          <t>nyu</t>
        </is>
      </c>
      <c r="R1875" t="inlineStr">
        <is>
          <t xml:space="preserve">E  </t>
        </is>
      </c>
      <c r="S1875" t="n">
        <v>3</v>
      </c>
      <c r="T1875" t="n">
        <v>3</v>
      </c>
      <c r="U1875" t="inlineStr">
        <is>
          <t>2005-04-27</t>
        </is>
      </c>
      <c r="V1875" t="inlineStr">
        <is>
          <t>2005-04-27</t>
        </is>
      </c>
      <c r="W1875" t="inlineStr">
        <is>
          <t>1997-04-02</t>
        </is>
      </c>
      <c r="X1875" t="inlineStr">
        <is>
          <t>1997-04-02</t>
        </is>
      </c>
      <c r="Y1875" t="n">
        <v>1404</v>
      </c>
      <c r="Z1875" t="n">
        <v>1344</v>
      </c>
      <c r="AA1875" t="n">
        <v>1389</v>
      </c>
      <c r="AB1875" t="n">
        <v>12</v>
      </c>
      <c r="AC1875" t="n">
        <v>13</v>
      </c>
      <c r="AD1875" t="n">
        <v>26</v>
      </c>
      <c r="AE1875" t="n">
        <v>28</v>
      </c>
      <c r="AF1875" t="n">
        <v>12</v>
      </c>
      <c r="AG1875" t="n">
        <v>13</v>
      </c>
      <c r="AH1875" t="n">
        <v>6</v>
      </c>
      <c r="AI1875" t="n">
        <v>6</v>
      </c>
      <c r="AJ1875" t="n">
        <v>13</v>
      </c>
      <c r="AK1875" t="n">
        <v>13</v>
      </c>
      <c r="AL1875" t="n">
        <v>2</v>
      </c>
      <c r="AM1875" t="n">
        <v>3</v>
      </c>
      <c r="AN1875" t="n">
        <v>0</v>
      </c>
      <c r="AO1875" t="n">
        <v>0</v>
      </c>
      <c r="AP1875" t="inlineStr">
        <is>
          <t>No</t>
        </is>
      </c>
      <c r="AQ1875" t="inlineStr">
        <is>
          <t>Yes</t>
        </is>
      </c>
      <c r="AR1875">
        <f>HYPERLINK("http://catalog.hathitrust.org/Record/000101403","HathiTrust Record")</f>
        <v/>
      </c>
      <c r="AS1875">
        <f>HYPERLINK("https://creighton-primo.hosted.exlibrisgroup.com/primo-explore/search?tab=default_tab&amp;search_scope=EVERYTHING&amp;vid=01CRU&amp;lang=en_US&amp;offset=0&amp;query=any,contains,991005177919702656","Catalog Record")</f>
        <v/>
      </c>
      <c r="AT1875">
        <f>HYPERLINK("http://www.worldcat.org/oclc/7925229","WorldCat Record")</f>
        <v/>
      </c>
      <c r="AU1875" t="inlineStr">
        <is>
          <t>196749009:eng</t>
        </is>
      </c>
      <c r="AV1875" t="inlineStr">
        <is>
          <t>7925229</t>
        </is>
      </c>
      <c r="AW1875" t="inlineStr">
        <is>
          <t>991005177919702656</t>
        </is>
      </c>
      <c r="AX1875" t="inlineStr">
        <is>
          <t>991005177919702656</t>
        </is>
      </c>
      <c r="AY1875" t="inlineStr">
        <is>
          <t>2270827740002656</t>
        </is>
      </c>
      <c r="AZ1875" t="inlineStr">
        <is>
          <t>BOOK</t>
        </is>
      </c>
      <c r="BB1875" t="inlineStr">
        <is>
          <t>9780385170536</t>
        </is>
      </c>
      <c r="BC1875" t="inlineStr">
        <is>
          <t>32285002487279</t>
        </is>
      </c>
      <c r="BD1875" t="inlineStr">
        <is>
          <t>893242330</t>
        </is>
      </c>
    </row>
    <row r="1876">
      <c r="A1876" t="inlineStr">
        <is>
          <t>No</t>
        </is>
      </c>
      <c r="B1876" t="inlineStr">
        <is>
          <t>E807.1.R48 L38 1984</t>
        </is>
      </c>
      <c r="C1876" t="inlineStr">
        <is>
          <t>0                      E  0807100R  48                 L  38          1984</t>
        </is>
      </c>
      <c r="D1876" t="inlineStr">
        <is>
          <t>A world of love : Eleanor Roosevelt and her friends, 1943-1962 / Joseph P. Lash ; foreword by Franklin D. Roosevelt, Jr.</t>
        </is>
      </c>
      <c r="F1876" t="inlineStr">
        <is>
          <t>No</t>
        </is>
      </c>
      <c r="G1876" t="inlineStr">
        <is>
          <t>1</t>
        </is>
      </c>
      <c r="H1876" t="inlineStr">
        <is>
          <t>No</t>
        </is>
      </c>
      <c r="I1876" t="inlineStr">
        <is>
          <t>No</t>
        </is>
      </c>
      <c r="J1876" t="inlineStr">
        <is>
          <t>0</t>
        </is>
      </c>
      <c r="K1876" t="inlineStr">
        <is>
          <t>Lash, Joseph P., 1909-1987.</t>
        </is>
      </c>
      <c r="L1876" t="inlineStr">
        <is>
          <t>Garden City, N.Y. : Doubleday, 1984.</t>
        </is>
      </c>
      <c r="M1876" t="inlineStr">
        <is>
          <t>1984</t>
        </is>
      </c>
      <c r="N1876" t="inlineStr">
        <is>
          <t>1st ed.</t>
        </is>
      </c>
      <c r="O1876" t="inlineStr">
        <is>
          <t>eng</t>
        </is>
      </c>
      <c r="P1876" t="inlineStr">
        <is>
          <t>nyu</t>
        </is>
      </c>
      <c r="R1876" t="inlineStr">
        <is>
          <t xml:space="preserve">E  </t>
        </is>
      </c>
      <c r="S1876" t="n">
        <v>2</v>
      </c>
      <c r="T1876" t="n">
        <v>2</v>
      </c>
      <c r="U1876" t="inlineStr">
        <is>
          <t>1993-11-24</t>
        </is>
      </c>
      <c r="V1876" t="inlineStr">
        <is>
          <t>1993-11-24</t>
        </is>
      </c>
      <c r="W1876" t="inlineStr">
        <is>
          <t>1991-06-06</t>
        </is>
      </c>
      <c r="X1876" t="inlineStr">
        <is>
          <t>1991-06-06</t>
        </is>
      </c>
      <c r="Y1876" t="n">
        <v>1043</v>
      </c>
      <c r="Z1876" t="n">
        <v>1006</v>
      </c>
      <c r="AA1876" t="n">
        <v>1061</v>
      </c>
      <c r="AB1876" t="n">
        <v>7</v>
      </c>
      <c r="AC1876" t="n">
        <v>7</v>
      </c>
      <c r="AD1876" t="n">
        <v>27</v>
      </c>
      <c r="AE1876" t="n">
        <v>29</v>
      </c>
      <c r="AF1876" t="n">
        <v>13</v>
      </c>
      <c r="AG1876" t="n">
        <v>15</v>
      </c>
      <c r="AH1876" t="n">
        <v>4</v>
      </c>
      <c r="AI1876" t="n">
        <v>5</v>
      </c>
      <c r="AJ1876" t="n">
        <v>10</v>
      </c>
      <c r="AK1876" t="n">
        <v>11</v>
      </c>
      <c r="AL1876" t="n">
        <v>4</v>
      </c>
      <c r="AM1876" t="n">
        <v>4</v>
      </c>
      <c r="AN1876" t="n">
        <v>0</v>
      </c>
      <c r="AO1876" t="n">
        <v>0</v>
      </c>
      <c r="AP1876" t="inlineStr">
        <is>
          <t>No</t>
        </is>
      </c>
      <c r="AQ1876" t="inlineStr">
        <is>
          <t>Yes</t>
        </is>
      </c>
      <c r="AR1876">
        <f>HYPERLINK("http://catalog.hathitrust.org/Record/000287613","HathiTrust Record")</f>
        <v/>
      </c>
      <c r="AS1876">
        <f>HYPERLINK("https://creighton-primo.hosted.exlibrisgroup.com/primo-explore/search?tab=default_tab&amp;search_scope=EVERYTHING&amp;vid=01CRU&amp;lang=en_US&amp;offset=0&amp;query=any,contains,991000382549702656","Catalog Record")</f>
        <v/>
      </c>
      <c r="AT1876">
        <f>HYPERLINK("http://www.worldcat.org/oclc/10505776","WorldCat Record")</f>
        <v/>
      </c>
      <c r="AU1876" t="inlineStr">
        <is>
          <t>396629044:eng</t>
        </is>
      </c>
      <c r="AV1876" t="inlineStr">
        <is>
          <t>10505776</t>
        </is>
      </c>
      <c r="AW1876" t="inlineStr">
        <is>
          <t>991000382549702656</t>
        </is>
      </c>
      <c r="AX1876" t="inlineStr">
        <is>
          <t>991000382549702656</t>
        </is>
      </c>
      <c r="AY1876" t="inlineStr">
        <is>
          <t>2255992270002656</t>
        </is>
      </c>
      <c r="AZ1876" t="inlineStr">
        <is>
          <t>BOOK</t>
        </is>
      </c>
      <c r="BB1876" t="inlineStr">
        <is>
          <t>9780385170543</t>
        </is>
      </c>
      <c r="BC1876" t="inlineStr">
        <is>
          <t>32285000614650</t>
        </is>
      </c>
      <c r="BD1876" t="inlineStr">
        <is>
          <t>893683350</t>
        </is>
      </c>
    </row>
    <row r="1877">
      <c r="A1877" t="inlineStr">
        <is>
          <t>No</t>
        </is>
      </c>
      <c r="B1877" t="inlineStr">
        <is>
          <t>E807.1.R48 R66 1977</t>
        </is>
      </c>
      <c r="C1877" t="inlineStr">
        <is>
          <t>0                      E  0807100R  48                 R  66          1977</t>
        </is>
      </c>
      <c r="D1877" t="inlineStr">
        <is>
          <t>Mother R. : Eleanor Roosevelt's untold story / Elliott Roosevelt and James Brough.</t>
        </is>
      </c>
      <c r="F1877" t="inlineStr">
        <is>
          <t>No</t>
        </is>
      </c>
      <c r="G1877" t="inlineStr">
        <is>
          <t>1</t>
        </is>
      </c>
      <c r="H1877" t="inlineStr">
        <is>
          <t>No</t>
        </is>
      </c>
      <c r="I1877" t="inlineStr">
        <is>
          <t>No</t>
        </is>
      </c>
      <c r="J1877" t="inlineStr">
        <is>
          <t>0</t>
        </is>
      </c>
      <c r="K1877" t="inlineStr">
        <is>
          <t>Roosevelt, Elliott, 1910-1990.</t>
        </is>
      </c>
      <c r="L1877" t="inlineStr">
        <is>
          <t>New York : Putnam, c1977.</t>
        </is>
      </c>
      <c r="M1877" t="inlineStr">
        <is>
          <t>1977</t>
        </is>
      </c>
      <c r="O1877" t="inlineStr">
        <is>
          <t>eng</t>
        </is>
      </c>
      <c r="P1877" t="inlineStr">
        <is>
          <t>nyu</t>
        </is>
      </c>
      <c r="R1877" t="inlineStr">
        <is>
          <t xml:space="preserve">E  </t>
        </is>
      </c>
      <c r="S1877" t="n">
        <v>2</v>
      </c>
      <c r="T1877" t="n">
        <v>2</v>
      </c>
      <c r="U1877" t="inlineStr">
        <is>
          <t>1993-11-09</t>
        </is>
      </c>
      <c r="V1877" t="inlineStr">
        <is>
          <t>1993-11-09</t>
        </is>
      </c>
      <c r="W1877" t="inlineStr">
        <is>
          <t>1991-06-06</t>
        </is>
      </c>
      <c r="X1877" t="inlineStr">
        <is>
          <t>1991-06-06</t>
        </is>
      </c>
      <c r="Y1877" t="n">
        <v>964</v>
      </c>
      <c r="Z1877" t="n">
        <v>930</v>
      </c>
      <c r="AA1877" t="n">
        <v>941</v>
      </c>
      <c r="AB1877" t="n">
        <v>12</v>
      </c>
      <c r="AC1877" t="n">
        <v>12</v>
      </c>
      <c r="AD1877" t="n">
        <v>15</v>
      </c>
      <c r="AE1877" t="n">
        <v>16</v>
      </c>
      <c r="AF1877" t="n">
        <v>5</v>
      </c>
      <c r="AG1877" t="n">
        <v>5</v>
      </c>
      <c r="AH1877" t="n">
        <v>2</v>
      </c>
      <c r="AI1877" t="n">
        <v>2</v>
      </c>
      <c r="AJ1877" t="n">
        <v>5</v>
      </c>
      <c r="AK1877" t="n">
        <v>6</v>
      </c>
      <c r="AL1877" t="n">
        <v>5</v>
      </c>
      <c r="AM1877" t="n">
        <v>5</v>
      </c>
      <c r="AN1877" t="n">
        <v>0</v>
      </c>
      <c r="AO1877" t="n">
        <v>0</v>
      </c>
      <c r="AP1877" t="inlineStr">
        <is>
          <t>No</t>
        </is>
      </c>
      <c r="AQ1877" t="inlineStr">
        <is>
          <t>Yes</t>
        </is>
      </c>
      <c r="AR1877">
        <f>HYPERLINK("http://catalog.hathitrust.org/Record/000213619","HathiTrust Record")</f>
        <v/>
      </c>
      <c r="AS1877">
        <f>HYPERLINK("https://creighton-primo.hosted.exlibrisgroup.com/primo-explore/search?tab=default_tab&amp;search_scope=EVERYTHING&amp;vid=01CRU&amp;lang=en_US&amp;offset=0&amp;query=any,contains,991004296429702656","Catalog Record")</f>
        <v/>
      </c>
      <c r="AT1877">
        <f>HYPERLINK("http://www.worldcat.org/oclc/2965119","WorldCat Record")</f>
        <v/>
      </c>
      <c r="AU1877" t="inlineStr">
        <is>
          <t>196642142:eng</t>
        </is>
      </c>
      <c r="AV1877" t="inlineStr">
        <is>
          <t>2965119</t>
        </is>
      </c>
      <c r="AW1877" t="inlineStr">
        <is>
          <t>991004296429702656</t>
        </is>
      </c>
      <c r="AX1877" t="inlineStr">
        <is>
          <t>991004296429702656</t>
        </is>
      </c>
      <c r="AY1877" t="inlineStr">
        <is>
          <t>2270279190002656</t>
        </is>
      </c>
      <c r="AZ1877" t="inlineStr">
        <is>
          <t>BOOK</t>
        </is>
      </c>
      <c r="BB1877" t="inlineStr">
        <is>
          <t>9780399119989</t>
        </is>
      </c>
      <c r="BC1877" t="inlineStr">
        <is>
          <t>32285000614668</t>
        </is>
      </c>
      <c r="BD1877" t="inlineStr">
        <is>
          <t>893349834</t>
        </is>
      </c>
    </row>
    <row r="1878">
      <c r="A1878" t="inlineStr">
        <is>
          <t>No</t>
        </is>
      </c>
      <c r="B1878" t="inlineStr">
        <is>
          <t>E807.1.R48 Y68 1985</t>
        </is>
      </c>
      <c r="C1878" t="inlineStr">
        <is>
          <t>0                      E  0807100R  48                 Y  68          1985</t>
        </is>
      </c>
      <c r="D1878" t="inlineStr">
        <is>
          <t>Eleanor Roosevelt : a personal and public life / J. William T. Youngs ; edited by Oscar Handlin.</t>
        </is>
      </c>
      <c r="F1878" t="inlineStr">
        <is>
          <t>No</t>
        </is>
      </c>
      <c r="G1878" t="inlineStr">
        <is>
          <t>1</t>
        </is>
      </c>
      <c r="H1878" t="inlineStr">
        <is>
          <t>No</t>
        </is>
      </c>
      <c r="I1878" t="inlineStr">
        <is>
          <t>No</t>
        </is>
      </c>
      <c r="J1878" t="inlineStr">
        <is>
          <t>0</t>
        </is>
      </c>
      <c r="K1878" t="inlineStr">
        <is>
          <t>Youngs, J. William T. (John William Theodore), 1941-</t>
        </is>
      </c>
      <c r="L1878" t="inlineStr">
        <is>
          <t>Boston : Little, Brown, c1985.</t>
        </is>
      </c>
      <c r="M1878" t="inlineStr">
        <is>
          <t>1985</t>
        </is>
      </c>
      <c r="O1878" t="inlineStr">
        <is>
          <t>eng</t>
        </is>
      </c>
      <c r="P1878" t="inlineStr">
        <is>
          <t>mau</t>
        </is>
      </c>
      <c r="Q1878" t="inlineStr">
        <is>
          <t>Library of American biography</t>
        </is>
      </c>
      <c r="R1878" t="inlineStr">
        <is>
          <t xml:space="preserve">E  </t>
        </is>
      </c>
      <c r="S1878" t="n">
        <v>12</v>
      </c>
      <c r="T1878" t="n">
        <v>12</v>
      </c>
      <c r="U1878" t="inlineStr">
        <is>
          <t>2002-10-21</t>
        </is>
      </c>
      <c r="V1878" t="inlineStr">
        <is>
          <t>2002-10-21</t>
        </is>
      </c>
      <c r="W1878" t="inlineStr">
        <is>
          <t>1990-06-21</t>
        </is>
      </c>
      <c r="X1878" t="inlineStr">
        <is>
          <t>1990-06-21</t>
        </is>
      </c>
      <c r="Y1878" t="n">
        <v>875</v>
      </c>
      <c r="Z1878" t="n">
        <v>808</v>
      </c>
      <c r="AA1878" t="n">
        <v>1368</v>
      </c>
      <c r="AB1878" t="n">
        <v>5</v>
      </c>
      <c r="AC1878" t="n">
        <v>12</v>
      </c>
      <c r="AD1878" t="n">
        <v>31</v>
      </c>
      <c r="AE1878" t="n">
        <v>38</v>
      </c>
      <c r="AF1878" t="n">
        <v>13</v>
      </c>
      <c r="AG1878" t="n">
        <v>16</v>
      </c>
      <c r="AH1878" t="n">
        <v>6</v>
      </c>
      <c r="AI1878" t="n">
        <v>7</v>
      </c>
      <c r="AJ1878" t="n">
        <v>15</v>
      </c>
      <c r="AK1878" t="n">
        <v>17</v>
      </c>
      <c r="AL1878" t="n">
        <v>4</v>
      </c>
      <c r="AM1878" t="n">
        <v>6</v>
      </c>
      <c r="AN1878" t="n">
        <v>0</v>
      </c>
      <c r="AO1878" t="n">
        <v>0</v>
      </c>
      <c r="AP1878" t="inlineStr">
        <is>
          <t>No</t>
        </is>
      </c>
      <c r="AQ1878" t="inlineStr">
        <is>
          <t>No</t>
        </is>
      </c>
      <c r="AS1878">
        <f>HYPERLINK("https://creighton-primo.hosted.exlibrisgroup.com/primo-explore/search?tab=default_tab&amp;search_scope=EVERYTHING&amp;vid=01CRU&amp;lang=en_US&amp;offset=0&amp;query=any,contains,991000480009702656","Catalog Record")</f>
        <v/>
      </c>
      <c r="AT1878">
        <f>HYPERLINK("http://www.worldcat.org/oclc/11045047","WorldCat Record")</f>
        <v/>
      </c>
      <c r="AU1878" t="inlineStr">
        <is>
          <t>876694:eng</t>
        </is>
      </c>
      <c r="AV1878" t="inlineStr">
        <is>
          <t>11045047</t>
        </is>
      </c>
      <c r="AW1878" t="inlineStr">
        <is>
          <t>991000480009702656</t>
        </is>
      </c>
      <c r="AX1878" t="inlineStr">
        <is>
          <t>991000480009702656</t>
        </is>
      </c>
      <c r="AY1878" t="inlineStr">
        <is>
          <t>2260517210002656</t>
        </is>
      </c>
      <c r="AZ1878" t="inlineStr">
        <is>
          <t>BOOK</t>
        </is>
      </c>
      <c r="BB1878" t="inlineStr">
        <is>
          <t>9780316977128</t>
        </is>
      </c>
      <c r="BC1878" t="inlineStr">
        <is>
          <t>32285000211085</t>
        </is>
      </c>
      <c r="BD1878" t="inlineStr">
        <is>
          <t>893589482</t>
        </is>
      </c>
    </row>
    <row r="1879">
      <c r="A1879" t="inlineStr">
        <is>
          <t>No</t>
        </is>
      </c>
      <c r="B1879" t="inlineStr">
        <is>
          <t>E811 .P3 1968</t>
        </is>
      </c>
      <c r="C1879" t="inlineStr">
        <is>
          <t>0                      E  0811000P  3           1968</t>
        </is>
      </c>
      <c r="D1879" t="inlineStr">
        <is>
          <t>Never again; a president runs for a third term, by Herbert S. Parmet and Marie B. Hecht.</t>
        </is>
      </c>
      <c r="F1879" t="inlineStr">
        <is>
          <t>No</t>
        </is>
      </c>
      <c r="G1879" t="inlineStr">
        <is>
          <t>1</t>
        </is>
      </c>
      <c r="H1879" t="inlineStr">
        <is>
          <t>No</t>
        </is>
      </c>
      <c r="I1879" t="inlineStr">
        <is>
          <t>No</t>
        </is>
      </c>
      <c r="J1879" t="inlineStr">
        <is>
          <t>0</t>
        </is>
      </c>
      <c r="K1879" t="inlineStr">
        <is>
          <t>Parmet, Herbert S.</t>
        </is>
      </c>
      <c r="L1879" t="inlineStr">
        <is>
          <t>New York, Macmillan [1968]</t>
        </is>
      </c>
      <c r="M1879" t="inlineStr">
        <is>
          <t>1968</t>
        </is>
      </c>
      <c r="O1879" t="inlineStr">
        <is>
          <t>eng</t>
        </is>
      </c>
      <c r="P1879" t="inlineStr">
        <is>
          <t>nyu</t>
        </is>
      </c>
      <c r="R1879" t="inlineStr">
        <is>
          <t xml:space="preserve">E  </t>
        </is>
      </c>
      <c r="S1879" t="n">
        <v>1</v>
      </c>
      <c r="T1879" t="n">
        <v>1</v>
      </c>
      <c r="U1879" t="inlineStr">
        <is>
          <t>1999-02-16</t>
        </is>
      </c>
      <c r="V1879" t="inlineStr">
        <is>
          <t>1999-02-16</t>
        </is>
      </c>
      <c r="W1879" t="inlineStr">
        <is>
          <t>1997-04-28</t>
        </is>
      </c>
      <c r="X1879" t="inlineStr">
        <is>
          <t>1997-04-28</t>
        </is>
      </c>
      <c r="Y1879" t="n">
        <v>659</v>
      </c>
      <c r="Z1879" t="n">
        <v>630</v>
      </c>
      <c r="AA1879" t="n">
        <v>632</v>
      </c>
      <c r="AB1879" t="n">
        <v>4</v>
      </c>
      <c r="AC1879" t="n">
        <v>4</v>
      </c>
      <c r="AD1879" t="n">
        <v>16</v>
      </c>
      <c r="AE1879" t="n">
        <v>16</v>
      </c>
      <c r="AF1879" t="n">
        <v>7</v>
      </c>
      <c r="AG1879" t="n">
        <v>7</v>
      </c>
      <c r="AH1879" t="n">
        <v>2</v>
      </c>
      <c r="AI1879" t="n">
        <v>2</v>
      </c>
      <c r="AJ1879" t="n">
        <v>8</v>
      </c>
      <c r="AK1879" t="n">
        <v>8</v>
      </c>
      <c r="AL1879" t="n">
        <v>2</v>
      </c>
      <c r="AM1879" t="n">
        <v>2</v>
      </c>
      <c r="AN1879" t="n">
        <v>0</v>
      </c>
      <c r="AO1879" t="n">
        <v>0</v>
      </c>
      <c r="AP1879" t="inlineStr">
        <is>
          <t>No</t>
        </is>
      </c>
      <c r="AQ1879" t="inlineStr">
        <is>
          <t>Yes</t>
        </is>
      </c>
      <c r="AR1879">
        <f>HYPERLINK("http://catalog.hathitrust.org/Record/000470539","HathiTrust Record")</f>
        <v/>
      </c>
      <c r="AS1879">
        <f>HYPERLINK("https://creighton-primo.hosted.exlibrisgroup.com/primo-explore/search?tab=default_tab&amp;search_scope=EVERYTHING&amp;vid=01CRU&amp;lang=en_US&amp;offset=0&amp;query=any,contains,991002790399702656","Catalog Record")</f>
        <v/>
      </c>
      <c r="AT1879">
        <f>HYPERLINK("http://www.worldcat.org/oclc/443056","WorldCat Record")</f>
        <v/>
      </c>
      <c r="AU1879" t="inlineStr">
        <is>
          <t>1573663:eng</t>
        </is>
      </c>
      <c r="AV1879" t="inlineStr">
        <is>
          <t>443056</t>
        </is>
      </c>
      <c r="AW1879" t="inlineStr">
        <is>
          <t>991002790399702656</t>
        </is>
      </c>
      <c r="AX1879" t="inlineStr">
        <is>
          <t>991002790399702656</t>
        </is>
      </c>
      <c r="AY1879" t="inlineStr">
        <is>
          <t>2264564290002656</t>
        </is>
      </c>
      <c r="AZ1879" t="inlineStr">
        <is>
          <t>BOOK</t>
        </is>
      </c>
      <c r="BC1879" t="inlineStr">
        <is>
          <t>32285002566825</t>
        </is>
      </c>
      <c r="BD1879" t="inlineStr">
        <is>
          <t>893774022</t>
        </is>
      </c>
    </row>
    <row r="1880">
      <c r="A1880" t="inlineStr">
        <is>
          <t>No</t>
        </is>
      </c>
      <c r="B1880" t="inlineStr">
        <is>
          <t>E813 .C68</t>
        </is>
      </c>
      <c r="C1880" t="inlineStr">
        <is>
          <t>0                      E  0813000C  68</t>
        </is>
      </c>
      <c r="D1880" t="inlineStr">
        <is>
          <t>Containment : documents on American policy and strategy, 1945-1950 / [edited by] Thomas H. Etzold, John Lewis Gaddis. --</t>
        </is>
      </c>
      <c r="F1880" t="inlineStr">
        <is>
          <t>No</t>
        </is>
      </c>
      <c r="G1880" t="inlineStr">
        <is>
          <t>1</t>
        </is>
      </c>
      <c r="H1880" t="inlineStr">
        <is>
          <t>No</t>
        </is>
      </c>
      <c r="I1880" t="inlineStr">
        <is>
          <t>No</t>
        </is>
      </c>
      <c r="J1880" t="inlineStr">
        <is>
          <t>0</t>
        </is>
      </c>
      <c r="L1880" t="inlineStr">
        <is>
          <t>New York : Columbia University Press, [1977]</t>
        </is>
      </c>
      <c r="M1880" t="inlineStr">
        <is>
          <t>1977</t>
        </is>
      </c>
      <c r="O1880" t="inlineStr">
        <is>
          <t>eng</t>
        </is>
      </c>
      <c r="P1880" t="inlineStr">
        <is>
          <t>nyu</t>
        </is>
      </c>
      <c r="R1880" t="inlineStr">
        <is>
          <t xml:space="preserve">E  </t>
        </is>
      </c>
      <c r="S1880" t="n">
        <v>9</v>
      </c>
      <c r="T1880" t="n">
        <v>9</v>
      </c>
      <c r="U1880" t="inlineStr">
        <is>
          <t>2000-02-15</t>
        </is>
      </c>
      <c r="V1880" t="inlineStr">
        <is>
          <t>2000-02-15</t>
        </is>
      </c>
      <c r="W1880" t="inlineStr">
        <is>
          <t>1990-03-28</t>
        </is>
      </c>
      <c r="X1880" t="inlineStr">
        <is>
          <t>1990-03-28</t>
        </is>
      </c>
      <c r="Y1880" t="n">
        <v>631</v>
      </c>
      <c r="Z1880" t="n">
        <v>484</v>
      </c>
      <c r="AA1880" t="n">
        <v>492</v>
      </c>
      <c r="AB1880" t="n">
        <v>4</v>
      </c>
      <c r="AC1880" t="n">
        <v>4</v>
      </c>
      <c r="AD1880" t="n">
        <v>22</v>
      </c>
      <c r="AE1880" t="n">
        <v>23</v>
      </c>
      <c r="AF1880" t="n">
        <v>6</v>
      </c>
      <c r="AG1880" t="n">
        <v>6</v>
      </c>
      <c r="AH1880" t="n">
        <v>5</v>
      </c>
      <c r="AI1880" t="n">
        <v>6</v>
      </c>
      <c r="AJ1880" t="n">
        <v>10</v>
      </c>
      <c r="AK1880" t="n">
        <v>11</v>
      </c>
      <c r="AL1880" t="n">
        <v>3</v>
      </c>
      <c r="AM1880" t="n">
        <v>3</v>
      </c>
      <c r="AN1880" t="n">
        <v>0</v>
      </c>
      <c r="AO1880" t="n">
        <v>0</v>
      </c>
      <c r="AP1880" t="inlineStr">
        <is>
          <t>No</t>
        </is>
      </c>
      <c r="AQ1880" t="inlineStr">
        <is>
          <t>No</t>
        </is>
      </c>
      <c r="AS1880">
        <f>HYPERLINK("https://creighton-primo.hosted.exlibrisgroup.com/primo-explore/search?tab=default_tab&amp;search_scope=EVERYTHING&amp;vid=01CRU&amp;lang=en_US&amp;offset=0&amp;query=any,contains,991004420359702656","Catalog Record")</f>
        <v/>
      </c>
      <c r="AT1880">
        <f>HYPERLINK("http://www.worldcat.org/oclc/3380321","WorldCat Record")</f>
        <v/>
      </c>
      <c r="AU1880" t="inlineStr">
        <is>
          <t>866850612:eng</t>
        </is>
      </c>
      <c r="AV1880" t="inlineStr">
        <is>
          <t>3380321</t>
        </is>
      </c>
      <c r="AW1880" t="inlineStr">
        <is>
          <t>991004420359702656</t>
        </is>
      </c>
      <c r="AX1880" t="inlineStr">
        <is>
          <t>991004420359702656</t>
        </is>
      </c>
      <c r="AY1880" t="inlineStr">
        <is>
          <t>2272762510002656</t>
        </is>
      </c>
      <c r="AZ1880" t="inlineStr">
        <is>
          <t>BOOK</t>
        </is>
      </c>
      <c r="BB1880" t="inlineStr">
        <is>
          <t>9780231043984</t>
        </is>
      </c>
      <c r="BC1880" t="inlineStr">
        <is>
          <t>32285000105634</t>
        </is>
      </c>
      <c r="BD1880" t="inlineStr">
        <is>
          <t>893229345</t>
        </is>
      </c>
    </row>
    <row r="1881">
      <c r="A1881" t="inlineStr">
        <is>
          <t>No</t>
        </is>
      </c>
      <c r="B1881" t="inlineStr">
        <is>
          <t>E813 .D6 1977</t>
        </is>
      </c>
      <c r="C1881" t="inlineStr">
        <is>
          <t>0                      E  0813000D  6           1977</t>
        </is>
      </c>
      <c r="D1881" t="inlineStr">
        <is>
          <t>Conflict and crisis : the Presidency of Harry S. Truman, 1945-1948 / Robert J. Donovan.</t>
        </is>
      </c>
      <c r="F1881" t="inlineStr">
        <is>
          <t>No</t>
        </is>
      </c>
      <c r="G1881" t="inlineStr">
        <is>
          <t>1</t>
        </is>
      </c>
      <c r="H1881" t="inlineStr">
        <is>
          <t>No</t>
        </is>
      </c>
      <c r="I1881" t="inlineStr">
        <is>
          <t>No</t>
        </is>
      </c>
      <c r="J1881" t="inlineStr">
        <is>
          <t>0</t>
        </is>
      </c>
      <c r="K1881" t="inlineStr">
        <is>
          <t>Donovan, Robert J.</t>
        </is>
      </c>
      <c r="L1881" t="inlineStr">
        <is>
          <t>New York : Norton, c1977.</t>
        </is>
      </c>
      <c r="M1881" t="inlineStr">
        <is>
          <t>1977</t>
        </is>
      </c>
      <c r="N1881" t="inlineStr">
        <is>
          <t>1st ed.</t>
        </is>
      </c>
      <c r="O1881" t="inlineStr">
        <is>
          <t>eng</t>
        </is>
      </c>
      <c r="P1881" t="inlineStr">
        <is>
          <t>nyu</t>
        </is>
      </c>
      <c r="R1881" t="inlineStr">
        <is>
          <t xml:space="preserve">E  </t>
        </is>
      </c>
      <c r="S1881" t="n">
        <v>2</v>
      </c>
      <c r="T1881" t="n">
        <v>2</v>
      </c>
      <c r="U1881" t="inlineStr">
        <is>
          <t>2000-02-15</t>
        </is>
      </c>
      <c r="V1881" t="inlineStr">
        <is>
          <t>2000-02-15</t>
        </is>
      </c>
      <c r="W1881" t="inlineStr">
        <is>
          <t>1997-04-28</t>
        </is>
      </c>
      <c r="X1881" t="inlineStr">
        <is>
          <t>1997-04-28</t>
        </is>
      </c>
      <c r="Y1881" t="n">
        <v>2411</v>
      </c>
      <c r="Z1881" t="n">
        <v>2227</v>
      </c>
      <c r="AA1881" t="n">
        <v>2296</v>
      </c>
      <c r="AB1881" t="n">
        <v>22</v>
      </c>
      <c r="AC1881" t="n">
        <v>22</v>
      </c>
      <c r="AD1881" t="n">
        <v>61</v>
      </c>
      <c r="AE1881" t="n">
        <v>63</v>
      </c>
      <c r="AF1881" t="n">
        <v>24</v>
      </c>
      <c r="AG1881" t="n">
        <v>25</v>
      </c>
      <c r="AH1881" t="n">
        <v>11</v>
      </c>
      <c r="AI1881" t="n">
        <v>11</v>
      </c>
      <c r="AJ1881" t="n">
        <v>22</v>
      </c>
      <c r="AK1881" t="n">
        <v>22</v>
      </c>
      <c r="AL1881" t="n">
        <v>13</v>
      </c>
      <c r="AM1881" t="n">
        <v>13</v>
      </c>
      <c r="AN1881" t="n">
        <v>3</v>
      </c>
      <c r="AO1881" t="n">
        <v>4</v>
      </c>
      <c r="AP1881" t="inlineStr">
        <is>
          <t>No</t>
        </is>
      </c>
      <c r="AQ1881" t="inlineStr">
        <is>
          <t>No</t>
        </is>
      </c>
      <c r="AS1881">
        <f>HYPERLINK("https://creighton-primo.hosted.exlibrisgroup.com/primo-explore/search?tab=default_tab&amp;search_scope=EVERYTHING&amp;vid=01CRU&amp;lang=en_US&amp;offset=0&amp;query=any,contains,991004325219702656","Catalog Record")</f>
        <v/>
      </c>
      <c r="AT1881">
        <f>HYPERLINK("http://www.worldcat.org/oclc/3034310","WorldCat Record")</f>
        <v/>
      </c>
      <c r="AU1881" t="inlineStr">
        <is>
          <t>866645107:eng</t>
        </is>
      </c>
      <c r="AV1881" t="inlineStr">
        <is>
          <t>3034310</t>
        </is>
      </c>
      <c r="AW1881" t="inlineStr">
        <is>
          <t>991004325219702656</t>
        </is>
      </c>
      <c r="AX1881" t="inlineStr">
        <is>
          <t>991004325219702656</t>
        </is>
      </c>
      <c r="AY1881" t="inlineStr">
        <is>
          <t>2261383410002656</t>
        </is>
      </c>
      <c r="AZ1881" t="inlineStr">
        <is>
          <t>BOOK</t>
        </is>
      </c>
      <c r="BB1881" t="inlineStr">
        <is>
          <t>9780393056365</t>
        </is>
      </c>
      <c r="BC1881" t="inlineStr">
        <is>
          <t>32285002566866</t>
        </is>
      </c>
      <c r="BD1881" t="inlineStr">
        <is>
          <t>893624597</t>
        </is>
      </c>
    </row>
    <row r="1882">
      <c r="A1882" t="inlineStr">
        <is>
          <t>No</t>
        </is>
      </c>
      <c r="B1882" t="inlineStr">
        <is>
          <t>E813 .G28</t>
        </is>
      </c>
      <c r="C1882" t="inlineStr">
        <is>
          <t>0                      E  0813000G  28</t>
        </is>
      </c>
      <c r="D1882" t="inlineStr">
        <is>
          <t>The origins of the cold war / [by] Lloyd C. Gardner, Arthur Schlesinger, Jr. [and] Hans J. Morgenthau.</t>
        </is>
      </c>
      <c r="F1882" t="inlineStr">
        <is>
          <t>No</t>
        </is>
      </c>
      <c r="G1882" t="inlineStr">
        <is>
          <t>1</t>
        </is>
      </c>
      <c r="H1882" t="inlineStr">
        <is>
          <t>No</t>
        </is>
      </c>
      <c r="I1882" t="inlineStr">
        <is>
          <t>No</t>
        </is>
      </c>
      <c r="J1882" t="inlineStr">
        <is>
          <t>0</t>
        </is>
      </c>
      <c r="K1882" t="inlineStr">
        <is>
          <t>Gardner, Lloyd C., 1934-</t>
        </is>
      </c>
      <c r="L1882" t="inlineStr">
        <is>
          <t>Waltham, Mass. : Ginn-Blaisdell, [1970]</t>
        </is>
      </c>
      <c r="M1882" t="inlineStr">
        <is>
          <t>1970</t>
        </is>
      </c>
      <c r="O1882" t="inlineStr">
        <is>
          <t>eng</t>
        </is>
      </c>
      <c r="P1882" t="inlineStr">
        <is>
          <t>mau</t>
        </is>
      </c>
      <c r="Q1882" t="inlineStr">
        <is>
          <t>The American forum series</t>
        </is>
      </c>
      <c r="R1882" t="inlineStr">
        <is>
          <t xml:space="preserve">E  </t>
        </is>
      </c>
      <c r="S1882" t="n">
        <v>4</v>
      </c>
      <c r="T1882" t="n">
        <v>4</v>
      </c>
      <c r="U1882" t="inlineStr">
        <is>
          <t>1996-08-28</t>
        </is>
      </c>
      <c r="V1882" t="inlineStr">
        <is>
          <t>1996-08-28</t>
        </is>
      </c>
      <c r="W1882" t="inlineStr">
        <is>
          <t>1992-03-20</t>
        </is>
      </c>
      <c r="X1882" t="inlineStr">
        <is>
          <t>1992-03-20</t>
        </is>
      </c>
      <c r="Y1882" t="n">
        <v>536</v>
      </c>
      <c r="Z1882" t="n">
        <v>453</v>
      </c>
      <c r="AA1882" t="n">
        <v>467</v>
      </c>
      <c r="AB1882" t="n">
        <v>4</v>
      </c>
      <c r="AC1882" t="n">
        <v>4</v>
      </c>
      <c r="AD1882" t="n">
        <v>21</v>
      </c>
      <c r="AE1882" t="n">
        <v>22</v>
      </c>
      <c r="AF1882" t="n">
        <v>8</v>
      </c>
      <c r="AG1882" t="n">
        <v>8</v>
      </c>
      <c r="AH1882" t="n">
        <v>4</v>
      </c>
      <c r="AI1882" t="n">
        <v>5</v>
      </c>
      <c r="AJ1882" t="n">
        <v>10</v>
      </c>
      <c r="AK1882" t="n">
        <v>11</v>
      </c>
      <c r="AL1882" t="n">
        <v>3</v>
      </c>
      <c r="AM1882" t="n">
        <v>3</v>
      </c>
      <c r="AN1882" t="n">
        <v>0</v>
      </c>
      <c r="AO1882" t="n">
        <v>0</v>
      </c>
      <c r="AP1882" t="inlineStr">
        <is>
          <t>No</t>
        </is>
      </c>
      <c r="AQ1882" t="inlineStr">
        <is>
          <t>Yes</t>
        </is>
      </c>
      <c r="AR1882">
        <f>HYPERLINK("http://catalog.hathitrust.org/Record/000803228","HathiTrust Record")</f>
        <v/>
      </c>
      <c r="AS1882">
        <f>HYPERLINK("https://creighton-primo.hosted.exlibrisgroup.com/primo-explore/search?tab=default_tab&amp;search_scope=EVERYTHING&amp;vid=01CRU&amp;lang=en_US&amp;offset=0&amp;query=any,contains,991000402629702656","Catalog Record")</f>
        <v/>
      </c>
      <c r="AT1882">
        <f>HYPERLINK("http://www.worldcat.org/oclc/73544","WorldCat Record")</f>
        <v/>
      </c>
      <c r="AU1882" t="inlineStr">
        <is>
          <t>488207:eng</t>
        </is>
      </c>
      <c r="AV1882" t="inlineStr">
        <is>
          <t>73544</t>
        </is>
      </c>
      <c r="AW1882" t="inlineStr">
        <is>
          <t>991000402629702656</t>
        </is>
      </c>
      <c r="AX1882" t="inlineStr">
        <is>
          <t>991000402629702656</t>
        </is>
      </c>
      <c r="AY1882" t="inlineStr">
        <is>
          <t>2269917580002656</t>
        </is>
      </c>
      <c r="AZ1882" t="inlineStr">
        <is>
          <t>BOOK</t>
        </is>
      </c>
      <c r="BC1882" t="inlineStr">
        <is>
          <t>32285001006369</t>
        </is>
      </c>
      <c r="BD1882" t="inlineStr">
        <is>
          <t>893896846</t>
        </is>
      </c>
    </row>
    <row r="1883">
      <c r="A1883" t="inlineStr">
        <is>
          <t>No</t>
        </is>
      </c>
      <c r="B1883" t="inlineStr">
        <is>
          <t>E813 .L45 1992</t>
        </is>
      </c>
      <c r="C1883" t="inlineStr">
        <is>
          <t>0                      E  0813000L  45          1992</t>
        </is>
      </c>
      <c r="D1883" t="inlineStr">
        <is>
          <t>A preponderance of power : national security, the Truman administration, and the Cold War / Melvyn P. Leffler.</t>
        </is>
      </c>
      <c r="F1883" t="inlineStr">
        <is>
          <t>No</t>
        </is>
      </c>
      <c r="G1883" t="inlineStr">
        <is>
          <t>1</t>
        </is>
      </c>
      <c r="H1883" t="inlineStr">
        <is>
          <t>No</t>
        </is>
      </c>
      <c r="I1883" t="inlineStr">
        <is>
          <t>No</t>
        </is>
      </c>
      <c r="J1883" t="inlineStr">
        <is>
          <t>0</t>
        </is>
      </c>
      <c r="K1883" t="inlineStr">
        <is>
          <t>Leffler, Melvyn P., 1945-</t>
        </is>
      </c>
      <c r="L1883" t="inlineStr">
        <is>
          <t>Stanford, Calif. : Stanford University Press, c1992.</t>
        </is>
      </c>
      <c r="M1883" t="inlineStr">
        <is>
          <t>1992</t>
        </is>
      </c>
      <c r="O1883" t="inlineStr">
        <is>
          <t>eng</t>
        </is>
      </c>
      <c r="P1883" t="inlineStr">
        <is>
          <t>cau</t>
        </is>
      </c>
      <c r="Q1883" t="inlineStr">
        <is>
          <t>Stanford nuclear age series</t>
        </is>
      </c>
      <c r="R1883" t="inlineStr">
        <is>
          <t xml:space="preserve">E  </t>
        </is>
      </c>
      <c r="S1883" t="n">
        <v>3</v>
      </c>
      <c r="T1883" t="n">
        <v>3</v>
      </c>
      <c r="U1883" t="inlineStr">
        <is>
          <t>2002-04-11</t>
        </is>
      </c>
      <c r="V1883" t="inlineStr">
        <is>
          <t>2002-04-11</t>
        </is>
      </c>
      <c r="W1883" t="inlineStr">
        <is>
          <t>1992-06-10</t>
        </is>
      </c>
      <c r="X1883" t="inlineStr">
        <is>
          <t>1992-06-10</t>
        </is>
      </c>
      <c r="Y1883" t="n">
        <v>1076</v>
      </c>
      <c r="Z1883" t="n">
        <v>881</v>
      </c>
      <c r="AA1883" t="n">
        <v>998</v>
      </c>
      <c r="AB1883" t="n">
        <v>4</v>
      </c>
      <c r="AC1883" t="n">
        <v>6</v>
      </c>
      <c r="AD1883" t="n">
        <v>38</v>
      </c>
      <c r="AE1883" t="n">
        <v>47</v>
      </c>
      <c r="AF1883" t="n">
        <v>16</v>
      </c>
      <c r="AG1883" t="n">
        <v>20</v>
      </c>
      <c r="AH1883" t="n">
        <v>8</v>
      </c>
      <c r="AI1883" t="n">
        <v>10</v>
      </c>
      <c r="AJ1883" t="n">
        <v>19</v>
      </c>
      <c r="AK1883" t="n">
        <v>22</v>
      </c>
      <c r="AL1883" t="n">
        <v>3</v>
      </c>
      <c r="AM1883" t="n">
        <v>5</v>
      </c>
      <c r="AN1883" t="n">
        <v>2</v>
      </c>
      <c r="AO1883" t="n">
        <v>2</v>
      </c>
      <c r="AP1883" t="inlineStr">
        <is>
          <t>No</t>
        </is>
      </c>
      <c r="AQ1883" t="inlineStr">
        <is>
          <t>No</t>
        </is>
      </c>
      <c r="AS1883">
        <f>HYPERLINK("https://creighton-primo.hosted.exlibrisgroup.com/primo-explore/search?tab=default_tab&amp;search_scope=EVERYTHING&amp;vid=01CRU&amp;lang=en_US&amp;offset=0&amp;query=any,contains,991001860679702656","Catalog Record")</f>
        <v/>
      </c>
      <c r="AT1883">
        <f>HYPERLINK("http://www.worldcat.org/oclc/23382609","WorldCat Record")</f>
        <v/>
      </c>
      <c r="AU1883" t="inlineStr">
        <is>
          <t>15835423:eng</t>
        </is>
      </c>
      <c r="AV1883" t="inlineStr">
        <is>
          <t>23382609</t>
        </is>
      </c>
      <c r="AW1883" t="inlineStr">
        <is>
          <t>991001860679702656</t>
        </is>
      </c>
      <c r="AX1883" t="inlineStr">
        <is>
          <t>991001860679702656</t>
        </is>
      </c>
      <c r="AY1883" t="inlineStr">
        <is>
          <t>2266462750002656</t>
        </is>
      </c>
      <c r="AZ1883" t="inlineStr">
        <is>
          <t>BOOK</t>
        </is>
      </c>
      <c r="BB1883" t="inlineStr">
        <is>
          <t>9780804719247</t>
        </is>
      </c>
      <c r="BC1883" t="inlineStr">
        <is>
          <t>32285001127637</t>
        </is>
      </c>
      <c r="BD1883" t="inlineStr">
        <is>
          <t>893590699</t>
        </is>
      </c>
    </row>
    <row r="1884">
      <c r="A1884" t="inlineStr">
        <is>
          <t>No</t>
        </is>
      </c>
      <c r="B1884" t="inlineStr">
        <is>
          <t>E813 .O55 1986</t>
        </is>
      </c>
      <c r="C1884" t="inlineStr">
        <is>
          <t>0                      E  0813000O  55          1986</t>
        </is>
      </c>
      <c r="D1884" t="inlineStr">
        <is>
          <t>American high : the years of confidence, 1945-1960 / William L O'Neill.</t>
        </is>
      </c>
      <c r="F1884" t="inlineStr">
        <is>
          <t>No</t>
        </is>
      </c>
      <c r="G1884" t="inlineStr">
        <is>
          <t>1</t>
        </is>
      </c>
      <c r="H1884" t="inlineStr">
        <is>
          <t>No</t>
        </is>
      </c>
      <c r="I1884" t="inlineStr">
        <is>
          <t>No</t>
        </is>
      </c>
      <c r="J1884" t="inlineStr">
        <is>
          <t>0</t>
        </is>
      </c>
      <c r="K1884" t="inlineStr">
        <is>
          <t>O'Neill, William L.</t>
        </is>
      </c>
      <c r="L1884" t="inlineStr">
        <is>
          <t>New York : Free Press, c1986.</t>
        </is>
      </c>
      <c r="M1884" t="inlineStr">
        <is>
          <t>1986</t>
        </is>
      </c>
      <c r="O1884" t="inlineStr">
        <is>
          <t>eng</t>
        </is>
      </c>
      <c r="P1884" t="inlineStr">
        <is>
          <t>nyu</t>
        </is>
      </c>
      <c r="R1884" t="inlineStr">
        <is>
          <t xml:space="preserve">E  </t>
        </is>
      </c>
      <c r="S1884" t="n">
        <v>1</v>
      </c>
      <c r="T1884" t="n">
        <v>1</v>
      </c>
      <c r="U1884" t="inlineStr">
        <is>
          <t>2004-04-26</t>
        </is>
      </c>
      <c r="V1884" t="inlineStr">
        <is>
          <t>2004-04-26</t>
        </is>
      </c>
      <c r="W1884" t="inlineStr">
        <is>
          <t>1990-06-21</t>
        </is>
      </c>
      <c r="X1884" t="inlineStr">
        <is>
          <t>1990-06-21</t>
        </is>
      </c>
      <c r="Y1884" t="n">
        <v>1263</v>
      </c>
      <c r="Z1884" t="n">
        <v>1147</v>
      </c>
      <c r="AA1884" t="n">
        <v>1203</v>
      </c>
      <c r="AB1884" t="n">
        <v>9</v>
      </c>
      <c r="AC1884" t="n">
        <v>10</v>
      </c>
      <c r="AD1884" t="n">
        <v>43</v>
      </c>
      <c r="AE1884" t="n">
        <v>45</v>
      </c>
      <c r="AF1884" t="n">
        <v>17</v>
      </c>
      <c r="AG1884" t="n">
        <v>18</v>
      </c>
      <c r="AH1884" t="n">
        <v>9</v>
      </c>
      <c r="AI1884" t="n">
        <v>9</v>
      </c>
      <c r="AJ1884" t="n">
        <v>17</v>
      </c>
      <c r="AK1884" t="n">
        <v>17</v>
      </c>
      <c r="AL1884" t="n">
        <v>8</v>
      </c>
      <c r="AM1884" t="n">
        <v>9</v>
      </c>
      <c r="AN1884" t="n">
        <v>1</v>
      </c>
      <c r="AO1884" t="n">
        <v>1</v>
      </c>
      <c r="AP1884" t="inlineStr">
        <is>
          <t>No</t>
        </is>
      </c>
      <c r="AQ1884" t="inlineStr">
        <is>
          <t>Yes</t>
        </is>
      </c>
      <c r="AR1884">
        <f>HYPERLINK("http://catalog.hathitrust.org/Record/000556748","HathiTrust Record")</f>
        <v/>
      </c>
      <c r="AS1884">
        <f>HYPERLINK("https://creighton-primo.hosted.exlibrisgroup.com/primo-explore/search?tab=default_tab&amp;search_scope=EVERYTHING&amp;vid=01CRU&amp;lang=en_US&amp;offset=0&amp;query=any,contains,991000893899702656","Catalog Record")</f>
        <v/>
      </c>
      <c r="AT1884">
        <f>HYPERLINK("http://www.worldcat.org/oclc/13947369","WorldCat Record")</f>
        <v/>
      </c>
      <c r="AU1884" t="inlineStr">
        <is>
          <t>7976922:eng</t>
        </is>
      </c>
      <c r="AV1884" t="inlineStr">
        <is>
          <t>13947369</t>
        </is>
      </c>
      <c r="AW1884" t="inlineStr">
        <is>
          <t>991000893899702656</t>
        </is>
      </c>
      <c r="AX1884" t="inlineStr">
        <is>
          <t>991000893899702656</t>
        </is>
      </c>
      <c r="AY1884" t="inlineStr">
        <is>
          <t>2255701350002656</t>
        </is>
      </c>
      <c r="AZ1884" t="inlineStr">
        <is>
          <t>BOOK</t>
        </is>
      </c>
      <c r="BB1884" t="inlineStr">
        <is>
          <t>9780029236802</t>
        </is>
      </c>
      <c r="BC1884" t="inlineStr">
        <is>
          <t>32285000211093</t>
        </is>
      </c>
      <c r="BD1884" t="inlineStr">
        <is>
          <t>893419866</t>
        </is>
      </c>
    </row>
    <row r="1885">
      <c r="A1885" t="inlineStr">
        <is>
          <t>No</t>
        </is>
      </c>
      <c r="B1885" t="inlineStr">
        <is>
          <t>E813 .T72</t>
        </is>
      </c>
      <c r="C1885" t="inlineStr">
        <is>
          <t>0                      E  0813000T  72</t>
        </is>
      </c>
      <c r="D1885" t="inlineStr">
        <is>
          <t>The Truman period as a research field / edited by Richard S. Kirkendall.</t>
        </is>
      </c>
      <c r="F1885" t="inlineStr">
        <is>
          <t>No</t>
        </is>
      </c>
      <c r="G1885" t="inlineStr">
        <is>
          <t>1</t>
        </is>
      </c>
      <c r="H1885" t="inlineStr">
        <is>
          <t>No</t>
        </is>
      </c>
      <c r="I1885" t="inlineStr">
        <is>
          <t>No</t>
        </is>
      </c>
      <c r="J1885" t="inlineStr">
        <is>
          <t>0</t>
        </is>
      </c>
      <c r="L1885" t="inlineStr">
        <is>
          <t>Columbia : University of Missouri Press, [1967]</t>
        </is>
      </c>
      <c r="M1885" t="inlineStr">
        <is>
          <t>1967</t>
        </is>
      </c>
      <c r="O1885" t="inlineStr">
        <is>
          <t>eng</t>
        </is>
      </c>
      <c r="P1885" t="inlineStr">
        <is>
          <t>mou</t>
        </is>
      </c>
      <c r="R1885" t="inlineStr">
        <is>
          <t xml:space="preserve">E  </t>
        </is>
      </c>
      <c r="S1885" t="n">
        <v>2</v>
      </c>
      <c r="T1885" t="n">
        <v>2</v>
      </c>
      <c r="U1885" t="inlineStr">
        <is>
          <t>1999-03-10</t>
        </is>
      </c>
      <c r="V1885" t="inlineStr">
        <is>
          <t>1999-03-10</t>
        </is>
      </c>
      <c r="W1885" t="inlineStr">
        <is>
          <t>1990-03-13</t>
        </is>
      </c>
      <c r="X1885" t="inlineStr">
        <is>
          <t>1990-03-13</t>
        </is>
      </c>
      <c r="Y1885" t="n">
        <v>560</v>
      </c>
      <c r="Z1885" t="n">
        <v>513</v>
      </c>
      <c r="AA1885" t="n">
        <v>520</v>
      </c>
      <c r="AB1885" t="n">
        <v>5</v>
      </c>
      <c r="AC1885" t="n">
        <v>5</v>
      </c>
      <c r="AD1885" t="n">
        <v>31</v>
      </c>
      <c r="AE1885" t="n">
        <v>31</v>
      </c>
      <c r="AF1885" t="n">
        <v>10</v>
      </c>
      <c r="AG1885" t="n">
        <v>10</v>
      </c>
      <c r="AH1885" t="n">
        <v>6</v>
      </c>
      <c r="AI1885" t="n">
        <v>6</v>
      </c>
      <c r="AJ1885" t="n">
        <v>19</v>
      </c>
      <c r="AK1885" t="n">
        <v>19</v>
      </c>
      <c r="AL1885" t="n">
        <v>4</v>
      </c>
      <c r="AM1885" t="n">
        <v>4</v>
      </c>
      <c r="AN1885" t="n">
        <v>1</v>
      </c>
      <c r="AO1885" t="n">
        <v>1</v>
      </c>
      <c r="AP1885" t="inlineStr">
        <is>
          <t>No</t>
        </is>
      </c>
      <c r="AQ1885" t="inlineStr">
        <is>
          <t>Yes</t>
        </is>
      </c>
      <c r="AR1885">
        <f>HYPERLINK("http://catalog.hathitrust.org/Record/000624711","HathiTrust Record")</f>
        <v/>
      </c>
      <c r="AS1885">
        <f>HYPERLINK("https://creighton-primo.hosted.exlibrisgroup.com/primo-explore/search?tab=default_tab&amp;search_scope=EVERYTHING&amp;vid=01CRU&amp;lang=en_US&amp;offset=0&amp;query=any,contains,991002739779702656","Catalog Record")</f>
        <v/>
      </c>
      <c r="AT1885">
        <f>HYPERLINK("http://www.worldcat.org/oclc/420653","WorldCat Record")</f>
        <v/>
      </c>
      <c r="AU1885" t="inlineStr">
        <is>
          <t>350586020:eng</t>
        </is>
      </c>
      <c r="AV1885" t="inlineStr">
        <is>
          <t>420653</t>
        </is>
      </c>
      <c r="AW1885" t="inlineStr">
        <is>
          <t>991002739779702656</t>
        </is>
      </c>
      <c r="AX1885" t="inlineStr">
        <is>
          <t>991002739779702656</t>
        </is>
      </c>
      <c r="AY1885" t="inlineStr">
        <is>
          <t>2270773980002656</t>
        </is>
      </c>
      <c r="AZ1885" t="inlineStr">
        <is>
          <t>BOOK</t>
        </is>
      </c>
      <c r="BC1885" t="inlineStr">
        <is>
          <t>32285000082403</t>
        </is>
      </c>
      <c r="BD1885" t="inlineStr">
        <is>
          <t>893517682</t>
        </is>
      </c>
    </row>
    <row r="1886">
      <c r="A1886" t="inlineStr">
        <is>
          <t>No</t>
        </is>
      </c>
      <c r="B1886" t="inlineStr">
        <is>
          <t>E813 .T74 1989</t>
        </is>
      </c>
      <c r="C1886" t="inlineStr">
        <is>
          <t>0                      E  0813000T  74          1989</t>
        </is>
      </c>
      <c r="D1886" t="inlineStr">
        <is>
          <t>The Truman presidency / edited by Michael J. Lacey.</t>
        </is>
      </c>
      <c r="F1886" t="inlineStr">
        <is>
          <t>No</t>
        </is>
      </c>
      <c r="G1886" t="inlineStr">
        <is>
          <t>1</t>
        </is>
      </c>
      <c r="H1886" t="inlineStr">
        <is>
          <t>No</t>
        </is>
      </c>
      <c r="I1886" t="inlineStr">
        <is>
          <t>No</t>
        </is>
      </c>
      <c r="J1886" t="inlineStr">
        <is>
          <t>0</t>
        </is>
      </c>
      <c r="L1886" t="inlineStr">
        <is>
          <t>[Washington, D.C.] : Woodrow Wilson International Center for Scholars ; Cambridge [England] ; New York : Cambridge University Press, 1989.</t>
        </is>
      </c>
      <c r="M1886" t="inlineStr">
        <is>
          <t>1989</t>
        </is>
      </c>
      <c r="O1886" t="inlineStr">
        <is>
          <t>eng</t>
        </is>
      </c>
      <c r="P1886" t="inlineStr">
        <is>
          <t>dcu</t>
        </is>
      </c>
      <c r="Q1886" t="inlineStr">
        <is>
          <t>Woodrow Wilson Center series</t>
        </is>
      </c>
      <c r="R1886" t="inlineStr">
        <is>
          <t xml:space="preserve">E  </t>
        </is>
      </c>
      <c r="S1886" t="n">
        <v>9</v>
      </c>
      <c r="T1886" t="n">
        <v>9</v>
      </c>
      <c r="U1886" t="inlineStr">
        <is>
          <t>1999-03-10</t>
        </is>
      </c>
      <c r="V1886" t="inlineStr">
        <is>
          <t>1999-03-10</t>
        </is>
      </c>
      <c r="W1886" t="inlineStr">
        <is>
          <t>1990-05-04</t>
        </is>
      </c>
      <c r="X1886" t="inlineStr">
        <is>
          <t>1990-05-04</t>
        </is>
      </c>
      <c r="Y1886" t="n">
        <v>802</v>
      </c>
      <c r="Z1886" t="n">
        <v>686</v>
      </c>
      <c r="AA1886" t="n">
        <v>700</v>
      </c>
      <c r="AB1886" t="n">
        <v>4</v>
      </c>
      <c r="AC1886" t="n">
        <v>4</v>
      </c>
      <c r="AD1886" t="n">
        <v>31</v>
      </c>
      <c r="AE1886" t="n">
        <v>31</v>
      </c>
      <c r="AF1886" t="n">
        <v>14</v>
      </c>
      <c r="AG1886" t="n">
        <v>14</v>
      </c>
      <c r="AH1886" t="n">
        <v>7</v>
      </c>
      <c r="AI1886" t="n">
        <v>7</v>
      </c>
      <c r="AJ1886" t="n">
        <v>18</v>
      </c>
      <c r="AK1886" t="n">
        <v>18</v>
      </c>
      <c r="AL1886" t="n">
        <v>3</v>
      </c>
      <c r="AM1886" t="n">
        <v>3</v>
      </c>
      <c r="AN1886" t="n">
        <v>0</v>
      </c>
      <c r="AO1886" t="n">
        <v>0</v>
      </c>
      <c r="AP1886" t="inlineStr">
        <is>
          <t>No</t>
        </is>
      </c>
      <c r="AQ1886" t="inlineStr">
        <is>
          <t>No</t>
        </is>
      </c>
      <c r="AS1886">
        <f>HYPERLINK("https://creighton-primo.hosted.exlibrisgroup.com/primo-explore/search?tab=default_tab&amp;search_scope=EVERYTHING&amp;vid=01CRU&amp;lang=en_US&amp;offset=0&amp;query=any,contains,991001467109702656","Catalog Record")</f>
        <v/>
      </c>
      <c r="AT1886">
        <f>HYPERLINK("http://www.worldcat.org/oclc/19514396","WorldCat Record")</f>
        <v/>
      </c>
      <c r="AU1886" t="inlineStr">
        <is>
          <t>9637392653:eng</t>
        </is>
      </c>
      <c r="AV1886" t="inlineStr">
        <is>
          <t>19514396</t>
        </is>
      </c>
      <c r="AW1886" t="inlineStr">
        <is>
          <t>991001467109702656</t>
        </is>
      </c>
      <c r="AX1886" t="inlineStr">
        <is>
          <t>991001467109702656</t>
        </is>
      </c>
      <c r="AY1886" t="inlineStr">
        <is>
          <t>2259888380002656</t>
        </is>
      </c>
      <c r="AZ1886" t="inlineStr">
        <is>
          <t>BOOK</t>
        </is>
      </c>
      <c r="BB1886" t="inlineStr">
        <is>
          <t>9780521375597</t>
        </is>
      </c>
      <c r="BC1886" t="inlineStr">
        <is>
          <t>32285000119619</t>
        </is>
      </c>
      <c r="BD1886" t="inlineStr">
        <is>
          <t>893420346</t>
        </is>
      </c>
    </row>
    <row r="1887">
      <c r="A1887" t="inlineStr">
        <is>
          <t>No</t>
        </is>
      </c>
      <c r="B1887" t="inlineStr">
        <is>
          <t>E813 .W35 1994</t>
        </is>
      </c>
      <c r="C1887" t="inlineStr">
        <is>
          <t>0                      E  0813000W  35          1994</t>
        </is>
      </c>
      <c r="D1887" t="inlineStr">
        <is>
          <t>The Council on Foreign Relations and American foreign policy in the early Cold War / Michael Wala.</t>
        </is>
      </c>
      <c r="F1887" t="inlineStr">
        <is>
          <t>No</t>
        </is>
      </c>
      <c r="G1887" t="inlineStr">
        <is>
          <t>1</t>
        </is>
      </c>
      <c r="H1887" t="inlineStr">
        <is>
          <t>No</t>
        </is>
      </c>
      <c r="I1887" t="inlineStr">
        <is>
          <t>No</t>
        </is>
      </c>
      <c r="J1887" t="inlineStr">
        <is>
          <t>0</t>
        </is>
      </c>
      <c r="K1887" t="inlineStr">
        <is>
          <t>Wala, Michael.</t>
        </is>
      </c>
      <c r="L1887" t="inlineStr">
        <is>
          <t>Providence : Berghahn Books, 1994.</t>
        </is>
      </c>
      <c r="M1887" t="inlineStr">
        <is>
          <t>1994</t>
        </is>
      </c>
      <c r="O1887" t="inlineStr">
        <is>
          <t>eng</t>
        </is>
      </c>
      <c r="P1887" t="inlineStr">
        <is>
          <t>riu</t>
        </is>
      </c>
      <c r="R1887" t="inlineStr">
        <is>
          <t xml:space="preserve">E  </t>
        </is>
      </c>
      <c r="S1887" t="n">
        <v>2</v>
      </c>
      <c r="T1887" t="n">
        <v>2</v>
      </c>
      <c r="U1887" t="inlineStr">
        <is>
          <t>1999-05-02</t>
        </is>
      </c>
      <c r="V1887" t="inlineStr">
        <is>
          <t>1999-05-02</t>
        </is>
      </c>
      <c r="W1887" t="inlineStr">
        <is>
          <t>1995-04-07</t>
        </is>
      </c>
      <c r="X1887" t="inlineStr">
        <is>
          <t>1995-04-07</t>
        </is>
      </c>
      <c r="Y1887" t="n">
        <v>204</v>
      </c>
      <c r="Z1887" t="n">
        <v>143</v>
      </c>
      <c r="AA1887" t="n">
        <v>144</v>
      </c>
      <c r="AB1887" t="n">
        <v>2</v>
      </c>
      <c r="AC1887" t="n">
        <v>2</v>
      </c>
      <c r="AD1887" t="n">
        <v>7</v>
      </c>
      <c r="AE1887" t="n">
        <v>7</v>
      </c>
      <c r="AF1887" t="n">
        <v>1</v>
      </c>
      <c r="AG1887" t="n">
        <v>1</v>
      </c>
      <c r="AH1887" t="n">
        <v>4</v>
      </c>
      <c r="AI1887" t="n">
        <v>4</v>
      </c>
      <c r="AJ1887" t="n">
        <v>4</v>
      </c>
      <c r="AK1887" t="n">
        <v>4</v>
      </c>
      <c r="AL1887" t="n">
        <v>1</v>
      </c>
      <c r="AM1887" t="n">
        <v>1</v>
      </c>
      <c r="AN1887" t="n">
        <v>0</v>
      </c>
      <c r="AO1887" t="n">
        <v>0</v>
      </c>
      <c r="AP1887" t="inlineStr">
        <is>
          <t>No</t>
        </is>
      </c>
      <c r="AQ1887" t="inlineStr">
        <is>
          <t>Yes</t>
        </is>
      </c>
      <c r="AR1887">
        <f>HYPERLINK("http://catalog.hathitrust.org/Record/002914410","HathiTrust Record")</f>
        <v/>
      </c>
      <c r="AS1887">
        <f>HYPERLINK("https://creighton-primo.hosted.exlibrisgroup.com/primo-explore/search?tab=default_tab&amp;search_scope=EVERYTHING&amp;vid=01CRU&amp;lang=en_US&amp;offset=0&amp;query=any,contains,991002373999702656","Catalog Record")</f>
        <v/>
      </c>
      <c r="AT1887">
        <f>HYPERLINK("http://www.worldcat.org/oclc/30892705","WorldCat Record")</f>
        <v/>
      </c>
      <c r="AU1887" t="inlineStr">
        <is>
          <t>20599142:eng</t>
        </is>
      </c>
      <c r="AV1887" t="inlineStr">
        <is>
          <t>30892705</t>
        </is>
      </c>
      <c r="AW1887" t="inlineStr">
        <is>
          <t>991002373999702656</t>
        </is>
      </c>
      <c r="AX1887" t="inlineStr">
        <is>
          <t>991002373999702656</t>
        </is>
      </c>
      <c r="AY1887" t="inlineStr">
        <is>
          <t>2270199870002656</t>
        </is>
      </c>
      <c r="AZ1887" t="inlineStr">
        <is>
          <t>BOOK</t>
        </is>
      </c>
      <c r="BB1887" t="inlineStr">
        <is>
          <t>9781571810038</t>
        </is>
      </c>
      <c r="BC1887" t="inlineStr">
        <is>
          <t>32285002016953</t>
        </is>
      </c>
      <c r="BD1887" t="inlineStr">
        <is>
          <t>893886190</t>
        </is>
      </c>
    </row>
    <row r="1888">
      <c r="A1888" t="inlineStr">
        <is>
          <t>No</t>
        </is>
      </c>
      <c r="B1888" t="inlineStr">
        <is>
          <t>E814 .A33</t>
        </is>
      </c>
      <c r="C1888" t="inlineStr">
        <is>
          <t>0                      E  0814000A  33</t>
        </is>
      </c>
      <c r="D1888" t="inlineStr">
        <is>
          <t>Mr. Citizen.</t>
        </is>
      </c>
      <c r="F1888" t="inlineStr">
        <is>
          <t>No</t>
        </is>
      </c>
      <c r="G1888" t="inlineStr">
        <is>
          <t>1</t>
        </is>
      </c>
      <c r="H1888" t="inlineStr">
        <is>
          <t>No</t>
        </is>
      </c>
      <c r="I1888" t="inlineStr">
        <is>
          <t>No</t>
        </is>
      </c>
      <c r="J1888" t="inlineStr">
        <is>
          <t>0</t>
        </is>
      </c>
      <c r="K1888" t="inlineStr">
        <is>
          <t>Truman, Harry S., 1884-1972.</t>
        </is>
      </c>
      <c r="L1888" t="inlineStr">
        <is>
          <t>[New York] Geis Associates; distributed by Random House [1960]</t>
        </is>
      </c>
      <c r="M1888" t="inlineStr">
        <is>
          <t>1960</t>
        </is>
      </c>
      <c r="O1888" t="inlineStr">
        <is>
          <t>eng</t>
        </is>
      </c>
      <c r="P1888" t="inlineStr">
        <is>
          <t>nyu</t>
        </is>
      </c>
      <c r="R1888" t="inlineStr">
        <is>
          <t xml:space="preserve">E  </t>
        </is>
      </c>
      <c r="S1888" t="n">
        <v>4</v>
      </c>
      <c r="T1888" t="n">
        <v>4</v>
      </c>
      <c r="U1888" t="inlineStr">
        <is>
          <t>2005-09-16</t>
        </is>
      </c>
      <c r="V1888" t="inlineStr">
        <is>
          <t>2005-09-16</t>
        </is>
      </c>
      <c r="W1888" t="inlineStr">
        <is>
          <t>1997-04-28</t>
        </is>
      </c>
      <c r="X1888" t="inlineStr">
        <is>
          <t>1997-04-28</t>
        </is>
      </c>
      <c r="Y1888" t="n">
        <v>1361</v>
      </c>
      <c r="Z1888" t="n">
        <v>1320</v>
      </c>
      <c r="AA1888" t="n">
        <v>1368</v>
      </c>
      <c r="AB1888" t="n">
        <v>12</v>
      </c>
      <c r="AC1888" t="n">
        <v>13</v>
      </c>
      <c r="AD1888" t="n">
        <v>39</v>
      </c>
      <c r="AE1888" t="n">
        <v>41</v>
      </c>
      <c r="AF1888" t="n">
        <v>16</v>
      </c>
      <c r="AG1888" t="n">
        <v>17</v>
      </c>
      <c r="AH1888" t="n">
        <v>7</v>
      </c>
      <c r="AI1888" t="n">
        <v>7</v>
      </c>
      <c r="AJ1888" t="n">
        <v>20</v>
      </c>
      <c r="AK1888" t="n">
        <v>21</v>
      </c>
      <c r="AL1888" t="n">
        <v>5</v>
      </c>
      <c r="AM1888" t="n">
        <v>6</v>
      </c>
      <c r="AN1888" t="n">
        <v>1</v>
      </c>
      <c r="AO1888" t="n">
        <v>1</v>
      </c>
      <c r="AP1888" t="inlineStr">
        <is>
          <t>No</t>
        </is>
      </c>
      <c r="AQ1888" t="inlineStr">
        <is>
          <t>Yes</t>
        </is>
      </c>
      <c r="AR1888">
        <f>HYPERLINK("http://catalog.hathitrust.org/Record/000578159","HathiTrust Record")</f>
        <v/>
      </c>
      <c r="AS1888">
        <f>HYPERLINK("https://creighton-primo.hosted.exlibrisgroup.com/primo-explore/search?tab=default_tab&amp;search_scope=EVERYTHING&amp;vid=01CRU&amp;lang=en_US&amp;offset=0&amp;query=any,contains,991004360179702656","Catalog Record")</f>
        <v/>
      </c>
      <c r="AT1888">
        <f>HYPERLINK("http://www.worldcat.org/oclc/3164153","WorldCat Record")</f>
        <v/>
      </c>
      <c r="AU1888" t="inlineStr">
        <is>
          <t>371868:eng</t>
        </is>
      </c>
      <c r="AV1888" t="inlineStr">
        <is>
          <t>3164153</t>
        </is>
      </c>
      <c r="AW1888" t="inlineStr">
        <is>
          <t>991004360179702656</t>
        </is>
      </c>
      <c r="AX1888" t="inlineStr">
        <is>
          <t>991004360179702656</t>
        </is>
      </c>
      <c r="AY1888" t="inlineStr">
        <is>
          <t>2258410550002656</t>
        </is>
      </c>
      <c r="AZ1888" t="inlineStr">
        <is>
          <t>BOOK</t>
        </is>
      </c>
      <c r="BC1888" t="inlineStr">
        <is>
          <t>32285002567013</t>
        </is>
      </c>
      <c r="BD1888" t="inlineStr">
        <is>
          <t>893894897</t>
        </is>
      </c>
    </row>
    <row r="1889">
      <c r="A1889" t="inlineStr">
        <is>
          <t>No</t>
        </is>
      </c>
      <c r="B1889" t="inlineStr">
        <is>
          <t>E814 .C62</t>
        </is>
      </c>
      <c r="C1889" t="inlineStr">
        <is>
          <t>0                      E  0814000C  62</t>
        </is>
      </c>
      <c r="D1889" t="inlineStr">
        <is>
          <t>Harry Truman and the crisis presidency. --</t>
        </is>
      </c>
      <c r="F1889" t="inlineStr">
        <is>
          <t>No</t>
        </is>
      </c>
      <c r="G1889" t="inlineStr">
        <is>
          <t>1</t>
        </is>
      </c>
      <c r="H1889" t="inlineStr">
        <is>
          <t>No</t>
        </is>
      </c>
      <c r="I1889" t="inlineStr">
        <is>
          <t>No</t>
        </is>
      </c>
      <c r="J1889" t="inlineStr">
        <is>
          <t>0</t>
        </is>
      </c>
      <c r="K1889" t="inlineStr">
        <is>
          <t>Cochran, Bert, 1913-1984.</t>
        </is>
      </c>
      <c r="L1889" t="inlineStr">
        <is>
          <t>New York: Funk &amp; Wagnalls, [1973]</t>
        </is>
      </c>
      <c r="M1889" t="inlineStr">
        <is>
          <t>1973</t>
        </is>
      </c>
      <c r="O1889" t="inlineStr">
        <is>
          <t>eng</t>
        </is>
      </c>
      <c r="P1889" t="inlineStr">
        <is>
          <t>nyu</t>
        </is>
      </c>
      <c r="R1889" t="inlineStr">
        <is>
          <t xml:space="preserve">E  </t>
        </is>
      </c>
      <c r="S1889" t="n">
        <v>4</v>
      </c>
      <c r="T1889" t="n">
        <v>4</v>
      </c>
      <c r="U1889" t="inlineStr">
        <is>
          <t>1999-03-10</t>
        </is>
      </c>
      <c r="V1889" t="inlineStr">
        <is>
          <t>1999-03-10</t>
        </is>
      </c>
      <c r="W1889" t="inlineStr">
        <is>
          <t>1991-06-06</t>
        </is>
      </c>
      <c r="X1889" t="inlineStr">
        <is>
          <t>1991-06-06</t>
        </is>
      </c>
      <c r="Y1889" t="n">
        <v>1296</v>
      </c>
      <c r="Z1889" t="n">
        <v>1212</v>
      </c>
      <c r="AA1889" t="n">
        <v>1219</v>
      </c>
      <c r="AB1889" t="n">
        <v>14</v>
      </c>
      <c r="AC1889" t="n">
        <v>14</v>
      </c>
      <c r="AD1889" t="n">
        <v>39</v>
      </c>
      <c r="AE1889" t="n">
        <v>39</v>
      </c>
      <c r="AF1889" t="n">
        <v>14</v>
      </c>
      <c r="AG1889" t="n">
        <v>14</v>
      </c>
      <c r="AH1889" t="n">
        <v>6</v>
      </c>
      <c r="AI1889" t="n">
        <v>6</v>
      </c>
      <c r="AJ1889" t="n">
        <v>13</v>
      </c>
      <c r="AK1889" t="n">
        <v>13</v>
      </c>
      <c r="AL1889" t="n">
        <v>10</v>
      </c>
      <c r="AM1889" t="n">
        <v>10</v>
      </c>
      <c r="AN1889" t="n">
        <v>2</v>
      </c>
      <c r="AO1889" t="n">
        <v>2</v>
      </c>
      <c r="AP1889" t="inlineStr">
        <is>
          <t>No</t>
        </is>
      </c>
      <c r="AQ1889" t="inlineStr">
        <is>
          <t>Yes</t>
        </is>
      </c>
      <c r="AR1889">
        <f>HYPERLINK("http://catalog.hathitrust.org/Record/000578169","HathiTrust Record")</f>
        <v/>
      </c>
      <c r="AS1889">
        <f>HYPERLINK("https://creighton-primo.hosted.exlibrisgroup.com/primo-explore/search?tab=default_tab&amp;search_scope=EVERYTHING&amp;vid=01CRU&amp;lang=en_US&amp;offset=0&amp;query=any,contains,991002841319702656","Catalog Record")</f>
        <v/>
      </c>
      <c r="AT1889">
        <f>HYPERLINK("http://www.worldcat.org/oclc/482425","WorldCat Record")</f>
        <v/>
      </c>
      <c r="AU1889" t="inlineStr">
        <is>
          <t>53598893:eng</t>
        </is>
      </c>
      <c r="AV1889" t="inlineStr">
        <is>
          <t>482425</t>
        </is>
      </c>
      <c r="AW1889" t="inlineStr">
        <is>
          <t>991002841319702656</t>
        </is>
      </c>
      <c r="AX1889" t="inlineStr">
        <is>
          <t>991002841319702656</t>
        </is>
      </c>
      <c r="AY1889" t="inlineStr">
        <is>
          <t>2258972330002656</t>
        </is>
      </c>
      <c r="AZ1889" t="inlineStr">
        <is>
          <t>BOOK</t>
        </is>
      </c>
      <c r="BC1889" t="inlineStr">
        <is>
          <t>32285000614759</t>
        </is>
      </c>
      <c r="BD1889" t="inlineStr">
        <is>
          <t>893692065</t>
        </is>
      </c>
    </row>
    <row r="1890">
      <c r="A1890" t="inlineStr">
        <is>
          <t>No</t>
        </is>
      </c>
      <c r="B1890" t="inlineStr">
        <is>
          <t>E814 .H336 1989</t>
        </is>
      </c>
      <c r="C1890" t="inlineStr">
        <is>
          <t>0                      E  0814000H  336         1989</t>
        </is>
      </c>
      <c r="D1890" t="inlineStr">
        <is>
          <t>The Harry S. Truman encyclopedia / edited by Richard S. Kirkendall.</t>
        </is>
      </c>
      <c r="F1890" t="inlineStr">
        <is>
          <t>No</t>
        </is>
      </c>
      <c r="G1890" t="inlineStr">
        <is>
          <t>1</t>
        </is>
      </c>
      <c r="H1890" t="inlineStr">
        <is>
          <t>No</t>
        </is>
      </c>
      <c r="I1890" t="inlineStr">
        <is>
          <t>No</t>
        </is>
      </c>
      <c r="J1890" t="inlineStr">
        <is>
          <t>0</t>
        </is>
      </c>
      <c r="L1890" t="inlineStr">
        <is>
          <t>Boston : G.K. Hall, c1989.</t>
        </is>
      </c>
      <c r="M1890" t="inlineStr">
        <is>
          <t>1989</t>
        </is>
      </c>
      <c r="O1890" t="inlineStr">
        <is>
          <t>eng</t>
        </is>
      </c>
      <c r="P1890" t="inlineStr">
        <is>
          <t>mau</t>
        </is>
      </c>
      <c r="Q1890" t="inlineStr">
        <is>
          <t>The G.K. Hall presidential encyclopedia series</t>
        </is>
      </c>
      <c r="R1890" t="inlineStr">
        <is>
          <t xml:space="preserve">E  </t>
        </is>
      </c>
      <c r="S1890" t="n">
        <v>9</v>
      </c>
      <c r="T1890" t="n">
        <v>9</v>
      </c>
      <c r="U1890" t="inlineStr">
        <is>
          <t>2000-11-07</t>
        </is>
      </c>
      <c r="V1890" t="inlineStr">
        <is>
          <t>2000-11-07</t>
        </is>
      </c>
      <c r="W1890" t="inlineStr">
        <is>
          <t>1990-10-09</t>
        </is>
      </c>
      <c r="X1890" t="inlineStr">
        <is>
          <t>1990-10-09</t>
        </is>
      </c>
      <c r="Y1890" t="n">
        <v>674</v>
      </c>
      <c r="Z1890" t="n">
        <v>624</v>
      </c>
      <c r="AA1890" t="n">
        <v>631</v>
      </c>
      <c r="AB1890" t="n">
        <v>5</v>
      </c>
      <c r="AC1890" t="n">
        <v>5</v>
      </c>
      <c r="AD1890" t="n">
        <v>26</v>
      </c>
      <c r="AE1890" t="n">
        <v>26</v>
      </c>
      <c r="AF1890" t="n">
        <v>10</v>
      </c>
      <c r="AG1890" t="n">
        <v>10</v>
      </c>
      <c r="AH1890" t="n">
        <v>6</v>
      </c>
      <c r="AI1890" t="n">
        <v>6</v>
      </c>
      <c r="AJ1890" t="n">
        <v>12</v>
      </c>
      <c r="AK1890" t="n">
        <v>12</v>
      </c>
      <c r="AL1890" t="n">
        <v>4</v>
      </c>
      <c r="AM1890" t="n">
        <v>4</v>
      </c>
      <c r="AN1890" t="n">
        <v>0</v>
      </c>
      <c r="AO1890" t="n">
        <v>0</v>
      </c>
      <c r="AP1890" t="inlineStr">
        <is>
          <t>No</t>
        </is>
      </c>
      <c r="AQ1890" t="inlineStr">
        <is>
          <t>Yes</t>
        </is>
      </c>
      <c r="AR1890">
        <f>HYPERLINK("http://catalog.hathitrust.org/Record/001841295","HathiTrust Record")</f>
        <v/>
      </c>
      <c r="AS1890">
        <f>HYPERLINK("https://creighton-primo.hosted.exlibrisgroup.com/primo-explore/search?tab=default_tab&amp;search_scope=EVERYTHING&amp;vid=01CRU&amp;lang=en_US&amp;offset=0&amp;query=any,contains,991001554769702656","Catalog Record")</f>
        <v/>
      </c>
      <c r="AT1890">
        <f>HYPERLINK("http://www.worldcat.org/oclc/20261864","WorldCat Record")</f>
        <v/>
      </c>
      <c r="AU1890" t="inlineStr">
        <is>
          <t>22086814:eng</t>
        </is>
      </c>
      <c r="AV1890" t="inlineStr">
        <is>
          <t>20261864</t>
        </is>
      </c>
      <c r="AW1890" t="inlineStr">
        <is>
          <t>991001554769702656</t>
        </is>
      </c>
      <c r="AX1890" t="inlineStr">
        <is>
          <t>991001554769702656</t>
        </is>
      </c>
      <c r="AY1890" t="inlineStr">
        <is>
          <t>2261805070002656</t>
        </is>
      </c>
      <c r="AZ1890" t="inlineStr">
        <is>
          <t>BOOK</t>
        </is>
      </c>
      <c r="BB1890" t="inlineStr">
        <is>
          <t>9780816189151</t>
        </is>
      </c>
      <c r="BC1890" t="inlineStr">
        <is>
          <t>32285000279447</t>
        </is>
      </c>
      <c r="BD1890" t="inlineStr">
        <is>
          <t>893803673</t>
        </is>
      </c>
    </row>
    <row r="1891">
      <c r="A1891" t="inlineStr">
        <is>
          <t>No</t>
        </is>
      </c>
      <c r="B1891" t="inlineStr">
        <is>
          <t>E814 .M33 1988</t>
        </is>
      </c>
      <c r="C1891" t="inlineStr">
        <is>
          <t>0                      E  0814000M  33          1988</t>
        </is>
      </c>
      <c r="D1891" t="inlineStr">
        <is>
          <t>From war to cold war : the education of Harry S. Truman / Robert James Maddox.</t>
        </is>
      </c>
      <c r="F1891" t="inlineStr">
        <is>
          <t>No</t>
        </is>
      </c>
      <c r="G1891" t="inlineStr">
        <is>
          <t>1</t>
        </is>
      </c>
      <c r="H1891" t="inlineStr">
        <is>
          <t>No</t>
        </is>
      </c>
      <c r="I1891" t="inlineStr">
        <is>
          <t>No</t>
        </is>
      </c>
      <c r="J1891" t="inlineStr">
        <is>
          <t>0</t>
        </is>
      </c>
      <c r="K1891" t="inlineStr">
        <is>
          <t>Maddox, Robert James.</t>
        </is>
      </c>
      <c r="L1891" t="inlineStr">
        <is>
          <t>Boulder : Westview Press, 1988.</t>
        </is>
      </c>
      <c r="M1891" t="inlineStr">
        <is>
          <t>1988</t>
        </is>
      </c>
      <c r="O1891" t="inlineStr">
        <is>
          <t>eng</t>
        </is>
      </c>
      <c r="P1891" t="inlineStr">
        <is>
          <t>cou</t>
        </is>
      </c>
      <c r="R1891" t="inlineStr">
        <is>
          <t xml:space="preserve">E  </t>
        </is>
      </c>
      <c r="S1891" t="n">
        <v>1</v>
      </c>
      <c r="T1891" t="n">
        <v>1</v>
      </c>
      <c r="U1891" t="inlineStr">
        <is>
          <t>2002-04-11</t>
        </is>
      </c>
      <c r="V1891" t="inlineStr">
        <is>
          <t>2002-04-11</t>
        </is>
      </c>
      <c r="W1891" t="inlineStr">
        <is>
          <t>1990-03-28</t>
        </is>
      </c>
      <c r="X1891" t="inlineStr">
        <is>
          <t>1990-03-28</t>
        </is>
      </c>
      <c r="Y1891" t="n">
        <v>399</v>
      </c>
      <c r="Z1891" t="n">
        <v>321</v>
      </c>
      <c r="AA1891" t="n">
        <v>342</v>
      </c>
      <c r="AB1891" t="n">
        <v>4</v>
      </c>
      <c r="AC1891" t="n">
        <v>4</v>
      </c>
      <c r="AD1891" t="n">
        <v>18</v>
      </c>
      <c r="AE1891" t="n">
        <v>18</v>
      </c>
      <c r="AF1891" t="n">
        <v>4</v>
      </c>
      <c r="AG1891" t="n">
        <v>4</v>
      </c>
      <c r="AH1891" t="n">
        <v>6</v>
      </c>
      <c r="AI1891" t="n">
        <v>6</v>
      </c>
      <c r="AJ1891" t="n">
        <v>11</v>
      </c>
      <c r="AK1891" t="n">
        <v>11</v>
      </c>
      <c r="AL1891" t="n">
        <v>3</v>
      </c>
      <c r="AM1891" t="n">
        <v>3</v>
      </c>
      <c r="AN1891" t="n">
        <v>0</v>
      </c>
      <c r="AO1891" t="n">
        <v>0</v>
      </c>
      <c r="AP1891" t="inlineStr">
        <is>
          <t>No</t>
        </is>
      </c>
      <c r="AQ1891" t="inlineStr">
        <is>
          <t>Yes</t>
        </is>
      </c>
      <c r="AR1891">
        <f>HYPERLINK("http://catalog.hathitrust.org/Record/001071119","HathiTrust Record")</f>
        <v/>
      </c>
      <c r="AS1891">
        <f>HYPERLINK("https://creighton-primo.hosted.exlibrisgroup.com/primo-explore/search?tab=default_tab&amp;search_scope=EVERYTHING&amp;vid=01CRU&amp;lang=en_US&amp;offset=0&amp;query=any,contains,991001233999702656","Catalog Record")</f>
        <v/>
      </c>
      <c r="AT1891">
        <f>HYPERLINK("http://www.worldcat.org/oclc/17549409","WorldCat Record")</f>
        <v/>
      </c>
      <c r="AU1891" t="inlineStr">
        <is>
          <t>341538756:eng</t>
        </is>
      </c>
      <c r="AV1891" t="inlineStr">
        <is>
          <t>17549409</t>
        </is>
      </c>
      <c r="AW1891" t="inlineStr">
        <is>
          <t>991001233999702656</t>
        </is>
      </c>
      <c r="AX1891" t="inlineStr">
        <is>
          <t>991001233999702656</t>
        </is>
      </c>
      <c r="AY1891" t="inlineStr">
        <is>
          <t>2268997960002656</t>
        </is>
      </c>
      <c r="AZ1891" t="inlineStr">
        <is>
          <t>BOOK</t>
        </is>
      </c>
      <c r="BB1891" t="inlineStr">
        <is>
          <t>9780813304434</t>
        </is>
      </c>
      <c r="BC1891" t="inlineStr">
        <is>
          <t>32285000105659</t>
        </is>
      </c>
      <c r="BD1891" t="inlineStr">
        <is>
          <t>893334181</t>
        </is>
      </c>
    </row>
    <row r="1892">
      <c r="A1892" t="inlineStr">
        <is>
          <t>No</t>
        </is>
      </c>
      <c r="B1892" t="inlineStr">
        <is>
          <t>E814 .M54 1974</t>
        </is>
      </c>
      <c r="C1892" t="inlineStr">
        <is>
          <t>0                      E  0814000M  54          1974</t>
        </is>
      </c>
      <c r="D1892" t="inlineStr">
        <is>
          <t>Plain speaking; an oral biography of Harry S. Truman.</t>
        </is>
      </c>
      <c r="F1892" t="inlineStr">
        <is>
          <t>No</t>
        </is>
      </c>
      <c r="G1892" t="inlineStr">
        <is>
          <t>1</t>
        </is>
      </c>
      <c r="H1892" t="inlineStr">
        <is>
          <t>No</t>
        </is>
      </c>
      <c r="I1892" t="inlineStr">
        <is>
          <t>No</t>
        </is>
      </c>
      <c r="J1892" t="inlineStr">
        <is>
          <t>0</t>
        </is>
      </c>
      <c r="K1892" t="inlineStr">
        <is>
          <t>Miller, Merle, 1919-1986.</t>
        </is>
      </c>
      <c r="L1892" t="inlineStr">
        <is>
          <t>New York, Berkley Pub. Corp.; distributed by Putnam [1974]</t>
        </is>
      </c>
      <c r="M1892" t="inlineStr">
        <is>
          <t>1974</t>
        </is>
      </c>
      <c r="O1892" t="inlineStr">
        <is>
          <t>eng</t>
        </is>
      </c>
      <c r="P1892" t="inlineStr">
        <is>
          <t>nyu</t>
        </is>
      </c>
      <c r="R1892" t="inlineStr">
        <is>
          <t xml:space="preserve">E  </t>
        </is>
      </c>
      <c r="S1892" t="n">
        <v>4</v>
      </c>
      <c r="T1892" t="n">
        <v>4</v>
      </c>
      <c r="U1892" t="inlineStr">
        <is>
          <t>2002-04-03</t>
        </is>
      </c>
      <c r="V1892" t="inlineStr">
        <is>
          <t>2002-04-03</t>
        </is>
      </c>
      <c r="W1892" t="inlineStr">
        <is>
          <t>1997-04-28</t>
        </is>
      </c>
      <c r="X1892" t="inlineStr">
        <is>
          <t>1997-04-28</t>
        </is>
      </c>
      <c r="Y1892" t="n">
        <v>3010</v>
      </c>
      <c r="Z1892" t="n">
        <v>2882</v>
      </c>
      <c r="AA1892" t="n">
        <v>3237</v>
      </c>
      <c r="AB1892" t="n">
        <v>33</v>
      </c>
      <c r="AC1892" t="n">
        <v>36</v>
      </c>
      <c r="AD1892" t="n">
        <v>64</v>
      </c>
      <c r="AE1892" t="n">
        <v>66</v>
      </c>
      <c r="AF1892" t="n">
        <v>25</v>
      </c>
      <c r="AG1892" t="n">
        <v>26</v>
      </c>
      <c r="AH1892" t="n">
        <v>10</v>
      </c>
      <c r="AI1892" t="n">
        <v>10</v>
      </c>
      <c r="AJ1892" t="n">
        <v>22</v>
      </c>
      <c r="AK1892" t="n">
        <v>24</v>
      </c>
      <c r="AL1892" t="n">
        <v>16</v>
      </c>
      <c r="AM1892" t="n">
        <v>16</v>
      </c>
      <c r="AN1892" t="n">
        <v>2</v>
      </c>
      <c r="AO1892" t="n">
        <v>2</v>
      </c>
      <c r="AP1892" t="inlineStr">
        <is>
          <t>No</t>
        </is>
      </c>
      <c r="AQ1892" t="inlineStr">
        <is>
          <t>Yes</t>
        </is>
      </c>
      <c r="AR1892">
        <f>HYPERLINK("http://catalog.hathitrust.org/Record/000850925","HathiTrust Record")</f>
        <v/>
      </c>
      <c r="AS1892">
        <f>HYPERLINK("https://creighton-primo.hosted.exlibrisgroup.com/primo-explore/search?tab=default_tab&amp;search_scope=EVERYTHING&amp;vid=01CRU&amp;lang=en_US&amp;offset=0&amp;query=any,contains,991003256109702656","Catalog Record")</f>
        <v/>
      </c>
      <c r="AT1892">
        <f>HYPERLINK("http://www.worldcat.org/oclc/781384","WorldCat Record")</f>
        <v/>
      </c>
      <c r="AU1892" t="inlineStr">
        <is>
          <t>49292694:eng</t>
        </is>
      </c>
      <c r="AV1892" t="inlineStr">
        <is>
          <t>781384</t>
        </is>
      </c>
      <c r="AW1892" t="inlineStr">
        <is>
          <t>991003256109702656</t>
        </is>
      </c>
      <c r="AX1892" t="inlineStr">
        <is>
          <t>991003256109702656</t>
        </is>
      </c>
      <c r="AY1892" t="inlineStr">
        <is>
          <t>2263083090002656</t>
        </is>
      </c>
      <c r="AZ1892" t="inlineStr">
        <is>
          <t>BOOK</t>
        </is>
      </c>
      <c r="BB1892" t="inlineStr">
        <is>
          <t>9780399112614</t>
        </is>
      </c>
      <c r="BC1892" t="inlineStr">
        <is>
          <t>32285002567039</t>
        </is>
      </c>
      <c r="BD1892" t="inlineStr">
        <is>
          <t>893899778</t>
        </is>
      </c>
    </row>
    <row r="1893">
      <c r="A1893" t="inlineStr">
        <is>
          <t>No</t>
        </is>
      </c>
      <c r="B1893" t="inlineStr">
        <is>
          <t>E814 .T56 1973</t>
        </is>
      </c>
      <c r="C1893" t="inlineStr">
        <is>
          <t>0                      E  0814000T  56          1973</t>
        </is>
      </c>
      <c r="D1893" t="inlineStr">
        <is>
          <t>A pictorial biography ; HST / Text by David S. Thomson.</t>
        </is>
      </c>
      <c r="F1893" t="inlineStr">
        <is>
          <t>No</t>
        </is>
      </c>
      <c r="G1893" t="inlineStr">
        <is>
          <t>1</t>
        </is>
      </c>
      <c r="H1893" t="inlineStr">
        <is>
          <t>No</t>
        </is>
      </c>
      <c r="I1893" t="inlineStr">
        <is>
          <t>No</t>
        </is>
      </c>
      <c r="J1893" t="inlineStr">
        <is>
          <t>0</t>
        </is>
      </c>
      <c r="K1893" t="inlineStr">
        <is>
          <t>Thomson, David S.</t>
        </is>
      </c>
      <c r="L1893" t="inlineStr">
        <is>
          <t>New York : Grosset &amp; Dunlap, [1973]</t>
        </is>
      </c>
      <c r="M1893" t="inlineStr">
        <is>
          <t>1973</t>
        </is>
      </c>
      <c r="O1893" t="inlineStr">
        <is>
          <t>eng</t>
        </is>
      </c>
      <c r="P1893" t="inlineStr">
        <is>
          <t>nyu</t>
        </is>
      </c>
      <c r="R1893" t="inlineStr">
        <is>
          <t xml:space="preserve">E  </t>
        </is>
      </c>
      <c r="S1893" t="n">
        <v>6</v>
      </c>
      <c r="T1893" t="n">
        <v>6</v>
      </c>
      <c r="U1893" t="inlineStr">
        <is>
          <t>1999-10-14</t>
        </is>
      </c>
      <c r="V1893" t="inlineStr">
        <is>
          <t>1999-10-14</t>
        </is>
      </c>
      <c r="W1893" t="inlineStr">
        <is>
          <t>1991-06-06</t>
        </is>
      </c>
      <c r="X1893" t="inlineStr">
        <is>
          <t>1991-06-06</t>
        </is>
      </c>
      <c r="Y1893" t="n">
        <v>400</v>
      </c>
      <c r="Z1893" t="n">
        <v>397</v>
      </c>
      <c r="AA1893" t="n">
        <v>404</v>
      </c>
      <c r="AB1893" t="n">
        <v>3</v>
      </c>
      <c r="AC1893" t="n">
        <v>3</v>
      </c>
      <c r="AD1893" t="n">
        <v>7</v>
      </c>
      <c r="AE1893" t="n">
        <v>7</v>
      </c>
      <c r="AF1893" t="n">
        <v>2</v>
      </c>
      <c r="AG1893" t="n">
        <v>2</v>
      </c>
      <c r="AH1893" t="n">
        <v>1</v>
      </c>
      <c r="AI1893" t="n">
        <v>1</v>
      </c>
      <c r="AJ1893" t="n">
        <v>4</v>
      </c>
      <c r="AK1893" t="n">
        <v>4</v>
      </c>
      <c r="AL1893" t="n">
        <v>1</v>
      </c>
      <c r="AM1893" t="n">
        <v>1</v>
      </c>
      <c r="AN1893" t="n">
        <v>1</v>
      </c>
      <c r="AO1893" t="n">
        <v>1</v>
      </c>
      <c r="AP1893" t="inlineStr">
        <is>
          <t>No</t>
        </is>
      </c>
      <c r="AQ1893" t="inlineStr">
        <is>
          <t>Yes</t>
        </is>
      </c>
      <c r="AR1893">
        <f>HYPERLINK("http://catalog.hathitrust.org/Record/009700130","HathiTrust Record")</f>
        <v/>
      </c>
      <c r="AS1893">
        <f>HYPERLINK("https://creighton-primo.hosted.exlibrisgroup.com/primo-explore/search?tab=default_tab&amp;search_scope=EVERYTHING&amp;vid=01CRU&amp;lang=en_US&amp;offset=0&amp;query=any,contains,991003023909702656","Catalog Record")</f>
        <v/>
      </c>
      <c r="AT1893">
        <f>HYPERLINK("http://www.worldcat.org/oclc/588810","WorldCat Record")</f>
        <v/>
      </c>
      <c r="AU1893" t="inlineStr">
        <is>
          <t>1762977:eng</t>
        </is>
      </c>
      <c r="AV1893" t="inlineStr">
        <is>
          <t>588810</t>
        </is>
      </c>
      <c r="AW1893" t="inlineStr">
        <is>
          <t>991003023909702656</t>
        </is>
      </c>
      <c r="AX1893" t="inlineStr">
        <is>
          <t>991003023909702656</t>
        </is>
      </c>
      <c r="AY1893" t="inlineStr">
        <is>
          <t>2270165540002656</t>
        </is>
      </c>
      <c r="AZ1893" t="inlineStr">
        <is>
          <t>BOOK</t>
        </is>
      </c>
      <c r="BB1893" t="inlineStr">
        <is>
          <t>9780448031415</t>
        </is>
      </c>
      <c r="BC1893" t="inlineStr">
        <is>
          <t>32285000614809</t>
        </is>
      </c>
      <c r="BD1893" t="inlineStr">
        <is>
          <t>893518075</t>
        </is>
      </c>
    </row>
    <row r="1894">
      <c r="A1894" t="inlineStr">
        <is>
          <t>No</t>
        </is>
      </c>
      <c r="B1894" t="inlineStr">
        <is>
          <t>E816 .P53 2000</t>
        </is>
      </c>
      <c r="C1894" t="inlineStr">
        <is>
          <t>0                      E  0816000P  53          2000</t>
        </is>
      </c>
      <c r="D1894" t="inlineStr">
        <is>
          <t>Eisenhower decides to run : presidential politics and Cold War strategy / William B. Pickett.</t>
        </is>
      </c>
      <c r="F1894" t="inlineStr">
        <is>
          <t>No</t>
        </is>
      </c>
      <c r="G1894" t="inlineStr">
        <is>
          <t>1</t>
        </is>
      </c>
      <c r="H1894" t="inlineStr">
        <is>
          <t>No</t>
        </is>
      </c>
      <c r="I1894" t="inlineStr">
        <is>
          <t>No</t>
        </is>
      </c>
      <c r="J1894" t="inlineStr">
        <is>
          <t>0</t>
        </is>
      </c>
      <c r="K1894" t="inlineStr">
        <is>
          <t>Pickett, William B. (William Beatty), 1940-</t>
        </is>
      </c>
      <c r="L1894" t="inlineStr">
        <is>
          <t>Chicago : Ivan R. Dee, 2000.</t>
        </is>
      </c>
      <c r="M1894" t="inlineStr">
        <is>
          <t>2000</t>
        </is>
      </c>
      <c r="O1894" t="inlineStr">
        <is>
          <t>eng</t>
        </is>
      </c>
      <c r="P1894" t="inlineStr">
        <is>
          <t>ilu</t>
        </is>
      </c>
      <c r="R1894" t="inlineStr">
        <is>
          <t xml:space="preserve">E  </t>
        </is>
      </c>
      <c r="S1894" t="n">
        <v>2</v>
      </c>
      <c r="T1894" t="n">
        <v>2</v>
      </c>
      <c r="U1894" t="inlineStr">
        <is>
          <t>2000-12-06</t>
        </is>
      </c>
      <c r="V1894" t="inlineStr">
        <is>
          <t>2000-12-06</t>
        </is>
      </c>
      <c r="W1894" t="inlineStr">
        <is>
          <t>2000-12-06</t>
        </is>
      </c>
      <c r="X1894" t="inlineStr">
        <is>
          <t>2000-12-06</t>
        </is>
      </c>
      <c r="Y1894" t="n">
        <v>422</v>
      </c>
      <c r="Z1894" t="n">
        <v>383</v>
      </c>
      <c r="AA1894" t="n">
        <v>389</v>
      </c>
      <c r="AB1894" t="n">
        <v>6</v>
      </c>
      <c r="AC1894" t="n">
        <v>6</v>
      </c>
      <c r="AD1894" t="n">
        <v>29</v>
      </c>
      <c r="AE1894" t="n">
        <v>29</v>
      </c>
      <c r="AF1894" t="n">
        <v>14</v>
      </c>
      <c r="AG1894" t="n">
        <v>14</v>
      </c>
      <c r="AH1894" t="n">
        <v>7</v>
      </c>
      <c r="AI1894" t="n">
        <v>7</v>
      </c>
      <c r="AJ1894" t="n">
        <v>13</v>
      </c>
      <c r="AK1894" t="n">
        <v>13</v>
      </c>
      <c r="AL1894" t="n">
        <v>5</v>
      </c>
      <c r="AM1894" t="n">
        <v>5</v>
      </c>
      <c r="AN1894" t="n">
        <v>0</v>
      </c>
      <c r="AO1894" t="n">
        <v>0</v>
      </c>
      <c r="AP1894" t="inlineStr">
        <is>
          <t>No</t>
        </is>
      </c>
      <c r="AQ1894" t="inlineStr">
        <is>
          <t>Yes</t>
        </is>
      </c>
      <c r="AR1894">
        <f>HYPERLINK("http://catalog.hathitrust.org/Record/004131476","HathiTrust Record")</f>
        <v/>
      </c>
      <c r="AS1894">
        <f>HYPERLINK("https://creighton-primo.hosted.exlibrisgroup.com/primo-explore/search?tab=default_tab&amp;search_scope=EVERYTHING&amp;vid=01CRU&amp;lang=en_US&amp;offset=0&amp;query=any,contains,991003345759702656","Catalog Record")</f>
        <v/>
      </c>
      <c r="AT1894">
        <f>HYPERLINK("http://www.worldcat.org/oclc/43953970","WorldCat Record")</f>
        <v/>
      </c>
      <c r="AU1894" t="inlineStr">
        <is>
          <t>55380:eng</t>
        </is>
      </c>
      <c r="AV1894" t="inlineStr">
        <is>
          <t>43953970</t>
        </is>
      </c>
      <c r="AW1894" t="inlineStr">
        <is>
          <t>991003345759702656</t>
        </is>
      </c>
      <c r="AX1894" t="inlineStr">
        <is>
          <t>991003345759702656</t>
        </is>
      </c>
      <c r="AY1894" t="inlineStr">
        <is>
          <t>2255290140002656</t>
        </is>
      </c>
      <c r="AZ1894" t="inlineStr">
        <is>
          <t>BOOK</t>
        </is>
      </c>
      <c r="BB1894" t="inlineStr">
        <is>
          <t>9781566633253</t>
        </is>
      </c>
      <c r="BC1894" t="inlineStr">
        <is>
          <t>32285004275771</t>
        </is>
      </c>
      <c r="BD1894" t="inlineStr">
        <is>
          <t>893511866</t>
        </is>
      </c>
    </row>
    <row r="1895">
      <c r="A1895" t="inlineStr">
        <is>
          <t>No</t>
        </is>
      </c>
      <c r="B1895" t="inlineStr">
        <is>
          <t>E83.876 .C16 1976</t>
        </is>
      </c>
      <c r="C1895" t="inlineStr">
        <is>
          <t>0                      E  0083876C  16          1976</t>
        </is>
      </c>
      <c r="D1895" t="inlineStr">
        <is>
          <t>Custer in '76 : Walter Camp's notes on the Custer fight / edited by Kenneth Hammer.</t>
        </is>
      </c>
      <c r="F1895" t="inlineStr">
        <is>
          <t>No</t>
        </is>
      </c>
      <c r="G1895" t="inlineStr">
        <is>
          <t>1</t>
        </is>
      </c>
      <c r="H1895" t="inlineStr">
        <is>
          <t>No</t>
        </is>
      </c>
      <c r="I1895" t="inlineStr">
        <is>
          <t>No</t>
        </is>
      </c>
      <c r="J1895" t="inlineStr">
        <is>
          <t>0</t>
        </is>
      </c>
      <c r="K1895" t="inlineStr">
        <is>
          <t>Camp, Walter Mason, 1867-1925.</t>
        </is>
      </c>
      <c r="L1895" t="inlineStr">
        <is>
          <t>Provo, Utah : Brigham Young University Press, c1976.</t>
        </is>
      </c>
      <c r="M1895" t="inlineStr">
        <is>
          <t>1976</t>
        </is>
      </c>
      <c r="O1895" t="inlineStr">
        <is>
          <t>eng</t>
        </is>
      </c>
      <c r="P1895" t="inlineStr">
        <is>
          <t>utu</t>
        </is>
      </c>
      <c r="R1895" t="inlineStr">
        <is>
          <t xml:space="preserve">E  </t>
        </is>
      </c>
      <c r="S1895" t="n">
        <v>1</v>
      </c>
      <c r="T1895" t="n">
        <v>1</v>
      </c>
      <c r="U1895" t="inlineStr">
        <is>
          <t>2002-02-19</t>
        </is>
      </c>
      <c r="V1895" t="inlineStr">
        <is>
          <t>2002-02-19</t>
        </is>
      </c>
      <c r="W1895" t="inlineStr">
        <is>
          <t>1997-04-01</t>
        </is>
      </c>
      <c r="X1895" t="inlineStr">
        <is>
          <t>1997-04-01</t>
        </is>
      </c>
      <c r="Y1895" t="n">
        <v>877</v>
      </c>
      <c r="Z1895" t="n">
        <v>843</v>
      </c>
      <c r="AA1895" t="n">
        <v>1308</v>
      </c>
      <c r="AB1895" t="n">
        <v>12</v>
      </c>
      <c r="AC1895" t="n">
        <v>13</v>
      </c>
      <c r="AD1895" t="n">
        <v>26</v>
      </c>
      <c r="AE1895" t="n">
        <v>35</v>
      </c>
      <c r="AF1895" t="n">
        <v>8</v>
      </c>
      <c r="AG1895" t="n">
        <v>13</v>
      </c>
      <c r="AH1895" t="n">
        <v>3</v>
      </c>
      <c r="AI1895" t="n">
        <v>5</v>
      </c>
      <c r="AJ1895" t="n">
        <v>13</v>
      </c>
      <c r="AK1895" t="n">
        <v>18</v>
      </c>
      <c r="AL1895" t="n">
        <v>6</v>
      </c>
      <c r="AM1895" t="n">
        <v>7</v>
      </c>
      <c r="AN1895" t="n">
        <v>1</v>
      </c>
      <c r="AO1895" t="n">
        <v>1</v>
      </c>
      <c r="AP1895" t="inlineStr">
        <is>
          <t>No</t>
        </is>
      </c>
      <c r="AQ1895" t="inlineStr">
        <is>
          <t>Yes</t>
        </is>
      </c>
      <c r="AR1895">
        <f>HYPERLINK("http://catalog.hathitrust.org/Record/000041022","HathiTrust Record")</f>
        <v/>
      </c>
      <c r="AS1895">
        <f>HYPERLINK("https://creighton-primo.hosted.exlibrisgroup.com/primo-explore/search?tab=default_tab&amp;search_scope=EVERYTHING&amp;vid=01CRU&amp;lang=en_US&amp;offset=0&amp;query=any,contains,991003837039702656","Catalog Record")</f>
        <v/>
      </c>
      <c r="AT1895">
        <f>HYPERLINK("http://www.worldcat.org/oclc/1602317","WorldCat Record")</f>
        <v/>
      </c>
      <c r="AU1895" t="inlineStr">
        <is>
          <t>1003633:eng</t>
        </is>
      </c>
      <c r="AV1895" t="inlineStr">
        <is>
          <t>1602317</t>
        </is>
      </c>
      <c r="AW1895" t="inlineStr">
        <is>
          <t>991003837039702656</t>
        </is>
      </c>
      <c r="AX1895" t="inlineStr">
        <is>
          <t>991003837039702656</t>
        </is>
      </c>
      <c r="AY1895" t="inlineStr">
        <is>
          <t>2266754850002656</t>
        </is>
      </c>
      <c r="AZ1895" t="inlineStr">
        <is>
          <t>BOOK</t>
        </is>
      </c>
      <c r="BB1895" t="inlineStr">
        <is>
          <t>9780842503990</t>
        </is>
      </c>
      <c r="BC1895" t="inlineStr">
        <is>
          <t>32285002486669</t>
        </is>
      </c>
      <c r="BD1895" t="inlineStr">
        <is>
          <t>893711850</t>
        </is>
      </c>
    </row>
    <row r="1896">
      <c r="A1896" t="inlineStr">
        <is>
          <t>No</t>
        </is>
      </c>
      <c r="B1896" t="inlineStr">
        <is>
          <t>E83.876 .C9836</t>
        </is>
      </c>
      <c r="C1896" t="inlineStr">
        <is>
          <t>0                      E  0083876C  9836</t>
        </is>
      </c>
      <c r="D1896" t="inlineStr">
        <is>
          <t>Custer and his times / edited by John M. Carroll ; assistant editor, Jay Smith, in collaboration with Nancy Allan.</t>
        </is>
      </c>
      <c r="F1896" t="inlineStr">
        <is>
          <t>No</t>
        </is>
      </c>
      <c r="G1896" t="inlineStr">
        <is>
          <t>1</t>
        </is>
      </c>
      <c r="H1896" t="inlineStr">
        <is>
          <t>No</t>
        </is>
      </c>
      <c r="I1896" t="inlineStr">
        <is>
          <t>No</t>
        </is>
      </c>
      <c r="J1896" t="inlineStr">
        <is>
          <t>0</t>
        </is>
      </c>
      <c r="L1896" t="inlineStr">
        <is>
          <t>Ft. Worth, Tex. (P.O. Box 14708, Ft. Worth 76117) : Little Big Horn Associates, 1984-</t>
        </is>
      </c>
      <c r="M1896" t="inlineStr">
        <is>
          <t>1900</t>
        </is>
      </c>
      <c r="O1896" t="inlineStr">
        <is>
          <t>eng</t>
        </is>
      </c>
      <c r="P1896" t="inlineStr">
        <is>
          <t>txu</t>
        </is>
      </c>
      <c r="R1896" t="inlineStr">
        <is>
          <t xml:space="preserve">E  </t>
        </is>
      </c>
      <c r="S1896" t="n">
        <v>1</v>
      </c>
      <c r="T1896" t="n">
        <v>1</v>
      </c>
      <c r="U1896" t="inlineStr">
        <is>
          <t>2005-04-27</t>
        </is>
      </c>
      <c r="V1896" t="inlineStr">
        <is>
          <t>2005-04-27</t>
        </is>
      </c>
      <c r="W1896" t="inlineStr">
        <is>
          <t>2005-04-27</t>
        </is>
      </c>
      <c r="X1896" t="inlineStr">
        <is>
          <t>2005-04-27</t>
        </is>
      </c>
      <c r="Y1896" t="n">
        <v>56</v>
      </c>
      <c r="Z1896" t="n">
        <v>56</v>
      </c>
      <c r="AA1896" t="n">
        <v>59</v>
      </c>
      <c r="AB1896" t="n">
        <v>1</v>
      </c>
      <c r="AC1896" t="n">
        <v>1</v>
      </c>
      <c r="AD1896" t="n">
        <v>1</v>
      </c>
      <c r="AE1896" t="n">
        <v>1</v>
      </c>
      <c r="AF1896" t="n">
        <v>0</v>
      </c>
      <c r="AG1896" t="n">
        <v>0</v>
      </c>
      <c r="AH1896" t="n">
        <v>0</v>
      </c>
      <c r="AI1896" t="n">
        <v>0</v>
      </c>
      <c r="AJ1896" t="n">
        <v>1</v>
      </c>
      <c r="AK1896" t="n">
        <v>1</v>
      </c>
      <c r="AL1896" t="n">
        <v>0</v>
      </c>
      <c r="AM1896" t="n">
        <v>0</v>
      </c>
      <c r="AN1896" t="n">
        <v>0</v>
      </c>
      <c r="AO1896" t="n">
        <v>0</v>
      </c>
      <c r="AP1896" t="inlineStr">
        <is>
          <t>No</t>
        </is>
      </c>
      <c r="AQ1896" t="inlineStr">
        <is>
          <t>Yes</t>
        </is>
      </c>
      <c r="AR1896">
        <f>HYPERLINK("http://catalog.hathitrust.org/Record/001072410","HathiTrust Record")</f>
        <v/>
      </c>
      <c r="AS1896">
        <f>HYPERLINK("https://creighton-primo.hosted.exlibrisgroup.com/primo-explore/search?tab=default_tab&amp;search_scope=EVERYTHING&amp;vid=01CRU&amp;lang=en_US&amp;offset=0&amp;query=any,contains,991004546039702656","Catalog Record")</f>
        <v/>
      </c>
      <c r="AT1896">
        <f>HYPERLINK("http://www.worldcat.org/oclc/12371412","WorldCat Record")</f>
        <v/>
      </c>
      <c r="AU1896" t="inlineStr">
        <is>
          <t>3980123351:eng</t>
        </is>
      </c>
      <c r="AV1896" t="inlineStr">
        <is>
          <t>12371412</t>
        </is>
      </c>
      <c r="AW1896" t="inlineStr">
        <is>
          <t>991004546039702656</t>
        </is>
      </c>
      <c r="AX1896" t="inlineStr">
        <is>
          <t>991004546039702656</t>
        </is>
      </c>
      <c r="AY1896" t="inlineStr">
        <is>
          <t>2258260940002656</t>
        </is>
      </c>
      <c r="AZ1896" t="inlineStr">
        <is>
          <t>BOOK</t>
        </is>
      </c>
      <c r="BC1896" t="inlineStr">
        <is>
          <t>32285005033856</t>
        </is>
      </c>
      <c r="BD1896" t="inlineStr">
        <is>
          <t>893526234</t>
        </is>
      </c>
    </row>
    <row r="1897">
      <c r="A1897" t="inlineStr">
        <is>
          <t>No</t>
        </is>
      </c>
      <c r="B1897" t="inlineStr">
        <is>
          <t>E83.876 .D68 1982</t>
        </is>
      </c>
      <c r="C1897" t="inlineStr">
        <is>
          <t>0                      E  0083876D  68          1982</t>
        </is>
      </c>
      <c r="D1897" t="inlineStr">
        <is>
          <t>Custer lives! / by James Patrick Dowd ; added material by Edgar Stewart, Edward Maguire.</t>
        </is>
      </c>
      <c r="F1897" t="inlineStr">
        <is>
          <t>No</t>
        </is>
      </c>
      <c r="G1897" t="inlineStr">
        <is>
          <t>1</t>
        </is>
      </c>
      <c r="H1897" t="inlineStr">
        <is>
          <t>No</t>
        </is>
      </c>
      <c r="I1897" t="inlineStr">
        <is>
          <t>No</t>
        </is>
      </c>
      <c r="J1897" t="inlineStr">
        <is>
          <t>0</t>
        </is>
      </c>
      <c r="K1897" t="inlineStr">
        <is>
          <t>Dowd, James, 1937-</t>
        </is>
      </c>
      <c r="L1897" t="inlineStr">
        <is>
          <t>Fairfield, Wash. : Ye Galleon Press, 1982.</t>
        </is>
      </c>
      <c r="M1897" t="inlineStr">
        <is>
          <t>1982</t>
        </is>
      </c>
      <c r="O1897" t="inlineStr">
        <is>
          <t>eng</t>
        </is>
      </c>
      <c r="P1897" t="inlineStr">
        <is>
          <t>wau</t>
        </is>
      </c>
      <c r="R1897" t="inlineStr">
        <is>
          <t xml:space="preserve">E  </t>
        </is>
      </c>
      <c r="S1897" t="n">
        <v>3</v>
      </c>
      <c r="T1897" t="n">
        <v>3</v>
      </c>
      <c r="U1897" t="inlineStr">
        <is>
          <t>2000-03-20</t>
        </is>
      </c>
      <c r="V1897" t="inlineStr">
        <is>
          <t>2000-03-20</t>
        </is>
      </c>
      <c r="W1897" t="inlineStr">
        <is>
          <t>1990-11-26</t>
        </is>
      </c>
      <c r="X1897" t="inlineStr">
        <is>
          <t>1990-11-26</t>
        </is>
      </c>
      <c r="Y1897" t="n">
        <v>98</v>
      </c>
      <c r="Z1897" t="n">
        <v>91</v>
      </c>
      <c r="AA1897" t="n">
        <v>97</v>
      </c>
      <c r="AB1897" t="n">
        <v>1</v>
      </c>
      <c r="AC1897" t="n">
        <v>1</v>
      </c>
      <c r="AD1897" t="n">
        <v>2</v>
      </c>
      <c r="AE1897" t="n">
        <v>2</v>
      </c>
      <c r="AF1897" t="n">
        <v>1</v>
      </c>
      <c r="AG1897" t="n">
        <v>1</v>
      </c>
      <c r="AH1897" t="n">
        <v>0</v>
      </c>
      <c r="AI1897" t="n">
        <v>0</v>
      </c>
      <c r="AJ1897" t="n">
        <v>2</v>
      </c>
      <c r="AK1897" t="n">
        <v>2</v>
      </c>
      <c r="AL1897" t="n">
        <v>0</v>
      </c>
      <c r="AM1897" t="n">
        <v>0</v>
      </c>
      <c r="AN1897" t="n">
        <v>0</v>
      </c>
      <c r="AO1897" t="n">
        <v>0</v>
      </c>
      <c r="AP1897" t="inlineStr">
        <is>
          <t>No</t>
        </is>
      </c>
      <c r="AQ1897" t="inlineStr">
        <is>
          <t>Yes</t>
        </is>
      </c>
      <c r="AR1897">
        <f>HYPERLINK("http://catalog.hathitrust.org/Record/006807761","HathiTrust Record")</f>
        <v/>
      </c>
      <c r="AS1897">
        <f>HYPERLINK("https://creighton-primo.hosted.exlibrisgroup.com/primo-explore/search?tab=default_tab&amp;search_scope=EVERYTHING&amp;vid=01CRU&amp;lang=en_US&amp;offset=0&amp;query=any,contains,991005244829702656","Catalog Record")</f>
        <v/>
      </c>
      <c r="AT1897">
        <f>HYPERLINK("http://www.worldcat.org/oclc/8451664","WorldCat Record")</f>
        <v/>
      </c>
      <c r="AU1897" t="inlineStr">
        <is>
          <t>31452791:eng</t>
        </is>
      </c>
      <c r="AV1897" t="inlineStr">
        <is>
          <t>8451664</t>
        </is>
      </c>
      <c r="AW1897" t="inlineStr">
        <is>
          <t>991005244829702656</t>
        </is>
      </c>
      <c r="AX1897" t="inlineStr">
        <is>
          <t>991005244829702656</t>
        </is>
      </c>
      <c r="AY1897" t="inlineStr">
        <is>
          <t>2265981210002656</t>
        </is>
      </c>
      <c r="AZ1897" t="inlineStr">
        <is>
          <t>BOOK</t>
        </is>
      </c>
      <c r="BB1897" t="inlineStr">
        <is>
          <t>9780877702689</t>
        </is>
      </c>
      <c r="BC1897" t="inlineStr">
        <is>
          <t>32285000420181</t>
        </is>
      </c>
      <c r="BD1897" t="inlineStr">
        <is>
          <t>893263702</t>
        </is>
      </c>
    </row>
    <row r="1898">
      <c r="A1898" t="inlineStr">
        <is>
          <t>No</t>
        </is>
      </c>
      <c r="B1898" t="inlineStr">
        <is>
          <t>E83.876 .H4 1987</t>
        </is>
      </c>
      <c r="C1898" t="inlineStr">
        <is>
          <t>0                      E  0083876H  4           1987</t>
        </is>
      </c>
      <c r="D1898" t="inlineStr">
        <is>
          <t>First scalp for Custer : the skirmish at Warbonnet Creek, Nebraska, July 17, 1876 : with a short history of the Warbonnet Battlefield / by Paul L. Hedren ; introduction by Don Russell.</t>
        </is>
      </c>
      <c r="F1898" t="inlineStr">
        <is>
          <t>No</t>
        </is>
      </c>
      <c r="G1898" t="inlineStr">
        <is>
          <t>1</t>
        </is>
      </c>
      <c r="H1898" t="inlineStr">
        <is>
          <t>No</t>
        </is>
      </c>
      <c r="I1898" t="inlineStr">
        <is>
          <t>No</t>
        </is>
      </c>
      <c r="J1898" t="inlineStr">
        <is>
          <t>0</t>
        </is>
      </c>
      <c r="K1898" t="inlineStr">
        <is>
          <t>Hedren, Paul L.</t>
        </is>
      </c>
      <c r="L1898" t="inlineStr">
        <is>
          <t>Lincoln : University of Nebraska Press, 1987, c1980.</t>
        </is>
      </c>
      <c r="M1898" t="inlineStr">
        <is>
          <t>1987</t>
        </is>
      </c>
      <c r="O1898" t="inlineStr">
        <is>
          <t>eng</t>
        </is>
      </c>
      <c r="P1898" t="inlineStr">
        <is>
          <t>nbu</t>
        </is>
      </c>
      <c r="R1898" t="inlineStr">
        <is>
          <t xml:space="preserve">E  </t>
        </is>
      </c>
      <c r="S1898" t="n">
        <v>1</v>
      </c>
      <c r="T1898" t="n">
        <v>1</v>
      </c>
      <c r="U1898" t="inlineStr">
        <is>
          <t>1993-02-20</t>
        </is>
      </c>
      <c r="V1898" t="inlineStr">
        <is>
          <t>1993-02-20</t>
        </is>
      </c>
      <c r="W1898" t="inlineStr">
        <is>
          <t>1990-11-26</t>
        </is>
      </c>
      <c r="X1898" t="inlineStr">
        <is>
          <t>1990-11-26</t>
        </is>
      </c>
      <c r="Y1898" t="n">
        <v>98</v>
      </c>
      <c r="Z1898" t="n">
        <v>97</v>
      </c>
      <c r="AA1898" t="n">
        <v>97</v>
      </c>
      <c r="AB1898" t="n">
        <v>10</v>
      </c>
      <c r="AC1898" t="n">
        <v>10</v>
      </c>
      <c r="AD1898" t="n">
        <v>4</v>
      </c>
      <c r="AE1898" t="n">
        <v>4</v>
      </c>
      <c r="AF1898" t="n">
        <v>0</v>
      </c>
      <c r="AG1898" t="n">
        <v>0</v>
      </c>
      <c r="AH1898" t="n">
        <v>0</v>
      </c>
      <c r="AI1898" t="n">
        <v>0</v>
      </c>
      <c r="AJ1898" t="n">
        <v>0</v>
      </c>
      <c r="AK1898" t="n">
        <v>0</v>
      </c>
      <c r="AL1898" t="n">
        <v>4</v>
      </c>
      <c r="AM1898" t="n">
        <v>4</v>
      </c>
      <c r="AN1898" t="n">
        <v>0</v>
      </c>
      <c r="AO1898" t="n">
        <v>0</v>
      </c>
      <c r="AP1898" t="inlineStr">
        <is>
          <t>No</t>
        </is>
      </c>
      <c r="AQ1898" t="inlineStr">
        <is>
          <t>No</t>
        </is>
      </c>
      <c r="AS1898">
        <f>HYPERLINK("https://creighton-primo.hosted.exlibrisgroup.com/primo-explore/search?tab=default_tab&amp;search_scope=EVERYTHING&amp;vid=01CRU&amp;lang=en_US&amp;offset=0&amp;query=any,contains,991000913979702656","Catalog Record")</f>
        <v/>
      </c>
      <c r="AT1898">
        <f>HYPERLINK("http://www.worldcat.org/oclc/14165536","WorldCat Record")</f>
        <v/>
      </c>
      <c r="AU1898" t="inlineStr">
        <is>
          <t>5608896562:eng</t>
        </is>
      </c>
      <c r="AV1898" t="inlineStr">
        <is>
          <t>14165536</t>
        </is>
      </c>
      <c r="AW1898" t="inlineStr">
        <is>
          <t>991000913979702656</t>
        </is>
      </c>
      <c r="AX1898" t="inlineStr">
        <is>
          <t>991000913979702656</t>
        </is>
      </c>
      <c r="AY1898" t="inlineStr">
        <is>
          <t>2270115670002656</t>
        </is>
      </c>
      <c r="AZ1898" t="inlineStr">
        <is>
          <t>BOOK</t>
        </is>
      </c>
      <c r="BB1898" t="inlineStr">
        <is>
          <t>9780803272354</t>
        </is>
      </c>
      <c r="BC1898" t="inlineStr">
        <is>
          <t>32285000420215</t>
        </is>
      </c>
      <c r="BD1898" t="inlineStr">
        <is>
          <t>893620913</t>
        </is>
      </c>
    </row>
    <row r="1899">
      <c r="A1899" t="inlineStr">
        <is>
          <t>No</t>
        </is>
      </c>
      <c r="B1899" t="inlineStr">
        <is>
          <t>E83.876 .L34 1989</t>
        </is>
      </c>
      <c r="C1899" t="inlineStr">
        <is>
          <t>0                      E  0083876L  34          1989</t>
        </is>
      </c>
      <c r="D1899" t="inlineStr">
        <is>
          <t>His very silence speaks : Comanche--the horse who survived Custer's last stand / Elizabeth Atwood Lawrence.</t>
        </is>
      </c>
      <c r="F1899" t="inlineStr">
        <is>
          <t>No</t>
        </is>
      </c>
      <c r="G1899" t="inlineStr">
        <is>
          <t>1</t>
        </is>
      </c>
      <c r="H1899" t="inlineStr">
        <is>
          <t>No</t>
        </is>
      </c>
      <c r="I1899" t="inlineStr">
        <is>
          <t>No</t>
        </is>
      </c>
      <c r="J1899" t="inlineStr">
        <is>
          <t>0</t>
        </is>
      </c>
      <c r="K1899" t="inlineStr">
        <is>
          <t>Lawrence, Elizabeth Atwood, 1929-2003.</t>
        </is>
      </c>
      <c r="L1899" t="inlineStr">
        <is>
          <t>Detroit : Wayne State University Press, 1989.</t>
        </is>
      </c>
      <c r="M1899" t="inlineStr">
        <is>
          <t>1989</t>
        </is>
      </c>
      <c r="O1899" t="inlineStr">
        <is>
          <t>eng</t>
        </is>
      </c>
      <c r="P1899" t="inlineStr">
        <is>
          <t>miu</t>
        </is>
      </c>
      <c r="R1899" t="inlineStr">
        <is>
          <t xml:space="preserve">E  </t>
        </is>
      </c>
      <c r="S1899" t="n">
        <v>3</v>
      </c>
      <c r="T1899" t="n">
        <v>3</v>
      </c>
      <c r="U1899" t="inlineStr">
        <is>
          <t>2000-03-27</t>
        </is>
      </c>
      <c r="V1899" t="inlineStr">
        <is>
          <t>2000-03-27</t>
        </is>
      </c>
      <c r="W1899" t="inlineStr">
        <is>
          <t>1990-11-26</t>
        </is>
      </c>
      <c r="X1899" t="inlineStr">
        <is>
          <t>1990-11-26</t>
        </is>
      </c>
      <c r="Y1899" t="n">
        <v>216</v>
      </c>
      <c r="Z1899" t="n">
        <v>201</v>
      </c>
      <c r="AA1899" t="n">
        <v>207</v>
      </c>
      <c r="AB1899" t="n">
        <v>3</v>
      </c>
      <c r="AC1899" t="n">
        <v>3</v>
      </c>
      <c r="AD1899" t="n">
        <v>8</v>
      </c>
      <c r="AE1899" t="n">
        <v>8</v>
      </c>
      <c r="AF1899" t="n">
        <v>1</v>
      </c>
      <c r="AG1899" t="n">
        <v>1</v>
      </c>
      <c r="AH1899" t="n">
        <v>4</v>
      </c>
      <c r="AI1899" t="n">
        <v>4</v>
      </c>
      <c r="AJ1899" t="n">
        <v>3</v>
      </c>
      <c r="AK1899" t="n">
        <v>3</v>
      </c>
      <c r="AL1899" t="n">
        <v>2</v>
      </c>
      <c r="AM1899" t="n">
        <v>2</v>
      </c>
      <c r="AN1899" t="n">
        <v>0</v>
      </c>
      <c r="AO1899" t="n">
        <v>0</v>
      </c>
      <c r="AP1899" t="inlineStr">
        <is>
          <t>No</t>
        </is>
      </c>
      <c r="AQ1899" t="inlineStr">
        <is>
          <t>No</t>
        </is>
      </c>
      <c r="AS1899">
        <f>HYPERLINK("https://creighton-primo.hosted.exlibrisgroup.com/primo-explore/search?tab=default_tab&amp;search_scope=EVERYTHING&amp;vid=01CRU&amp;lang=en_US&amp;offset=0&amp;query=any,contains,991001455199702656","Catalog Record")</f>
        <v/>
      </c>
      <c r="AT1899">
        <f>HYPERLINK("http://www.worldcat.org/oclc/19354145","WorldCat Record")</f>
        <v/>
      </c>
      <c r="AU1899" t="inlineStr">
        <is>
          <t>796786344:eng</t>
        </is>
      </c>
      <c r="AV1899" t="inlineStr">
        <is>
          <t>19354145</t>
        </is>
      </c>
      <c r="AW1899" t="inlineStr">
        <is>
          <t>991001455199702656</t>
        </is>
      </c>
      <c r="AX1899" t="inlineStr">
        <is>
          <t>991001455199702656</t>
        </is>
      </c>
      <c r="AY1899" t="inlineStr">
        <is>
          <t>2270286200002656</t>
        </is>
      </c>
      <c r="AZ1899" t="inlineStr">
        <is>
          <t>BOOK</t>
        </is>
      </c>
      <c r="BB1899" t="inlineStr">
        <is>
          <t>9780814321973</t>
        </is>
      </c>
      <c r="BC1899" t="inlineStr">
        <is>
          <t>32285000420223</t>
        </is>
      </c>
      <c r="BD1899" t="inlineStr">
        <is>
          <t>893891583</t>
        </is>
      </c>
    </row>
    <row r="1900">
      <c r="A1900" t="inlineStr">
        <is>
          <t>No</t>
        </is>
      </c>
      <c r="B1900" t="inlineStr">
        <is>
          <t>E83.876 .N55 1996</t>
        </is>
      </c>
      <c r="C1900" t="inlineStr">
        <is>
          <t>0                      E  0083876N  55          1996</t>
        </is>
      </c>
      <c r="D1900" t="inlineStr">
        <is>
          <t>Little Big Horn / Robert Nightengale.</t>
        </is>
      </c>
      <c r="F1900" t="inlineStr">
        <is>
          <t>No</t>
        </is>
      </c>
      <c r="G1900" t="inlineStr">
        <is>
          <t>1</t>
        </is>
      </c>
      <c r="H1900" t="inlineStr">
        <is>
          <t>No</t>
        </is>
      </c>
      <c r="I1900" t="inlineStr">
        <is>
          <t>No</t>
        </is>
      </c>
      <c r="J1900" t="inlineStr">
        <is>
          <t>0</t>
        </is>
      </c>
      <c r="K1900" t="inlineStr">
        <is>
          <t>Nightengale, Robert.</t>
        </is>
      </c>
      <c r="L1900" t="inlineStr">
        <is>
          <t>[United States] : Far West, c1996.</t>
        </is>
      </c>
      <c r="M1900" t="inlineStr">
        <is>
          <t>1996</t>
        </is>
      </c>
      <c r="O1900" t="inlineStr">
        <is>
          <t>eng</t>
        </is>
      </c>
      <c r="P1900" t="inlineStr">
        <is>
          <t>xxu</t>
        </is>
      </c>
      <c r="R1900" t="inlineStr">
        <is>
          <t xml:space="preserve">E  </t>
        </is>
      </c>
      <c r="S1900" t="n">
        <v>10</v>
      </c>
      <c r="T1900" t="n">
        <v>10</v>
      </c>
      <c r="U1900" t="inlineStr">
        <is>
          <t>2002-02-17</t>
        </is>
      </c>
      <c r="V1900" t="inlineStr">
        <is>
          <t>2002-02-17</t>
        </is>
      </c>
      <c r="W1900" t="inlineStr">
        <is>
          <t>1997-02-21</t>
        </is>
      </c>
      <c r="X1900" t="inlineStr">
        <is>
          <t>1997-02-21</t>
        </is>
      </c>
      <c r="Y1900" t="n">
        <v>123</v>
      </c>
      <c r="Z1900" t="n">
        <v>123</v>
      </c>
      <c r="AA1900" t="n">
        <v>123</v>
      </c>
      <c r="AB1900" t="n">
        <v>3</v>
      </c>
      <c r="AC1900" t="n">
        <v>3</v>
      </c>
      <c r="AD1900" t="n">
        <v>2</v>
      </c>
      <c r="AE1900" t="n">
        <v>2</v>
      </c>
      <c r="AF1900" t="n">
        <v>1</v>
      </c>
      <c r="AG1900" t="n">
        <v>1</v>
      </c>
      <c r="AH1900" t="n">
        <v>0</v>
      </c>
      <c r="AI1900" t="n">
        <v>0</v>
      </c>
      <c r="AJ1900" t="n">
        <v>0</v>
      </c>
      <c r="AK1900" t="n">
        <v>0</v>
      </c>
      <c r="AL1900" t="n">
        <v>1</v>
      </c>
      <c r="AM1900" t="n">
        <v>1</v>
      </c>
      <c r="AN1900" t="n">
        <v>0</v>
      </c>
      <c r="AO1900" t="n">
        <v>0</v>
      </c>
      <c r="AP1900" t="inlineStr">
        <is>
          <t>No</t>
        </is>
      </c>
      <c r="AQ1900" t="inlineStr">
        <is>
          <t>No</t>
        </is>
      </c>
      <c r="AS1900">
        <f>HYPERLINK("https://creighton-primo.hosted.exlibrisgroup.com/primo-explore/search?tab=default_tab&amp;search_scope=EVERYTHING&amp;vid=01CRU&amp;lang=en_US&amp;offset=0&amp;query=any,contains,991002730349702656","Catalog Record")</f>
        <v/>
      </c>
      <c r="AT1900">
        <f>HYPERLINK("http://www.worldcat.org/oclc/35812838","WorldCat Record")</f>
        <v/>
      </c>
      <c r="AU1900" t="inlineStr">
        <is>
          <t>40437893:eng</t>
        </is>
      </c>
      <c r="AV1900" t="inlineStr">
        <is>
          <t>35812838</t>
        </is>
      </c>
      <c r="AW1900" t="inlineStr">
        <is>
          <t>991002730349702656</t>
        </is>
      </c>
      <c r="AX1900" t="inlineStr">
        <is>
          <t>991002730349702656</t>
        </is>
      </c>
      <c r="AY1900" t="inlineStr">
        <is>
          <t>2259886470002656</t>
        </is>
      </c>
      <c r="AZ1900" t="inlineStr">
        <is>
          <t>BOOK</t>
        </is>
      </c>
      <c r="BB1900" t="inlineStr">
        <is>
          <t>9780965288903</t>
        </is>
      </c>
      <c r="BC1900" t="inlineStr">
        <is>
          <t>32285002432630</t>
        </is>
      </c>
      <c r="BD1900" t="inlineStr">
        <is>
          <t>893415576</t>
        </is>
      </c>
    </row>
    <row r="1901">
      <c r="A1901" t="inlineStr">
        <is>
          <t>No</t>
        </is>
      </c>
      <c r="B1901" t="inlineStr">
        <is>
          <t>E83.876 .S2</t>
        </is>
      </c>
      <c r="C1901" t="inlineStr">
        <is>
          <t>0                      E  0083876S  2</t>
        </is>
      </c>
      <c r="D1901" t="inlineStr">
        <is>
          <t>The Battle of the Little Bighorn.</t>
        </is>
      </c>
      <c r="F1901" t="inlineStr">
        <is>
          <t>No</t>
        </is>
      </c>
      <c r="G1901" t="inlineStr">
        <is>
          <t>1</t>
        </is>
      </c>
      <c r="H1901" t="inlineStr">
        <is>
          <t>No</t>
        </is>
      </c>
      <c r="I1901" t="inlineStr">
        <is>
          <t>No</t>
        </is>
      </c>
      <c r="J1901" t="inlineStr">
        <is>
          <t>0</t>
        </is>
      </c>
      <c r="K1901" t="inlineStr">
        <is>
          <t>Sandoz, Mari, 1896-1966.</t>
        </is>
      </c>
      <c r="L1901" t="inlineStr">
        <is>
          <t>Philadelphia, Lippincott [1966]</t>
        </is>
      </c>
      <c r="M1901" t="inlineStr">
        <is>
          <t>1966</t>
        </is>
      </c>
      <c r="N1901" t="inlineStr">
        <is>
          <t>[1st ed.]</t>
        </is>
      </c>
      <c r="O1901" t="inlineStr">
        <is>
          <t>eng</t>
        </is>
      </c>
      <c r="P1901" t="inlineStr">
        <is>
          <t>pau</t>
        </is>
      </c>
      <c r="Q1901" t="inlineStr">
        <is>
          <t>Great battles of history series</t>
        </is>
      </c>
      <c r="R1901" t="inlineStr">
        <is>
          <t xml:space="preserve">E  </t>
        </is>
      </c>
      <c r="S1901" t="n">
        <v>2</v>
      </c>
      <c r="T1901" t="n">
        <v>2</v>
      </c>
      <c r="U1901" t="inlineStr">
        <is>
          <t>2002-02-04</t>
        </is>
      </c>
      <c r="V1901" t="inlineStr">
        <is>
          <t>2002-02-04</t>
        </is>
      </c>
      <c r="W1901" t="inlineStr">
        <is>
          <t>1997-04-01</t>
        </is>
      </c>
      <c r="X1901" t="inlineStr">
        <is>
          <t>1997-04-01</t>
        </is>
      </c>
      <c r="Y1901" t="n">
        <v>1724</v>
      </c>
      <c r="Z1901" t="n">
        <v>1675</v>
      </c>
      <c r="AA1901" t="n">
        <v>2144</v>
      </c>
      <c r="AB1901" t="n">
        <v>44</v>
      </c>
      <c r="AC1901" t="n">
        <v>60</v>
      </c>
      <c r="AD1901" t="n">
        <v>35</v>
      </c>
      <c r="AE1901" t="n">
        <v>42</v>
      </c>
      <c r="AF1901" t="n">
        <v>9</v>
      </c>
      <c r="AG1901" t="n">
        <v>11</v>
      </c>
      <c r="AH1901" t="n">
        <v>7</v>
      </c>
      <c r="AI1901" t="n">
        <v>7</v>
      </c>
      <c r="AJ1901" t="n">
        <v>14</v>
      </c>
      <c r="AK1901" t="n">
        <v>14</v>
      </c>
      <c r="AL1901" t="n">
        <v>13</v>
      </c>
      <c r="AM1901" t="n">
        <v>18</v>
      </c>
      <c r="AN1901" t="n">
        <v>0</v>
      </c>
      <c r="AO1901" t="n">
        <v>0</v>
      </c>
      <c r="AP1901" t="inlineStr">
        <is>
          <t>No</t>
        </is>
      </c>
      <c r="AQ1901" t="inlineStr">
        <is>
          <t>Yes</t>
        </is>
      </c>
      <c r="AR1901">
        <f>HYPERLINK("http://catalog.hathitrust.org/Record/000360994","HathiTrust Record")</f>
        <v/>
      </c>
      <c r="AS1901">
        <f>HYPERLINK("https://creighton-primo.hosted.exlibrisgroup.com/primo-explore/search?tab=default_tab&amp;search_scope=EVERYTHING&amp;vid=01CRU&amp;lang=en_US&amp;offset=0&amp;query=any,contains,991002381509702656","Catalog Record")</f>
        <v/>
      </c>
      <c r="AT1901">
        <f>HYPERLINK("http://www.worldcat.org/oclc/328476","WorldCat Record")</f>
        <v/>
      </c>
      <c r="AU1901" t="inlineStr">
        <is>
          <t>455700:eng</t>
        </is>
      </c>
      <c r="AV1901" t="inlineStr">
        <is>
          <t>328476</t>
        </is>
      </c>
      <c r="AW1901" t="inlineStr">
        <is>
          <t>991002381509702656</t>
        </is>
      </c>
      <c r="AX1901" t="inlineStr">
        <is>
          <t>991002381509702656</t>
        </is>
      </c>
      <c r="AY1901" t="inlineStr">
        <is>
          <t>2271576540002656</t>
        </is>
      </c>
      <c r="AZ1901" t="inlineStr">
        <is>
          <t>BOOK</t>
        </is>
      </c>
      <c r="BC1901" t="inlineStr">
        <is>
          <t>32285002486693</t>
        </is>
      </c>
      <c r="BD1901" t="inlineStr">
        <is>
          <t>893716382</t>
        </is>
      </c>
    </row>
    <row r="1902">
      <c r="A1902" t="inlineStr">
        <is>
          <t>No</t>
        </is>
      </c>
      <c r="B1902" t="inlineStr">
        <is>
          <t>E83.88 .L85 1979</t>
        </is>
      </c>
      <c r="C1902" t="inlineStr">
        <is>
          <t>0                      E  0083880L  85          1979</t>
        </is>
      </c>
      <c r="D1902" t="inlineStr">
        <is>
          <t>Dateline Fort Bowie : Charles Fletcher Lummis reports on an Apache war / edited, annotated, and with an introd. by Dan L. Thrapp.</t>
        </is>
      </c>
      <c r="F1902" t="inlineStr">
        <is>
          <t>No</t>
        </is>
      </c>
      <c r="G1902" t="inlineStr">
        <is>
          <t>1</t>
        </is>
      </c>
      <c r="H1902" t="inlineStr">
        <is>
          <t>No</t>
        </is>
      </c>
      <c r="I1902" t="inlineStr">
        <is>
          <t>No</t>
        </is>
      </c>
      <c r="J1902" t="inlineStr">
        <is>
          <t>0</t>
        </is>
      </c>
      <c r="K1902" t="inlineStr">
        <is>
          <t>Lummis, Charles Fletcher, 1859-1928.</t>
        </is>
      </c>
      <c r="L1902" t="inlineStr">
        <is>
          <t>Norman : University of Oklahoma Press, c1979.</t>
        </is>
      </c>
      <c r="M1902" t="inlineStr">
        <is>
          <t>1979</t>
        </is>
      </c>
      <c r="N1902" t="inlineStr">
        <is>
          <t>1st ed.</t>
        </is>
      </c>
      <c r="O1902" t="inlineStr">
        <is>
          <t>eng</t>
        </is>
      </c>
      <c r="P1902" t="inlineStr">
        <is>
          <t>oku</t>
        </is>
      </c>
      <c r="R1902" t="inlineStr">
        <is>
          <t xml:space="preserve">E  </t>
        </is>
      </c>
      <c r="S1902" t="n">
        <v>1</v>
      </c>
      <c r="T1902" t="n">
        <v>1</v>
      </c>
      <c r="U1902" t="inlineStr">
        <is>
          <t>2003-05-20</t>
        </is>
      </c>
      <c r="V1902" t="inlineStr">
        <is>
          <t>2003-05-20</t>
        </is>
      </c>
      <c r="W1902" t="inlineStr">
        <is>
          <t>2003-05-20</t>
        </is>
      </c>
      <c r="X1902" t="inlineStr">
        <is>
          <t>2003-05-20</t>
        </is>
      </c>
      <c r="Y1902" t="n">
        <v>367</v>
      </c>
      <c r="Z1902" t="n">
        <v>357</v>
      </c>
      <c r="AA1902" t="n">
        <v>357</v>
      </c>
      <c r="AB1902" t="n">
        <v>4</v>
      </c>
      <c r="AC1902" t="n">
        <v>4</v>
      </c>
      <c r="AD1902" t="n">
        <v>10</v>
      </c>
      <c r="AE1902" t="n">
        <v>10</v>
      </c>
      <c r="AF1902" t="n">
        <v>1</v>
      </c>
      <c r="AG1902" t="n">
        <v>1</v>
      </c>
      <c r="AH1902" t="n">
        <v>3</v>
      </c>
      <c r="AI1902" t="n">
        <v>3</v>
      </c>
      <c r="AJ1902" t="n">
        <v>5</v>
      </c>
      <c r="AK1902" t="n">
        <v>5</v>
      </c>
      <c r="AL1902" t="n">
        <v>3</v>
      </c>
      <c r="AM1902" t="n">
        <v>3</v>
      </c>
      <c r="AN1902" t="n">
        <v>0</v>
      </c>
      <c r="AO1902" t="n">
        <v>0</v>
      </c>
      <c r="AP1902" t="inlineStr">
        <is>
          <t>No</t>
        </is>
      </c>
      <c r="AQ1902" t="inlineStr">
        <is>
          <t>No</t>
        </is>
      </c>
      <c r="AS1902">
        <f>HYPERLINK("https://creighton-primo.hosted.exlibrisgroup.com/primo-explore/search?tab=default_tab&amp;search_scope=EVERYTHING&amp;vid=01CRU&amp;lang=en_US&amp;offset=0&amp;query=any,contains,991004056719702656","Catalog Record")</f>
        <v/>
      </c>
      <c r="AT1902">
        <f>HYPERLINK("http://www.worldcat.org/oclc/4193225","WorldCat Record")</f>
        <v/>
      </c>
      <c r="AU1902" t="inlineStr">
        <is>
          <t>1060351586:eng</t>
        </is>
      </c>
      <c r="AV1902" t="inlineStr">
        <is>
          <t>4193225</t>
        </is>
      </c>
      <c r="AW1902" t="inlineStr">
        <is>
          <t>991004056719702656</t>
        </is>
      </c>
      <c r="AX1902" t="inlineStr">
        <is>
          <t>991004056719702656</t>
        </is>
      </c>
      <c r="AY1902" t="inlineStr">
        <is>
          <t>2261882790002656</t>
        </is>
      </c>
      <c r="AZ1902" t="inlineStr">
        <is>
          <t>BOOK</t>
        </is>
      </c>
      <c r="BB1902" t="inlineStr">
        <is>
          <t>9780806114941</t>
        </is>
      </c>
      <c r="BC1902" t="inlineStr">
        <is>
          <t>32285004747084</t>
        </is>
      </c>
      <c r="BD1902" t="inlineStr">
        <is>
          <t>893535785</t>
        </is>
      </c>
    </row>
    <row r="1903">
      <c r="A1903" t="inlineStr">
        <is>
          <t>No</t>
        </is>
      </c>
      <c r="B1903" t="inlineStr">
        <is>
          <t>E83.89 .S49 1981</t>
        </is>
      </c>
      <c r="C1903" t="inlineStr">
        <is>
          <t>0                      E  0083890S  49          1981</t>
        </is>
      </c>
      <c r="D1903" t="inlineStr">
        <is>
          <t>Sitanka, the full story of Wounded Knee / by Forrest W. Seymour.</t>
        </is>
      </c>
      <c r="F1903" t="inlineStr">
        <is>
          <t>No</t>
        </is>
      </c>
      <c r="G1903" t="inlineStr">
        <is>
          <t>1</t>
        </is>
      </c>
      <c r="H1903" t="inlineStr">
        <is>
          <t>No</t>
        </is>
      </c>
      <c r="I1903" t="inlineStr">
        <is>
          <t>No</t>
        </is>
      </c>
      <c r="J1903" t="inlineStr">
        <is>
          <t>0</t>
        </is>
      </c>
      <c r="K1903" t="inlineStr">
        <is>
          <t>Seymour, Forrest W.</t>
        </is>
      </c>
      <c r="L1903" t="inlineStr">
        <is>
          <t>W. Hanover, Mass. : Christopher Pub. House, c1981.</t>
        </is>
      </c>
      <c r="M1903" t="inlineStr">
        <is>
          <t>1981</t>
        </is>
      </c>
      <c r="O1903" t="inlineStr">
        <is>
          <t>eng</t>
        </is>
      </c>
      <c r="P1903" t="inlineStr">
        <is>
          <t>mau</t>
        </is>
      </c>
      <c r="R1903" t="inlineStr">
        <is>
          <t xml:space="preserve">E  </t>
        </is>
      </c>
      <c r="S1903" t="n">
        <v>1</v>
      </c>
      <c r="T1903" t="n">
        <v>1</v>
      </c>
      <c r="U1903" t="inlineStr">
        <is>
          <t>2003-06-04</t>
        </is>
      </c>
      <c r="V1903" t="inlineStr">
        <is>
          <t>2003-06-04</t>
        </is>
      </c>
      <c r="W1903" t="inlineStr">
        <is>
          <t>2003-06-04</t>
        </is>
      </c>
      <c r="X1903" t="inlineStr">
        <is>
          <t>2003-06-04</t>
        </is>
      </c>
      <c r="Y1903" t="n">
        <v>189</v>
      </c>
      <c r="Z1903" t="n">
        <v>171</v>
      </c>
      <c r="AA1903" t="n">
        <v>173</v>
      </c>
      <c r="AB1903" t="n">
        <v>5</v>
      </c>
      <c r="AC1903" t="n">
        <v>5</v>
      </c>
      <c r="AD1903" t="n">
        <v>5</v>
      </c>
      <c r="AE1903" t="n">
        <v>5</v>
      </c>
      <c r="AF1903" t="n">
        <v>1</v>
      </c>
      <c r="AG1903" t="n">
        <v>1</v>
      </c>
      <c r="AH1903" t="n">
        <v>1</v>
      </c>
      <c r="AI1903" t="n">
        <v>1</v>
      </c>
      <c r="AJ1903" t="n">
        <v>3</v>
      </c>
      <c r="AK1903" t="n">
        <v>3</v>
      </c>
      <c r="AL1903" t="n">
        <v>1</v>
      </c>
      <c r="AM1903" t="n">
        <v>1</v>
      </c>
      <c r="AN1903" t="n">
        <v>0</v>
      </c>
      <c r="AO1903" t="n">
        <v>0</v>
      </c>
      <c r="AP1903" t="inlineStr">
        <is>
          <t>No</t>
        </is>
      </c>
      <c r="AQ1903" t="inlineStr">
        <is>
          <t>Yes</t>
        </is>
      </c>
      <c r="AR1903">
        <f>HYPERLINK("http://catalog.hathitrust.org/Record/007561085","HathiTrust Record")</f>
        <v/>
      </c>
      <c r="AS1903">
        <f>HYPERLINK("https://creighton-primo.hosted.exlibrisgroup.com/primo-explore/search?tab=default_tab&amp;search_scope=EVERYTHING&amp;vid=01CRU&amp;lang=en_US&amp;offset=0&amp;query=any,contains,991004070159702656","Catalog Record")</f>
        <v/>
      </c>
      <c r="AT1903">
        <f>HYPERLINK("http://www.worldcat.org/oclc/7257616","WorldCat Record")</f>
        <v/>
      </c>
      <c r="AU1903" t="inlineStr">
        <is>
          <t>478255:eng</t>
        </is>
      </c>
      <c r="AV1903" t="inlineStr">
        <is>
          <t>7257616</t>
        </is>
      </c>
      <c r="AW1903" t="inlineStr">
        <is>
          <t>991004070159702656</t>
        </is>
      </c>
      <c r="AX1903" t="inlineStr">
        <is>
          <t>991004070159702656</t>
        </is>
      </c>
      <c r="AY1903" t="inlineStr">
        <is>
          <t>2269599930002656</t>
        </is>
      </c>
      <c r="AZ1903" t="inlineStr">
        <is>
          <t>BOOK</t>
        </is>
      </c>
      <c r="BB1903" t="inlineStr">
        <is>
          <t>9780815803997</t>
        </is>
      </c>
      <c r="BC1903" t="inlineStr">
        <is>
          <t>32285004750682</t>
        </is>
      </c>
      <c r="BD1903" t="inlineStr">
        <is>
          <t>893417187</t>
        </is>
      </c>
    </row>
    <row r="1904">
      <c r="A1904" t="inlineStr">
        <is>
          <t>No</t>
        </is>
      </c>
      <c r="B1904" t="inlineStr">
        <is>
          <t>E835 .A3</t>
        </is>
      </c>
      <c r="C1904" t="inlineStr">
        <is>
          <t>0                      E  0835000A  3</t>
        </is>
      </c>
      <c r="D1904" t="inlineStr">
        <is>
          <t>Firsthand report : the story of the Eisenhower administration.</t>
        </is>
      </c>
      <c r="F1904" t="inlineStr">
        <is>
          <t>No</t>
        </is>
      </c>
      <c r="G1904" t="inlineStr">
        <is>
          <t>1</t>
        </is>
      </c>
      <c r="H1904" t="inlineStr">
        <is>
          <t>No</t>
        </is>
      </c>
      <c r="I1904" t="inlineStr">
        <is>
          <t>No</t>
        </is>
      </c>
      <c r="J1904" t="inlineStr">
        <is>
          <t>0</t>
        </is>
      </c>
      <c r="K1904" t="inlineStr">
        <is>
          <t>Adams, Sherman, 1899-1986.</t>
        </is>
      </c>
      <c r="L1904" t="inlineStr">
        <is>
          <t>New York : Harper, [1961]</t>
        </is>
      </c>
      <c r="M1904" t="inlineStr">
        <is>
          <t>1961</t>
        </is>
      </c>
      <c r="N1904" t="inlineStr">
        <is>
          <t>[1st ed.]</t>
        </is>
      </c>
      <c r="O1904" t="inlineStr">
        <is>
          <t>eng</t>
        </is>
      </c>
      <c r="P1904" t="inlineStr">
        <is>
          <t>nyu</t>
        </is>
      </c>
      <c r="R1904" t="inlineStr">
        <is>
          <t xml:space="preserve">E  </t>
        </is>
      </c>
      <c r="S1904" t="n">
        <v>0</v>
      </c>
      <c r="T1904" t="n">
        <v>0</v>
      </c>
      <c r="U1904" t="inlineStr">
        <is>
          <t>2004-10-21</t>
        </is>
      </c>
      <c r="V1904" t="inlineStr">
        <is>
          <t>2004-10-21</t>
        </is>
      </c>
      <c r="W1904" t="inlineStr">
        <is>
          <t>1990-10-22</t>
        </is>
      </c>
      <c r="X1904" t="inlineStr">
        <is>
          <t>1990-10-22</t>
        </is>
      </c>
      <c r="Y1904" t="n">
        <v>1380</v>
      </c>
      <c r="Z1904" t="n">
        <v>1293</v>
      </c>
      <c r="AA1904" t="n">
        <v>1372</v>
      </c>
      <c r="AB1904" t="n">
        <v>12</v>
      </c>
      <c r="AC1904" t="n">
        <v>12</v>
      </c>
      <c r="AD1904" t="n">
        <v>49</v>
      </c>
      <c r="AE1904" t="n">
        <v>52</v>
      </c>
      <c r="AF1904" t="n">
        <v>20</v>
      </c>
      <c r="AG1904" t="n">
        <v>21</v>
      </c>
      <c r="AH1904" t="n">
        <v>10</v>
      </c>
      <c r="AI1904" t="n">
        <v>10</v>
      </c>
      <c r="AJ1904" t="n">
        <v>18</v>
      </c>
      <c r="AK1904" t="n">
        <v>21</v>
      </c>
      <c r="AL1904" t="n">
        <v>10</v>
      </c>
      <c r="AM1904" t="n">
        <v>10</v>
      </c>
      <c r="AN1904" t="n">
        <v>2</v>
      </c>
      <c r="AO1904" t="n">
        <v>2</v>
      </c>
      <c r="AP1904" t="inlineStr">
        <is>
          <t>No</t>
        </is>
      </c>
      <c r="AQ1904" t="inlineStr">
        <is>
          <t>Yes</t>
        </is>
      </c>
      <c r="AR1904">
        <f>HYPERLINK("http://catalog.hathitrust.org/Record/004389003","HathiTrust Record")</f>
        <v/>
      </c>
      <c r="AS1904">
        <f>HYPERLINK("https://creighton-primo.hosted.exlibrisgroup.com/primo-explore/search?tab=default_tab&amp;search_scope=EVERYTHING&amp;vid=01CRU&amp;lang=en_US&amp;offset=0&amp;query=any,contains,991002820269702656","Catalog Record")</f>
        <v/>
      </c>
      <c r="AT1904">
        <f>HYPERLINK("http://www.worldcat.org/oclc/466428","WorldCat Record")</f>
        <v/>
      </c>
      <c r="AU1904" t="inlineStr">
        <is>
          <t>501131:eng</t>
        </is>
      </c>
      <c r="AV1904" t="inlineStr">
        <is>
          <t>466428</t>
        </is>
      </c>
      <c r="AW1904" t="inlineStr">
        <is>
          <t>991002820269702656</t>
        </is>
      </c>
      <c r="AX1904" t="inlineStr">
        <is>
          <t>991002820269702656</t>
        </is>
      </c>
      <c r="AY1904" t="inlineStr">
        <is>
          <t>2259839720002656</t>
        </is>
      </c>
      <c r="AZ1904" t="inlineStr">
        <is>
          <t>BOOK</t>
        </is>
      </c>
      <c r="BC1904" t="inlineStr">
        <is>
          <t>32285000350891</t>
        </is>
      </c>
      <c r="BD1904" t="inlineStr">
        <is>
          <t>893341897</t>
        </is>
      </c>
    </row>
    <row r="1905">
      <c r="A1905" t="inlineStr">
        <is>
          <t>No</t>
        </is>
      </c>
      <c r="B1905" t="inlineStr">
        <is>
          <t>E835 .C57 1984</t>
        </is>
      </c>
      <c r="C1905" t="inlineStr">
        <is>
          <t>0                      E  0835000C  57          1984</t>
        </is>
      </c>
      <c r="D1905" t="inlineStr">
        <is>
          <t>The declassified Eisenhower : a divided legacy of peace and political warfare / Blanche Wiesen Cook.</t>
        </is>
      </c>
      <c r="F1905" t="inlineStr">
        <is>
          <t>No</t>
        </is>
      </c>
      <c r="G1905" t="inlineStr">
        <is>
          <t>1</t>
        </is>
      </c>
      <c r="H1905" t="inlineStr">
        <is>
          <t>No</t>
        </is>
      </c>
      <c r="I1905" t="inlineStr">
        <is>
          <t>No</t>
        </is>
      </c>
      <c r="J1905" t="inlineStr">
        <is>
          <t>0</t>
        </is>
      </c>
      <c r="K1905" t="inlineStr">
        <is>
          <t>Cook, Blanche Wiesen.</t>
        </is>
      </c>
      <c r="L1905" t="inlineStr">
        <is>
          <t>[New York, N.Y.] : Penguin Books, 1984.</t>
        </is>
      </c>
      <c r="M1905" t="inlineStr">
        <is>
          <t>1984</t>
        </is>
      </c>
      <c r="O1905" t="inlineStr">
        <is>
          <t>eng</t>
        </is>
      </c>
      <c r="P1905" t="inlineStr">
        <is>
          <t>nyu</t>
        </is>
      </c>
      <c r="R1905" t="inlineStr">
        <is>
          <t xml:space="preserve">E  </t>
        </is>
      </c>
      <c r="S1905" t="n">
        <v>5</v>
      </c>
      <c r="T1905" t="n">
        <v>5</v>
      </c>
      <c r="U1905" t="inlineStr">
        <is>
          <t>1998-03-26</t>
        </is>
      </c>
      <c r="V1905" t="inlineStr">
        <is>
          <t>1998-03-26</t>
        </is>
      </c>
      <c r="W1905" t="inlineStr">
        <is>
          <t>1990-05-24</t>
        </is>
      </c>
      <c r="X1905" t="inlineStr">
        <is>
          <t>1990-05-24</t>
        </is>
      </c>
      <c r="Y1905" t="n">
        <v>145</v>
      </c>
      <c r="Z1905" t="n">
        <v>134</v>
      </c>
      <c r="AA1905" t="n">
        <v>1018</v>
      </c>
      <c r="AB1905" t="n">
        <v>3</v>
      </c>
      <c r="AC1905" t="n">
        <v>10</v>
      </c>
      <c r="AD1905" t="n">
        <v>7</v>
      </c>
      <c r="AE1905" t="n">
        <v>35</v>
      </c>
      <c r="AF1905" t="n">
        <v>3</v>
      </c>
      <c r="AG1905" t="n">
        <v>14</v>
      </c>
      <c r="AH1905" t="n">
        <v>1</v>
      </c>
      <c r="AI1905" t="n">
        <v>7</v>
      </c>
      <c r="AJ1905" t="n">
        <v>3</v>
      </c>
      <c r="AK1905" t="n">
        <v>12</v>
      </c>
      <c r="AL1905" t="n">
        <v>1</v>
      </c>
      <c r="AM1905" t="n">
        <v>6</v>
      </c>
      <c r="AN1905" t="n">
        <v>1</v>
      </c>
      <c r="AO1905" t="n">
        <v>2</v>
      </c>
      <c r="AP1905" t="inlineStr">
        <is>
          <t>No</t>
        </is>
      </c>
      <c r="AQ1905" t="inlineStr">
        <is>
          <t>No</t>
        </is>
      </c>
      <c r="AS1905">
        <f>HYPERLINK("https://creighton-primo.hosted.exlibrisgroup.com/primo-explore/search?tab=default_tab&amp;search_scope=EVERYTHING&amp;vid=01CRU&amp;lang=en_US&amp;offset=0&amp;query=any,contains,991000382629702656","Catalog Record")</f>
        <v/>
      </c>
      <c r="AT1905">
        <f>HYPERLINK("http://www.worldcat.org/oclc/10505791","WorldCat Record")</f>
        <v/>
      </c>
      <c r="AU1905" t="inlineStr">
        <is>
          <t>284735284:eng</t>
        </is>
      </c>
      <c r="AV1905" t="inlineStr">
        <is>
          <t>10505791</t>
        </is>
      </c>
      <c r="AW1905" t="inlineStr">
        <is>
          <t>991000382629702656</t>
        </is>
      </c>
      <c r="AX1905" t="inlineStr">
        <is>
          <t>991000382629702656</t>
        </is>
      </c>
      <c r="AY1905" t="inlineStr">
        <is>
          <t>2256014860002656</t>
        </is>
      </c>
      <c r="AZ1905" t="inlineStr">
        <is>
          <t>BOOK</t>
        </is>
      </c>
      <c r="BB1905" t="inlineStr">
        <is>
          <t>9780140070613</t>
        </is>
      </c>
      <c r="BC1905" t="inlineStr">
        <is>
          <t>32285000164904</t>
        </is>
      </c>
      <c r="BD1905" t="inlineStr">
        <is>
          <t>893425638</t>
        </is>
      </c>
    </row>
    <row r="1906">
      <c r="A1906" t="inlineStr">
        <is>
          <t>No</t>
        </is>
      </c>
      <c r="B1906" t="inlineStr">
        <is>
          <t>E835 .D53</t>
        </is>
      </c>
      <c r="C1906" t="inlineStr">
        <is>
          <t>0                      E  0835000D  53</t>
        </is>
      </c>
      <c r="D1906" t="inlineStr">
        <is>
          <t>Blowing on the wind : the nuclear test ban debate, 1954-1960 / Robert A. Divine.</t>
        </is>
      </c>
      <c r="F1906" t="inlineStr">
        <is>
          <t>No</t>
        </is>
      </c>
      <c r="G1906" t="inlineStr">
        <is>
          <t>1</t>
        </is>
      </c>
      <c r="H1906" t="inlineStr">
        <is>
          <t>No</t>
        </is>
      </c>
      <c r="I1906" t="inlineStr">
        <is>
          <t>No</t>
        </is>
      </c>
      <c r="J1906" t="inlineStr">
        <is>
          <t>0</t>
        </is>
      </c>
      <c r="K1906" t="inlineStr">
        <is>
          <t>Divine, Robert A.</t>
        </is>
      </c>
      <c r="L1906" t="inlineStr">
        <is>
          <t>New York : Oxford University Press, 1978.</t>
        </is>
      </c>
      <c r="M1906" t="inlineStr">
        <is>
          <t>1978</t>
        </is>
      </c>
      <c r="O1906" t="inlineStr">
        <is>
          <t>eng</t>
        </is>
      </c>
      <c r="P1906" t="inlineStr">
        <is>
          <t>nyu</t>
        </is>
      </c>
      <c r="R1906" t="inlineStr">
        <is>
          <t xml:space="preserve">E  </t>
        </is>
      </c>
      <c r="S1906" t="n">
        <v>1</v>
      </c>
      <c r="T1906" t="n">
        <v>1</v>
      </c>
      <c r="U1906" t="inlineStr">
        <is>
          <t>1995-11-22</t>
        </is>
      </c>
      <c r="V1906" t="inlineStr">
        <is>
          <t>1995-11-22</t>
        </is>
      </c>
      <c r="W1906" t="inlineStr">
        <is>
          <t>1991-06-19</t>
        </is>
      </c>
      <c r="X1906" t="inlineStr">
        <is>
          <t>1991-06-19</t>
        </is>
      </c>
      <c r="Y1906" t="n">
        <v>938</v>
      </c>
      <c r="Z1906" t="n">
        <v>800</v>
      </c>
      <c r="AA1906" t="n">
        <v>807</v>
      </c>
      <c r="AB1906" t="n">
        <v>3</v>
      </c>
      <c r="AC1906" t="n">
        <v>3</v>
      </c>
      <c r="AD1906" t="n">
        <v>31</v>
      </c>
      <c r="AE1906" t="n">
        <v>31</v>
      </c>
      <c r="AF1906" t="n">
        <v>14</v>
      </c>
      <c r="AG1906" t="n">
        <v>14</v>
      </c>
      <c r="AH1906" t="n">
        <v>5</v>
      </c>
      <c r="AI1906" t="n">
        <v>5</v>
      </c>
      <c r="AJ1906" t="n">
        <v>15</v>
      </c>
      <c r="AK1906" t="n">
        <v>15</v>
      </c>
      <c r="AL1906" t="n">
        <v>2</v>
      </c>
      <c r="AM1906" t="n">
        <v>2</v>
      </c>
      <c r="AN1906" t="n">
        <v>0</v>
      </c>
      <c r="AO1906" t="n">
        <v>0</v>
      </c>
      <c r="AP1906" t="inlineStr">
        <is>
          <t>No</t>
        </is>
      </c>
      <c r="AQ1906" t="inlineStr">
        <is>
          <t>Yes</t>
        </is>
      </c>
      <c r="AR1906">
        <f>HYPERLINK("http://catalog.hathitrust.org/Record/000087488","HathiTrust Record")</f>
        <v/>
      </c>
      <c r="AS1906">
        <f>HYPERLINK("https://creighton-primo.hosted.exlibrisgroup.com/primo-explore/search?tab=default_tab&amp;search_scope=EVERYTHING&amp;vid=01CRU&amp;lang=en_US&amp;offset=0&amp;query=any,contains,991004446199702656","Catalog Record")</f>
        <v/>
      </c>
      <c r="AT1906">
        <f>HYPERLINK("http://www.worldcat.org/oclc/3481725","WorldCat Record")</f>
        <v/>
      </c>
      <c r="AU1906" t="inlineStr">
        <is>
          <t>909699168:eng</t>
        </is>
      </c>
      <c r="AV1906" t="inlineStr">
        <is>
          <t>3481725</t>
        </is>
      </c>
      <c r="AW1906" t="inlineStr">
        <is>
          <t>991004446199702656</t>
        </is>
      </c>
      <c r="AX1906" t="inlineStr">
        <is>
          <t>991004446199702656</t>
        </is>
      </c>
      <c r="AY1906" t="inlineStr">
        <is>
          <t>2264318010002656</t>
        </is>
      </c>
      <c r="AZ1906" t="inlineStr">
        <is>
          <t>BOOK</t>
        </is>
      </c>
      <c r="BB1906" t="inlineStr">
        <is>
          <t>9780195023909</t>
        </is>
      </c>
      <c r="BC1906" t="inlineStr">
        <is>
          <t>32285000614908</t>
        </is>
      </c>
      <c r="BD1906" t="inlineStr">
        <is>
          <t>893411556</t>
        </is>
      </c>
    </row>
    <row r="1907">
      <c r="A1907" t="inlineStr">
        <is>
          <t>No</t>
        </is>
      </c>
      <c r="B1907" t="inlineStr">
        <is>
          <t>E835 .E47</t>
        </is>
      </c>
      <c r="C1907" t="inlineStr">
        <is>
          <t>0                      E  0835000E  47</t>
        </is>
      </c>
      <c r="D1907" t="inlineStr">
        <is>
          <t>Waging peace, 1956-1961 : the White House years / [by] Dwight D. Eisenhower.</t>
        </is>
      </c>
      <c r="F1907" t="inlineStr">
        <is>
          <t>No</t>
        </is>
      </c>
      <c r="G1907" t="inlineStr">
        <is>
          <t>1</t>
        </is>
      </c>
      <c r="H1907" t="inlineStr">
        <is>
          <t>No</t>
        </is>
      </c>
      <c r="I1907" t="inlineStr">
        <is>
          <t>No</t>
        </is>
      </c>
      <c r="J1907" t="inlineStr">
        <is>
          <t>0</t>
        </is>
      </c>
      <c r="K1907" t="inlineStr">
        <is>
          <t>Eisenhower, Dwight D. (Dwight David), 1890-1969.</t>
        </is>
      </c>
      <c r="L1907" t="inlineStr">
        <is>
          <t>Garden City, N.Y. : Doubleday, 1965.</t>
        </is>
      </c>
      <c r="M1907" t="inlineStr">
        <is>
          <t>1965</t>
        </is>
      </c>
      <c r="N1907" t="inlineStr">
        <is>
          <t>[1st ed.]</t>
        </is>
      </c>
      <c r="O1907" t="inlineStr">
        <is>
          <t>eng</t>
        </is>
      </c>
      <c r="P1907" t="inlineStr">
        <is>
          <t>nyu</t>
        </is>
      </c>
      <c r="R1907" t="inlineStr">
        <is>
          <t xml:space="preserve">E  </t>
        </is>
      </c>
      <c r="S1907" t="n">
        <v>2</v>
      </c>
      <c r="T1907" t="n">
        <v>2</v>
      </c>
      <c r="U1907" t="inlineStr">
        <is>
          <t>1999-02-07</t>
        </is>
      </c>
      <c r="V1907" t="inlineStr">
        <is>
          <t>1999-02-07</t>
        </is>
      </c>
      <c r="W1907" t="inlineStr">
        <is>
          <t>1995-08-21</t>
        </is>
      </c>
      <c r="X1907" t="inlineStr">
        <is>
          <t>1995-08-21</t>
        </is>
      </c>
      <c r="Y1907" t="n">
        <v>1460</v>
      </c>
      <c r="Z1907" t="n">
        <v>1373</v>
      </c>
      <c r="AA1907" t="n">
        <v>1383</v>
      </c>
      <c r="AB1907" t="n">
        <v>19</v>
      </c>
      <c r="AC1907" t="n">
        <v>19</v>
      </c>
      <c r="AD1907" t="n">
        <v>38</v>
      </c>
      <c r="AE1907" t="n">
        <v>38</v>
      </c>
      <c r="AF1907" t="n">
        <v>19</v>
      </c>
      <c r="AG1907" t="n">
        <v>19</v>
      </c>
      <c r="AH1907" t="n">
        <v>4</v>
      </c>
      <c r="AI1907" t="n">
        <v>4</v>
      </c>
      <c r="AJ1907" t="n">
        <v>14</v>
      </c>
      <c r="AK1907" t="n">
        <v>14</v>
      </c>
      <c r="AL1907" t="n">
        <v>9</v>
      </c>
      <c r="AM1907" t="n">
        <v>9</v>
      </c>
      <c r="AN1907" t="n">
        <v>0</v>
      </c>
      <c r="AO1907" t="n">
        <v>0</v>
      </c>
      <c r="AP1907" t="inlineStr">
        <is>
          <t>No</t>
        </is>
      </c>
      <c r="AQ1907" t="inlineStr">
        <is>
          <t>Yes</t>
        </is>
      </c>
      <c r="AR1907">
        <f>HYPERLINK("http://catalog.hathitrust.org/Record/000576239","HathiTrust Record")</f>
        <v/>
      </c>
      <c r="AS1907">
        <f>HYPERLINK("https://creighton-primo.hosted.exlibrisgroup.com/primo-explore/search?tab=default_tab&amp;search_scope=EVERYTHING&amp;vid=01CRU&amp;lang=en_US&amp;offset=0&amp;query=any,contains,991003533289702656","Catalog Record")</f>
        <v/>
      </c>
      <c r="AT1907">
        <f>HYPERLINK("http://www.worldcat.org/oclc/1095772","WorldCat Record")</f>
        <v/>
      </c>
      <c r="AU1907" t="inlineStr">
        <is>
          <t>10792982276:eng</t>
        </is>
      </c>
      <c r="AV1907" t="inlineStr">
        <is>
          <t>1095772</t>
        </is>
      </c>
      <c r="AW1907" t="inlineStr">
        <is>
          <t>991003533289702656</t>
        </is>
      </c>
      <c r="AX1907" t="inlineStr">
        <is>
          <t>991003533289702656</t>
        </is>
      </c>
      <c r="AY1907" t="inlineStr">
        <is>
          <t>2267905930002656</t>
        </is>
      </c>
      <c r="AZ1907" t="inlineStr">
        <is>
          <t>BOOK</t>
        </is>
      </c>
      <c r="BC1907" t="inlineStr">
        <is>
          <t>32285002023256</t>
        </is>
      </c>
      <c r="BD1907" t="inlineStr">
        <is>
          <t>893499397</t>
        </is>
      </c>
    </row>
    <row r="1908">
      <c r="A1908" t="inlineStr">
        <is>
          <t>No</t>
        </is>
      </c>
      <c r="B1908" t="inlineStr">
        <is>
          <t>E835 .G73</t>
        </is>
      </c>
      <c r="C1908" t="inlineStr">
        <is>
          <t>0                      E  0835000G  73</t>
        </is>
      </c>
      <c r="D1908" t="inlineStr">
        <is>
          <t>Eighteen acres under glass.</t>
        </is>
      </c>
      <c r="F1908" t="inlineStr">
        <is>
          <t>No</t>
        </is>
      </c>
      <c r="G1908" t="inlineStr">
        <is>
          <t>1</t>
        </is>
      </c>
      <c r="H1908" t="inlineStr">
        <is>
          <t>No</t>
        </is>
      </c>
      <c r="I1908" t="inlineStr">
        <is>
          <t>No</t>
        </is>
      </c>
      <c r="J1908" t="inlineStr">
        <is>
          <t>0</t>
        </is>
      </c>
      <c r="K1908" t="inlineStr">
        <is>
          <t>Gray, Robert Keith.</t>
        </is>
      </c>
      <c r="L1908" t="inlineStr">
        <is>
          <t>Garden City, N.Y., Doubleday, 1962.</t>
        </is>
      </c>
      <c r="M1908" t="inlineStr">
        <is>
          <t>1962</t>
        </is>
      </c>
      <c r="N1908" t="inlineStr">
        <is>
          <t>[1st ed.]</t>
        </is>
      </c>
      <c r="O1908" t="inlineStr">
        <is>
          <t>eng</t>
        </is>
      </c>
      <c r="P1908" t="inlineStr">
        <is>
          <t>nyu</t>
        </is>
      </c>
      <c r="R1908" t="inlineStr">
        <is>
          <t xml:space="preserve">E  </t>
        </is>
      </c>
      <c r="S1908" t="n">
        <v>1</v>
      </c>
      <c r="T1908" t="n">
        <v>1</v>
      </c>
      <c r="U1908" t="inlineStr">
        <is>
          <t>2001-03-26</t>
        </is>
      </c>
      <c r="V1908" t="inlineStr">
        <is>
          <t>2001-03-26</t>
        </is>
      </c>
      <c r="W1908" t="inlineStr">
        <is>
          <t>1997-04-28</t>
        </is>
      </c>
      <c r="X1908" t="inlineStr">
        <is>
          <t>1997-04-28</t>
        </is>
      </c>
      <c r="Y1908" t="n">
        <v>452</v>
      </c>
      <c r="Z1908" t="n">
        <v>440</v>
      </c>
      <c r="AA1908" t="n">
        <v>456</v>
      </c>
      <c r="AB1908" t="n">
        <v>9</v>
      </c>
      <c r="AC1908" t="n">
        <v>9</v>
      </c>
      <c r="AD1908" t="n">
        <v>14</v>
      </c>
      <c r="AE1908" t="n">
        <v>15</v>
      </c>
      <c r="AF1908" t="n">
        <v>6</v>
      </c>
      <c r="AG1908" t="n">
        <v>6</v>
      </c>
      <c r="AH1908" t="n">
        <v>1</v>
      </c>
      <c r="AI1908" t="n">
        <v>2</v>
      </c>
      <c r="AJ1908" t="n">
        <v>6</v>
      </c>
      <c r="AK1908" t="n">
        <v>6</v>
      </c>
      <c r="AL1908" t="n">
        <v>4</v>
      </c>
      <c r="AM1908" t="n">
        <v>4</v>
      </c>
      <c r="AN1908" t="n">
        <v>1</v>
      </c>
      <c r="AO1908" t="n">
        <v>1</v>
      </c>
      <c r="AP1908" t="inlineStr">
        <is>
          <t>No</t>
        </is>
      </c>
      <c r="AQ1908" t="inlineStr">
        <is>
          <t>No</t>
        </is>
      </c>
      <c r="AR1908">
        <f>HYPERLINK("http://catalog.hathitrust.org/Record/000576293","HathiTrust Record")</f>
        <v/>
      </c>
      <c r="AS1908">
        <f>HYPERLINK("https://creighton-primo.hosted.exlibrisgroup.com/primo-explore/search?tab=default_tab&amp;search_scope=EVERYTHING&amp;vid=01CRU&amp;lang=en_US&amp;offset=0&amp;query=any,contains,991002262689702656","Catalog Record")</f>
        <v/>
      </c>
      <c r="AT1908">
        <f>HYPERLINK("http://www.worldcat.org/oclc/305169","WorldCat Record")</f>
        <v/>
      </c>
      <c r="AU1908" t="inlineStr">
        <is>
          <t>1355215:eng</t>
        </is>
      </c>
      <c r="AV1908" t="inlineStr">
        <is>
          <t>305169</t>
        </is>
      </c>
      <c r="AW1908" t="inlineStr">
        <is>
          <t>991002262689702656</t>
        </is>
      </c>
      <c r="AX1908" t="inlineStr">
        <is>
          <t>991002262689702656</t>
        </is>
      </c>
      <c r="AY1908" t="inlineStr">
        <is>
          <t>2263025750002656</t>
        </is>
      </c>
      <c r="AZ1908" t="inlineStr">
        <is>
          <t>BOOK</t>
        </is>
      </c>
      <c r="BC1908" t="inlineStr">
        <is>
          <t>32285002567187</t>
        </is>
      </c>
      <c r="BD1908" t="inlineStr">
        <is>
          <t>893415006</t>
        </is>
      </c>
    </row>
    <row r="1909">
      <c r="A1909" t="inlineStr">
        <is>
          <t>No</t>
        </is>
      </c>
      <c r="B1909" t="inlineStr">
        <is>
          <t>E835 .K3</t>
        </is>
      </c>
      <c r="C1909" t="inlineStr">
        <is>
          <t>0                      E  0835000K  3</t>
        </is>
      </c>
      <c r="D1909" t="inlineStr">
        <is>
          <t>The necessity for choice; prospects of American foreign policy.</t>
        </is>
      </c>
      <c r="F1909" t="inlineStr">
        <is>
          <t>No</t>
        </is>
      </c>
      <c r="G1909" t="inlineStr">
        <is>
          <t>1</t>
        </is>
      </c>
      <c r="H1909" t="inlineStr">
        <is>
          <t>No</t>
        </is>
      </c>
      <c r="I1909" t="inlineStr">
        <is>
          <t>No</t>
        </is>
      </c>
      <c r="J1909" t="inlineStr">
        <is>
          <t>0</t>
        </is>
      </c>
      <c r="K1909" t="inlineStr">
        <is>
          <t>Kissinger, Henry, 1923-</t>
        </is>
      </c>
      <c r="L1909" t="inlineStr">
        <is>
          <t>New York, Harper [1961]</t>
        </is>
      </c>
      <c r="M1909" t="inlineStr">
        <is>
          <t>1961</t>
        </is>
      </c>
      <c r="N1909" t="inlineStr">
        <is>
          <t>[1st ed.]</t>
        </is>
      </c>
      <c r="O1909" t="inlineStr">
        <is>
          <t>eng</t>
        </is>
      </c>
      <c r="P1909" t="inlineStr">
        <is>
          <t>nyu</t>
        </is>
      </c>
      <c r="R1909" t="inlineStr">
        <is>
          <t xml:space="preserve">E  </t>
        </is>
      </c>
      <c r="S1909" t="n">
        <v>2</v>
      </c>
      <c r="T1909" t="n">
        <v>2</v>
      </c>
      <c r="U1909" t="inlineStr">
        <is>
          <t>2001-02-25</t>
        </is>
      </c>
      <c r="V1909" t="inlineStr">
        <is>
          <t>2001-02-25</t>
        </is>
      </c>
      <c r="W1909" t="inlineStr">
        <is>
          <t>1997-04-28</t>
        </is>
      </c>
      <c r="X1909" t="inlineStr">
        <is>
          <t>1997-04-28</t>
        </is>
      </c>
      <c r="Y1909" t="n">
        <v>1294</v>
      </c>
      <c r="Z1909" t="n">
        <v>1153</v>
      </c>
      <c r="AA1909" t="n">
        <v>1250</v>
      </c>
      <c r="AB1909" t="n">
        <v>8</v>
      </c>
      <c r="AC1909" t="n">
        <v>8</v>
      </c>
      <c r="AD1909" t="n">
        <v>46</v>
      </c>
      <c r="AE1909" t="n">
        <v>47</v>
      </c>
      <c r="AF1909" t="n">
        <v>19</v>
      </c>
      <c r="AG1909" t="n">
        <v>19</v>
      </c>
      <c r="AH1909" t="n">
        <v>8</v>
      </c>
      <c r="AI1909" t="n">
        <v>8</v>
      </c>
      <c r="AJ1909" t="n">
        <v>20</v>
      </c>
      <c r="AK1909" t="n">
        <v>21</v>
      </c>
      <c r="AL1909" t="n">
        <v>7</v>
      </c>
      <c r="AM1909" t="n">
        <v>7</v>
      </c>
      <c r="AN1909" t="n">
        <v>3</v>
      </c>
      <c r="AO1909" t="n">
        <v>3</v>
      </c>
      <c r="AP1909" t="inlineStr">
        <is>
          <t>No</t>
        </is>
      </c>
      <c r="AQ1909" t="inlineStr">
        <is>
          <t>Yes</t>
        </is>
      </c>
      <c r="AR1909">
        <f>HYPERLINK("http://catalog.hathitrust.org/Record/000576349","HathiTrust Record")</f>
        <v/>
      </c>
      <c r="AS1909">
        <f>HYPERLINK("https://creighton-primo.hosted.exlibrisgroup.com/primo-explore/search?tab=default_tab&amp;search_scope=EVERYTHING&amp;vid=01CRU&amp;lang=en_US&amp;offset=0&amp;query=any,contains,991002819679702656","Catalog Record")</f>
        <v/>
      </c>
      <c r="AT1909">
        <f>HYPERLINK("http://www.worldcat.org/oclc/466343","WorldCat Record")</f>
        <v/>
      </c>
      <c r="AU1909" t="inlineStr">
        <is>
          <t>1522622:eng</t>
        </is>
      </c>
      <c r="AV1909" t="inlineStr">
        <is>
          <t>466343</t>
        </is>
      </c>
      <c r="AW1909" t="inlineStr">
        <is>
          <t>991002819679702656</t>
        </is>
      </c>
      <c r="AX1909" t="inlineStr">
        <is>
          <t>991002819679702656</t>
        </is>
      </c>
      <c r="AY1909" t="inlineStr">
        <is>
          <t>2259775740002656</t>
        </is>
      </c>
      <c r="AZ1909" t="inlineStr">
        <is>
          <t>BOOK</t>
        </is>
      </c>
      <c r="BC1909" t="inlineStr">
        <is>
          <t>32285002567203</t>
        </is>
      </c>
      <c r="BD1909" t="inlineStr">
        <is>
          <t>893774062</t>
        </is>
      </c>
    </row>
    <row r="1910">
      <c r="A1910" t="inlineStr">
        <is>
          <t>No</t>
        </is>
      </c>
      <c r="B1910" t="inlineStr">
        <is>
          <t>E835 .M328 1993</t>
        </is>
      </c>
      <c r="C1910" t="inlineStr">
        <is>
          <t>0                      E  0835000M  328         1993</t>
        </is>
      </c>
      <c r="D1910" t="inlineStr">
        <is>
          <t>Power and peace : the diplomacy of John Foster Dulles / Frederick W. Marks III.</t>
        </is>
      </c>
      <c r="F1910" t="inlineStr">
        <is>
          <t>No</t>
        </is>
      </c>
      <c r="G1910" t="inlineStr">
        <is>
          <t>1</t>
        </is>
      </c>
      <c r="H1910" t="inlineStr">
        <is>
          <t>No</t>
        </is>
      </c>
      <c r="I1910" t="inlineStr">
        <is>
          <t>No</t>
        </is>
      </c>
      <c r="J1910" t="inlineStr">
        <is>
          <t>0</t>
        </is>
      </c>
      <c r="K1910" t="inlineStr">
        <is>
          <t>Marks, Frederick W.</t>
        </is>
      </c>
      <c r="L1910" t="inlineStr">
        <is>
          <t>Westport, Conn. : Praeger, 1993.</t>
        </is>
      </c>
      <c r="M1910" t="inlineStr">
        <is>
          <t>1993</t>
        </is>
      </c>
      <c r="O1910" t="inlineStr">
        <is>
          <t>eng</t>
        </is>
      </c>
      <c r="P1910" t="inlineStr">
        <is>
          <t>ctu</t>
        </is>
      </c>
      <c r="R1910" t="inlineStr">
        <is>
          <t xml:space="preserve">E  </t>
        </is>
      </c>
      <c r="S1910" t="n">
        <v>4</v>
      </c>
      <c r="T1910" t="n">
        <v>4</v>
      </c>
      <c r="U1910" t="inlineStr">
        <is>
          <t>2000-10-03</t>
        </is>
      </c>
      <c r="V1910" t="inlineStr">
        <is>
          <t>2000-10-03</t>
        </is>
      </c>
      <c r="W1910" t="inlineStr">
        <is>
          <t>1993-10-08</t>
        </is>
      </c>
      <c r="X1910" t="inlineStr">
        <is>
          <t>1993-10-08</t>
        </is>
      </c>
      <c r="Y1910" t="n">
        <v>501</v>
      </c>
      <c r="Z1910" t="n">
        <v>427</v>
      </c>
      <c r="AA1910" t="n">
        <v>444</v>
      </c>
      <c r="AB1910" t="n">
        <v>3</v>
      </c>
      <c r="AC1910" t="n">
        <v>3</v>
      </c>
      <c r="AD1910" t="n">
        <v>27</v>
      </c>
      <c r="AE1910" t="n">
        <v>27</v>
      </c>
      <c r="AF1910" t="n">
        <v>9</v>
      </c>
      <c r="AG1910" t="n">
        <v>9</v>
      </c>
      <c r="AH1910" t="n">
        <v>8</v>
      </c>
      <c r="AI1910" t="n">
        <v>8</v>
      </c>
      <c r="AJ1910" t="n">
        <v>18</v>
      </c>
      <c r="AK1910" t="n">
        <v>18</v>
      </c>
      <c r="AL1910" t="n">
        <v>2</v>
      </c>
      <c r="AM1910" t="n">
        <v>2</v>
      </c>
      <c r="AN1910" t="n">
        <v>0</v>
      </c>
      <c r="AO1910" t="n">
        <v>0</v>
      </c>
      <c r="AP1910" t="inlineStr">
        <is>
          <t>No</t>
        </is>
      </c>
      <c r="AQ1910" t="inlineStr">
        <is>
          <t>Yes</t>
        </is>
      </c>
      <c r="AR1910">
        <f>HYPERLINK("http://catalog.hathitrust.org/Record/002698652","HathiTrust Record")</f>
        <v/>
      </c>
      <c r="AS1910">
        <f>HYPERLINK("https://creighton-primo.hosted.exlibrisgroup.com/primo-explore/search?tab=default_tab&amp;search_scope=EVERYTHING&amp;vid=01CRU&amp;lang=en_US&amp;offset=0&amp;query=any,contains,991002123259702656","Catalog Record")</f>
        <v/>
      </c>
      <c r="AT1910">
        <f>HYPERLINK("http://www.worldcat.org/oclc/27187333","WorldCat Record")</f>
        <v/>
      </c>
      <c r="AU1910" t="inlineStr">
        <is>
          <t>329555:eng</t>
        </is>
      </c>
      <c r="AV1910" t="inlineStr">
        <is>
          <t>27187333</t>
        </is>
      </c>
      <c r="AW1910" t="inlineStr">
        <is>
          <t>991002123259702656</t>
        </is>
      </c>
      <c r="AX1910" t="inlineStr">
        <is>
          <t>991002123259702656</t>
        </is>
      </c>
      <c r="AY1910" t="inlineStr">
        <is>
          <t>2272739750002656</t>
        </is>
      </c>
      <c r="AZ1910" t="inlineStr">
        <is>
          <t>BOOK</t>
        </is>
      </c>
      <c r="BB1910" t="inlineStr">
        <is>
          <t>9780275944971</t>
        </is>
      </c>
      <c r="BC1910" t="inlineStr">
        <is>
          <t>32285001785350</t>
        </is>
      </c>
      <c r="BD1910" t="inlineStr">
        <is>
          <t>893590937</t>
        </is>
      </c>
    </row>
    <row r="1911">
      <c r="A1911" t="inlineStr">
        <is>
          <t>No</t>
        </is>
      </c>
      <c r="B1911" t="inlineStr">
        <is>
          <t>E835.D85 B4 1959</t>
        </is>
      </c>
      <c r="C1911" t="inlineStr">
        <is>
          <t>0                      E  0835000D  85                 B  4           1959</t>
        </is>
      </c>
      <c r="D1911" t="inlineStr">
        <is>
          <t>John Foster Dulles, 1888-1959 / foreword by Thomas E. Dewey.</t>
        </is>
      </c>
      <c r="F1911" t="inlineStr">
        <is>
          <t>No</t>
        </is>
      </c>
      <c r="G1911" t="inlineStr">
        <is>
          <t>1</t>
        </is>
      </c>
      <c r="H1911" t="inlineStr">
        <is>
          <t>No</t>
        </is>
      </c>
      <c r="I1911" t="inlineStr">
        <is>
          <t>No</t>
        </is>
      </c>
      <c r="J1911" t="inlineStr">
        <is>
          <t>0</t>
        </is>
      </c>
      <c r="K1911" t="inlineStr">
        <is>
          <t>Beal, John Robinson, 1906-</t>
        </is>
      </c>
      <c r="L1911" t="inlineStr">
        <is>
          <t>New York : Harper, [1959]</t>
        </is>
      </c>
      <c r="M1911" t="inlineStr">
        <is>
          <t>1959</t>
        </is>
      </c>
      <c r="O1911" t="inlineStr">
        <is>
          <t>eng</t>
        </is>
      </c>
      <c r="P1911" t="inlineStr">
        <is>
          <t>nyu</t>
        </is>
      </c>
      <c r="R1911" t="inlineStr">
        <is>
          <t xml:space="preserve">E  </t>
        </is>
      </c>
      <c r="S1911" t="n">
        <v>5</v>
      </c>
      <c r="T1911" t="n">
        <v>5</v>
      </c>
      <c r="U1911" t="inlineStr">
        <is>
          <t>2000-09-22</t>
        </is>
      </c>
      <c r="V1911" t="inlineStr">
        <is>
          <t>2000-09-22</t>
        </is>
      </c>
      <c r="W1911" t="inlineStr">
        <is>
          <t>1992-04-27</t>
        </is>
      </c>
      <c r="X1911" t="inlineStr">
        <is>
          <t>1992-04-27</t>
        </is>
      </c>
      <c r="Y1911" t="n">
        <v>565</v>
      </c>
      <c r="Z1911" t="n">
        <v>521</v>
      </c>
      <c r="AA1911" t="n">
        <v>1120</v>
      </c>
      <c r="AB1911" t="n">
        <v>4</v>
      </c>
      <c r="AC1911" t="n">
        <v>7</v>
      </c>
      <c r="AD1911" t="n">
        <v>15</v>
      </c>
      <c r="AE1911" t="n">
        <v>40</v>
      </c>
      <c r="AF1911" t="n">
        <v>5</v>
      </c>
      <c r="AG1911" t="n">
        <v>14</v>
      </c>
      <c r="AH1911" t="n">
        <v>3</v>
      </c>
      <c r="AI1911" t="n">
        <v>10</v>
      </c>
      <c r="AJ1911" t="n">
        <v>6</v>
      </c>
      <c r="AK1911" t="n">
        <v>17</v>
      </c>
      <c r="AL1911" t="n">
        <v>3</v>
      </c>
      <c r="AM1911" t="n">
        <v>6</v>
      </c>
      <c r="AN1911" t="n">
        <v>0</v>
      </c>
      <c r="AO1911" t="n">
        <v>1</v>
      </c>
      <c r="AP1911" t="inlineStr">
        <is>
          <t>No</t>
        </is>
      </c>
      <c r="AQ1911" t="inlineStr">
        <is>
          <t>Yes</t>
        </is>
      </c>
      <c r="AR1911">
        <f>HYPERLINK("http://catalog.hathitrust.org/Record/000576167","HathiTrust Record")</f>
        <v/>
      </c>
      <c r="AS1911">
        <f>HYPERLINK("https://creighton-primo.hosted.exlibrisgroup.com/primo-explore/search?tab=default_tab&amp;search_scope=EVERYTHING&amp;vid=01CRU&amp;lang=en_US&amp;offset=0&amp;query=any,contains,991002820389702656","Catalog Record")</f>
        <v/>
      </c>
      <c r="AT1911">
        <f>HYPERLINK("http://www.worldcat.org/oclc/466441","WorldCat Record")</f>
        <v/>
      </c>
      <c r="AU1911" t="inlineStr">
        <is>
          <t>3372540580:eng</t>
        </is>
      </c>
      <c r="AV1911" t="inlineStr">
        <is>
          <t>466441</t>
        </is>
      </c>
      <c r="AW1911" t="inlineStr">
        <is>
          <t>991002820389702656</t>
        </is>
      </c>
      <c r="AX1911" t="inlineStr">
        <is>
          <t>991002820389702656</t>
        </is>
      </c>
      <c r="AY1911" t="inlineStr">
        <is>
          <t>2259835650002656</t>
        </is>
      </c>
      <c r="AZ1911" t="inlineStr">
        <is>
          <t>BOOK</t>
        </is>
      </c>
      <c r="BC1911" t="inlineStr">
        <is>
          <t>32285001087732</t>
        </is>
      </c>
      <c r="BD1911" t="inlineStr">
        <is>
          <t>893498579</t>
        </is>
      </c>
    </row>
    <row r="1912">
      <c r="A1912" t="inlineStr">
        <is>
          <t>No</t>
        </is>
      </c>
      <c r="B1912" t="inlineStr">
        <is>
          <t>E835.D85 D8</t>
        </is>
      </c>
      <c r="C1912" t="inlineStr">
        <is>
          <t>0                      E  0835000D  85                 D  8</t>
        </is>
      </c>
      <c r="D1912" t="inlineStr">
        <is>
          <t>John Foster Dulles, the last year / foreword by Dwight D. Eisenhower.</t>
        </is>
      </c>
      <c r="F1912" t="inlineStr">
        <is>
          <t>No</t>
        </is>
      </c>
      <c r="G1912" t="inlineStr">
        <is>
          <t>1</t>
        </is>
      </c>
      <c r="H1912" t="inlineStr">
        <is>
          <t>No</t>
        </is>
      </c>
      <c r="I1912" t="inlineStr">
        <is>
          <t>No</t>
        </is>
      </c>
      <c r="J1912" t="inlineStr">
        <is>
          <t>0</t>
        </is>
      </c>
      <c r="K1912" t="inlineStr">
        <is>
          <t>Dulles, Eleanor Lansing, 1895-1996.</t>
        </is>
      </c>
      <c r="L1912" t="inlineStr">
        <is>
          <t>New York : Harcourt, Brace &amp; World, [c1963]</t>
        </is>
      </c>
      <c r="M1912" t="inlineStr">
        <is>
          <t>1963</t>
        </is>
      </c>
      <c r="N1912" t="inlineStr">
        <is>
          <t>[1st ed.]</t>
        </is>
      </c>
      <c r="O1912" t="inlineStr">
        <is>
          <t>eng</t>
        </is>
      </c>
      <c r="P1912" t="inlineStr">
        <is>
          <t>nyu</t>
        </is>
      </c>
      <c r="R1912" t="inlineStr">
        <is>
          <t xml:space="preserve">E  </t>
        </is>
      </c>
      <c r="S1912" t="n">
        <v>1</v>
      </c>
      <c r="T1912" t="n">
        <v>1</v>
      </c>
      <c r="U1912" t="inlineStr">
        <is>
          <t>2000-09-22</t>
        </is>
      </c>
      <c r="V1912" t="inlineStr">
        <is>
          <t>2000-09-22</t>
        </is>
      </c>
      <c r="W1912" t="inlineStr">
        <is>
          <t>1992-04-27</t>
        </is>
      </c>
      <c r="X1912" t="inlineStr">
        <is>
          <t>1992-04-27</t>
        </is>
      </c>
      <c r="Y1912" t="n">
        <v>519</v>
      </c>
      <c r="Z1912" t="n">
        <v>476</v>
      </c>
      <c r="AA1912" t="n">
        <v>483</v>
      </c>
      <c r="AB1912" t="n">
        <v>5</v>
      </c>
      <c r="AC1912" t="n">
        <v>5</v>
      </c>
      <c r="AD1912" t="n">
        <v>21</v>
      </c>
      <c r="AE1912" t="n">
        <v>21</v>
      </c>
      <c r="AF1912" t="n">
        <v>5</v>
      </c>
      <c r="AG1912" t="n">
        <v>5</v>
      </c>
      <c r="AH1912" t="n">
        <v>5</v>
      </c>
      <c r="AI1912" t="n">
        <v>5</v>
      </c>
      <c r="AJ1912" t="n">
        <v>12</v>
      </c>
      <c r="AK1912" t="n">
        <v>12</v>
      </c>
      <c r="AL1912" t="n">
        <v>3</v>
      </c>
      <c r="AM1912" t="n">
        <v>3</v>
      </c>
      <c r="AN1912" t="n">
        <v>0</v>
      </c>
      <c r="AO1912" t="n">
        <v>0</v>
      </c>
      <c r="AP1912" t="inlineStr">
        <is>
          <t>No</t>
        </is>
      </c>
      <c r="AQ1912" t="inlineStr">
        <is>
          <t>Yes</t>
        </is>
      </c>
      <c r="AR1912">
        <f>HYPERLINK("http://catalog.hathitrust.org/Record/000576176","HathiTrust Record")</f>
        <v/>
      </c>
      <c r="AS1912">
        <f>HYPERLINK("https://creighton-primo.hosted.exlibrisgroup.com/primo-explore/search?tab=default_tab&amp;search_scope=EVERYTHING&amp;vid=01CRU&amp;lang=en_US&amp;offset=0&amp;query=any,contains,991003705829702656","Catalog Record")</f>
        <v/>
      </c>
      <c r="AT1912">
        <f>HYPERLINK("http://www.worldcat.org/oclc/1343354","WorldCat Record")</f>
        <v/>
      </c>
      <c r="AU1912" t="inlineStr">
        <is>
          <t>481150576:eng</t>
        </is>
      </c>
      <c r="AV1912" t="inlineStr">
        <is>
          <t>1343354</t>
        </is>
      </c>
      <c r="AW1912" t="inlineStr">
        <is>
          <t>991003705829702656</t>
        </is>
      </c>
      <c r="AX1912" t="inlineStr">
        <is>
          <t>991003705829702656</t>
        </is>
      </c>
      <c r="AY1912" t="inlineStr">
        <is>
          <t>2263735390002656</t>
        </is>
      </c>
      <c r="AZ1912" t="inlineStr">
        <is>
          <t>BOOK</t>
        </is>
      </c>
      <c r="BC1912" t="inlineStr">
        <is>
          <t>32285001087740</t>
        </is>
      </c>
      <c r="BD1912" t="inlineStr">
        <is>
          <t>893598885</t>
        </is>
      </c>
    </row>
    <row r="1913">
      <c r="A1913" t="inlineStr">
        <is>
          <t>No</t>
        </is>
      </c>
      <c r="B1913" t="inlineStr">
        <is>
          <t>E835.D85 F5</t>
        </is>
      </c>
      <c r="C1913" t="inlineStr">
        <is>
          <t>0                      E  0835000D  85                 F  5</t>
        </is>
      </c>
      <c r="D1913" t="inlineStr">
        <is>
          <t>Dulles over Suez : the theory and practice of his diplomacy.</t>
        </is>
      </c>
      <c r="F1913" t="inlineStr">
        <is>
          <t>No</t>
        </is>
      </c>
      <c r="G1913" t="inlineStr">
        <is>
          <t>1</t>
        </is>
      </c>
      <c r="H1913" t="inlineStr">
        <is>
          <t>No</t>
        </is>
      </c>
      <c r="I1913" t="inlineStr">
        <is>
          <t>No</t>
        </is>
      </c>
      <c r="J1913" t="inlineStr">
        <is>
          <t>0</t>
        </is>
      </c>
      <c r="K1913" t="inlineStr">
        <is>
          <t>Finer, Herman, 1898-1969.</t>
        </is>
      </c>
      <c r="L1913" t="inlineStr">
        <is>
          <t>Chicago : Quadrangle Books, [1964]</t>
        </is>
      </c>
      <c r="M1913" t="inlineStr">
        <is>
          <t>1964</t>
        </is>
      </c>
      <c r="O1913" t="inlineStr">
        <is>
          <t>eng</t>
        </is>
      </c>
      <c r="P1913" t="inlineStr">
        <is>
          <t>ilu</t>
        </is>
      </c>
      <c r="R1913" t="inlineStr">
        <is>
          <t xml:space="preserve">E  </t>
        </is>
      </c>
      <c r="S1913" t="n">
        <v>2</v>
      </c>
      <c r="T1913" t="n">
        <v>2</v>
      </c>
      <c r="U1913" t="inlineStr">
        <is>
          <t>1993-04-19</t>
        </is>
      </c>
      <c r="V1913" t="inlineStr">
        <is>
          <t>1993-04-19</t>
        </is>
      </c>
      <c r="W1913" t="inlineStr">
        <is>
          <t>1990-10-22</t>
        </is>
      </c>
      <c r="X1913" t="inlineStr">
        <is>
          <t>1990-10-22</t>
        </is>
      </c>
      <c r="Y1913" t="n">
        <v>951</v>
      </c>
      <c r="Z1913" t="n">
        <v>859</v>
      </c>
      <c r="AA1913" t="n">
        <v>926</v>
      </c>
      <c r="AB1913" t="n">
        <v>7</v>
      </c>
      <c r="AC1913" t="n">
        <v>9</v>
      </c>
      <c r="AD1913" t="n">
        <v>43</v>
      </c>
      <c r="AE1913" t="n">
        <v>45</v>
      </c>
      <c r="AF1913" t="n">
        <v>17</v>
      </c>
      <c r="AG1913" t="n">
        <v>17</v>
      </c>
      <c r="AH1913" t="n">
        <v>8</v>
      </c>
      <c r="AI1913" t="n">
        <v>8</v>
      </c>
      <c r="AJ1913" t="n">
        <v>21</v>
      </c>
      <c r="AK1913" t="n">
        <v>21</v>
      </c>
      <c r="AL1913" t="n">
        <v>6</v>
      </c>
      <c r="AM1913" t="n">
        <v>8</v>
      </c>
      <c r="AN1913" t="n">
        <v>1</v>
      </c>
      <c r="AO1913" t="n">
        <v>1</v>
      </c>
      <c r="AP1913" t="inlineStr">
        <is>
          <t>No</t>
        </is>
      </c>
      <c r="AQ1913" t="inlineStr">
        <is>
          <t>Yes</t>
        </is>
      </c>
      <c r="AR1913">
        <f>HYPERLINK("http://catalog.hathitrust.org/Record/000576177","HathiTrust Record")</f>
        <v/>
      </c>
      <c r="AS1913">
        <f>HYPERLINK("https://creighton-primo.hosted.exlibrisgroup.com/primo-explore/search?tab=default_tab&amp;search_scope=EVERYTHING&amp;vid=01CRU&amp;lang=en_US&amp;offset=0&amp;query=any,contains,991002820199702656","Catalog Record")</f>
        <v/>
      </c>
      <c r="AT1913">
        <f>HYPERLINK("http://www.worldcat.org/oclc/466421","WorldCat Record")</f>
        <v/>
      </c>
      <c r="AU1913" t="inlineStr">
        <is>
          <t>1522834:eng</t>
        </is>
      </c>
      <c r="AV1913" t="inlineStr">
        <is>
          <t>466421</t>
        </is>
      </c>
      <c r="AW1913" t="inlineStr">
        <is>
          <t>991002820199702656</t>
        </is>
      </c>
      <c r="AX1913" t="inlineStr">
        <is>
          <t>991002820199702656</t>
        </is>
      </c>
      <c r="AY1913" t="inlineStr">
        <is>
          <t>2259837940002656</t>
        </is>
      </c>
      <c r="AZ1913" t="inlineStr">
        <is>
          <t>BOOK</t>
        </is>
      </c>
      <c r="BC1913" t="inlineStr">
        <is>
          <t>32285000350925</t>
        </is>
      </c>
      <c r="BD1913" t="inlineStr">
        <is>
          <t>893445381</t>
        </is>
      </c>
    </row>
    <row r="1914">
      <c r="A1914" t="inlineStr">
        <is>
          <t>No</t>
        </is>
      </c>
      <c r="B1914" t="inlineStr">
        <is>
          <t>E835.D85 G6 1974</t>
        </is>
      </c>
      <c r="C1914" t="inlineStr">
        <is>
          <t>0                      E  0835000D  85                 G  6           1974</t>
        </is>
      </c>
      <c r="D1914" t="inlineStr">
        <is>
          <t>John Foster Dulles : a reappraisal / by Richard Goold-Adams.</t>
        </is>
      </c>
      <c r="F1914" t="inlineStr">
        <is>
          <t>No</t>
        </is>
      </c>
      <c r="G1914" t="inlineStr">
        <is>
          <t>1</t>
        </is>
      </c>
      <c r="H1914" t="inlineStr">
        <is>
          <t>No</t>
        </is>
      </c>
      <c r="I1914" t="inlineStr">
        <is>
          <t>No</t>
        </is>
      </c>
      <c r="J1914" t="inlineStr">
        <is>
          <t>0</t>
        </is>
      </c>
      <c r="K1914" t="inlineStr">
        <is>
          <t>Goold-Adams, Richard.</t>
        </is>
      </c>
      <c r="L1914" t="inlineStr">
        <is>
          <t>Westport, Conn. : Greenwood Press, [1974, c1962]</t>
        </is>
      </c>
      <c r="M1914" t="inlineStr">
        <is>
          <t>1974</t>
        </is>
      </c>
      <c r="O1914" t="inlineStr">
        <is>
          <t>eng</t>
        </is>
      </c>
      <c r="P1914" t="inlineStr">
        <is>
          <t>ctu</t>
        </is>
      </c>
      <c r="R1914" t="inlineStr">
        <is>
          <t xml:space="preserve">E  </t>
        </is>
      </c>
      <c r="S1914" t="n">
        <v>1</v>
      </c>
      <c r="T1914" t="n">
        <v>1</v>
      </c>
      <c r="U1914" t="inlineStr">
        <is>
          <t>1993-04-19</t>
        </is>
      </c>
      <c r="V1914" t="inlineStr">
        <is>
          <t>1993-04-19</t>
        </is>
      </c>
      <c r="W1914" t="inlineStr">
        <is>
          <t>1992-11-30</t>
        </is>
      </c>
      <c r="X1914" t="inlineStr">
        <is>
          <t>1992-11-30</t>
        </is>
      </c>
      <c r="Y1914" t="n">
        <v>113</v>
      </c>
      <c r="Z1914" t="n">
        <v>103</v>
      </c>
      <c r="AA1914" t="n">
        <v>562</v>
      </c>
      <c r="AB1914" t="n">
        <v>2</v>
      </c>
      <c r="AC1914" t="n">
        <v>6</v>
      </c>
      <c r="AD1914" t="n">
        <v>2</v>
      </c>
      <c r="AE1914" t="n">
        <v>23</v>
      </c>
      <c r="AF1914" t="n">
        <v>0</v>
      </c>
      <c r="AG1914" t="n">
        <v>8</v>
      </c>
      <c r="AH1914" t="n">
        <v>0</v>
      </c>
      <c r="AI1914" t="n">
        <v>6</v>
      </c>
      <c r="AJ1914" t="n">
        <v>1</v>
      </c>
      <c r="AK1914" t="n">
        <v>10</v>
      </c>
      <c r="AL1914" t="n">
        <v>1</v>
      </c>
      <c r="AM1914" t="n">
        <v>4</v>
      </c>
      <c r="AN1914" t="n">
        <v>0</v>
      </c>
      <c r="AO1914" t="n">
        <v>0</v>
      </c>
      <c r="AP1914" t="inlineStr">
        <is>
          <t>No</t>
        </is>
      </c>
      <c r="AQ1914" t="inlineStr">
        <is>
          <t>Yes</t>
        </is>
      </c>
      <c r="AR1914">
        <f>HYPERLINK("http://catalog.hathitrust.org/Record/009700142","HathiTrust Record")</f>
        <v/>
      </c>
      <c r="AS1914">
        <f>HYPERLINK("https://creighton-primo.hosted.exlibrisgroup.com/primo-explore/search?tab=default_tab&amp;search_scope=EVERYTHING&amp;vid=01CRU&amp;lang=en_US&amp;offset=0&amp;query=any,contains,991003444659702656","Catalog Record")</f>
        <v/>
      </c>
      <c r="AT1914">
        <f>HYPERLINK("http://www.worldcat.org/oclc/980212","WorldCat Record")</f>
        <v/>
      </c>
      <c r="AU1914" t="inlineStr">
        <is>
          <t>151017856:eng</t>
        </is>
      </c>
      <c r="AV1914" t="inlineStr">
        <is>
          <t>980212</t>
        </is>
      </c>
      <c r="AW1914" t="inlineStr">
        <is>
          <t>991003444659702656</t>
        </is>
      </c>
      <c r="AX1914" t="inlineStr">
        <is>
          <t>991003444659702656</t>
        </is>
      </c>
      <c r="AY1914" t="inlineStr">
        <is>
          <t>2271389670002656</t>
        </is>
      </c>
      <c r="AZ1914" t="inlineStr">
        <is>
          <t>BOOK</t>
        </is>
      </c>
      <c r="BB1914" t="inlineStr">
        <is>
          <t>9780837176383</t>
        </is>
      </c>
      <c r="BC1914" t="inlineStr">
        <is>
          <t>32285001410405</t>
        </is>
      </c>
      <c r="BD1914" t="inlineStr">
        <is>
          <t>893711371</t>
        </is>
      </c>
    </row>
    <row r="1915">
      <c r="A1915" t="inlineStr">
        <is>
          <t>No</t>
        </is>
      </c>
      <c r="B1915" t="inlineStr">
        <is>
          <t>E836 .A5 1963</t>
        </is>
      </c>
      <c r="C1915" t="inlineStr">
        <is>
          <t>0                      E  0836000A  5           1963</t>
        </is>
      </c>
      <c r="D1915" t="inlineStr">
        <is>
          <t>Mandate for change, 1953-1956; The White House years.</t>
        </is>
      </c>
      <c r="F1915" t="inlineStr">
        <is>
          <t>No</t>
        </is>
      </c>
      <c r="G1915" t="inlineStr">
        <is>
          <t>1</t>
        </is>
      </c>
      <c r="H1915" t="inlineStr">
        <is>
          <t>No</t>
        </is>
      </c>
      <c r="I1915" t="inlineStr">
        <is>
          <t>No</t>
        </is>
      </c>
      <c r="J1915" t="inlineStr">
        <is>
          <t>0</t>
        </is>
      </c>
      <c r="K1915" t="inlineStr">
        <is>
          <t>Eisenhower, Dwight D. (Dwight David), 1890-1969.</t>
        </is>
      </c>
      <c r="L1915" t="inlineStr">
        <is>
          <t>Garden City, N.Y., Doubleday, 1963.</t>
        </is>
      </c>
      <c r="M1915" t="inlineStr">
        <is>
          <t>1963</t>
        </is>
      </c>
      <c r="N1915" t="inlineStr">
        <is>
          <t>[1st ed.]</t>
        </is>
      </c>
      <c r="O1915" t="inlineStr">
        <is>
          <t>eng</t>
        </is>
      </c>
      <c r="P1915" t="inlineStr">
        <is>
          <t>nyu</t>
        </is>
      </c>
      <c r="R1915" t="inlineStr">
        <is>
          <t xml:space="preserve">E  </t>
        </is>
      </c>
      <c r="S1915" t="n">
        <v>4</v>
      </c>
      <c r="T1915" t="n">
        <v>4</v>
      </c>
      <c r="U1915" t="inlineStr">
        <is>
          <t>1998-03-20</t>
        </is>
      </c>
      <c r="V1915" t="inlineStr">
        <is>
          <t>1998-03-20</t>
        </is>
      </c>
      <c r="W1915" t="inlineStr">
        <is>
          <t>1997-04-28</t>
        </is>
      </c>
      <c r="X1915" t="inlineStr">
        <is>
          <t>1997-04-28</t>
        </is>
      </c>
      <c r="Y1915" t="n">
        <v>1463</v>
      </c>
      <c r="Z1915" t="n">
        <v>1404</v>
      </c>
      <c r="AA1915" t="n">
        <v>1485</v>
      </c>
      <c r="AB1915" t="n">
        <v>14</v>
      </c>
      <c r="AC1915" t="n">
        <v>15</v>
      </c>
      <c r="AD1915" t="n">
        <v>46</v>
      </c>
      <c r="AE1915" t="n">
        <v>46</v>
      </c>
      <c r="AF1915" t="n">
        <v>19</v>
      </c>
      <c r="AG1915" t="n">
        <v>19</v>
      </c>
      <c r="AH1915" t="n">
        <v>6</v>
      </c>
      <c r="AI1915" t="n">
        <v>6</v>
      </c>
      <c r="AJ1915" t="n">
        <v>16</v>
      </c>
      <c r="AK1915" t="n">
        <v>16</v>
      </c>
      <c r="AL1915" t="n">
        <v>6</v>
      </c>
      <c r="AM1915" t="n">
        <v>6</v>
      </c>
      <c r="AN1915" t="n">
        <v>7</v>
      </c>
      <c r="AO1915" t="n">
        <v>7</v>
      </c>
      <c r="AP1915" t="inlineStr">
        <is>
          <t>No</t>
        </is>
      </c>
      <c r="AQ1915" t="inlineStr">
        <is>
          <t>Yes</t>
        </is>
      </c>
      <c r="AR1915">
        <f>HYPERLINK("http://catalog.hathitrust.org/Record/000576250","HathiTrust Record")</f>
        <v/>
      </c>
      <c r="AS1915">
        <f>HYPERLINK("https://creighton-primo.hosted.exlibrisgroup.com/primo-explore/search?tab=default_tab&amp;search_scope=EVERYTHING&amp;vid=01CRU&amp;lang=en_US&amp;offset=0&amp;query=any,contains,991004160809702656","Catalog Record")</f>
        <v/>
      </c>
      <c r="AT1915">
        <f>HYPERLINK("http://www.worldcat.org/oclc/2551357","WorldCat Record")</f>
        <v/>
      </c>
      <c r="AU1915" t="inlineStr">
        <is>
          <t>3503710979:eng</t>
        </is>
      </c>
      <c r="AV1915" t="inlineStr">
        <is>
          <t>2551357</t>
        </is>
      </c>
      <c r="AW1915" t="inlineStr">
        <is>
          <t>991004160809702656</t>
        </is>
      </c>
      <c r="AX1915" t="inlineStr">
        <is>
          <t>991004160809702656</t>
        </is>
      </c>
      <c r="AY1915" t="inlineStr">
        <is>
          <t>2255688920002656</t>
        </is>
      </c>
      <c r="AZ1915" t="inlineStr">
        <is>
          <t>BOOK</t>
        </is>
      </c>
      <c r="BC1915" t="inlineStr">
        <is>
          <t>32285002567385</t>
        </is>
      </c>
      <c r="BD1915" t="inlineStr">
        <is>
          <t>893417307</t>
        </is>
      </c>
    </row>
    <row r="1916">
      <c r="A1916" t="inlineStr">
        <is>
          <t>No</t>
        </is>
      </c>
      <c r="B1916" t="inlineStr">
        <is>
          <t>E836 .A83</t>
        </is>
      </c>
      <c r="C1916" t="inlineStr">
        <is>
          <t>0                      E  0836000A  83</t>
        </is>
      </c>
      <c r="D1916" t="inlineStr">
        <is>
          <t>The Supreme Commander : the war years of General Dwight D. Eisenhower / [by] Stephen E. Ambrose.</t>
        </is>
      </c>
      <c r="F1916" t="inlineStr">
        <is>
          <t>No</t>
        </is>
      </c>
      <c r="G1916" t="inlineStr">
        <is>
          <t>1</t>
        </is>
      </c>
      <c r="H1916" t="inlineStr">
        <is>
          <t>No</t>
        </is>
      </c>
      <c r="I1916" t="inlineStr">
        <is>
          <t>No</t>
        </is>
      </c>
      <c r="J1916" t="inlineStr">
        <is>
          <t>0</t>
        </is>
      </c>
      <c r="K1916" t="inlineStr">
        <is>
          <t>Ambrose, Stephen E.</t>
        </is>
      </c>
      <c r="L1916" t="inlineStr">
        <is>
          <t>Garden City, N.Y. : Doubleday, 1970.</t>
        </is>
      </c>
      <c r="M1916" t="inlineStr">
        <is>
          <t>1970</t>
        </is>
      </c>
      <c r="N1916" t="inlineStr">
        <is>
          <t>[1st ed.]</t>
        </is>
      </c>
      <c r="O1916" t="inlineStr">
        <is>
          <t>eng</t>
        </is>
      </c>
      <c r="P1916" t="inlineStr">
        <is>
          <t>nyu</t>
        </is>
      </c>
      <c r="R1916" t="inlineStr">
        <is>
          <t xml:space="preserve">E  </t>
        </is>
      </c>
      <c r="S1916" t="n">
        <v>10</v>
      </c>
      <c r="T1916" t="n">
        <v>10</v>
      </c>
      <c r="U1916" t="inlineStr">
        <is>
          <t>2001-11-04</t>
        </is>
      </c>
      <c r="V1916" t="inlineStr">
        <is>
          <t>2001-11-04</t>
        </is>
      </c>
      <c r="W1916" t="inlineStr">
        <is>
          <t>1993-12-08</t>
        </is>
      </c>
      <c r="X1916" t="inlineStr">
        <is>
          <t>1993-12-08</t>
        </is>
      </c>
      <c r="Y1916" t="n">
        <v>1559</v>
      </c>
      <c r="Z1916" t="n">
        <v>1462</v>
      </c>
      <c r="AA1916" t="n">
        <v>1725</v>
      </c>
      <c r="AB1916" t="n">
        <v>11</v>
      </c>
      <c r="AC1916" t="n">
        <v>13</v>
      </c>
      <c r="AD1916" t="n">
        <v>45</v>
      </c>
      <c r="AE1916" t="n">
        <v>49</v>
      </c>
      <c r="AF1916" t="n">
        <v>21</v>
      </c>
      <c r="AG1916" t="n">
        <v>23</v>
      </c>
      <c r="AH1916" t="n">
        <v>9</v>
      </c>
      <c r="AI1916" t="n">
        <v>10</v>
      </c>
      <c r="AJ1916" t="n">
        <v>23</v>
      </c>
      <c r="AK1916" t="n">
        <v>23</v>
      </c>
      <c r="AL1916" t="n">
        <v>6</v>
      </c>
      <c r="AM1916" t="n">
        <v>7</v>
      </c>
      <c r="AN1916" t="n">
        <v>0</v>
      </c>
      <c r="AO1916" t="n">
        <v>0</v>
      </c>
      <c r="AP1916" t="inlineStr">
        <is>
          <t>No</t>
        </is>
      </c>
      <c r="AQ1916" t="inlineStr">
        <is>
          <t>Yes</t>
        </is>
      </c>
      <c r="AR1916">
        <f>HYPERLINK("http://catalog.hathitrust.org/Record/000577115","HathiTrust Record")</f>
        <v/>
      </c>
      <c r="AS1916">
        <f>HYPERLINK("https://creighton-primo.hosted.exlibrisgroup.com/primo-explore/search?tab=default_tab&amp;search_scope=EVERYTHING&amp;vid=01CRU&amp;lang=en_US&amp;offset=0&amp;query=any,contains,991000563869702656","Catalog Record")</f>
        <v/>
      </c>
      <c r="AT1916">
        <f>HYPERLINK("http://www.worldcat.org/oclc/93707","WorldCat Record")</f>
        <v/>
      </c>
      <c r="AU1916" t="inlineStr">
        <is>
          <t>453286:eng</t>
        </is>
      </c>
      <c r="AV1916" t="inlineStr">
        <is>
          <t>93707</t>
        </is>
      </c>
      <c r="AW1916" t="inlineStr">
        <is>
          <t>991000563869702656</t>
        </is>
      </c>
      <c r="AX1916" t="inlineStr">
        <is>
          <t>991000563869702656</t>
        </is>
      </c>
      <c r="AY1916" t="inlineStr">
        <is>
          <t>2265734840002656</t>
        </is>
      </c>
      <c r="AZ1916" t="inlineStr">
        <is>
          <t>BOOK</t>
        </is>
      </c>
      <c r="BC1916" t="inlineStr">
        <is>
          <t>32285001807055</t>
        </is>
      </c>
      <c r="BD1916" t="inlineStr">
        <is>
          <t>893502586</t>
        </is>
      </c>
    </row>
    <row r="1917">
      <c r="A1917" t="inlineStr">
        <is>
          <t>No</t>
        </is>
      </c>
      <c r="B1917" t="inlineStr">
        <is>
          <t>E836 .B75 1992</t>
        </is>
      </c>
      <c r="C1917" t="inlineStr">
        <is>
          <t>0                      E  0836000B  75          1992</t>
        </is>
      </c>
      <c r="D1917" t="inlineStr">
        <is>
          <t>Eisenhower &amp; the anti-communist crusade / Jeff Broadwater.</t>
        </is>
      </c>
      <c r="F1917" t="inlineStr">
        <is>
          <t>No</t>
        </is>
      </c>
      <c r="G1917" t="inlineStr">
        <is>
          <t>1</t>
        </is>
      </c>
      <c r="H1917" t="inlineStr">
        <is>
          <t>No</t>
        </is>
      </c>
      <c r="I1917" t="inlineStr">
        <is>
          <t>No</t>
        </is>
      </c>
      <c r="J1917" t="inlineStr">
        <is>
          <t>0</t>
        </is>
      </c>
      <c r="K1917" t="inlineStr">
        <is>
          <t>Broadwater, Jeff.</t>
        </is>
      </c>
      <c r="L1917" t="inlineStr">
        <is>
          <t>Chapel Hill : University of North Carolina Press, c1992.</t>
        </is>
      </c>
      <c r="M1917" t="inlineStr">
        <is>
          <t>1992</t>
        </is>
      </c>
      <c r="O1917" t="inlineStr">
        <is>
          <t>eng</t>
        </is>
      </c>
      <c r="P1917" t="inlineStr">
        <is>
          <t>ncu</t>
        </is>
      </c>
      <c r="R1917" t="inlineStr">
        <is>
          <t xml:space="preserve">E  </t>
        </is>
      </c>
      <c r="S1917" t="n">
        <v>4</v>
      </c>
      <c r="T1917" t="n">
        <v>4</v>
      </c>
      <c r="U1917" t="inlineStr">
        <is>
          <t>1994-02-14</t>
        </is>
      </c>
      <c r="V1917" t="inlineStr">
        <is>
          <t>1994-02-14</t>
        </is>
      </c>
      <c r="W1917" t="inlineStr">
        <is>
          <t>1992-10-13</t>
        </is>
      </c>
      <c r="X1917" t="inlineStr">
        <is>
          <t>1992-10-13</t>
        </is>
      </c>
      <c r="Y1917" t="n">
        <v>496</v>
      </c>
      <c r="Z1917" t="n">
        <v>404</v>
      </c>
      <c r="AA1917" t="n">
        <v>411</v>
      </c>
      <c r="AB1917" t="n">
        <v>3</v>
      </c>
      <c r="AC1917" t="n">
        <v>3</v>
      </c>
      <c r="AD1917" t="n">
        <v>27</v>
      </c>
      <c r="AE1917" t="n">
        <v>27</v>
      </c>
      <c r="AF1917" t="n">
        <v>11</v>
      </c>
      <c r="AG1917" t="n">
        <v>11</v>
      </c>
      <c r="AH1917" t="n">
        <v>6</v>
      </c>
      <c r="AI1917" t="n">
        <v>6</v>
      </c>
      <c r="AJ1917" t="n">
        <v>15</v>
      </c>
      <c r="AK1917" t="n">
        <v>15</v>
      </c>
      <c r="AL1917" t="n">
        <v>2</v>
      </c>
      <c r="AM1917" t="n">
        <v>2</v>
      </c>
      <c r="AN1917" t="n">
        <v>1</v>
      </c>
      <c r="AO1917" t="n">
        <v>1</v>
      </c>
      <c r="AP1917" t="inlineStr">
        <is>
          <t>No</t>
        </is>
      </c>
      <c r="AQ1917" t="inlineStr">
        <is>
          <t>Yes</t>
        </is>
      </c>
      <c r="AR1917">
        <f>HYPERLINK("http://catalog.hathitrust.org/Record/002523973","HathiTrust Record")</f>
        <v/>
      </c>
      <c r="AS1917">
        <f>HYPERLINK("https://creighton-primo.hosted.exlibrisgroup.com/primo-explore/search?tab=default_tab&amp;search_scope=EVERYTHING&amp;vid=01CRU&amp;lang=en_US&amp;offset=0&amp;query=any,contains,991001931279702656","Catalog Record")</f>
        <v/>
      </c>
      <c r="AT1917">
        <f>HYPERLINK("http://www.worldcat.org/oclc/24378295","WorldCat Record")</f>
        <v/>
      </c>
      <c r="AU1917" t="inlineStr">
        <is>
          <t>26814307:eng</t>
        </is>
      </c>
      <c r="AV1917" t="inlineStr">
        <is>
          <t>24378295</t>
        </is>
      </c>
      <c r="AW1917" t="inlineStr">
        <is>
          <t>991001931279702656</t>
        </is>
      </c>
      <c r="AX1917" t="inlineStr">
        <is>
          <t>991001931279702656</t>
        </is>
      </c>
      <c r="AY1917" t="inlineStr">
        <is>
          <t>2266404800002656</t>
        </is>
      </c>
      <c r="AZ1917" t="inlineStr">
        <is>
          <t>BOOK</t>
        </is>
      </c>
      <c r="BB1917" t="inlineStr">
        <is>
          <t>9780807820155</t>
        </is>
      </c>
      <c r="BC1917" t="inlineStr">
        <is>
          <t>32285001317022</t>
        </is>
      </c>
      <c r="BD1917" t="inlineStr">
        <is>
          <t>893226244</t>
        </is>
      </c>
    </row>
    <row r="1918">
      <c r="A1918" t="inlineStr">
        <is>
          <t>No</t>
        </is>
      </c>
      <c r="B1918" t="inlineStr">
        <is>
          <t>E836 .B87 1986</t>
        </is>
      </c>
      <c r="C1918" t="inlineStr">
        <is>
          <t>0                      E  0836000B  87          1986</t>
        </is>
      </c>
      <c r="D1918" t="inlineStr">
        <is>
          <t>Dwight D. Eisenhower, hero and politician / Robert F. Burk.</t>
        </is>
      </c>
      <c r="F1918" t="inlineStr">
        <is>
          <t>No</t>
        </is>
      </c>
      <c r="G1918" t="inlineStr">
        <is>
          <t>1</t>
        </is>
      </c>
      <c r="H1918" t="inlineStr">
        <is>
          <t>No</t>
        </is>
      </c>
      <c r="I1918" t="inlineStr">
        <is>
          <t>No</t>
        </is>
      </c>
      <c r="J1918" t="inlineStr">
        <is>
          <t>0</t>
        </is>
      </c>
      <c r="K1918" t="inlineStr">
        <is>
          <t>Burk, Robert Fredrick, 1955-</t>
        </is>
      </c>
      <c r="L1918" t="inlineStr">
        <is>
          <t>Boston : Twayne Publishers, c1986.</t>
        </is>
      </c>
      <c r="M1918" t="inlineStr">
        <is>
          <t>1986</t>
        </is>
      </c>
      <c r="O1918" t="inlineStr">
        <is>
          <t>eng</t>
        </is>
      </c>
      <c r="P1918" t="inlineStr">
        <is>
          <t>mau</t>
        </is>
      </c>
      <c r="Q1918" t="inlineStr">
        <is>
          <t>Twayne's twentieth-century American biography series ; no. 2</t>
        </is>
      </c>
      <c r="R1918" t="inlineStr">
        <is>
          <t xml:space="preserve">E  </t>
        </is>
      </c>
      <c r="S1918" t="n">
        <v>12</v>
      </c>
      <c r="T1918" t="n">
        <v>12</v>
      </c>
      <c r="U1918" t="inlineStr">
        <is>
          <t>1999-11-08</t>
        </is>
      </c>
      <c r="V1918" t="inlineStr">
        <is>
          <t>1999-11-08</t>
        </is>
      </c>
      <c r="W1918" t="inlineStr">
        <is>
          <t>1991-06-19</t>
        </is>
      </c>
      <c r="X1918" t="inlineStr">
        <is>
          <t>1991-06-19</t>
        </is>
      </c>
      <c r="Y1918" t="n">
        <v>1074</v>
      </c>
      <c r="Z1918" t="n">
        <v>993</v>
      </c>
      <c r="AA1918" t="n">
        <v>1001</v>
      </c>
      <c r="AB1918" t="n">
        <v>7</v>
      </c>
      <c r="AC1918" t="n">
        <v>7</v>
      </c>
      <c r="AD1918" t="n">
        <v>37</v>
      </c>
      <c r="AE1918" t="n">
        <v>37</v>
      </c>
      <c r="AF1918" t="n">
        <v>18</v>
      </c>
      <c r="AG1918" t="n">
        <v>18</v>
      </c>
      <c r="AH1918" t="n">
        <v>8</v>
      </c>
      <c r="AI1918" t="n">
        <v>8</v>
      </c>
      <c r="AJ1918" t="n">
        <v>17</v>
      </c>
      <c r="AK1918" t="n">
        <v>17</v>
      </c>
      <c r="AL1918" t="n">
        <v>3</v>
      </c>
      <c r="AM1918" t="n">
        <v>3</v>
      </c>
      <c r="AN1918" t="n">
        <v>0</v>
      </c>
      <c r="AO1918" t="n">
        <v>0</v>
      </c>
      <c r="AP1918" t="inlineStr">
        <is>
          <t>No</t>
        </is>
      </c>
      <c r="AQ1918" t="inlineStr">
        <is>
          <t>Yes</t>
        </is>
      </c>
      <c r="AR1918">
        <f>HYPERLINK("http://catalog.hathitrust.org/Record/000835611","HathiTrust Record")</f>
        <v/>
      </c>
      <c r="AS1918">
        <f>HYPERLINK("https://creighton-primo.hosted.exlibrisgroup.com/primo-explore/search?tab=default_tab&amp;search_scope=EVERYTHING&amp;vid=01CRU&amp;lang=en_US&amp;offset=0&amp;query=any,contains,991000830709702656","Catalog Record")</f>
        <v/>
      </c>
      <c r="AT1918">
        <f>HYPERLINK("http://www.worldcat.org/oclc/13455134","WorldCat Record")</f>
        <v/>
      </c>
      <c r="AU1918" t="inlineStr">
        <is>
          <t>6819869:eng</t>
        </is>
      </c>
      <c r="AV1918" t="inlineStr">
        <is>
          <t>13455134</t>
        </is>
      </c>
      <c r="AW1918" t="inlineStr">
        <is>
          <t>991000830709702656</t>
        </is>
      </c>
      <c r="AX1918" t="inlineStr">
        <is>
          <t>991000830709702656</t>
        </is>
      </c>
      <c r="AY1918" t="inlineStr">
        <is>
          <t>2263756360002656</t>
        </is>
      </c>
      <c r="AZ1918" t="inlineStr">
        <is>
          <t>BOOK</t>
        </is>
      </c>
      <c r="BB1918" t="inlineStr">
        <is>
          <t>9780805777734</t>
        </is>
      </c>
      <c r="BC1918" t="inlineStr">
        <is>
          <t>32285000670017</t>
        </is>
      </c>
      <c r="BD1918" t="inlineStr">
        <is>
          <t>893884800</t>
        </is>
      </c>
    </row>
    <row r="1919">
      <c r="A1919" t="inlineStr">
        <is>
          <t>No</t>
        </is>
      </c>
      <c r="B1919" t="inlineStr">
        <is>
          <t>E836 .D47 2002</t>
        </is>
      </c>
      <c r="C1919" t="inlineStr">
        <is>
          <t>0                      E  0836000D  47          2002</t>
        </is>
      </c>
      <c r="D1919" t="inlineStr">
        <is>
          <t>Eisenhower : a soldier's life / Carlo D'Este.</t>
        </is>
      </c>
      <c r="F1919" t="inlineStr">
        <is>
          <t>No</t>
        </is>
      </c>
      <c r="G1919" t="inlineStr">
        <is>
          <t>1</t>
        </is>
      </c>
      <c r="H1919" t="inlineStr">
        <is>
          <t>No</t>
        </is>
      </c>
      <c r="I1919" t="inlineStr">
        <is>
          <t>No</t>
        </is>
      </c>
      <c r="J1919" t="inlineStr">
        <is>
          <t>0</t>
        </is>
      </c>
      <c r="K1919" t="inlineStr">
        <is>
          <t>D'Este, Carlo, 1936-</t>
        </is>
      </c>
      <c r="L1919" t="inlineStr">
        <is>
          <t>New York : Henry Holt &amp; Co., 2002.</t>
        </is>
      </c>
      <c r="M1919" t="inlineStr">
        <is>
          <t>2002</t>
        </is>
      </c>
      <c r="N1919" t="inlineStr">
        <is>
          <t>1st ed.</t>
        </is>
      </c>
      <c r="O1919" t="inlineStr">
        <is>
          <t>eng</t>
        </is>
      </c>
      <c r="P1919" t="inlineStr">
        <is>
          <t>nyu</t>
        </is>
      </c>
      <c r="R1919" t="inlineStr">
        <is>
          <t xml:space="preserve">E  </t>
        </is>
      </c>
      <c r="S1919" t="n">
        <v>4</v>
      </c>
      <c r="T1919" t="n">
        <v>4</v>
      </c>
      <c r="U1919" t="inlineStr">
        <is>
          <t>2002-09-13</t>
        </is>
      </c>
      <c r="V1919" t="inlineStr">
        <is>
          <t>2002-09-13</t>
        </is>
      </c>
      <c r="W1919" t="inlineStr">
        <is>
          <t>2002-08-27</t>
        </is>
      </c>
      <c r="X1919" t="inlineStr">
        <is>
          <t>2002-08-27</t>
        </is>
      </c>
      <c r="Y1919" t="n">
        <v>1437</v>
      </c>
      <c r="Z1919" t="n">
        <v>1392</v>
      </c>
      <c r="AA1919" t="n">
        <v>1475</v>
      </c>
      <c r="AB1919" t="n">
        <v>15</v>
      </c>
      <c r="AC1919" t="n">
        <v>15</v>
      </c>
      <c r="AD1919" t="n">
        <v>33</v>
      </c>
      <c r="AE1919" t="n">
        <v>33</v>
      </c>
      <c r="AF1919" t="n">
        <v>14</v>
      </c>
      <c r="AG1919" t="n">
        <v>14</v>
      </c>
      <c r="AH1919" t="n">
        <v>5</v>
      </c>
      <c r="AI1919" t="n">
        <v>5</v>
      </c>
      <c r="AJ1919" t="n">
        <v>12</v>
      </c>
      <c r="AK1919" t="n">
        <v>12</v>
      </c>
      <c r="AL1919" t="n">
        <v>7</v>
      </c>
      <c r="AM1919" t="n">
        <v>7</v>
      </c>
      <c r="AN1919" t="n">
        <v>0</v>
      </c>
      <c r="AO1919" t="n">
        <v>0</v>
      </c>
      <c r="AP1919" t="inlineStr">
        <is>
          <t>No</t>
        </is>
      </c>
      <c r="AQ1919" t="inlineStr">
        <is>
          <t>No</t>
        </is>
      </c>
      <c r="AS1919">
        <f>HYPERLINK("https://creighton-primo.hosted.exlibrisgroup.com/primo-explore/search?tab=default_tab&amp;search_scope=EVERYTHING&amp;vid=01CRU&amp;lang=en_US&amp;offset=0&amp;query=any,contains,991003854979702656","Catalog Record")</f>
        <v/>
      </c>
      <c r="AT1919">
        <f>HYPERLINK("http://www.worldcat.org/oclc/49861044","WorldCat Record")</f>
        <v/>
      </c>
      <c r="AU1919" t="inlineStr">
        <is>
          <t>62543391:eng</t>
        </is>
      </c>
      <c r="AV1919" t="inlineStr">
        <is>
          <t>49861044</t>
        </is>
      </c>
      <c r="AW1919" t="inlineStr">
        <is>
          <t>991003854979702656</t>
        </is>
      </c>
      <c r="AX1919" t="inlineStr">
        <is>
          <t>991003854979702656</t>
        </is>
      </c>
      <c r="AY1919" t="inlineStr">
        <is>
          <t>2269227870002656</t>
        </is>
      </c>
      <c r="AZ1919" t="inlineStr">
        <is>
          <t>BOOK</t>
        </is>
      </c>
      <c r="BB1919" t="inlineStr">
        <is>
          <t>9780805056860</t>
        </is>
      </c>
      <c r="BC1919" t="inlineStr">
        <is>
          <t>32285004645262</t>
        </is>
      </c>
      <c r="BD1919" t="inlineStr">
        <is>
          <t>893592976</t>
        </is>
      </c>
    </row>
    <row r="1920">
      <c r="A1920" t="inlineStr">
        <is>
          <t>No</t>
        </is>
      </c>
      <c r="B1920" t="inlineStr">
        <is>
          <t>E836 .E38 1986, v...</t>
        </is>
      </c>
      <c r="C1920" t="inlineStr">
        <is>
          <t>0                      E  0836000E  38          1986                                        v...</t>
        </is>
      </c>
      <c r="D1920" t="inlineStr">
        <is>
          <t>Eisenhower at war, 1943-1945 / by David Eisenhower.</t>
        </is>
      </c>
      <c r="E1920" t="inlineStr">
        <is>
          <t>V.1</t>
        </is>
      </c>
      <c r="F1920" t="inlineStr">
        <is>
          <t>No</t>
        </is>
      </c>
      <c r="G1920" t="inlineStr">
        <is>
          <t>1</t>
        </is>
      </c>
      <c r="H1920" t="inlineStr">
        <is>
          <t>No</t>
        </is>
      </c>
      <c r="I1920" t="inlineStr">
        <is>
          <t>No</t>
        </is>
      </c>
      <c r="J1920" t="inlineStr">
        <is>
          <t>0</t>
        </is>
      </c>
      <c r="K1920" t="inlineStr">
        <is>
          <t>Eisenhower, David, 1948-</t>
        </is>
      </c>
      <c r="L1920" t="inlineStr">
        <is>
          <t>New York : Random House, c1986-</t>
        </is>
      </c>
      <c r="M1920" t="inlineStr">
        <is>
          <t>1986</t>
        </is>
      </c>
      <c r="N1920" t="inlineStr">
        <is>
          <t>1st ed.</t>
        </is>
      </c>
      <c r="O1920" t="inlineStr">
        <is>
          <t>eng</t>
        </is>
      </c>
      <c r="P1920" t="inlineStr">
        <is>
          <t>nyu</t>
        </is>
      </c>
      <c r="R1920" t="inlineStr">
        <is>
          <t xml:space="preserve">E  </t>
        </is>
      </c>
      <c r="S1920" t="n">
        <v>2</v>
      </c>
      <c r="T1920" t="n">
        <v>2</v>
      </c>
      <c r="U1920" t="inlineStr">
        <is>
          <t>1995-03-30</t>
        </is>
      </c>
      <c r="V1920" t="inlineStr">
        <is>
          <t>1995-03-30</t>
        </is>
      </c>
      <c r="W1920" t="inlineStr">
        <is>
          <t>1991-06-19</t>
        </is>
      </c>
      <c r="X1920" t="inlineStr">
        <is>
          <t>1991-06-19</t>
        </is>
      </c>
      <c r="Y1920" t="n">
        <v>2300</v>
      </c>
      <c r="Z1920" t="n">
        <v>2216</v>
      </c>
      <c r="AA1920" t="n">
        <v>2506</v>
      </c>
      <c r="AB1920" t="n">
        <v>18</v>
      </c>
      <c r="AC1920" t="n">
        <v>20</v>
      </c>
      <c r="AD1920" t="n">
        <v>47</v>
      </c>
      <c r="AE1920" t="n">
        <v>51</v>
      </c>
      <c r="AF1920" t="n">
        <v>19</v>
      </c>
      <c r="AG1920" t="n">
        <v>21</v>
      </c>
      <c r="AH1920" t="n">
        <v>9</v>
      </c>
      <c r="AI1920" t="n">
        <v>10</v>
      </c>
      <c r="AJ1920" t="n">
        <v>19</v>
      </c>
      <c r="AK1920" t="n">
        <v>21</v>
      </c>
      <c r="AL1920" t="n">
        <v>7</v>
      </c>
      <c r="AM1920" t="n">
        <v>8</v>
      </c>
      <c r="AN1920" t="n">
        <v>1</v>
      </c>
      <c r="AO1920" t="n">
        <v>1</v>
      </c>
      <c r="AP1920" t="inlineStr">
        <is>
          <t>No</t>
        </is>
      </c>
      <c r="AQ1920" t="inlineStr">
        <is>
          <t>Yes</t>
        </is>
      </c>
      <c r="AR1920">
        <f>HYPERLINK("http://catalog.hathitrust.org/Record/000481333","HathiTrust Record")</f>
        <v/>
      </c>
      <c r="AS1920">
        <f>HYPERLINK("https://creighton-primo.hosted.exlibrisgroup.com/primo-explore/search?tab=default_tab&amp;search_scope=EVERYTHING&amp;vid=01CRU&amp;lang=en_US&amp;offset=0&amp;query=any,contains,991005127439702656","Catalog Record")</f>
        <v/>
      </c>
      <c r="AT1920">
        <f>HYPERLINK("http://www.worldcat.org/oclc/7554526","WorldCat Record")</f>
        <v/>
      </c>
      <c r="AU1920" t="inlineStr">
        <is>
          <t>49287183:eng</t>
        </is>
      </c>
      <c r="AV1920" t="inlineStr">
        <is>
          <t>7554526</t>
        </is>
      </c>
      <c r="AW1920" t="inlineStr">
        <is>
          <t>991005127439702656</t>
        </is>
      </c>
      <c r="AX1920" t="inlineStr">
        <is>
          <t>991005127439702656</t>
        </is>
      </c>
      <c r="AY1920" t="inlineStr">
        <is>
          <t>2264754700002656</t>
        </is>
      </c>
      <c r="AZ1920" t="inlineStr">
        <is>
          <t>BOOK</t>
        </is>
      </c>
      <c r="BB1920" t="inlineStr">
        <is>
          <t>9780394412375</t>
        </is>
      </c>
      <c r="BC1920" t="inlineStr">
        <is>
          <t>32285000670025</t>
        </is>
      </c>
      <c r="BD1920" t="inlineStr">
        <is>
          <t>893625492</t>
        </is>
      </c>
    </row>
    <row r="1921">
      <c r="A1921" t="inlineStr">
        <is>
          <t>No</t>
        </is>
      </c>
      <c r="B1921" t="inlineStr">
        <is>
          <t>E836 .E425 2003</t>
        </is>
      </c>
      <c r="C1921" t="inlineStr">
        <is>
          <t>0                      E  0836000E  425         2003</t>
        </is>
      </c>
      <c r="D1921" t="inlineStr">
        <is>
          <t>General Ike : a personal reminiscence / John S.D. Eisenhower.</t>
        </is>
      </c>
      <c r="F1921" t="inlineStr">
        <is>
          <t>No</t>
        </is>
      </c>
      <c r="G1921" t="inlineStr">
        <is>
          <t>1</t>
        </is>
      </c>
      <c r="H1921" t="inlineStr">
        <is>
          <t>No</t>
        </is>
      </c>
      <c r="I1921" t="inlineStr">
        <is>
          <t>No</t>
        </is>
      </c>
      <c r="J1921" t="inlineStr">
        <is>
          <t>0</t>
        </is>
      </c>
      <c r="K1921" t="inlineStr">
        <is>
          <t>Eisenhower, John S. D., 1922-2013.</t>
        </is>
      </c>
      <c r="L1921" t="inlineStr">
        <is>
          <t>New York : The Free Press, c2003.</t>
        </is>
      </c>
      <c r="M1921" t="inlineStr">
        <is>
          <t>2003</t>
        </is>
      </c>
      <c r="O1921" t="inlineStr">
        <is>
          <t>eng</t>
        </is>
      </c>
      <c r="P1921" t="inlineStr">
        <is>
          <t>nyu</t>
        </is>
      </c>
      <c r="R1921" t="inlineStr">
        <is>
          <t xml:space="preserve">E  </t>
        </is>
      </c>
      <c r="S1921" t="n">
        <v>5</v>
      </c>
      <c r="T1921" t="n">
        <v>5</v>
      </c>
      <c r="U1921" t="inlineStr">
        <is>
          <t>2003-07-29</t>
        </is>
      </c>
      <c r="V1921" t="inlineStr">
        <is>
          <t>2003-07-29</t>
        </is>
      </c>
      <c r="W1921" t="inlineStr">
        <is>
          <t>2003-07-29</t>
        </is>
      </c>
      <c r="X1921" t="inlineStr">
        <is>
          <t>2003-07-29</t>
        </is>
      </c>
      <c r="Y1921" t="n">
        <v>1269</v>
      </c>
      <c r="Z1921" t="n">
        <v>1226</v>
      </c>
      <c r="AA1921" t="n">
        <v>1314</v>
      </c>
      <c r="AB1921" t="n">
        <v>11</v>
      </c>
      <c r="AC1921" t="n">
        <v>11</v>
      </c>
      <c r="AD1921" t="n">
        <v>28</v>
      </c>
      <c r="AE1921" t="n">
        <v>28</v>
      </c>
      <c r="AF1921" t="n">
        <v>11</v>
      </c>
      <c r="AG1921" t="n">
        <v>11</v>
      </c>
      <c r="AH1921" t="n">
        <v>6</v>
      </c>
      <c r="AI1921" t="n">
        <v>6</v>
      </c>
      <c r="AJ1921" t="n">
        <v>14</v>
      </c>
      <c r="AK1921" t="n">
        <v>14</v>
      </c>
      <c r="AL1921" t="n">
        <v>3</v>
      </c>
      <c r="AM1921" t="n">
        <v>3</v>
      </c>
      <c r="AN1921" t="n">
        <v>0</v>
      </c>
      <c r="AO1921" t="n">
        <v>0</v>
      </c>
      <c r="AP1921" t="inlineStr">
        <is>
          <t>No</t>
        </is>
      </c>
      <c r="AQ1921" t="inlineStr">
        <is>
          <t>No</t>
        </is>
      </c>
      <c r="AS1921">
        <f>HYPERLINK("https://creighton-primo.hosted.exlibrisgroup.com/primo-explore/search?tab=default_tab&amp;search_scope=EVERYTHING&amp;vid=01CRU&amp;lang=en_US&amp;offset=0&amp;query=any,contains,991004090659702656","Catalog Record")</f>
        <v/>
      </c>
      <c r="AT1921">
        <f>HYPERLINK("http://www.worldcat.org/oclc/51518325","WorldCat Record")</f>
        <v/>
      </c>
      <c r="AU1921" t="inlineStr">
        <is>
          <t>3901062218:eng</t>
        </is>
      </c>
      <c r="AV1921" t="inlineStr">
        <is>
          <t>51518325</t>
        </is>
      </c>
      <c r="AW1921" t="inlineStr">
        <is>
          <t>991004090659702656</t>
        </is>
      </c>
      <c r="AX1921" t="inlineStr">
        <is>
          <t>991004090659702656</t>
        </is>
      </c>
      <c r="AY1921" t="inlineStr">
        <is>
          <t>2259878730002656</t>
        </is>
      </c>
      <c r="AZ1921" t="inlineStr">
        <is>
          <t>BOOK</t>
        </is>
      </c>
      <c r="BB1921" t="inlineStr">
        <is>
          <t>9780743244749</t>
        </is>
      </c>
      <c r="BC1921" t="inlineStr">
        <is>
          <t>32285004757695</t>
        </is>
      </c>
      <c r="BD1921" t="inlineStr">
        <is>
          <t>893718453</t>
        </is>
      </c>
    </row>
    <row r="1922">
      <c r="A1922" t="inlineStr">
        <is>
          <t>No</t>
        </is>
      </c>
      <c r="B1922" t="inlineStr">
        <is>
          <t>E836 .M63 1969</t>
        </is>
      </c>
      <c r="C1922" t="inlineStr">
        <is>
          <t>0                      E  0836000M  63          1969</t>
        </is>
      </c>
      <c r="D1922" t="inlineStr">
        <is>
          <t>Dwight D. Eisenhower ; a gauge of greatness / by Relman Morin.</t>
        </is>
      </c>
      <c r="F1922" t="inlineStr">
        <is>
          <t>No</t>
        </is>
      </c>
      <c r="G1922" t="inlineStr">
        <is>
          <t>1</t>
        </is>
      </c>
      <c r="H1922" t="inlineStr">
        <is>
          <t>No</t>
        </is>
      </c>
      <c r="I1922" t="inlineStr">
        <is>
          <t>No</t>
        </is>
      </c>
      <c r="J1922" t="inlineStr">
        <is>
          <t>0</t>
        </is>
      </c>
      <c r="K1922" t="inlineStr">
        <is>
          <t>Morin, Relman, 1907-1973.</t>
        </is>
      </c>
      <c r="L1922" t="inlineStr">
        <is>
          <t>New York : Associated Press, c1969.</t>
        </is>
      </c>
      <c r="M1922" t="inlineStr">
        <is>
          <t>1969</t>
        </is>
      </c>
      <c r="O1922" t="inlineStr">
        <is>
          <t>eng</t>
        </is>
      </c>
      <c r="P1922" t="inlineStr">
        <is>
          <t xml:space="preserve">xx </t>
        </is>
      </c>
      <c r="R1922" t="inlineStr">
        <is>
          <t xml:space="preserve">E  </t>
        </is>
      </c>
      <c r="S1922" t="n">
        <v>8</v>
      </c>
      <c r="T1922" t="n">
        <v>8</v>
      </c>
      <c r="U1922" t="inlineStr">
        <is>
          <t>1996-12-09</t>
        </is>
      </c>
      <c r="V1922" t="inlineStr">
        <is>
          <t>1996-12-09</t>
        </is>
      </c>
      <c r="W1922" t="inlineStr">
        <is>
          <t>1991-06-19</t>
        </is>
      </c>
      <c r="X1922" t="inlineStr">
        <is>
          <t>1991-06-19</t>
        </is>
      </c>
      <c r="Y1922" t="n">
        <v>122</v>
      </c>
      <c r="Z1922" t="n">
        <v>120</v>
      </c>
      <c r="AA1922" t="n">
        <v>1348</v>
      </c>
      <c r="AB1922" t="n">
        <v>1</v>
      </c>
      <c r="AC1922" t="n">
        <v>19</v>
      </c>
      <c r="AD1922" t="n">
        <v>1</v>
      </c>
      <c r="AE1922" t="n">
        <v>29</v>
      </c>
      <c r="AF1922" t="n">
        <v>1</v>
      </c>
      <c r="AG1922" t="n">
        <v>11</v>
      </c>
      <c r="AH1922" t="n">
        <v>0</v>
      </c>
      <c r="AI1922" t="n">
        <v>3</v>
      </c>
      <c r="AJ1922" t="n">
        <v>0</v>
      </c>
      <c r="AK1922" t="n">
        <v>10</v>
      </c>
      <c r="AL1922" t="n">
        <v>0</v>
      </c>
      <c r="AM1922" t="n">
        <v>8</v>
      </c>
      <c r="AN1922" t="n">
        <v>0</v>
      </c>
      <c r="AO1922" t="n">
        <v>1</v>
      </c>
      <c r="AP1922" t="inlineStr">
        <is>
          <t>No</t>
        </is>
      </c>
      <c r="AQ1922" t="inlineStr">
        <is>
          <t>No</t>
        </is>
      </c>
      <c r="AS1922">
        <f>HYPERLINK("https://creighton-primo.hosted.exlibrisgroup.com/primo-explore/search?tab=default_tab&amp;search_scope=EVERYTHING&amp;vid=01CRU&amp;lang=en_US&amp;offset=0&amp;query=any,contains,991004367149702656","Catalog Record")</f>
        <v/>
      </c>
      <c r="AT1922">
        <f>HYPERLINK("http://www.worldcat.org/oclc/3173403","WorldCat Record")</f>
        <v/>
      </c>
      <c r="AU1922" t="inlineStr">
        <is>
          <t>2280099:eng</t>
        </is>
      </c>
      <c r="AV1922" t="inlineStr">
        <is>
          <t>3173403</t>
        </is>
      </c>
      <c r="AW1922" t="inlineStr">
        <is>
          <t>991004367149702656</t>
        </is>
      </c>
      <c r="AX1922" t="inlineStr">
        <is>
          <t>991004367149702656</t>
        </is>
      </c>
      <c r="AY1922" t="inlineStr">
        <is>
          <t>2268532890002656</t>
        </is>
      </c>
      <c r="AZ1922" t="inlineStr">
        <is>
          <t>BOOK</t>
        </is>
      </c>
      <c r="BC1922" t="inlineStr">
        <is>
          <t>32285000670066</t>
        </is>
      </c>
      <c r="BD1922" t="inlineStr">
        <is>
          <t>893446166</t>
        </is>
      </c>
    </row>
    <row r="1923">
      <c r="A1923" t="inlineStr">
        <is>
          <t>No</t>
        </is>
      </c>
      <c r="B1923" t="inlineStr">
        <is>
          <t>E837.7 .P6 1965</t>
        </is>
      </c>
      <c r="C1923" t="inlineStr">
        <is>
          <t>0                      E  0837700P  6           1965</t>
        </is>
      </c>
      <c r="D1923" t="inlineStr">
        <is>
          <t>Candidates, issues and strategies; a computer simulation of the 1960 and 1964 Presidential elections [by] Ithiel de Sola Pool, Robert P. Abelson [and] Samuel L. Popkin.</t>
        </is>
      </c>
      <c r="F1923" t="inlineStr">
        <is>
          <t>No</t>
        </is>
      </c>
      <c r="G1923" t="inlineStr">
        <is>
          <t>1</t>
        </is>
      </c>
      <c r="H1923" t="inlineStr">
        <is>
          <t>No</t>
        </is>
      </c>
      <c r="I1923" t="inlineStr">
        <is>
          <t>No</t>
        </is>
      </c>
      <c r="J1923" t="inlineStr">
        <is>
          <t>0</t>
        </is>
      </c>
      <c r="K1923" t="inlineStr">
        <is>
          <t>Pool, Ithiel de Sola, 1917-1984.</t>
        </is>
      </c>
      <c r="L1923" t="inlineStr">
        <is>
          <t>Cambridge, M. I. T. Pr. [1965]</t>
        </is>
      </c>
      <c r="M1923" t="inlineStr">
        <is>
          <t>1965</t>
        </is>
      </c>
      <c r="N1923" t="inlineStr">
        <is>
          <t>[Rev. ed.]</t>
        </is>
      </c>
      <c r="O1923" t="inlineStr">
        <is>
          <t>eng</t>
        </is>
      </c>
      <c r="P1923" t="inlineStr">
        <is>
          <t>___</t>
        </is>
      </c>
      <c r="R1923" t="inlineStr">
        <is>
          <t xml:space="preserve">E  </t>
        </is>
      </c>
      <c r="S1923" t="n">
        <v>3</v>
      </c>
      <c r="T1923" t="n">
        <v>3</v>
      </c>
      <c r="U1923" t="inlineStr">
        <is>
          <t>2003-04-24</t>
        </is>
      </c>
      <c r="V1923" t="inlineStr">
        <is>
          <t>2003-04-24</t>
        </is>
      </c>
      <c r="W1923" t="inlineStr">
        <is>
          <t>1992-04-15</t>
        </is>
      </c>
      <c r="X1923" t="inlineStr">
        <is>
          <t>1992-04-15</t>
        </is>
      </c>
      <c r="Y1923" t="n">
        <v>416</v>
      </c>
      <c r="Z1923" t="n">
        <v>378</v>
      </c>
      <c r="AA1923" t="n">
        <v>393</v>
      </c>
      <c r="AB1923" t="n">
        <v>4</v>
      </c>
      <c r="AC1923" t="n">
        <v>4</v>
      </c>
      <c r="AD1923" t="n">
        <v>25</v>
      </c>
      <c r="AE1923" t="n">
        <v>25</v>
      </c>
      <c r="AF1923" t="n">
        <v>11</v>
      </c>
      <c r="AG1923" t="n">
        <v>11</v>
      </c>
      <c r="AH1923" t="n">
        <v>5</v>
      </c>
      <c r="AI1923" t="n">
        <v>5</v>
      </c>
      <c r="AJ1923" t="n">
        <v>13</v>
      </c>
      <c r="AK1923" t="n">
        <v>13</v>
      </c>
      <c r="AL1923" t="n">
        <v>3</v>
      </c>
      <c r="AM1923" t="n">
        <v>3</v>
      </c>
      <c r="AN1923" t="n">
        <v>0</v>
      </c>
      <c r="AO1923" t="n">
        <v>0</v>
      </c>
      <c r="AP1923" t="inlineStr">
        <is>
          <t>No</t>
        </is>
      </c>
      <c r="AQ1923" t="inlineStr">
        <is>
          <t>Yes</t>
        </is>
      </c>
      <c r="AR1923">
        <f>HYPERLINK("http://catalog.hathitrust.org/Record/000578902","HathiTrust Record")</f>
        <v/>
      </c>
      <c r="AS1923">
        <f>HYPERLINK("https://creighton-primo.hosted.exlibrisgroup.com/primo-explore/search?tab=default_tab&amp;search_scope=EVERYTHING&amp;vid=01CRU&amp;lang=en_US&amp;offset=0&amp;query=any,contains,991001903369702656","Catalog Record")</f>
        <v/>
      </c>
      <c r="AT1923">
        <f>HYPERLINK("http://www.worldcat.org/oclc/239524","WorldCat Record")</f>
        <v/>
      </c>
      <c r="AU1923" t="inlineStr">
        <is>
          <t>349294503:eng</t>
        </is>
      </c>
      <c r="AV1923" t="inlineStr">
        <is>
          <t>239524</t>
        </is>
      </c>
      <c r="AW1923" t="inlineStr">
        <is>
          <t>991001903369702656</t>
        </is>
      </c>
      <c r="AX1923" t="inlineStr">
        <is>
          <t>991001903369702656</t>
        </is>
      </c>
      <c r="AY1923" t="inlineStr">
        <is>
          <t>2256830810002656</t>
        </is>
      </c>
      <c r="AZ1923" t="inlineStr">
        <is>
          <t>BOOK</t>
        </is>
      </c>
      <c r="BC1923" t="inlineStr">
        <is>
          <t>32285001060374</t>
        </is>
      </c>
      <c r="BD1923" t="inlineStr">
        <is>
          <t>893709616</t>
        </is>
      </c>
    </row>
    <row r="1924">
      <c r="A1924" t="inlineStr">
        <is>
          <t>No</t>
        </is>
      </c>
      <c r="B1924" t="inlineStr">
        <is>
          <t>E838.5 .B79 1988</t>
        </is>
      </c>
      <c r="C1924" t="inlineStr">
        <is>
          <t>0                      E  0838500B  79          1988</t>
        </is>
      </c>
      <c r="D1924" t="inlineStr">
        <is>
          <t>In quest of national security / Zbigniew Brzezinski ; edited and annotated by Marin Strmecki.</t>
        </is>
      </c>
      <c r="F1924" t="inlineStr">
        <is>
          <t>No</t>
        </is>
      </c>
      <c r="G1924" t="inlineStr">
        <is>
          <t>1</t>
        </is>
      </c>
      <c r="H1924" t="inlineStr">
        <is>
          <t>No</t>
        </is>
      </c>
      <c r="I1924" t="inlineStr">
        <is>
          <t>No</t>
        </is>
      </c>
      <c r="J1924" t="inlineStr">
        <is>
          <t>0</t>
        </is>
      </c>
      <c r="K1924" t="inlineStr">
        <is>
          <t>Brzezinski, Zbigniew, 1928-2017.</t>
        </is>
      </c>
      <c r="L1924" t="inlineStr">
        <is>
          <t>Boulder : Westview Press, 1988.</t>
        </is>
      </c>
      <c r="M1924" t="inlineStr">
        <is>
          <t>1988</t>
        </is>
      </c>
      <c r="O1924" t="inlineStr">
        <is>
          <t>eng</t>
        </is>
      </c>
      <c r="P1924" t="inlineStr">
        <is>
          <t>cou</t>
        </is>
      </c>
      <c r="R1924" t="inlineStr">
        <is>
          <t xml:space="preserve">E  </t>
        </is>
      </c>
      <c r="S1924" t="n">
        <v>2</v>
      </c>
      <c r="T1924" t="n">
        <v>2</v>
      </c>
      <c r="U1924" t="inlineStr">
        <is>
          <t>1994-04-12</t>
        </is>
      </c>
      <c r="V1924" t="inlineStr">
        <is>
          <t>1994-04-12</t>
        </is>
      </c>
      <c r="W1924" t="inlineStr">
        <is>
          <t>1991-06-19</t>
        </is>
      </c>
      <c r="X1924" t="inlineStr">
        <is>
          <t>1991-06-19</t>
        </is>
      </c>
      <c r="Y1924" t="n">
        <v>486</v>
      </c>
      <c r="Z1924" t="n">
        <v>421</v>
      </c>
      <c r="AA1924" t="n">
        <v>443</v>
      </c>
      <c r="AB1924" t="n">
        <v>3</v>
      </c>
      <c r="AC1924" t="n">
        <v>3</v>
      </c>
      <c r="AD1924" t="n">
        <v>15</v>
      </c>
      <c r="AE1924" t="n">
        <v>15</v>
      </c>
      <c r="AF1924" t="n">
        <v>3</v>
      </c>
      <c r="AG1924" t="n">
        <v>3</v>
      </c>
      <c r="AH1924" t="n">
        <v>4</v>
      </c>
      <c r="AI1924" t="n">
        <v>4</v>
      </c>
      <c r="AJ1924" t="n">
        <v>10</v>
      </c>
      <c r="AK1924" t="n">
        <v>10</v>
      </c>
      <c r="AL1924" t="n">
        <v>2</v>
      </c>
      <c r="AM1924" t="n">
        <v>2</v>
      </c>
      <c r="AN1924" t="n">
        <v>0</v>
      </c>
      <c r="AO1924" t="n">
        <v>0</v>
      </c>
      <c r="AP1924" t="inlineStr">
        <is>
          <t>No</t>
        </is>
      </c>
      <c r="AQ1924" t="inlineStr">
        <is>
          <t>Yes</t>
        </is>
      </c>
      <c r="AR1924">
        <f>HYPERLINK("http://catalog.hathitrust.org/Record/000929750","HathiTrust Record")</f>
        <v/>
      </c>
      <c r="AS1924">
        <f>HYPERLINK("https://creighton-primo.hosted.exlibrisgroup.com/primo-explore/search?tab=default_tab&amp;search_scope=EVERYTHING&amp;vid=01CRU&amp;lang=en_US&amp;offset=0&amp;query=any,contains,991001266479702656","Catalog Record")</f>
        <v/>
      </c>
      <c r="AT1924">
        <f>HYPERLINK("http://www.worldcat.org/oclc/17806274","WorldCat Record")</f>
        <v/>
      </c>
      <c r="AU1924" t="inlineStr">
        <is>
          <t>16362915:eng</t>
        </is>
      </c>
      <c r="AV1924" t="inlineStr">
        <is>
          <t>17806274</t>
        </is>
      </c>
      <c r="AW1924" t="inlineStr">
        <is>
          <t>991001266479702656</t>
        </is>
      </c>
      <c r="AX1924" t="inlineStr">
        <is>
          <t>991001266479702656</t>
        </is>
      </c>
      <c r="AY1924" t="inlineStr">
        <is>
          <t>2262883350002656</t>
        </is>
      </c>
      <c r="AZ1924" t="inlineStr">
        <is>
          <t>BOOK</t>
        </is>
      </c>
      <c r="BB1924" t="inlineStr">
        <is>
          <t>9780813305752</t>
        </is>
      </c>
      <c r="BC1924" t="inlineStr">
        <is>
          <t>32285000670090</t>
        </is>
      </c>
      <c r="BD1924" t="inlineStr">
        <is>
          <t>893696618</t>
        </is>
      </c>
    </row>
    <row r="1925">
      <c r="A1925" t="inlineStr">
        <is>
          <t>No</t>
        </is>
      </c>
      <c r="B1925" t="inlineStr">
        <is>
          <t>E838.5 .R435 1981</t>
        </is>
      </c>
      <c r="C1925" t="inlineStr">
        <is>
          <t>0                      E  0838500R  435         1981</t>
        </is>
      </c>
      <c r="D1925" t="inlineStr">
        <is>
          <t>The Reagan wit / edited by Bill Adler, with Bill Adler, Jr.</t>
        </is>
      </c>
      <c r="F1925" t="inlineStr">
        <is>
          <t>No</t>
        </is>
      </c>
      <c r="G1925" t="inlineStr">
        <is>
          <t>1</t>
        </is>
      </c>
      <c r="H1925" t="inlineStr">
        <is>
          <t>No</t>
        </is>
      </c>
      <c r="I1925" t="inlineStr">
        <is>
          <t>No</t>
        </is>
      </c>
      <c r="J1925" t="inlineStr">
        <is>
          <t>0</t>
        </is>
      </c>
      <c r="K1925" t="inlineStr">
        <is>
          <t>Reagan, Ronald.</t>
        </is>
      </c>
      <c r="L1925" t="inlineStr">
        <is>
          <t>Aurora, Ill. : Caroline House Publishers, c1981.</t>
        </is>
      </c>
      <c r="M1925" t="inlineStr">
        <is>
          <t>1981</t>
        </is>
      </c>
      <c r="O1925" t="inlineStr">
        <is>
          <t>eng</t>
        </is>
      </c>
      <c r="P1925" t="inlineStr">
        <is>
          <t>ilu</t>
        </is>
      </c>
      <c r="R1925" t="inlineStr">
        <is>
          <t xml:space="preserve">E  </t>
        </is>
      </c>
      <c r="S1925" t="n">
        <v>3</v>
      </c>
      <c r="T1925" t="n">
        <v>3</v>
      </c>
      <c r="U1925" t="inlineStr">
        <is>
          <t>2004-06-17</t>
        </is>
      </c>
      <c r="V1925" t="inlineStr">
        <is>
          <t>2004-06-17</t>
        </is>
      </c>
      <c r="W1925" t="inlineStr">
        <is>
          <t>1991-06-19</t>
        </is>
      </c>
      <c r="X1925" t="inlineStr">
        <is>
          <t>1991-06-19</t>
        </is>
      </c>
      <c r="Y1925" t="n">
        <v>283</v>
      </c>
      <c r="Z1925" t="n">
        <v>275</v>
      </c>
      <c r="AA1925" t="n">
        <v>484</v>
      </c>
      <c r="AB1925" t="n">
        <v>3</v>
      </c>
      <c r="AC1925" t="n">
        <v>3</v>
      </c>
      <c r="AD1925" t="n">
        <v>1</v>
      </c>
      <c r="AE1925" t="n">
        <v>4</v>
      </c>
      <c r="AF1925" t="n">
        <v>1</v>
      </c>
      <c r="AG1925" t="n">
        <v>1</v>
      </c>
      <c r="AH1925" t="n">
        <v>0</v>
      </c>
      <c r="AI1925" t="n">
        <v>0</v>
      </c>
      <c r="AJ1925" t="n">
        <v>0</v>
      </c>
      <c r="AK1925" t="n">
        <v>3</v>
      </c>
      <c r="AL1925" t="n">
        <v>0</v>
      </c>
      <c r="AM1925" t="n">
        <v>0</v>
      </c>
      <c r="AN1925" t="n">
        <v>0</v>
      </c>
      <c r="AO1925" t="n">
        <v>0</v>
      </c>
      <c r="AP1925" t="inlineStr">
        <is>
          <t>No</t>
        </is>
      </c>
      <c r="AQ1925" t="inlineStr">
        <is>
          <t>Yes</t>
        </is>
      </c>
      <c r="AR1925">
        <f>HYPERLINK("http://catalog.hathitrust.org/Record/000266028","HathiTrust Record")</f>
        <v/>
      </c>
      <c r="AS1925">
        <f>HYPERLINK("https://creighton-primo.hosted.exlibrisgroup.com/primo-explore/search?tab=default_tab&amp;search_scope=EVERYTHING&amp;vid=01CRU&amp;lang=en_US&amp;offset=0&amp;query=any,contains,991005160269702656","Catalog Record")</f>
        <v/>
      </c>
      <c r="AT1925">
        <f>HYPERLINK("http://www.worldcat.org/oclc/7775315","WorldCat Record")</f>
        <v/>
      </c>
      <c r="AU1925" t="inlineStr">
        <is>
          <t>1811161352:eng</t>
        </is>
      </c>
      <c r="AV1925" t="inlineStr">
        <is>
          <t>7775315</t>
        </is>
      </c>
      <c r="AW1925" t="inlineStr">
        <is>
          <t>991005160269702656</t>
        </is>
      </c>
      <c r="AX1925" t="inlineStr">
        <is>
          <t>991005160269702656</t>
        </is>
      </c>
      <c r="AY1925" t="inlineStr">
        <is>
          <t>2270465630002656</t>
        </is>
      </c>
      <c r="AZ1925" t="inlineStr">
        <is>
          <t>BOOK</t>
        </is>
      </c>
      <c r="BB1925" t="inlineStr">
        <is>
          <t>9780898030907</t>
        </is>
      </c>
      <c r="BC1925" t="inlineStr">
        <is>
          <t>32285000670124</t>
        </is>
      </c>
      <c r="BD1925" t="inlineStr">
        <is>
          <t>893533283</t>
        </is>
      </c>
    </row>
    <row r="1926">
      <c r="A1926" t="inlineStr">
        <is>
          <t>No</t>
        </is>
      </c>
      <c r="B1926" t="inlineStr">
        <is>
          <t>E839 .F4</t>
        </is>
      </c>
      <c r="C1926" t="inlineStr">
        <is>
          <t>0                      E  0839000F  4</t>
        </is>
      </c>
      <c r="D1926" t="inlineStr">
        <is>
          <t>In opposition; images of American dissent in the sixties, by Benedict J. Fernandez. Pref. by Aryeh Neier.</t>
        </is>
      </c>
      <c r="F1926" t="inlineStr">
        <is>
          <t>No</t>
        </is>
      </c>
      <c r="G1926" t="inlineStr">
        <is>
          <t>1</t>
        </is>
      </c>
      <c r="H1926" t="inlineStr">
        <is>
          <t>No</t>
        </is>
      </c>
      <c r="I1926" t="inlineStr">
        <is>
          <t>No</t>
        </is>
      </c>
      <c r="J1926" t="inlineStr">
        <is>
          <t>0</t>
        </is>
      </c>
      <c r="K1926" t="inlineStr">
        <is>
          <t>Fernandez, Benedict J.</t>
        </is>
      </c>
      <c r="L1926" t="inlineStr">
        <is>
          <t>New York, Da Capo Press, 1968.</t>
        </is>
      </c>
      <c r="M1926" t="inlineStr">
        <is>
          <t>1968</t>
        </is>
      </c>
      <c r="O1926" t="inlineStr">
        <is>
          <t>eng</t>
        </is>
      </c>
      <c r="P1926" t="inlineStr">
        <is>
          <t>nyu</t>
        </is>
      </c>
      <c r="R1926" t="inlineStr">
        <is>
          <t xml:space="preserve">E  </t>
        </is>
      </c>
      <c r="S1926" t="n">
        <v>6</v>
      </c>
      <c r="T1926" t="n">
        <v>6</v>
      </c>
      <c r="U1926" t="inlineStr">
        <is>
          <t>1997-11-30</t>
        </is>
      </c>
      <c r="V1926" t="inlineStr">
        <is>
          <t>1997-11-30</t>
        </is>
      </c>
      <c r="W1926" t="inlineStr">
        <is>
          <t>1997-04-28</t>
        </is>
      </c>
      <c r="X1926" t="inlineStr">
        <is>
          <t>1997-04-28</t>
        </is>
      </c>
      <c r="Y1926" t="n">
        <v>473</v>
      </c>
      <c r="Z1926" t="n">
        <v>417</v>
      </c>
      <c r="AA1926" t="n">
        <v>418</v>
      </c>
      <c r="AB1926" t="n">
        <v>4</v>
      </c>
      <c r="AC1926" t="n">
        <v>4</v>
      </c>
      <c r="AD1926" t="n">
        <v>12</v>
      </c>
      <c r="AE1926" t="n">
        <v>12</v>
      </c>
      <c r="AF1926" t="n">
        <v>4</v>
      </c>
      <c r="AG1926" t="n">
        <v>4</v>
      </c>
      <c r="AH1926" t="n">
        <v>4</v>
      </c>
      <c r="AI1926" t="n">
        <v>4</v>
      </c>
      <c r="AJ1926" t="n">
        <v>5</v>
      </c>
      <c r="AK1926" t="n">
        <v>5</v>
      </c>
      <c r="AL1926" t="n">
        <v>2</v>
      </c>
      <c r="AM1926" t="n">
        <v>2</v>
      </c>
      <c r="AN1926" t="n">
        <v>0</v>
      </c>
      <c r="AO1926" t="n">
        <v>0</v>
      </c>
      <c r="AP1926" t="inlineStr">
        <is>
          <t>No</t>
        </is>
      </c>
      <c r="AQ1926" t="inlineStr">
        <is>
          <t>Yes</t>
        </is>
      </c>
      <c r="AR1926">
        <f>HYPERLINK("http://catalog.hathitrust.org/Record/004389082","HathiTrust Record")</f>
        <v/>
      </c>
      <c r="AS1926">
        <f>HYPERLINK("https://creighton-primo.hosted.exlibrisgroup.com/primo-explore/search?tab=default_tab&amp;search_scope=EVERYTHING&amp;vid=01CRU&amp;lang=en_US&amp;offset=0&amp;query=any,contains,991002304179702656","Catalog Record")</f>
        <v/>
      </c>
      <c r="AT1926">
        <f>HYPERLINK("http://www.worldcat.org/oclc/317906","WorldCat Record")</f>
        <v/>
      </c>
      <c r="AU1926" t="inlineStr">
        <is>
          <t>351312017:eng</t>
        </is>
      </c>
      <c r="AV1926" t="inlineStr">
        <is>
          <t>317906</t>
        </is>
      </c>
      <c r="AW1926" t="inlineStr">
        <is>
          <t>991002304179702656</t>
        </is>
      </c>
      <c r="AX1926" t="inlineStr">
        <is>
          <t>991002304179702656</t>
        </is>
      </c>
      <c r="AY1926" t="inlineStr">
        <is>
          <t>2267427790002656</t>
        </is>
      </c>
      <c r="AZ1926" t="inlineStr">
        <is>
          <t>BOOK</t>
        </is>
      </c>
      <c r="BC1926" t="inlineStr">
        <is>
          <t>32285002567435</t>
        </is>
      </c>
      <c r="BD1926" t="inlineStr">
        <is>
          <t>893710124</t>
        </is>
      </c>
    </row>
    <row r="1927">
      <c r="A1927" t="inlineStr">
        <is>
          <t>No</t>
        </is>
      </c>
      <c r="B1927" t="inlineStr">
        <is>
          <t>E839 .S23 1983</t>
        </is>
      </c>
      <c r="C1927" t="inlineStr">
        <is>
          <t>0                      E  0839000S  23          1983</t>
        </is>
      </c>
      <c r="D1927" t="inlineStr">
        <is>
          <t>Decade of shocks : Dallas to Watergate, 1963-1974 / Tom Shachtman.</t>
        </is>
      </c>
      <c r="F1927" t="inlineStr">
        <is>
          <t>No</t>
        </is>
      </c>
      <c r="G1927" t="inlineStr">
        <is>
          <t>1</t>
        </is>
      </c>
      <c r="H1927" t="inlineStr">
        <is>
          <t>No</t>
        </is>
      </c>
      <c r="I1927" t="inlineStr">
        <is>
          <t>No</t>
        </is>
      </c>
      <c r="J1927" t="inlineStr">
        <is>
          <t>0</t>
        </is>
      </c>
      <c r="K1927" t="inlineStr">
        <is>
          <t>Shachtman, Tom, 1942-</t>
        </is>
      </c>
      <c r="L1927" t="inlineStr">
        <is>
          <t>New York : Poseidon Press, c1983.</t>
        </is>
      </c>
      <c r="M1927" t="inlineStr">
        <is>
          <t>1983</t>
        </is>
      </c>
      <c r="O1927" t="inlineStr">
        <is>
          <t>eng</t>
        </is>
      </c>
      <c r="P1927" t="inlineStr">
        <is>
          <t>nyu</t>
        </is>
      </c>
      <c r="R1927" t="inlineStr">
        <is>
          <t xml:space="preserve">E  </t>
        </is>
      </c>
      <c r="S1927" t="n">
        <v>1</v>
      </c>
      <c r="T1927" t="n">
        <v>1</v>
      </c>
      <c r="U1927" t="inlineStr">
        <is>
          <t>1994-11-28</t>
        </is>
      </c>
      <c r="V1927" t="inlineStr">
        <is>
          <t>1994-11-28</t>
        </is>
      </c>
      <c r="W1927" t="inlineStr">
        <is>
          <t>1991-06-19</t>
        </is>
      </c>
      <c r="X1927" t="inlineStr">
        <is>
          <t>1991-06-19</t>
        </is>
      </c>
      <c r="Y1927" t="n">
        <v>791</v>
      </c>
      <c r="Z1927" t="n">
        <v>744</v>
      </c>
      <c r="AA1927" t="n">
        <v>747</v>
      </c>
      <c r="AB1927" t="n">
        <v>6</v>
      </c>
      <c r="AC1927" t="n">
        <v>6</v>
      </c>
      <c r="AD1927" t="n">
        <v>23</v>
      </c>
      <c r="AE1927" t="n">
        <v>23</v>
      </c>
      <c r="AF1927" t="n">
        <v>8</v>
      </c>
      <c r="AG1927" t="n">
        <v>8</v>
      </c>
      <c r="AH1927" t="n">
        <v>7</v>
      </c>
      <c r="AI1927" t="n">
        <v>7</v>
      </c>
      <c r="AJ1927" t="n">
        <v>9</v>
      </c>
      <c r="AK1927" t="n">
        <v>9</v>
      </c>
      <c r="AL1927" t="n">
        <v>4</v>
      </c>
      <c r="AM1927" t="n">
        <v>4</v>
      </c>
      <c r="AN1927" t="n">
        <v>0</v>
      </c>
      <c r="AO1927" t="n">
        <v>0</v>
      </c>
      <c r="AP1927" t="inlineStr">
        <is>
          <t>No</t>
        </is>
      </c>
      <c r="AQ1927" t="inlineStr">
        <is>
          <t>Yes</t>
        </is>
      </c>
      <c r="AR1927">
        <f>HYPERLINK("http://catalog.hathitrust.org/Record/000778506","HathiTrust Record")</f>
        <v/>
      </c>
      <c r="AS1927">
        <f>HYPERLINK("https://creighton-primo.hosted.exlibrisgroup.com/primo-explore/search?tab=default_tab&amp;search_scope=EVERYTHING&amp;vid=01CRU&amp;lang=en_US&amp;offset=0&amp;query=any,contains,991000238469702656","Catalog Record")</f>
        <v/>
      </c>
      <c r="AT1927">
        <f>HYPERLINK("http://www.worldcat.org/oclc/9682262","WorldCat Record")</f>
        <v/>
      </c>
      <c r="AU1927" t="inlineStr">
        <is>
          <t>26458352:eng</t>
        </is>
      </c>
      <c r="AV1927" t="inlineStr">
        <is>
          <t>9682262</t>
        </is>
      </c>
      <c r="AW1927" t="inlineStr">
        <is>
          <t>991000238469702656</t>
        </is>
      </c>
      <c r="AX1927" t="inlineStr">
        <is>
          <t>991000238469702656</t>
        </is>
      </c>
      <c r="AY1927" t="inlineStr">
        <is>
          <t>2263966800002656</t>
        </is>
      </c>
      <c r="AZ1927" t="inlineStr">
        <is>
          <t>BOOK</t>
        </is>
      </c>
      <c r="BB1927" t="inlineStr">
        <is>
          <t>9780671442521</t>
        </is>
      </c>
      <c r="BC1927" t="inlineStr">
        <is>
          <t>32285000670157</t>
        </is>
      </c>
      <c r="BD1927" t="inlineStr">
        <is>
          <t>893871527</t>
        </is>
      </c>
    </row>
    <row r="1928">
      <c r="A1928" t="inlineStr">
        <is>
          <t>No</t>
        </is>
      </c>
      <c r="B1928" t="inlineStr">
        <is>
          <t>E839 .T47 1988</t>
        </is>
      </c>
      <c r="C1928" t="inlineStr">
        <is>
          <t>0                      E  0839000T  47          1988</t>
        </is>
      </c>
      <c r="D1928" t="inlineStr">
        <is>
          <t>The Great Divide : second thoughts on the American dream / Studs Terkel.</t>
        </is>
      </c>
      <c r="F1928" t="inlineStr">
        <is>
          <t>No</t>
        </is>
      </c>
      <c r="G1928" t="inlineStr">
        <is>
          <t>1</t>
        </is>
      </c>
      <c r="H1928" t="inlineStr">
        <is>
          <t>No</t>
        </is>
      </c>
      <c r="I1928" t="inlineStr">
        <is>
          <t>No</t>
        </is>
      </c>
      <c r="J1928" t="inlineStr">
        <is>
          <t>0</t>
        </is>
      </c>
      <c r="K1928" t="inlineStr">
        <is>
          <t>Terkel, Studs, 1912-2008.</t>
        </is>
      </c>
      <c r="L1928" t="inlineStr">
        <is>
          <t>New York : Pantheon Books, c1988.</t>
        </is>
      </c>
      <c r="M1928" t="inlineStr">
        <is>
          <t>1988</t>
        </is>
      </c>
      <c r="N1928" t="inlineStr">
        <is>
          <t>1st ed.</t>
        </is>
      </c>
      <c r="O1928" t="inlineStr">
        <is>
          <t>eng</t>
        </is>
      </c>
      <c r="P1928" t="inlineStr">
        <is>
          <t>nyu</t>
        </is>
      </c>
      <c r="R1928" t="inlineStr">
        <is>
          <t xml:space="preserve">E  </t>
        </is>
      </c>
      <c r="S1928" t="n">
        <v>6</v>
      </c>
      <c r="T1928" t="n">
        <v>6</v>
      </c>
      <c r="U1928" t="inlineStr">
        <is>
          <t>2004-09-04</t>
        </is>
      </c>
      <c r="V1928" t="inlineStr">
        <is>
          <t>2004-09-04</t>
        </is>
      </c>
      <c r="W1928" t="inlineStr">
        <is>
          <t>1989-11-06</t>
        </is>
      </c>
      <c r="X1928" t="inlineStr">
        <is>
          <t>1989-11-06</t>
        </is>
      </c>
      <c r="Y1928" t="n">
        <v>2213</v>
      </c>
      <c r="Z1928" t="n">
        <v>2100</v>
      </c>
      <c r="AA1928" t="n">
        <v>2168</v>
      </c>
      <c r="AB1928" t="n">
        <v>15</v>
      </c>
      <c r="AC1928" t="n">
        <v>15</v>
      </c>
      <c r="AD1928" t="n">
        <v>45</v>
      </c>
      <c r="AE1928" t="n">
        <v>45</v>
      </c>
      <c r="AF1928" t="n">
        <v>20</v>
      </c>
      <c r="AG1928" t="n">
        <v>20</v>
      </c>
      <c r="AH1928" t="n">
        <v>10</v>
      </c>
      <c r="AI1928" t="n">
        <v>10</v>
      </c>
      <c r="AJ1928" t="n">
        <v>17</v>
      </c>
      <c r="AK1928" t="n">
        <v>17</v>
      </c>
      <c r="AL1928" t="n">
        <v>8</v>
      </c>
      <c r="AM1928" t="n">
        <v>8</v>
      </c>
      <c r="AN1928" t="n">
        <v>0</v>
      </c>
      <c r="AO1928" t="n">
        <v>0</v>
      </c>
      <c r="AP1928" t="inlineStr">
        <is>
          <t>No</t>
        </is>
      </c>
      <c r="AQ1928" t="inlineStr">
        <is>
          <t>Yes</t>
        </is>
      </c>
      <c r="AR1928">
        <f>HYPERLINK("http://catalog.hathitrust.org/Record/000928388","HathiTrust Record")</f>
        <v/>
      </c>
      <c r="AS1928">
        <f>HYPERLINK("https://creighton-primo.hosted.exlibrisgroup.com/primo-explore/search?tab=default_tab&amp;search_scope=EVERYTHING&amp;vid=01CRU&amp;lang=en_US&amp;offset=0&amp;query=any,contains,991001277399702656","Catalog Record")</f>
        <v/>
      </c>
      <c r="AT1928">
        <f>HYPERLINK("http://www.worldcat.org/oclc/17877496","WorldCat Record")</f>
        <v/>
      </c>
      <c r="AU1928" t="inlineStr">
        <is>
          <t>26539397:eng</t>
        </is>
      </c>
      <c r="AV1928" t="inlineStr">
        <is>
          <t>17877496</t>
        </is>
      </c>
      <c r="AW1928" t="inlineStr">
        <is>
          <t>991001277399702656</t>
        </is>
      </c>
      <c r="AX1928" t="inlineStr">
        <is>
          <t>991001277399702656</t>
        </is>
      </c>
      <c r="AY1928" t="inlineStr">
        <is>
          <t>2266873780002656</t>
        </is>
      </c>
      <c r="AZ1928" t="inlineStr">
        <is>
          <t>BOOK</t>
        </is>
      </c>
      <c r="BB1928" t="inlineStr">
        <is>
          <t>9780394570532</t>
        </is>
      </c>
      <c r="BC1928" t="inlineStr">
        <is>
          <t>32285000011766</t>
        </is>
      </c>
      <c r="BD1928" t="inlineStr">
        <is>
          <t>893414116</t>
        </is>
      </c>
    </row>
    <row r="1929">
      <c r="A1929" t="inlineStr">
        <is>
          <t>No</t>
        </is>
      </c>
      <c r="B1929" t="inlineStr">
        <is>
          <t>E839.5 .B44 1994</t>
        </is>
      </c>
      <c r="C1929" t="inlineStr">
        <is>
          <t>0                      E  0839500B  44          1994</t>
        </is>
      </c>
      <c r="D1929" t="inlineStr">
        <is>
          <t>America's right turn : from Nixon to Bush / William C. Berman.</t>
        </is>
      </c>
      <c r="F1929" t="inlineStr">
        <is>
          <t>No</t>
        </is>
      </c>
      <c r="G1929" t="inlineStr">
        <is>
          <t>1</t>
        </is>
      </c>
      <c r="H1929" t="inlineStr">
        <is>
          <t>No</t>
        </is>
      </c>
      <c r="I1929" t="inlineStr">
        <is>
          <t>No</t>
        </is>
      </c>
      <c r="J1929" t="inlineStr">
        <is>
          <t>0</t>
        </is>
      </c>
      <c r="K1929" t="inlineStr">
        <is>
          <t>Berman, William C., 1932-</t>
        </is>
      </c>
      <c r="L1929" t="inlineStr">
        <is>
          <t>Baltimore : Johns Hopkins University Press, c1994.</t>
        </is>
      </c>
      <c r="M1929" t="inlineStr">
        <is>
          <t>1994</t>
        </is>
      </c>
      <c r="O1929" t="inlineStr">
        <is>
          <t>eng</t>
        </is>
      </c>
      <c r="P1929" t="inlineStr">
        <is>
          <t>mdu</t>
        </is>
      </c>
      <c r="Q1929" t="inlineStr">
        <is>
          <t>The American moment</t>
        </is>
      </c>
      <c r="R1929" t="inlineStr">
        <is>
          <t xml:space="preserve">E  </t>
        </is>
      </c>
      <c r="S1929" t="n">
        <v>2</v>
      </c>
      <c r="T1929" t="n">
        <v>2</v>
      </c>
      <c r="U1929" t="inlineStr">
        <is>
          <t>1994-12-19</t>
        </is>
      </c>
      <c r="V1929" t="inlineStr">
        <is>
          <t>1994-12-19</t>
        </is>
      </c>
      <c r="W1929" t="inlineStr">
        <is>
          <t>1994-11-10</t>
        </is>
      </c>
      <c r="X1929" t="inlineStr">
        <is>
          <t>1994-11-10</t>
        </is>
      </c>
      <c r="Y1929" t="n">
        <v>634</v>
      </c>
      <c r="Z1929" t="n">
        <v>539</v>
      </c>
      <c r="AA1929" t="n">
        <v>544</v>
      </c>
      <c r="AB1929" t="n">
        <v>6</v>
      </c>
      <c r="AC1929" t="n">
        <v>6</v>
      </c>
      <c r="AD1929" t="n">
        <v>28</v>
      </c>
      <c r="AE1929" t="n">
        <v>28</v>
      </c>
      <c r="AF1929" t="n">
        <v>11</v>
      </c>
      <c r="AG1929" t="n">
        <v>11</v>
      </c>
      <c r="AH1929" t="n">
        <v>7</v>
      </c>
      <c r="AI1929" t="n">
        <v>7</v>
      </c>
      <c r="AJ1929" t="n">
        <v>14</v>
      </c>
      <c r="AK1929" t="n">
        <v>14</v>
      </c>
      <c r="AL1929" t="n">
        <v>5</v>
      </c>
      <c r="AM1929" t="n">
        <v>5</v>
      </c>
      <c r="AN1929" t="n">
        <v>0</v>
      </c>
      <c r="AO1929" t="n">
        <v>0</v>
      </c>
      <c r="AP1929" t="inlineStr">
        <is>
          <t>No</t>
        </is>
      </c>
      <c r="AQ1929" t="inlineStr">
        <is>
          <t>Yes</t>
        </is>
      </c>
      <c r="AR1929">
        <f>HYPERLINK("http://catalog.hathitrust.org/Record/002804353","HathiTrust Record")</f>
        <v/>
      </c>
      <c r="AS1929">
        <f>HYPERLINK("https://creighton-primo.hosted.exlibrisgroup.com/primo-explore/search?tab=default_tab&amp;search_scope=EVERYTHING&amp;vid=01CRU&amp;lang=en_US&amp;offset=0&amp;query=any,contains,991002251869702656","Catalog Record")</f>
        <v/>
      </c>
      <c r="AT1929">
        <f>HYPERLINK("http://www.worldcat.org/oclc/29181989","WorldCat Record")</f>
        <v/>
      </c>
      <c r="AU1929" t="inlineStr">
        <is>
          <t>3857237723:eng</t>
        </is>
      </c>
      <c r="AV1929" t="inlineStr">
        <is>
          <t>29181989</t>
        </is>
      </c>
      <c r="AW1929" t="inlineStr">
        <is>
          <t>991002251869702656</t>
        </is>
      </c>
      <c r="AX1929" t="inlineStr">
        <is>
          <t>991002251869702656</t>
        </is>
      </c>
      <c r="AY1929" t="inlineStr">
        <is>
          <t>2255038170002656</t>
        </is>
      </c>
      <c r="AZ1929" t="inlineStr">
        <is>
          <t>BOOK</t>
        </is>
      </c>
      <c r="BB1929" t="inlineStr">
        <is>
          <t>9780801848254</t>
        </is>
      </c>
      <c r="BC1929" t="inlineStr">
        <is>
          <t>32285001957009</t>
        </is>
      </c>
      <c r="BD1929" t="inlineStr">
        <is>
          <t>893517063</t>
        </is>
      </c>
    </row>
    <row r="1930">
      <c r="A1930" t="inlineStr">
        <is>
          <t>No</t>
        </is>
      </c>
      <c r="B1930" t="inlineStr">
        <is>
          <t>E839.5 .D533 2001</t>
        </is>
      </c>
      <c r="C1930" t="inlineStr">
        <is>
          <t>0                      E  0839500D  533         2001</t>
        </is>
      </c>
      <c r="D1930" t="inlineStr">
        <is>
          <t>Political fictions / Joan Didion.</t>
        </is>
      </c>
      <c r="F1930" t="inlineStr">
        <is>
          <t>No</t>
        </is>
      </c>
      <c r="G1930" t="inlineStr">
        <is>
          <t>1</t>
        </is>
      </c>
      <c r="H1930" t="inlineStr">
        <is>
          <t>No</t>
        </is>
      </c>
      <c r="I1930" t="inlineStr">
        <is>
          <t>No</t>
        </is>
      </c>
      <c r="J1930" t="inlineStr">
        <is>
          <t>0</t>
        </is>
      </c>
      <c r="K1930" t="inlineStr">
        <is>
          <t>Didion, Joan.</t>
        </is>
      </c>
      <c r="L1930" t="inlineStr">
        <is>
          <t>New York : Knopf, 2001.</t>
        </is>
      </c>
      <c r="M1930" t="inlineStr">
        <is>
          <t>2001</t>
        </is>
      </c>
      <c r="N1930" t="inlineStr">
        <is>
          <t>1st ed.</t>
        </is>
      </c>
      <c r="O1930" t="inlineStr">
        <is>
          <t>eng</t>
        </is>
      </c>
      <c r="P1930" t="inlineStr">
        <is>
          <t>nyu</t>
        </is>
      </c>
      <c r="R1930" t="inlineStr">
        <is>
          <t xml:space="preserve">E  </t>
        </is>
      </c>
      <c r="S1930" t="n">
        <v>2</v>
      </c>
      <c r="T1930" t="n">
        <v>2</v>
      </c>
      <c r="U1930" t="inlineStr">
        <is>
          <t>2002-04-30</t>
        </is>
      </c>
      <c r="V1930" t="inlineStr">
        <is>
          <t>2002-04-30</t>
        </is>
      </c>
      <c r="W1930" t="inlineStr">
        <is>
          <t>2001-12-05</t>
        </is>
      </c>
      <c r="X1930" t="inlineStr">
        <is>
          <t>2001-12-05</t>
        </is>
      </c>
      <c r="Y1930" t="n">
        <v>997</v>
      </c>
      <c r="Z1930" t="n">
        <v>928</v>
      </c>
      <c r="AA1930" t="n">
        <v>1027</v>
      </c>
      <c r="AB1930" t="n">
        <v>5</v>
      </c>
      <c r="AC1930" t="n">
        <v>5</v>
      </c>
      <c r="AD1930" t="n">
        <v>30</v>
      </c>
      <c r="AE1930" t="n">
        <v>33</v>
      </c>
      <c r="AF1930" t="n">
        <v>15</v>
      </c>
      <c r="AG1930" t="n">
        <v>17</v>
      </c>
      <c r="AH1930" t="n">
        <v>7</v>
      </c>
      <c r="AI1930" t="n">
        <v>7</v>
      </c>
      <c r="AJ1930" t="n">
        <v>13</v>
      </c>
      <c r="AK1930" t="n">
        <v>14</v>
      </c>
      <c r="AL1930" t="n">
        <v>3</v>
      </c>
      <c r="AM1930" t="n">
        <v>3</v>
      </c>
      <c r="AN1930" t="n">
        <v>1</v>
      </c>
      <c r="AO1930" t="n">
        <v>1</v>
      </c>
      <c r="AP1930" t="inlineStr">
        <is>
          <t>No</t>
        </is>
      </c>
      <c r="AQ1930" t="inlineStr">
        <is>
          <t>Yes</t>
        </is>
      </c>
      <c r="AR1930">
        <f>HYPERLINK("http://catalog.hathitrust.org/Record/004201071","HathiTrust Record")</f>
        <v/>
      </c>
      <c r="AS1930">
        <f>HYPERLINK("https://creighton-primo.hosted.exlibrisgroup.com/primo-explore/search?tab=default_tab&amp;search_scope=EVERYTHING&amp;vid=01CRU&amp;lang=en_US&amp;offset=0&amp;query=any,contains,991003668769702656","Catalog Record")</f>
        <v/>
      </c>
      <c r="AT1930">
        <f>HYPERLINK("http://www.worldcat.org/oclc/47913664","WorldCat Record")</f>
        <v/>
      </c>
      <c r="AU1930" t="inlineStr">
        <is>
          <t>6432679:eng</t>
        </is>
      </c>
      <c r="AV1930" t="inlineStr">
        <is>
          <t>47913664</t>
        </is>
      </c>
      <c r="AW1930" t="inlineStr">
        <is>
          <t>991003668769702656</t>
        </is>
      </c>
      <c r="AX1930" t="inlineStr">
        <is>
          <t>991003668769702656</t>
        </is>
      </c>
      <c r="AY1930" t="inlineStr">
        <is>
          <t>2266892980002656</t>
        </is>
      </c>
      <c r="AZ1930" t="inlineStr">
        <is>
          <t>BOOK</t>
        </is>
      </c>
      <c r="BB1930" t="inlineStr">
        <is>
          <t>9780375413384</t>
        </is>
      </c>
      <c r="BC1930" t="inlineStr">
        <is>
          <t>32285004425798</t>
        </is>
      </c>
      <c r="BD1930" t="inlineStr">
        <is>
          <t>893787608</t>
        </is>
      </c>
    </row>
    <row r="1931">
      <c r="A1931" t="inlineStr">
        <is>
          <t>No</t>
        </is>
      </c>
      <c r="B1931" t="inlineStr">
        <is>
          <t>E839.5 .G43 1979</t>
        </is>
      </c>
      <c r="C1931" t="inlineStr">
        <is>
          <t>0                      E  0839500G  43          1979</t>
        </is>
      </c>
      <c r="D1931" t="inlineStr">
        <is>
          <t>Getting angry six times a week : a portfolio of political cartoons : 14 major cartoonists / edited with an introd. by Alan F. Westin ; profiles by Albert Robbins and Randall Rothenberg.</t>
        </is>
      </c>
      <c r="F1931" t="inlineStr">
        <is>
          <t>No</t>
        </is>
      </c>
      <c r="G1931" t="inlineStr">
        <is>
          <t>1</t>
        </is>
      </c>
      <c r="H1931" t="inlineStr">
        <is>
          <t>No</t>
        </is>
      </c>
      <c r="I1931" t="inlineStr">
        <is>
          <t>No</t>
        </is>
      </c>
      <c r="J1931" t="inlineStr">
        <is>
          <t>0</t>
        </is>
      </c>
      <c r="L1931" t="inlineStr">
        <is>
          <t>Boston : Beacon Press, c1979.</t>
        </is>
      </c>
      <c r="M1931" t="inlineStr">
        <is>
          <t>1979</t>
        </is>
      </c>
      <c r="O1931" t="inlineStr">
        <is>
          <t>eng</t>
        </is>
      </c>
      <c r="P1931" t="inlineStr">
        <is>
          <t>mau</t>
        </is>
      </c>
      <c r="R1931" t="inlineStr">
        <is>
          <t xml:space="preserve">E  </t>
        </is>
      </c>
      <c r="S1931" t="n">
        <v>4</v>
      </c>
      <c r="T1931" t="n">
        <v>4</v>
      </c>
      <c r="U1931" t="inlineStr">
        <is>
          <t>2002-03-25</t>
        </is>
      </c>
      <c r="V1931" t="inlineStr">
        <is>
          <t>2002-03-25</t>
        </is>
      </c>
      <c r="W1931" t="inlineStr">
        <is>
          <t>1991-06-19</t>
        </is>
      </c>
      <c r="X1931" t="inlineStr">
        <is>
          <t>1991-06-19</t>
        </is>
      </c>
      <c r="Y1931" t="n">
        <v>407</v>
      </c>
      <c r="Z1931" t="n">
        <v>394</v>
      </c>
      <c r="AA1931" t="n">
        <v>401</v>
      </c>
      <c r="AB1931" t="n">
        <v>2</v>
      </c>
      <c r="AC1931" t="n">
        <v>2</v>
      </c>
      <c r="AD1931" t="n">
        <v>9</v>
      </c>
      <c r="AE1931" t="n">
        <v>9</v>
      </c>
      <c r="AF1931" t="n">
        <v>4</v>
      </c>
      <c r="AG1931" t="n">
        <v>4</v>
      </c>
      <c r="AH1931" t="n">
        <v>1</v>
      </c>
      <c r="AI1931" t="n">
        <v>1</v>
      </c>
      <c r="AJ1931" t="n">
        <v>5</v>
      </c>
      <c r="AK1931" t="n">
        <v>5</v>
      </c>
      <c r="AL1931" t="n">
        <v>1</v>
      </c>
      <c r="AM1931" t="n">
        <v>1</v>
      </c>
      <c r="AN1931" t="n">
        <v>0</v>
      </c>
      <c r="AO1931" t="n">
        <v>0</v>
      </c>
      <c r="AP1931" t="inlineStr">
        <is>
          <t>No</t>
        </is>
      </c>
      <c r="AQ1931" t="inlineStr">
        <is>
          <t>Yes</t>
        </is>
      </c>
      <c r="AR1931">
        <f>HYPERLINK("http://catalog.hathitrust.org/Record/004389099","HathiTrust Record")</f>
        <v/>
      </c>
      <c r="AS1931">
        <f>HYPERLINK("https://creighton-primo.hosted.exlibrisgroup.com/primo-explore/search?tab=default_tab&amp;search_scope=EVERYTHING&amp;vid=01CRU&amp;lang=en_US&amp;offset=0&amp;query=any,contains,991004807839702656","Catalog Record")</f>
        <v/>
      </c>
      <c r="AT1931">
        <f>HYPERLINK("http://www.worldcat.org/oclc/5264112","WorldCat Record")</f>
        <v/>
      </c>
      <c r="AU1931" t="inlineStr">
        <is>
          <t>903338485:eng</t>
        </is>
      </c>
      <c r="AV1931" t="inlineStr">
        <is>
          <t>5264112</t>
        </is>
      </c>
      <c r="AW1931" t="inlineStr">
        <is>
          <t>991004807839702656</t>
        </is>
      </c>
      <c r="AX1931" t="inlineStr">
        <is>
          <t>991004807839702656</t>
        </is>
      </c>
      <c r="AY1931" t="inlineStr">
        <is>
          <t>2258587380002656</t>
        </is>
      </c>
      <c r="AZ1931" t="inlineStr">
        <is>
          <t>BOOK</t>
        </is>
      </c>
      <c r="BB1931" t="inlineStr">
        <is>
          <t>9780807043783</t>
        </is>
      </c>
      <c r="BC1931" t="inlineStr">
        <is>
          <t>32285000670173</t>
        </is>
      </c>
      <c r="BD1931" t="inlineStr">
        <is>
          <t>893520070</t>
        </is>
      </c>
    </row>
    <row r="1932">
      <c r="A1932" t="inlineStr">
        <is>
          <t>No</t>
        </is>
      </c>
      <c r="B1932" t="inlineStr">
        <is>
          <t>E839.5 .H39 2001</t>
        </is>
      </c>
      <c r="C1932" t="inlineStr">
        <is>
          <t>0                      E  0839500H  39          2001</t>
        </is>
      </c>
      <c r="D1932" t="inlineStr">
        <is>
          <t>The age of Reagan : the fall of the old liberal order, 1964-1980 / Steven F. Hayward.</t>
        </is>
      </c>
      <c r="F1932" t="inlineStr">
        <is>
          <t>No</t>
        </is>
      </c>
      <c r="G1932" t="inlineStr">
        <is>
          <t>1</t>
        </is>
      </c>
      <c r="H1932" t="inlineStr">
        <is>
          <t>No</t>
        </is>
      </c>
      <c r="I1932" t="inlineStr">
        <is>
          <t>No</t>
        </is>
      </c>
      <c r="J1932" t="inlineStr">
        <is>
          <t>0</t>
        </is>
      </c>
      <c r="K1932" t="inlineStr">
        <is>
          <t>Hayward, Steven F.</t>
        </is>
      </c>
      <c r="L1932" t="inlineStr">
        <is>
          <t>Roseville, Calif. : Forum/Prima, c2001.</t>
        </is>
      </c>
      <c r="M1932" t="inlineStr">
        <is>
          <t>2001</t>
        </is>
      </c>
      <c r="N1932" t="inlineStr">
        <is>
          <t>1st ed.</t>
        </is>
      </c>
      <c r="O1932" t="inlineStr">
        <is>
          <t>eng</t>
        </is>
      </c>
      <c r="P1932" t="inlineStr">
        <is>
          <t>cau</t>
        </is>
      </c>
      <c r="R1932" t="inlineStr">
        <is>
          <t xml:space="preserve">E  </t>
        </is>
      </c>
      <c r="S1932" t="n">
        <v>2</v>
      </c>
      <c r="T1932" t="n">
        <v>2</v>
      </c>
      <c r="U1932" t="inlineStr">
        <is>
          <t>2001-12-05</t>
        </is>
      </c>
      <c r="V1932" t="inlineStr">
        <is>
          <t>2001-12-05</t>
        </is>
      </c>
      <c r="W1932" t="inlineStr">
        <is>
          <t>2001-11-27</t>
        </is>
      </c>
      <c r="X1932" t="inlineStr">
        <is>
          <t>2001-11-27</t>
        </is>
      </c>
      <c r="Y1932" t="n">
        <v>493</v>
      </c>
      <c r="Z1932" t="n">
        <v>459</v>
      </c>
      <c r="AA1932" t="n">
        <v>561</v>
      </c>
      <c r="AB1932" t="n">
        <v>8</v>
      </c>
      <c r="AC1932" t="n">
        <v>10</v>
      </c>
      <c r="AD1932" t="n">
        <v>21</v>
      </c>
      <c r="AE1932" t="n">
        <v>25</v>
      </c>
      <c r="AF1932" t="n">
        <v>9</v>
      </c>
      <c r="AG1932" t="n">
        <v>11</v>
      </c>
      <c r="AH1932" t="n">
        <v>4</v>
      </c>
      <c r="AI1932" t="n">
        <v>4</v>
      </c>
      <c r="AJ1932" t="n">
        <v>11</v>
      </c>
      <c r="AK1932" t="n">
        <v>13</v>
      </c>
      <c r="AL1932" t="n">
        <v>4</v>
      </c>
      <c r="AM1932" t="n">
        <v>6</v>
      </c>
      <c r="AN1932" t="n">
        <v>0</v>
      </c>
      <c r="AO1932" t="n">
        <v>0</v>
      </c>
      <c r="AP1932" t="inlineStr">
        <is>
          <t>No</t>
        </is>
      </c>
      <c r="AQ1932" t="inlineStr">
        <is>
          <t>Yes</t>
        </is>
      </c>
      <c r="AR1932">
        <f>HYPERLINK("http://catalog.hathitrust.org/Record/004214979","HathiTrust Record")</f>
        <v/>
      </c>
      <c r="AS1932">
        <f>HYPERLINK("https://creighton-primo.hosted.exlibrisgroup.com/primo-explore/search?tab=default_tab&amp;search_scope=EVERYTHING&amp;vid=01CRU&amp;lang=en_US&amp;offset=0&amp;query=any,contains,991003666879702656","Catalog Record")</f>
        <v/>
      </c>
      <c r="AT1932">
        <f>HYPERLINK("http://www.worldcat.org/oclc/47667257","WorldCat Record")</f>
        <v/>
      </c>
      <c r="AU1932" t="inlineStr">
        <is>
          <t>36664588:eng</t>
        </is>
      </c>
      <c r="AV1932" t="inlineStr">
        <is>
          <t>47667257</t>
        </is>
      </c>
      <c r="AW1932" t="inlineStr">
        <is>
          <t>991003666879702656</t>
        </is>
      </c>
      <c r="AX1932" t="inlineStr">
        <is>
          <t>991003666879702656</t>
        </is>
      </c>
      <c r="AY1932" t="inlineStr">
        <is>
          <t>2266885320002656</t>
        </is>
      </c>
      <c r="AZ1932" t="inlineStr">
        <is>
          <t>BOOK</t>
        </is>
      </c>
      <c r="BB1932" t="inlineStr">
        <is>
          <t>9780761513377</t>
        </is>
      </c>
      <c r="BC1932" t="inlineStr">
        <is>
          <t>32285004414115</t>
        </is>
      </c>
      <c r="BD1932" t="inlineStr">
        <is>
          <t>893781257</t>
        </is>
      </c>
    </row>
    <row r="1933">
      <c r="A1933" t="inlineStr">
        <is>
          <t>No</t>
        </is>
      </c>
      <c r="B1933" t="inlineStr">
        <is>
          <t>E839.5 .H48 2004</t>
        </is>
      </c>
      <c r="C1933" t="inlineStr">
        <is>
          <t>0                      E  0839500H  48          2004</t>
        </is>
      </c>
      <c r="D1933" t="inlineStr">
        <is>
          <t>Politics : observations &amp; arguments, 1966-2004 / Hendrik Hertzberg.</t>
        </is>
      </c>
      <c r="F1933" t="inlineStr">
        <is>
          <t>No</t>
        </is>
      </c>
      <c r="G1933" t="inlineStr">
        <is>
          <t>1</t>
        </is>
      </c>
      <c r="H1933" t="inlineStr">
        <is>
          <t>No</t>
        </is>
      </c>
      <c r="I1933" t="inlineStr">
        <is>
          <t>No</t>
        </is>
      </c>
      <c r="J1933" t="inlineStr">
        <is>
          <t>0</t>
        </is>
      </c>
      <c r="K1933" t="inlineStr">
        <is>
          <t>Hertzberg, Hendrik.</t>
        </is>
      </c>
      <c r="L1933" t="inlineStr">
        <is>
          <t>New York : Penguin Press, 2004.</t>
        </is>
      </c>
      <c r="M1933" t="inlineStr">
        <is>
          <t>2004</t>
        </is>
      </c>
      <c r="O1933" t="inlineStr">
        <is>
          <t>eng</t>
        </is>
      </c>
      <c r="P1933" t="inlineStr">
        <is>
          <t>nyu</t>
        </is>
      </c>
      <c r="R1933" t="inlineStr">
        <is>
          <t xml:space="preserve">E  </t>
        </is>
      </c>
      <c r="S1933" t="n">
        <v>1</v>
      </c>
      <c r="T1933" t="n">
        <v>1</v>
      </c>
      <c r="U1933" t="inlineStr">
        <is>
          <t>2005-01-18</t>
        </is>
      </c>
      <c r="V1933" t="inlineStr">
        <is>
          <t>2005-01-18</t>
        </is>
      </c>
      <c r="W1933" t="inlineStr">
        <is>
          <t>2005-01-18</t>
        </is>
      </c>
      <c r="X1933" t="inlineStr">
        <is>
          <t>2005-01-18</t>
        </is>
      </c>
      <c r="Y1933" t="n">
        <v>710</v>
      </c>
      <c r="Z1933" t="n">
        <v>662</v>
      </c>
      <c r="AA1933" t="n">
        <v>1145</v>
      </c>
      <c r="AB1933" t="n">
        <v>3</v>
      </c>
      <c r="AC1933" t="n">
        <v>29</v>
      </c>
      <c r="AD1933" t="n">
        <v>15</v>
      </c>
      <c r="AE1933" t="n">
        <v>30</v>
      </c>
      <c r="AF1933" t="n">
        <v>6</v>
      </c>
      <c r="AG1933" t="n">
        <v>9</v>
      </c>
      <c r="AH1933" t="n">
        <v>4</v>
      </c>
      <c r="AI1933" t="n">
        <v>5</v>
      </c>
      <c r="AJ1933" t="n">
        <v>7</v>
      </c>
      <c r="AK1933" t="n">
        <v>11</v>
      </c>
      <c r="AL1933" t="n">
        <v>1</v>
      </c>
      <c r="AM1933" t="n">
        <v>9</v>
      </c>
      <c r="AN1933" t="n">
        <v>0</v>
      </c>
      <c r="AO1933" t="n">
        <v>0</v>
      </c>
      <c r="AP1933" t="inlineStr">
        <is>
          <t>No</t>
        </is>
      </c>
      <c r="AQ1933" t="inlineStr">
        <is>
          <t>Yes</t>
        </is>
      </c>
      <c r="AR1933">
        <f>HYPERLINK("http://catalog.hathitrust.org/Record/004729499","HathiTrust Record")</f>
        <v/>
      </c>
      <c r="AS1933">
        <f>HYPERLINK("https://creighton-primo.hosted.exlibrisgroup.com/primo-explore/search?tab=default_tab&amp;search_scope=EVERYTHING&amp;vid=01CRU&amp;lang=en_US&amp;offset=0&amp;query=any,contains,991004453909702656","Catalog Record")</f>
        <v/>
      </c>
      <c r="AT1933">
        <f>HYPERLINK("http://www.worldcat.org/oclc/54407435","WorldCat Record")</f>
        <v/>
      </c>
      <c r="AU1933" t="inlineStr">
        <is>
          <t>28906:eng</t>
        </is>
      </c>
      <c r="AV1933" t="inlineStr">
        <is>
          <t>54407435</t>
        </is>
      </c>
      <c r="AW1933" t="inlineStr">
        <is>
          <t>991004453909702656</t>
        </is>
      </c>
      <c r="AX1933" t="inlineStr">
        <is>
          <t>991004453909702656</t>
        </is>
      </c>
      <c r="AY1933" t="inlineStr">
        <is>
          <t>2260239470002656</t>
        </is>
      </c>
      <c r="AZ1933" t="inlineStr">
        <is>
          <t>BOOK</t>
        </is>
      </c>
      <c r="BB1933" t="inlineStr">
        <is>
          <t>9781594200182</t>
        </is>
      </c>
      <c r="BC1933" t="inlineStr">
        <is>
          <t>32285005021679</t>
        </is>
      </c>
      <c r="BD1933" t="inlineStr">
        <is>
          <t>893253704</t>
        </is>
      </c>
    </row>
    <row r="1934">
      <c r="A1934" t="inlineStr">
        <is>
          <t>No</t>
        </is>
      </c>
      <c r="B1934" t="inlineStr">
        <is>
          <t>E839.5 .H68 1970</t>
        </is>
      </c>
      <c r="C1934" t="inlineStr">
        <is>
          <t>0                      E  0839500H  68          1970</t>
        </is>
      </c>
      <c r="D1934" t="inlineStr">
        <is>
          <t>Beyond the new left.</t>
        </is>
      </c>
      <c r="F1934" t="inlineStr">
        <is>
          <t>No</t>
        </is>
      </c>
      <c r="G1934" t="inlineStr">
        <is>
          <t>1</t>
        </is>
      </c>
      <c r="H1934" t="inlineStr">
        <is>
          <t>No</t>
        </is>
      </c>
      <c r="I1934" t="inlineStr">
        <is>
          <t>No</t>
        </is>
      </c>
      <c r="J1934" t="inlineStr">
        <is>
          <t>0</t>
        </is>
      </c>
      <c r="K1934" t="inlineStr">
        <is>
          <t>Howe, Irving compiler.</t>
        </is>
      </c>
      <c r="L1934" t="inlineStr">
        <is>
          <t>New York, McCall Pub. Co. [1970]</t>
        </is>
      </c>
      <c r="M1934" t="inlineStr">
        <is>
          <t>1970</t>
        </is>
      </c>
      <c r="O1934" t="inlineStr">
        <is>
          <t>eng</t>
        </is>
      </c>
      <c r="P1934" t="inlineStr">
        <is>
          <t>nyu</t>
        </is>
      </c>
      <c r="R1934" t="inlineStr">
        <is>
          <t xml:space="preserve">E  </t>
        </is>
      </c>
      <c r="S1934" t="n">
        <v>2</v>
      </c>
      <c r="T1934" t="n">
        <v>2</v>
      </c>
      <c r="U1934" t="inlineStr">
        <is>
          <t>1999-01-13</t>
        </is>
      </c>
      <c r="V1934" t="inlineStr">
        <is>
          <t>1999-01-13</t>
        </is>
      </c>
      <c r="W1934" t="inlineStr">
        <is>
          <t>1997-04-28</t>
        </is>
      </c>
      <c r="X1934" t="inlineStr">
        <is>
          <t>1997-04-28</t>
        </is>
      </c>
      <c r="Y1934" t="n">
        <v>785</v>
      </c>
      <c r="Z1934" t="n">
        <v>696</v>
      </c>
      <c r="AA1934" t="n">
        <v>733</v>
      </c>
      <c r="AB1934" t="n">
        <v>10</v>
      </c>
      <c r="AC1934" t="n">
        <v>10</v>
      </c>
      <c r="AD1934" t="n">
        <v>34</v>
      </c>
      <c r="AE1934" t="n">
        <v>35</v>
      </c>
      <c r="AF1934" t="n">
        <v>12</v>
      </c>
      <c r="AG1934" t="n">
        <v>13</v>
      </c>
      <c r="AH1934" t="n">
        <v>4</v>
      </c>
      <c r="AI1934" t="n">
        <v>4</v>
      </c>
      <c r="AJ1934" t="n">
        <v>15</v>
      </c>
      <c r="AK1934" t="n">
        <v>15</v>
      </c>
      <c r="AL1934" t="n">
        <v>9</v>
      </c>
      <c r="AM1934" t="n">
        <v>9</v>
      </c>
      <c r="AN1934" t="n">
        <v>0</v>
      </c>
      <c r="AO1934" t="n">
        <v>0</v>
      </c>
      <c r="AP1934" t="inlineStr">
        <is>
          <t>No</t>
        </is>
      </c>
      <c r="AQ1934" t="inlineStr">
        <is>
          <t>Yes</t>
        </is>
      </c>
      <c r="AR1934">
        <f>HYPERLINK("http://catalog.hathitrust.org/Record/000578515","HathiTrust Record")</f>
        <v/>
      </c>
      <c r="AS1934">
        <f>HYPERLINK("https://creighton-primo.hosted.exlibrisgroup.com/primo-explore/search?tab=default_tab&amp;search_scope=EVERYTHING&amp;vid=01CRU&amp;lang=en_US&amp;offset=0&amp;query=any,contains,991000532179702656","Catalog Record")</f>
        <v/>
      </c>
      <c r="AT1934">
        <f>HYPERLINK("http://www.worldcat.org/oclc/89627","WorldCat Record")</f>
        <v/>
      </c>
      <c r="AU1934" t="inlineStr">
        <is>
          <t>482520:eng</t>
        </is>
      </c>
      <c r="AV1934" t="inlineStr">
        <is>
          <t>89627</t>
        </is>
      </c>
      <c r="AW1934" t="inlineStr">
        <is>
          <t>991000532179702656</t>
        </is>
      </c>
      <c r="AX1934" t="inlineStr">
        <is>
          <t>991000532179702656</t>
        </is>
      </c>
      <c r="AY1934" t="inlineStr">
        <is>
          <t>2259123360002656</t>
        </is>
      </c>
      <c r="AZ1934" t="inlineStr">
        <is>
          <t>BOOK</t>
        </is>
      </c>
      <c r="BB1934" t="inlineStr">
        <is>
          <t>9780841500211</t>
        </is>
      </c>
      <c r="BC1934" t="inlineStr">
        <is>
          <t>32285002567559</t>
        </is>
      </c>
      <c r="BD1934" t="inlineStr">
        <is>
          <t>893784304</t>
        </is>
      </c>
    </row>
    <row r="1935">
      <c r="A1935" t="inlineStr">
        <is>
          <t>No</t>
        </is>
      </c>
      <c r="B1935" t="inlineStr">
        <is>
          <t>E839.5 .L495 1998</t>
        </is>
      </c>
      <c r="C1935" t="inlineStr">
        <is>
          <t>0                      E  0839500L  495         1998</t>
        </is>
      </c>
      <c r="D1935" t="inlineStr">
        <is>
          <t>The press and the modern presidency : myths and mindsets from Kennedy to Clinton / Louis W. Liebovich.</t>
        </is>
      </c>
      <c r="F1935" t="inlineStr">
        <is>
          <t>No</t>
        </is>
      </c>
      <c r="G1935" t="inlineStr">
        <is>
          <t>1</t>
        </is>
      </c>
      <c r="H1935" t="inlineStr">
        <is>
          <t>No</t>
        </is>
      </c>
      <c r="I1935" t="inlineStr">
        <is>
          <t>No</t>
        </is>
      </c>
      <c r="J1935" t="inlineStr">
        <is>
          <t>0</t>
        </is>
      </c>
      <c r="K1935" t="inlineStr">
        <is>
          <t>Liebovich, Louis.</t>
        </is>
      </c>
      <c r="L1935" t="inlineStr">
        <is>
          <t>Westport, Conn. : Praeger, 1998.</t>
        </is>
      </c>
      <c r="M1935" t="inlineStr">
        <is>
          <t>1998</t>
        </is>
      </c>
      <c r="O1935" t="inlineStr">
        <is>
          <t>eng</t>
        </is>
      </c>
      <c r="P1935" t="inlineStr">
        <is>
          <t>ctu</t>
        </is>
      </c>
      <c r="R1935" t="inlineStr">
        <is>
          <t xml:space="preserve">E  </t>
        </is>
      </c>
      <c r="S1935" t="n">
        <v>5</v>
      </c>
      <c r="T1935" t="n">
        <v>5</v>
      </c>
      <c r="U1935" t="inlineStr">
        <is>
          <t>2001-02-22</t>
        </is>
      </c>
      <c r="V1935" t="inlineStr">
        <is>
          <t>2001-02-22</t>
        </is>
      </c>
      <c r="W1935" t="inlineStr">
        <is>
          <t>1999-06-02</t>
        </is>
      </c>
      <c r="X1935" t="inlineStr">
        <is>
          <t>1999-06-02</t>
        </is>
      </c>
      <c r="Y1935" t="n">
        <v>685</v>
      </c>
      <c r="Z1935" t="n">
        <v>622</v>
      </c>
      <c r="AA1935" t="n">
        <v>629</v>
      </c>
      <c r="AB1935" t="n">
        <v>5</v>
      </c>
      <c r="AC1935" t="n">
        <v>5</v>
      </c>
      <c r="AD1935" t="n">
        <v>34</v>
      </c>
      <c r="AE1935" t="n">
        <v>34</v>
      </c>
      <c r="AF1935" t="n">
        <v>18</v>
      </c>
      <c r="AG1935" t="n">
        <v>18</v>
      </c>
      <c r="AH1935" t="n">
        <v>7</v>
      </c>
      <c r="AI1935" t="n">
        <v>7</v>
      </c>
      <c r="AJ1935" t="n">
        <v>14</v>
      </c>
      <c r="AK1935" t="n">
        <v>14</v>
      </c>
      <c r="AL1935" t="n">
        <v>4</v>
      </c>
      <c r="AM1935" t="n">
        <v>4</v>
      </c>
      <c r="AN1935" t="n">
        <v>0</v>
      </c>
      <c r="AO1935" t="n">
        <v>0</v>
      </c>
      <c r="AP1935" t="inlineStr">
        <is>
          <t>No</t>
        </is>
      </c>
      <c r="AQ1935" t="inlineStr">
        <is>
          <t>Yes</t>
        </is>
      </c>
      <c r="AR1935">
        <f>HYPERLINK("http://catalog.hathitrust.org/Record/003255879","HathiTrust Record")</f>
        <v/>
      </c>
      <c r="AS1935">
        <f>HYPERLINK("https://creighton-primo.hosted.exlibrisgroup.com/primo-explore/search?tab=default_tab&amp;search_scope=EVERYTHING&amp;vid=01CRU&amp;lang=en_US&amp;offset=0&amp;query=any,contains,991002817409702656","Catalog Record")</f>
        <v/>
      </c>
      <c r="AT1935">
        <f>HYPERLINK("http://www.worldcat.org/oclc/37004510","WorldCat Record")</f>
        <v/>
      </c>
      <c r="AU1935" t="inlineStr">
        <is>
          <t>3753289466:eng</t>
        </is>
      </c>
      <c r="AV1935" t="inlineStr">
        <is>
          <t>37004510</t>
        </is>
      </c>
      <c r="AW1935" t="inlineStr">
        <is>
          <t>991002817409702656</t>
        </is>
      </c>
      <c r="AX1935" t="inlineStr">
        <is>
          <t>991002817409702656</t>
        </is>
      </c>
      <c r="AY1935" t="inlineStr">
        <is>
          <t>2272540540002656</t>
        </is>
      </c>
      <c r="AZ1935" t="inlineStr">
        <is>
          <t>BOOK</t>
        </is>
      </c>
      <c r="BB1935" t="inlineStr">
        <is>
          <t>9780275959265</t>
        </is>
      </c>
      <c r="BC1935" t="inlineStr">
        <is>
          <t>32285003572392</t>
        </is>
      </c>
      <c r="BD1935" t="inlineStr">
        <is>
          <t>893874042</t>
        </is>
      </c>
    </row>
    <row r="1936">
      <c r="A1936" t="inlineStr">
        <is>
          <t>No</t>
        </is>
      </c>
      <c r="B1936" t="inlineStr">
        <is>
          <t>E839.5 .L495 2001</t>
        </is>
      </c>
      <c r="C1936" t="inlineStr">
        <is>
          <t>0                      E  0839500L  495         2001</t>
        </is>
      </c>
      <c r="D1936" t="inlineStr">
        <is>
          <t>The press and the modern presidency : myths and mindsets from Kennedy to Election 2000 / Louis W. Liebovich.</t>
        </is>
      </c>
      <c r="F1936" t="inlineStr">
        <is>
          <t>No</t>
        </is>
      </c>
      <c r="G1936" t="inlineStr">
        <is>
          <t>1</t>
        </is>
      </c>
      <c r="H1936" t="inlineStr">
        <is>
          <t>No</t>
        </is>
      </c>
      <c r="I1936" t="inlineStr">
        <is>
          <t>No</t>
        </is>
      </c>
      <c r="J1936" t="inlineStr">
        <is>
          <t>0</t>
        </is>
      </c>
      <c r="K1936" t="inlineStr">
        <is>
          <t>Liebovich, Louis.</t>
        </is>
      </c>
      <c r="L1936" t="inlineStr">
        <is>
          <t>Westport, Conn. : Praeger, 2001.</t>
        </is>
      </c>
      <c r="M1936" t="inlineStr">
        <is>
          <t>2001</t>
        </is>
      </c>
      <c r="N1936" t="inlineStr">
        <is>
          <t>Rev. 2nd ed.</t>
        </is>
      </c>
      <c r="O1936" t="inlineStr">
        <is>
          <t>eng</t>
        </is>
      </c>
      <c r="P1936" t="inlineStr">
        <is>
          <t>ctu</t>
        </is>
      </c>
      <c r="R1936" t="inlineStr">
        <is>
          <t xml:space="preserve">E  </t>
        </is>
      </c>
      <c r="S1936" t="n">
        <v>2</v>
      </c>
      <c r="T1936" t="n">
        <v>2</v>
      </c>
      <c r="U1936" t="inlineStr">
        <is>
          <t>2001-09-17</t>
        </is>
      </c>
      <c r="V1936" t="inlineStr">
        <is>
          <t>2001-09-17</t>
        </is>
      </c>
      <c r="W1936" t="inlineStr">
        <is>
          <t>2001-08-30</t>
        </is>
      </c>
      <c r="X1936" t="inlineStr">
        <is>
          <t>2001-08-30</t>
        </is>
      </c>
      <c r="Y1936" t="n">
        <v>338</v>
      </c>
      <c r="Z1936" t="n">
        <v>289</v>
      </c>
      <c r="AA1936" t="n">
        <v>1148</v>
      </c>
      <c r="AB1936" t="n">
        <v>1</v>
      </c>
      <c r="AC1936" t="n">
        <v>28</v>
      </c>
      <c r="AD1936" t="n">
        <v>13</v>
      </c>
      <c r="AE1936" t="n">
        <v>35</v>
      </c>
      <c r="AF1936" t="n">
        <v>6</v>
      </c>
      <c r="AG1936" t="n">
        <v>12</v>
      </c>
      <c r="AH1936" t="n">
        <v>3</v>
      </c>
      <c r="AI1936" t="n">
        <v>4</v>
      </c>
      <c r="AJ1936" t="n">
        <v>7</v>
      </c>
      <c r="AK1936" t="n">
        <v>12</v>
      </c>
      <c r="AL1936" t="n">
        <v>0</v>
      </c>
      <c r="AM1936" t="n">
        <v>13</v>
      </c>
      <c r="AN1936" t="n">
        <v>0</v>
      </c>
      <c r="AO1936" t="n">
        <v>0</v>
      </c>
      <c r="AP1936" t="inlineStr">
        <is>
          <t>No</t>
        </is>
      </c>
      <c r="AQ1936" t="inlineStr">
        <is>
          <t>Yes</t>
        </is>
      </c>
      <c r="AR1936">
        <f>HYPERLINK("http://catalog.hathitrust.org/Record/004195839","HathiTrust Record")</f>
        <v/>
      </c>
      <c r="AS1936">
        <f>HYPERLINK("https://creighton-primo.hosted.exlibrisgroup.com/primo-explore/search?tab=default_tab&amp;search_scope=EVERYTHING&amp;vid=01CRU&amp;lang=en_US&amp;offset=0&amp;query=any,contains,991003599349702656","Catalog Record")</f>
        <v/>
      </c>
      <c r="AT1936">
        <f>HYPERLINK("http://www.worldcat.org/oclc/46641890","WorldCat Record")</f>
        <v/>
      </c>
      <c r="AU1936" t="inlineStr">
        <is>
          <t>2586820:eng</t>
        </is>
      </c>
      <c r="AV1936" t="inlineStr">
        <is>
          <t>46641890</t>
        </is>
      </c>
      <c r="AW1936" t="inlineStr">
        <is>
          <t>991003599349702656</t>
        </is>
      </c>
      <c r="AX1936" t="inlineStr">
        <is>
          <t>991003599349702656</t>
        </is>
      </c>
      <c r="AY1936" t="inlineStr">
        <is>
          <t>2265242310002656</t>
        </is>
      </c>
      <c r="AZ1936" t="inlineStr">
        <is>
          <t>BOOK</t>
        </is>
      </c>
      <c r="BB1936" t="inlineStr">
        <is>
          <t>9780275974039</t>
        </is>
      </c>
      <c r="BC1936" t="inlineStr">
        <is>
          <t>32285004383666</t>
        </is>
      </c>
      <c r="BD1936" t="inlineStr">
        <is>
          <t>893330537</t>
        </is>
      </c>
    </row>
    <row r="1937">
      <c r="A1937" t="inlineStr">
        <is>
          <t>No</t>
        </is>
      </c>
      <c r="B1937" t="inlineStr">
        <is>
          <t>E839.5 .L8 1970</t>
        </is>
      </c>
      <c r="C1937" t="inlineStr">
        <is>
          <t>0                      E  0839500L  8           1970</t>
        </is>
      </c>
      <c r="D1937" t="inlineStr">
        <is>
          <t>The hidden crisis in American politics.</t>
        </is>
      </c>
      <c r="F1937" t="inlineStr">
        <is>
          <t>No</t>
        </is>
      </c>
      <c r="G1937" t="inlineStr">
        <is>
          <t>1</t>
        </is>
      </c>
      <c r="H1937" t="inlineStr">
        <is>
          <t>No</t>
        </is>
      </c>
      <c r="I1937" t="inlineStr">
        <is>
          <t>No</t>
        </is>
      </c>
      <c r="J1937" t="inlineStr">
        <is>
          <t>0</t>
        </is>
      </c>
      <c r="K1937" t="inlineStr">
        <is>
          <t>Lubell, Samuel.</t>
        </is>
      </c>
      <c r="L1937" t="inlineStr">
        <is>
          <t>New York, Norton [1970]</t>
        </is>
      </c>
      <c r="M1937" t="inlineStr">
        <is>
          <t>1970</t>
        </is>
      </c>
      <c r="N1937" t="inlineStr">
        <is>
          <t>[1st ed.]</t>
        </is>
      </c>
      <c r="O1937" t="inlineStr">
        <is>
          <t>eng</t>
        </is>
      </c>
      <c r="P1937" t="inlineStr">
        <is>
          <t>nyu</t>
        </is>
      </c>
      <c r="R1937" t="inlineStr">
        <is>
          <t xml:space="preserve">E  </t>
        </is>
      </c>
      <c r="S1937" t="n">
        <v>1</v>
      </c>
      <c r="T1937" t="n">
        <v>1</v>
      </c>
      <c r="U1937" t="inlineStr">
        <is>
          <t>2002-11-15</t>
        </is>
      </c>
      <c r="V1937" t="inlineStr">
        <is>
          <t>2002-11-15</t>
        </is>
      </c>
      <c r="W1937" t="inlineStr">
        <is>
          <t>1997-04-28</t>
        </is>
      </c>
      <c r="X1937" t="inlineStr">
        <is>
          <t>1997-04-28</t>
        </is>
      </c>
      <c r="Y1937" t="n">
        <v>1008</v>
      </c>
      <c r="Z1937" t="n">
        <v>924</v>
      </c>
      <c r="AA1937" t="n">
        <v>1021</v>
      </c>
      <c r="AB1937" t="n">
        <v>7</v>
      </c>
      <c r="AC1937" t="n">
        <v>8</v>
      </c>
      <c r="AD1937" t="n">
        <v>37</v>
      </c>
      <c r="AE1937" t="n">
        <v>42</v>
      </c>
      <c r="AF1937" t="n">
        <v>13</v>
      </c>
      <c r="AG1937" t="n">
        <v>16</v>
      </c>
      <c r="AH1937" t="n">
        <v>8</v>
      </c>
      <c r="AI1937" t="n">
        <v>9</v>
      </c>
      <c r="AJ1937" t="n">
        <v>18</v>
      </c>
      <c r="AK1937" t="n">
        <v>20</v>
      </c>
      <c r="AL1937" t="n">
        <v>5</v>
      </c>
      <c r="AM1937" t="n">
        <v>6</v>
      </c>
      <c r="AN1937" t="n">
        <v>2</v>
      </c>
      <c r="AO1937" t="n">
        <v>2</v>
      </c>
      <c r="AP1937" t="inlineStr">
        <is>
          <t>No</t>
        </is>
      </c>
      <c r="AQ1937" t="inlineStr">
        <is>
          <t>No</t>
        </is>
      </c>
      <c r="AS1937">
        <f>HYPERLINK("https://creighton-primo.hosted.exlibrisgroup.com/primo-explore/search?tab=default_tab&amp;search_scope=EVERYTHING&amp;vid=01CRU&amp;lang=en_US&amp;offset=0&amp;query=any,contains,991000515349702656","Catalog Record")</f>
        <v/>
      </c>
      <c r="AT1937">
        <f>HYPERLINK("http://www.worldcat.org/oclc/85378","WorldCat Record")</f>
        <v/>
      </c>
      <c r="AU1937" t="inlineStr">
        <is>
          <t>1278572:eng</t>
        </is>
      </c>
      <c r="AV1937" t="inlineStr">
        <is>
          <t>85378</t>
        </is>
      </c>
      <c r="AW1937" t="inlineStr">
        <is>
          <t>991000515349702656</t>
        </is>
      </c>
      <c r="AX1937" t="inlineStr">
        <is>
          <t>991000515349702656</t>
        </is>
      </c>
      <c r="AY1937" t="inlineStr">
        <is>
          <t>2267104030002656</t>
        </is>
      </c>
      <c r="AZ1937" t="inlineStr">
        <is>
          <t>BOOK</t>
        </is>
      </c>
      <c r="BB1937" t="inlineStr">
        <is>
          <t>9780393053708</t>
        </is>
      </c>
      <c r="BC1937" t="inlineStr">
        <is>
          <t>32285002567575</t>
        </is>
      </c>
      <c r="BD1937" t="inlineStr">
        <is>
          <t>893620544</t>
        </is>
      </c>
    </row>
    <row r="1938">
      <c r="A1938" t="inlineStr">
        <is>
          <t>No</t>
        </is>
      </c>
      <c r="B1938" t="inlineStr">
        <is>
          <t>E839.5 .M34 1989</t>
        </is>
      </c>
      <c r="C1938" t="inlineStr">
        <is>
          <t>0                      E  0839500M  34          1989</t>
        </is>
      </c>
      <c r="D1938" t="inlineStr">
        <is>
          <t>Domestic policy and ideology : presidents and the American state, 1964-1987 / David McKay.</t>
        </is>
      </c>
      <c r="F1938" t="inlineStr">
        <is>
          <t>No</t>
        </is>
      </c>
      <c r="G1938" t="inlineStr">
        <is>
          <t>1</t>
        </is>
      </c>
      <c r="H1938" t="inlineStr">
        <is>
          <t>No</t>
        </is>
      </c>
      <c r="I1938" t="inlineStr">
        <is>
          <t>No</t>
        </is>
      </c>
      <c r="J1938" t="inlineStr">
        <is>
          <t>0</t>
        </is>
      </c>
      <c r="K1938" t="inlineStr">
        <is>
          <t>McKay, David H.</t>
        </is>
      </c>
      <c r="L1938" t="inlineStr">
        <is>
          <t>Cambridge [England] ; New York : Cambridge University Press, 1989.</t>
        </is>
      </c>
      <c r="M1938" t="inlineStr">
        <is>
          <t>1989</t>
        </is>
      </c>
      <c r="O1938" t="inlineStr">
        <is>
          <t>eng</t>
        </is>
      </c>
      <c r="P1938" t="inlineStr">
        <is>
          <t>enk</t>
        </is>
      </c>
      <c r="R1938" t="inlineStr">
        <is>
          <t xml:space="preserve">E  </t>
        </is>
      </c>
      <c r="S1938" t="n">
        <v>5</v>
      </c>
      <c r="T1938" t="n">
        <v>5</v>
      </c>
      <c r="U1938" t="inlineStr">
        <is>
          <t>2000-04-27</t>
        </is>
      </c>
      <c r="V1938" t="inlineStr">
        <is>
          <t>2000-04-27</t>
        </is>
      </c>
      <c r="W1938" t="inlineStr">
        <is>
          <t>1990-11-14</t>
        </is>
      </c>
      <c r="X1938" t="inlineStr">
        <is>
          <t>1990-11-14</t>
        </is>
      </c>
      <c r="Y1938" t="n">
        <v>410</v>
      </c>
      <c r="Z1938" t="n">
        <v>306</v>
      </c>
      <c r="AA1938" t="n">
        <v>312</v>
      </c>
      <c r="AB1938" t="n">
        <v>3</v>
      </c>
      <c r="AC1938" t="n">
        <v>3</v>
      </c>
      <c r="AD1938" t="n">
        <v>19</v>
      </c>
      <c r="AE1938" t="n">
        <v>19</v>
      </c>
      <c r="AF1938" t="n">
        <v>5</v>
      </c>
      <c r="AG1938" t="n">
        <v>5</v>
      </c>
      <c r="AH1938" t="n">
        <v>4</v>
      </c>
      <c r="AI1938" t="n">
        <v>4</v>
      </c>
      <c r="AJ1938" t="n">
        <v>10</v>
      </c>
      <c r="AK1938" t="n">
        <v>10</v>
      </c>
      <c r="AL1938" t="n">
        <v>2</v>
      </c>
      <c r="AM1938" t="n">
        <v>2</v>
      </c>
      <c r="AN1938" t="n">
        <v>2</v>
      </c>
      <c r="AO1938" t="n">
        <v>2</v>
      </c>
      <c r="AP1938" t="inlineStr">
        <is>
          <t>No</t>
        </is>
      </c>
      <c r="AQ1938" t="inlineStr">
        <is>
          <t>No</t>
        </is>
      </c>
      <c r="AS1938">
        <f>HYPERLINK("https://creighton-primo.hosted.exlibrisgroup.com/primo-explore/search?tab=default_tab&amp;search_scope=EVERYTHING&amp;vid=01CRU&amp;lang=en_US&amp;offset=0&amp;query=any,contains,991001434339702656","Catalog Record")</f>
        <v/>
      </c>
      <c r="AT1938">
        <f>HYPERLINK("http://www.worldcat.org/oclc/19126187","WorldCat Record")</f>
        <v/>
      </c>
      <c r="AU1938" t="inlineStr">
        <is>
          <t>836839680:eng</t>
        </is>
      </c>
      <c r="AV1938" t="inlineStr">
        <is>
          <t>19126187</t>
        </is>
      </c>
      <c r="AW1938" t="inlineStr">
        <is>
          <t>991001434339702656</t>
        </is>
      </c>
      <c r="AX1938" t="inlineStr">
        <is>
          <t>991001434339702656</t>
        </is>
      </c>
      <c r="AY1938" t="inlineStr">
        <is>
          <t>2271103990002656</t>
        </is>
      </c>
      <c r="AZ1938" t="inlineStr">
        <is>
          <t>BOOK</t>
        </is>
      </c>
      <c r="BB1938" t="inlineStr">
        <is>
          <t>9780521320337</t>
        </is>
      </c>
      <c r="BC1938" t="inlineStr">
        <is>
          <t>32285000355387</t>
        </is>
      </c>
      <c r="BD1938" t="inlineStr">
        <is>
          <t>893444689</t>
        </is>
      </c>
    </row>
    <row r="1939">
      <c r="A1939" t="inlineStr">
        <is>
          <t>No</t>
        </is>
      </c>
      <c r="B1939" t="inlineStr">
        <is>
          <t>E839.5 .M376 2003</t>
        </is>
      </c>
      <c r="C1939" t="inlineStr">
        <is>
          <t>0                      E  0839500M  376         2003</t>
        </is>
      </c>
      <c r="D1939" t="inlineStr">
        <is>
          <t>Deadlines past : forty years of presidential campaigning : a reporter's story / Walter R. Mears.</t>
        </is>
      </c>
      <c r="F1939" t="inlineStr">
        <is>
          <t>No</t>
        </is>
      </c>
      <c r="G1939" t="inlineStr">
        <is>
          <t>1</t>
        </is>
      </c>
      <c r="H1939" t="inlineStr">
        <is>
          <t>No</t>
        </is>
      </c>
      <c r="I1939" t="inlineStr">
        <is>
          <t>No</t>
        </is>
      </c>
      <c r="J1939" t="inlineStr">
        <is>
          <t>0</t>
        </is>
      </c>
      <c r="K1939" t="inlineStr">
        <is>
          <t>Mears, Walter R. (Walter Robert), 1935-</t>
        </is>
      </c>
      <c r="L1939" t="inlineStr">
        <is>
          <t>Kansas City, Mo. : Andrews McMeel Pub., c2003.</t>
        </is>
      </c>
      <c r="M1939" t="inlineStr">
        <is>
          <t>2003</t>
        </is>
      </c>
      <c r="O1939" t="inlineStr">
        <is>
          <t>eng</t>
        </is>
      </c>
      <c r="P1939" t="inlineStr">
        <is>
          <t>mou</t>
        </is>
      </c>
      <c r="R1939" t="inlineStr">
        <is>
          <t xml:space="preserve">E  </t>
        </is>
      </c>
      <c r="S1939" t="n">
        <v>2</v>
      </c>
      <c r="T1939" t="n">
        <v>2</v>
      </c>
      <c r="U1939" t="inlineStr">
        <is>
          <t>2003-11-25</t>
        </is>
      </c>
      <c r="V1939" t="inlineStr">
        <is>
          <t>2003-11-25</t>
        </is>
      </c>
      <c r="W1939" t="inlineStr">
        <is>
          <t>2003-11-12</t>
        </is>
      </c>
      <c r="X1939" t="inlineStr">
        <is>
          <t>2003-11-12</t>
        </is>
      </c>
      <c r="Y1939" t="n">
        <v>303</v>
      </c>
      <c r="Z1939" t="n">
        <v>298</v>
      </c>
      <c r="AA1939" t="n">
        <v>363</v>
      </c>
      <c r="AB1939" t="n">
        <v>1</v>
      </c>
      <c r="AC1939" t="n">
        <v>1</v>
      </c>
      <c r="AD1939" t="n">
        <v>6</v>
      </c>
      <c r="AE1939" t="n">
        <v>6</v>
      </c>
      <c r="AF1939" t="n">
        <v>2</v>
      </c>
      <c r="AG1939" t="n">
        <v>2</v>
      </c>
      <c r="AH1939" t="n">
        <v>0</v>
      </c>
      <c r="AI1939" t="n">
        <v>0</v>
      </c>
      <c r="AJ1939" t="n">
        <v>5</v>
      </c>
      <c r="AK1939" t="n">
        <v>5</v>
      </c>
      <c r="AL1939" t="n">
        <v>0</v>
      </c>
      <c r="AM1939" t="n">
        <v>0</v>
      </c>
      <c r="AN1939" t="n">
        <v>0</v>
      </c>
      <c r="AO1939" t="n">
        <v>0</v>
      </c>
      <c r="AP1939" t="inlineStr">
        <is>
          <t>No</t>
        </is>
      </c>
      <c r="AQ1939" t="inlineStr">
        <is>
          <t>No</t>
        </is>
      </c>
      <c r="AS1939">
        <f>HYPERLINK("https://creighton-primo.hosted.exlibrisgroup.com/primo-explore/search?tab=default_tab&amp;search_scope=EVERYTHING&amp;vid=01CRU&amp;lang=en_US&amp;offset=0&amp;query=any,contains,991004162039702656","Catalog Record")</f>
        <v/>
      </c>
      <c r="AT1939">
        <f>HYPERLINK("http://www.worldcat.org/oclc/51297131","WorldCat Record")</f>
        <v/>
      </c>
      <c r="AU1939" t="inlineStr">
        <is>
          <t>739585:eng</t>
        </is>
      </c>
      <c r="AV1939" t="inlineStr">
        <is>
          <t>51297131</t>
        </is>
      </c>
      <c r="AW1939" t="inlineStr">
        <is>
          <t>991004162039702656</t>
        </is>
      </c>
      <c r="AX1939" t="inlineStr">
        <is>
          <t>991004162039702656</t>
        </is>
      </c>
      <c r="AY1939" t="inlineStr">
        <is>
          <t>2260854210002656</t>
        </is>
      </c>
      <c r="AZ1939" t="inlineStr">
        <is>
          <t>BOOK</t>
        </is>
      </c>
      <c r="BB1939" t="inlineStr">
        <is>
          <t>9780740738524</t>
        </is>
      </c>
      <c r="BC1939" t="inlineStr">
        <is>
          <t>32285004796677</t>
        </is>
      </c>
      <c r="BD1939" t="inlineStr">
        <is>
          <t>893882130</t>
        </is>
      </c>
    </row>
    <row r="1940">
      <c r="A1940" t="inlineStr">
        <is>
          <t>No</t>
        </is>
      </c>
      <c r="B1940" t="inlineStr">
        <is>
          <t>E839.5 .N33 1990</t>
        </is>
      </c>
      <c r="C1940" t="inlineStr">
        <is>
          <t>0                      E  0839500N  33          1990</t>
        </is>
      </c>
      <c r="D1940" t="inlineStr">
        <is>
          <t>The press, presidents, and crises / Brigitte Lebens Nacos.</t>
        </is>
      </c>
      <c r="F1940" t="inlineStr">
        <is>
          <t>No</t>
        </is>
      </c>
      <c r="G1940" t="inlineStr">
        <is>
          <t>1</t>
        </is>
      </c>
      <c r="H1940" t="inlineStr">
        <is>
          <t>No</t>
        </is>
      </c>
      <c r="I1940" t="inlineStr">
        <is>
          <t>No</t>
        </is>
      </c>
      <c r="J1940" t="inlineStr">
        <is>
          <t>0</t>
        </is>
      </c>
      <c r="K1940" t="inlineStr">
        <is>
          <t>Nacos, Brigitte Lebens.</t>
        </is>
      </c>
      <c r="L1940" t="inlineStr">
        <is>
          <t>New York : Columbia University Press, c1990.</t>
        </is>
      </c>
      <c r="M1940" t="inlineStr">
        <is>
          <t>1990</t>
        </is>
      </c>
      <c r="O1940" t="inlineStr">
        <is>
          <t>eng</t>
        </is>
      </c>
      <c r="P1940" t="inlineStr">
        <is>
          <t>nyu</t>
        </is>
      </c>
      <c r="R1940" t="inlineStr">
        <is>
          <t xml:space="preserve">E  </t>
        </is>
      </c>
      <c r="S1940" t="n">
        <v>4</v>
      </c>
      <c r="T1940" t="n">
        <v>4</v>
      </c>
      <c r="U1940" t="inlineStr">
        <is>
          <t>1999-12-01</t>
        </is>
      </c>
      <c r="V1940" t="inlineStr">
        <is>
          <t>1999-12-01</t>
        </is>
      </c>
      <c r="W1940" t="inlineStr">
        <is>
          <t>1990-08-08</t>
        </is>
      </c>
      <c r="X1940" t="inlineStr">
        <is>
          <t>1990-08-08</t>
        </is>
      </c>
      <c r="Y1940" t="n">
        <v>584</v>
      </c>
      <c r="Z1940" t="n">
        <v>512</v>
      </c>
      <c r="AA1940" t="n">
        <v>518</v>
      </c>
      <c r="AB1940" t="n">
        <v>3</v>
      </c>
      <c r="AC1940" t="n">
        <v>3</v>
      </c>
      <c r="AD1940" t="n">
        <v>32</v>
      </c>
      <c r="AE1940" t="n">
        <v>32</v>
      </c>
      <c r="AF1940" t="n">
        <v>14</v>
      </c>
      <c r="AG1940" t="n">
        <v>14</v>
      </c>
      <c r="AH1940" t="n">
        <v>7</v>
      </c>
      <c r="AI1940" t="n">
        <v>7</v>
      </c>
      <c r="AJ1940" t="n">
        <v>14</v>
      </c>
      <c r="AK1940" t="n">
        <v>14</v>
      </c>
      <c r="AL1940" t="n">
        <v>2</v>
      </c>
      <c r="AM1940" t="n">
        <v>2</v>
      </c>
      <c r="AN1940" t="n">
        <v>2</v>
      </c>
      <c r="AO1940" t="n">
        <v>2</v>
      </c>
      <c r="AP1940" t="inlineStr">
        <is>
          <t>No</t>
        </is>
      </c>
      <c r="AQ1940" t="inlineStr">
        <is>
          <t>No</t>
        </is>
      </c>
      <c r="AS1940">
        <f>HYPERLINK("https://creighton-primo.hosted.exlibrisgroup.com/primo-explore/search?tab=default_tab&amp;search_scope=EVERYTHING&amp;vid=01CRU&amp;lang=en_US&amp;offset=0&amp;query=any,contains,991001531999702656","Catalog Record")</f>
        <v/>
      </c>
      <c r="AT1940">
        <f>HYPERLINK("http://www.worldcat.org/oclc/20055666","WorldCat Record")</f>
        <v/>
      </c>
      <c r="AU1940" t="inlineStr">
        <is>
          <t>1061722:eng</t>
        </is>
      </c>
      <c r="AV1940" t="inlineStr">
        <is>
          <t>20055666</t>
        </is>
      </c>
      <c r="AW1940" t="inlineStr">
        <is>
          <t>991001531999702656</t>
        </is>
      </c>
      <c r="AX1940" t="inlineStr">
        <is>
          <t>991001531999702656</t>
        </is>
      </c>
      <c r="AY1940" t="inlineStr">
        <is>
          <t>2272330390002656</t>
        </is>
      </c>
      <c r="AZ1940" t="inlineStr">
        <is>
          <t>BOOK</t>
        </is>
      </c>
      <c r="BB1940" t="inlineStr">
        <is>
          <t>9780231070645</t>
        </is>
      </c>
      <c r="BC1940" t="inlineStr">
        <is>
          <t>32285000242510</t>
        </is>
      </c>
      <c r="BD1940" t="inlineStr">
        <is>
          <t>893891627</t>
        </is>
      </c>
    </row>
    <row r="1941">
      <c r="A1941" t="inlineStr">
        <is>
          <t>No</t>
        </is>
      </c>
      <c r="B1941" t="inlineStr">
        <is>
          <t>E839.5 .R38 1982</t>
        </is>
      </c>
      <c r="C1941" t="inlineStr">
        <is>
          <t>0                      E  0839500R  38          1982</t>
        </is>
      </c>
      <c r="D1941" t="inlineStr">
        <is>
          <t>American journey : traveling with Tocqueville in search of democracy in America / Richard Reeves.</t>
        </is>
      </c>
      <c r="F1941" t="inlineStr">
        <is>
          <t>No</t>
        </is>
      </c>
      <c r="G1941" t="inlineStr">
        <is>
          <t>1</t>
        </is>
      </c>
      <c r="H1941" t="inlineStr">
        <is>
          <t>No</t>
        </is>
      </c>
      <c r="I1941" t="inlineStr">
        <is>
          <t>No</t>
        </is>
      </c>
      <c r="J1941" t="inlineStr">
        <is>
          <t>0</t>
        </is>
      </c>
      <c r="K1941" t="inlineStr">
        <is>
          <t>Reeves, Richard.</t>
        </is>
      </c>
      <c r="L1941" t="inlineStr">
        <is>
          <t>New York : Simon and Schuster, c1982.</t>
        </is>
      </c>
      <c r="M1941" t="inlineStr">
        <is>
          <t>1982</t>
        </is>
      </c>
      <c r="O1941" t="inlineStr">
        <is>
          <t>eng</t>
        </is>
      </c>
      <c r="P1941" t="inlineStr">
        <is>
          <t>nyu</t>
        </is>
      </c>
      <c r="R1941" t="inlineStr">
        <is>
          <t xml:space="preserve">E  </t>
        </is>
      </c>
      <c r="S1941" t="n">
        <v>2</v>
      </c>
      <c r="T1941" t="n">
        <v>2</v>
      </c>
      <c r="U1941" t="inlineStr">
        <is>
          <t>1995-02-01</t>
        </is>
      </c>
      <c r="V1941" t="inlineStr">
        <is>
          <t>1995-02-01</t>
        </is>
      </c>
      <c r="W1941" t="inlineStr">
        <is>
          <t>1991-06-19</t>
        </is>
      </c>
      <c r="X1941" t="inlineStr">
        <is>
          <t>1991-06-19</t>
        </is>
      </c>
      <c r="Y1941" t="n">
        <v>1635</v>
      </c>
      <c r="Z1941" t="n">
        <v>1526</v>
      </c>
      <c r="AA1941" t="n">
        <v>1548</v>
      </c>
      <c r="AB1941" t="n">
        <v>9</v>
      </c>
      <c r="AC1941" t="n">
        <v>9</v>
      </c>
      <c r="AD1941" t="n">
        <v>48</v>
      </c>
      <c r="AE1941" t="n">
        <v>48</v>
      </c>
      <c r="AF1941" t="n">
        <v>18</v>
      </c>
      <c r="AG1941" t="n">
        <v>18</v>
      </c>
      <c r="AH1941" t="n">
        <v>8</v>
      </c>
      <c r="AI1941" t="n">
        <v>8</v>
      </c>
      <c r="AJ1941" t="n">
        <v>20</v>
      </c>
      <c r="AK1941" t="n">
        <v>20</v>
      </c>
      <c r="AL1941" t="n">
        <v>6</v>
      </c>
      <c r="AM1941" t="n">
        <v>6</v>
      </c>
      <c r="AN1941" t="n">
        <v>5</v>
      </c>
      <c r="AO1941" t="n">
        <v>5</v>
      </c>
      <c r="AP1941" t="inlineStr">
        <is>
          <t>No</t>
        </is>
      </c>
      <c r="AQ1941" t="inlineStr">
        <is>
          <t>Yes</t>
        </is>
      </c>
      <c r="AR1941">
        <f>HYPERLINK("http://catalog.hathitrust.org/Record/000762706","HathiTrust Record")</f>
        <v/>
      </c>
      <c r="AS1941">
        <f>HYPERLINK("https://creighton-primo.hosted.exlibrisgroup.com/primo-explore/search?tab=default_tab&amp;search_scope=EVERYTHING&amp;vid=01CRU&amp;lang=en_US&amp;offset=0&amp;query=any,contains,991005211519702656","Catalog Record")</f>
        <v/>
      </c>
      <c r="AT1941">
        <f>HYPERLINK("http://www.worldcat.org/oclc/8169458","WorldCat Record")</f>
        <v/>
      </c>
      <c r="AU1941" t="inlineStr">
        <is>
          <t>3769051793:eng</t>
        </is>
      </c>
      <c r="AV1941" t="inlineStr">
        <is>
          <t>8169458</t>
        </is>
      </c>
      <c r="AW1941" t="inlineStr">
        <is>
          <t>991005211519702656</t>
        </is>
      </c>
      <c r="AX1941" t="inlineStr">
        <is>
          <t>991005211519702656</t>
        </is>
      </c>
      <c r="AY1941" t="inlineStr">
        <is>
          <t>2269629620002656</t>
        </is>
      </c>
      <c r="AZ1941" t="inlineStr">
        <is>
          <t>BOOK</t>
        </is>
      </c>
      <c r="BB1941" t="inlineStr">
        <is>
          <t>9780671247461</t>
        </is>
      </c>
      <c r="BC1941" t="inlineStr">
        <is>
          <t>32285000670215</t>
        </is>
      </c>
      <c r="BD1941" t="inlineStr">
        <is>
          <t>893808009</t>
        </is>
      </c>
    </row>
    <row r="1942">
      <c r="A1942" t="inlineStr">
        <is>
          <t>No</t>
        </is>
      </c>
      <c r="B1942" t="inlineStr">
        <is>
          <t>E839.5 .S35 1987</t>
        </is>
      </c>
      <c r="C1942" t="inlineStr">
        <is>
          <t>0                      E  0839500S  35          1987</t>
        </is>
      </c>
      <c r="D1942" t="inlineStr">
        <is>
          <t>The great American video game : presidential politics in the television age / Martin Schram.</t>
        </is>
      </c>
      <c r="F1942" t="inlineStr">
        <is>
          <t>No</t>
        </is>
      </c>
      <c r="G1942" t="inlineStr">
        <is>
          <t>1</t>
        </is>
      </c>
      <c r="H1942" t="inlineStr">
        <is>
          <t>No</t>
        </is>
      </c>
      <c r="I1942" t="inlineStr">
        <is>
          <t>No</t>
        </is>
      </c>
      <c r="J1942" t="inlineStr">
        <is>
          <t>0</t>
        </is>
      </c>
      <c r="K1942" t="inlineStr">
        <is>
          <t>Schram, Martin.</t>
        </is>
      </c>
      <c r="L1942" t="inlineStr">
        <is>
          <t>New York : Morrow, c1987.</t>
        </is>
      </c>
      <c r="M1942" t="inlineStr">
        <is>
          <t>1987</t>
        </is>
      </c>
      <c r="N1942" t="inlineStr">
        <is>
          <t>1st ed.</t>
        </is>
      </c>
      <c r="O1942" t="inlineStr">
        <is>
          <t>eng</t>
        </is>
      </c>
      <c r="P1942" t="inlineStr">
        <is>
          <t>nyu</t>
        </is>
      </c>
      <c r="R1942" t="inlineStr">
        <is>
          <t xml:space="preserve">E  </t>
        </is>
      </c>
      <c r="S1942" t="n">
        <v>1</v>
      </c>
      <c r="T1942" t="n">
        <v>1</v>
      </c>
      <c r="U1942" t="inlineStr">
        <is>
          <t>1996-04-25</t>
        </is>
      </c>
      <c r="V1942" t="inlineStr">
        <is>
          <t>1996-04-25</t>
        </is>
      </c>
      <c r="W1942" t="inlineStr">
        <is>
          <t>1991-06-19</t>
        </is>
      </c>
      <c r="X1942" t="inlineStr">
        <is>
          <t>1991-06-19</t>
        </is>
      </c>
      <c r="Y1942" t="n">
        <v>951</v>
      </c>
      <c r="Z1942" t="n">
        <v>883</v>
      </c>
      <c r="AA1942" t="n">
        <v>889</v>
      </c>
      <c r="AB1942" t="n">
        <v>4</v>
      </c>
      <c r="AC1942" t="n">
        <v>4</v>
      </c>
      <c r="AD1942" t="n">
        <v>38</v>
      </c>
      <c r="AE1942" t="n">
        <v>38</v>
      </c>
      <c r="AF1942" t="n">
        <v>17</v>
      </c>
      <c r="AG1942" t="n">
        <v>17</v>
      </c>
      <c r="AH1942" t="n">
        <v>7</v>
      </c>
      <c r="AI1942" t="n">
        <v>7</v>
      </c>
      <c r="AJ1942" t="n">
        <v>19</v>
      </c>
      <c r="AK1942" t="n">
        <v>19</v>
      </c>
      <c r="AL1942" t="n">
        <v>3</v>
      </c>
      <c r="AM1942" t="n">
        <v>3</v>
      </c>
      <c r="AN1942" t="n">
        <v>1</v>
      </c>
      <c r="AO1942" t="n">
        <v>1</v>
      </c>
      <c r="AP1942" t="inlineStr">
        <is>
          <t>No</t>
        </is>
      </c>
      <c r="AQ1942" t="inlineStr">
        <is>
          <t>Yes</t>
        </is>
      </c>
      <c r="AR1942">
        <f>HYPERLINK("http://catalog.hathitrust.org/Record/000811101","HathiTrust Record")</f>
        <v/>
      </c>
      <c r="AS1942">
        <f>HYPERLINK("https://creighton-primo.hosted.exlibrisgroup.com/primo-explore/search?tab=default_tab&amp;search_scope=EVERYTHING&amp;vid=01CRU&amp;lang=en_US&amp;offset=0&amp;query=any,contains,991000972119702656","Catalog Record")</f>
        <v/>
      </c>
      <c r="AT1942">
        <f>HYPERLINK("http://www.worldcat.org/oclc/14965371","WorldCat Record")</f>
        <v/>
      </c>
      <c r="AU1942" t="inlineStr">
        <is>
          <t>8507833:eng</t>
        </is>
      </c>
      <c r="AV1942" t="inlineStr">
        <is>
          <t>14965371</t>
        </is>
      </c>
      <c r="AW1942" t="inlineStr">
        <is>
          <t>991000972119702656</t>
        </is>
      </c>
      <c r="AX1942" t="inlineStr">
        <is>
          <t>991000972119702656</t>
        </is>
      </c>
      <c r="AY1942" t="inlineStr">
        <is>
          <t>2268477630002656</t>
        </is>
      </c>
      <c r="AZ1942" t="inlineStr">
        <is>
          <t>BOOK</t>
        </is>
      </c>
      <c r="BB1942" t="inlineStr">
        <is>
          <t>9780688058814</t>
        </is>
      </c>
      <c r="BC1942" t="inlineStr">
        <is>
          <t>32285000670231</t>
        </is>
      </c>
      <c r="BD1942" t="inlineStr">
        <is>
          <t>893614667</t>
        </is>
      </c>
    </row>
    <row r="1943">
      <c r="A1943" t="inlineStr">
        <is>
          <t>No</t>
        </is>
      </c>
      <c r="B1943" t="inlineStr">
        <is>
          <t>E839.5 .W49 1983</t>
        </is>
      </c>
      <c r="C1943" t="inlineStr">
        <is>
          <t>0                      E  0839500W  49          1983</t>
        </is>
      </c>
      <c r="D1943" t="inlineStr">
        <is>
          <t>The White House Press on the presidency : news management and co-option / Frank Cormier, James Deakin, Helen Thomas ; edited by Kenneth W. Thompson.</t>
        </is>
      </c>
      <c r="F1943" t="inlineStr">
        <is>
          <t>No</t>
        </is>
      </c>
      <c r="G1943" t="inlineStr">
        <is>
          <t>1</t>
        </is>
      </c>
      <c r="H1943" t="inlineStr">
        <is>
          <t>No</t>
        </is>
      </c>
      <c r="I1943" t="inlineStr">
        <is>
          <t>No</t>
        </is>
      </c>
      <c r="J1943" t="inlineStr">
        <is>
          <t>0</t>
        </is>
      </c>
      <c r="L1943" t="inlineStr">
        <is>
          <t>Lanham, MD : University Press of America, c1983.</t>
        </is>
      </c>
      <c r="M1943" t="inlineStr">
        <is>
          <t>1983</t>
        </is>
      </c>
      <c r="O1943" t="inlineStr">
        <is>
          <t>eng</t>
        </is>
      </c>
      <c r="P1943" t="inlineStr">
        <is>
          <t>mdu</t>
        </is>
      </c>
      <c r="R1943" t="inlineStr">
        <is>
          <t xml:space="preserve">E  </t>
        </is>
      </c>
      <c r="S1943" t="n">
        <v>7</v>
      </c>
      <c r="T1943" t="n">
        <v>7</v>
      </c>
      <c r="U1943" t="inlineStr">
        <is>
          <t>1996-04-08</t>
        </is>
      </c>
      <c r="V1943" t="inlineStr">
        <is>
          <t>1996-04-08</t>
        </is>
      </c>
      <c r="W1943" t="inlineStr">
        <is>
          <t>1991-06-19</t>
        </is>
      </c>
      <c r="X1943" t="inlineStr">
        <is>
          <t>1991-06-19</t>
        </is>
      </c>
      <c r="Y1943" t="n">
        <v>336</v>
      </c>
      <c r="Z1943" t="n">
        <v>297</v>
      </c>
      <c r="AA1943" t="n">
        <v>303</v>
      </c>
      <c r="AB1943" t="n">
        <v>5</v>
      </c>
      <c r="AC1943" t="n">
        <v>5</v>
      </c>
      <c r="AD1943" t="n">
        <v>21</v>
      </c>
      <c r="AE1943" t="n">
        <v>21</v>
      </c>
      <c r="AF1943" t="n">
        <v>8</v>
      </c>
      <c r="AG1943" t="n">
        <v>8</v>
      </c>
      <c r="AH1943" t="n">
        <v>4</v>
      </c>
      <c r="AI1943" t="n">
        <v>4</v>
      </c>
      <c r="AJ1943" t="n">
        <v>9</v>
      </c>
      <c r="AK1943" t="n">
        <v>9</v>
      </c>
      <c r="AL1943" t="n">
        <v>4</v>
      </c>
      <c r="AM1943" t="n">
        <v>4</v>
      </c>
      <c r="AN1943" t="n">
        <v>0</v>
      </c>
      <c r="AO1943" t="n">
        <v>0</v>
      </c>
      <c r="AP1943" t="inlineStr">
        <is>
          <t>No</t>
        </is>
      </c>
      <c r="AQ1943" t="inlineStr">
        <is>
          <t>Yes</t>
        </is>
      </c>
      <c r="AR1943">
        <f>HYPERLINK("http://catalog.hathitrust.org/Record/000592054","HathiTrust Record")</f>
        <v/>
      </c>
      <c r="AS1943">
        <f>HYPERLINK("https://creighton-primo.hosted.exlibrisgroup.com/primo-explore/search?tab=default_tab&amp;search_scope=EVERYTHING&amp;vid=01CRU&amp;lang=en_US&amp;offset=0&amp;query=any,contains,991000210039702656","Catalog Record")</f>
        <v/>
      </c>
      <c r="AT1943">
        <f>HYPERLINK("http://www.worldcat.org/oclc/9533439","WorldCat Record")</f>
        <v/>
      </c>
      <c r="AU1943" t="inlineStr">
        <is>
          <t>43696278:eng</t>
        </is>
      </c>
      <c r="AV1943" t="inlineStr">
        <is>
          <t>9533439</t>
        </is>
      </c>
      <c r="AW1943" t="inlineStr">
        <is>
          <t>991000210039702656</t>
        </is>
      </c>
      <c r="AX1943" t="inlineStr">
        <is>
          <t>991000210039702656</t>
        </is>
      </c>
      <c r="AY1943" t="inlineStr">
        <is>
          <t>2263103930002656</t>
        </is>
      </c>
      <c r="AZ1943" t="inlineStr">
        <is>
          <t>BOOK</t>
        </is>
      </c>
      <c r="BB1943" t="inlineStr">
        <is>
          <t>9780819132550</t>
        </is>
      </c>
      <c r="BC1943" t="inlineStr">
        <is>
          <t>32285000670264</t>
        </is>
      </c>
      <c r="BD1943" t="inlineStr">
        <is>
          <t>893333305</t>
        </is>
      </c>
    </row>
    <row r="1944">
      <c r="A1944" t="inlineStr">
        <is>
          <t>No</t>
        </is>
      </c>
      <c r="B1944" t="inlineStr">
        <is>
          <t>E839.5 .W54 1982</t>
        </is>
      </c>
      <c r="C1944" t="inlineStr">
        <is>
          <t>0                      E  0839500W  54          1982</t>
        </is>
      </c>
      <c r="D1944" t="inlineStr">
        <is>
          <t>The Pursuit of virtue and other Tory notions / George F. Will.</t>
        </is>
      </c>
      <c r="F1944" t="inlineStr">
        <is>
          <t>No</t>
        </is>
      </c>
      <c r="G1944" t="inlineStr">
        <is>
          <t>1</t>
        </is>
      </c>
      <c r="H1944" t="inlineStr">
        <is>
          <t>No</t>
        </is>
      </c>
      <c r="I1944" t="inlineStr">
        <is>
          <t>No</t>
        </is>
      </c>
      <c r="J1944" t="inlineStr">
        <is>
          <t>0</t>
        </is>
      </c>
      <c r="K1944" t="inlineStr">
        <is>
          <t>Will, George F.</t>
        </is>
      </c>
      <c r="L1944" t="inlineStr">
        <is>
          <t>New York : Simon and Schuster, c1982.</t>
        </is>
      </c>
      <c r="M1944" t="inlineStr">
        <is>
          <t>1982</t>
        </is>
      </c>
      <c r="O1944" t="inlineStr">
        <is>
          <t>eng</t>
        </is>
      </c>
      <c r="P1944" t="inlineStr">
        <is>
          <t>nyu</t>
        </is>
      </c>
      <c r="R1944" t="inlineStr">
        <is>
          <t xml:space="preserve">E  </t>
        </is>
      </c>
      <c r="S1944" t="n">
        <v>2</v>
      </c>
      <c r="T1944" t="n">
        <v>2</v>
      </c>
      <c r="U1944" t="inlineStr">
        <is>
          <t>2004-11-15</t>
        </is>
      </c>
      <c r="V1944" t="inlineStr">
        <is>
          <t>2004-11-15</t>
        </is>
      </c>
      <c r="W1944" t="inlineStr">
        <is>
          <t>1990-09-10</t>
        </is>
      </c>
      <c r="X1944" t="inlineStr">
        <is>
          <t>1990-09-10</t>
        </is>
      </c>
      <c r="Y1944" t="n">
        <v>805</v>
      </c>
      <c r="Z1944" t="n">
        <v>764</v>
      </c>
      <c r="AA1944" t="n">
        <v>800</v>
      </c>
      <c r="AB1944" t="n">
        <v>4</v>
      </c>
      <c r="AC1944" t="n">
        <v>4</v>
      </c>
      <c r="AD1944" t="n">
        <v>20</v>
      </c>
      <c r="AE1944" t="n">
        <v>21</v>
      </c>
      <c r="AF1944" t="n">
        <v>9</v>
      </c>
      <c r="AG1944" t="n">
        <v>10</v>
      </c>
      <c r="AH1944" t="n">
        <v>4</v>
      </c>
      <c r="AI1944" t="n">
        <v>4</v>
      </c>
      <c r="AJ1944" t="n">
        <v>11</v>
      </c>
      <c r="AK1944" t="n">
        <v>11</v>
      </c>
      <c r="AL1944" t="n">
        <v>2</v>
      </c>
      <c r="AM1944" t="n">
        <v>2</v>
      </c>
      <c r="AN1944" t="n">
        <v>0</v>
      </c>
      <c r="AO1944" t="n">
        <v>0</v>
      </c>
      <c r="AP1944" t="inlineStr">
        <is>
          <t>No</t>
        </is>
      </c>
      <c r="AQ1944" t="inlineStr">
        <is>
          <t>Yes</t>
        </is>
      </c>
      <c r="AR1944">
        <f>HYPERLINK("http://catalog.hathitrust.org/Record/000266196","HathiTrust Record")</f>
        <v/>
      </c>
      <c r="AS1944">
        <f>HYPERLINK("https://creighton-primo.hosted.exlibrisgroup.com/primo-explore/search?tab=default_tab&amp;search_scope=EVERYTHING&amp;vid=01CRU&amp;lang=en_US&amp;offset=0&amp;query=any,contains,991005190349702656","Catalog Record")</f>
        <v/>
      </c>
      <c r="AT1944">
        <f>HYPERLINK("http://www.worldcat.org/oclc/7998368","WorldCat Record")</f>
        <v/>
      </c>
      <c r="AU1944" t="inlineStr">
        <is>
          <t>518952:eng</t>
        </is>
      </c>
      <c r="AV1944" t="inlineStr">
        <is>
          <t>7998368</t>
        </is>
      </c>
      <c r="AW1944" t="inlineStr">
        <is>
          <t>991005190349702656</t>
        </is>
      </c>
      <c r="AX1944" t="inlineStr">
        <is>
          <t>991005190349702656</t>
        </is>
      </c>
      <c r="AY1944" t="inlineStr">
        <is>
          <t>2258725000002656</t>
        </is>
      </c>
      <c r="AZ1944" t="inlineStr">
        <is>
          <t>BOOK</t>
        </is>
      </c>
      <c r="BB1944" t="inlineStr">
        <is>
          <t>9780671423933</t>
        </is>
      </c>
      <c r="BC1944" t="inlineStr">
        <is>
          <t>32285000295237</t>
        </is>
      </c>
      <c r="BD1944" t="inlineStr">
        <is>
          <t>893801887</t>
        </is>
      </c>
    </row>
    <row r="1945">
      <c r="A1945" t="inlineStr">
        <is>
          <t>No</t>
        </is>
      </c>
      <c r="B1945" t="inlineStr">
        <is>
          <t>E839.8 .W57 1990</t>
        </is>
      </c>
      <c r="C1945" t="inlineStr">
        <is>
          <t>0                      E  0839800W  57          1990</t>
        </is>
      </c>
      <c r="D1945" t="inlineStr">
        <is>
          <t>Faces of internationalism : public opinion and American foreign policy / Eugene R. Wittkopf.</t>
        </is>
      </c>
      <c r="F1945" t="inlineStr">
        <is>
          <t>No</t>
        </is>
      </c>
      <c r="G1945" t="inlineStr">
        <is>
          <t>1</t>
        </is>
      </c>
      <c r="H1945" t="inlineStr">
        <is>
          <t>No</t>
        </is>
      </c>
      <c r="I1945" t="inlineStr">
        <is>
          <t>No</t>
        </is>
      </c>
      <c r="J1945" t="inlineStr">
        <is>
          <t>0</t>
        </is>
      </c>
      <c r="K1945" t="inlineStr">
        <is>
          <t>Wittkopf, Eugene R., 1943-</t>
        </is>
      </c>
      <c r="L1945" t="inlineStr">
        <is>
          <t>Durham : Duke University Press, 1990.</t>
        </is>
      </c>
      <c r="M1945" t="inlineStr">
        <is>
          <t>1990</t>
        </is>
      </c>
      <c r="O1945" t="inlineStr">
        <is>
          <t>eng</t>
        </is>
      </c>
      <c r="P1945" t="inlineStr">
        <is>
          <t>ncu</t>
        </is>
      </c>
      <c r="R1945" t="inlineStr">
        <is>
          <t xml:space="preserve">E  </t>
        </is>
      </c>
      <c r="S1945" t="n">
        <v>13</v>
      </c>
      <c r="T1945" t="n">
        <v>13</v>
      </c>
      <c r="U1945" t="inlineStr">
        <is>
          <t>2003-04-29</t>
        </is>
      </c>
      <c r="V1945" t="inlineStr">
        <is>
          <t>2003-04-29</t>
        </is>
      </c>
      <c r="W1945" t="inlineStr">
        <is>
          <t>1991-03-11</t>
        </is>
      </c>
      <c r="X1945" t="inlineStr">
        <is>
          <t>1991-03-11</t>
        </is>
      </c>
      <c r="Y1945" t="n">
        <v>460</v>
      </c>
      <c r="Z1945" t="n">
        <v>365</v>
      </c>
      <c r="AA1945" t="n">
        <v>378</v>
      </c>
      <c r="AB1945" t="n">
        <v>3</v>
      </c>
      <c r="AC1945" t="n">
        <v>3</v>
      </c>
      <c r="AD1945" t="n">
        <v>22</v>
      </c>
      <c r="AE1945" t="n">
        <v>23</v>
      </c>
      <c r="AF1945" t="n">
        <v>7</v>
      </c>
      <c r="AG1945" t="n">
        <v>7</v>
      </c>
      <c r="AH1945" t="n">
        <v>5</v>
      </c>
      <c r="AI1945" t="n">
        <v>6</v>
      </c>
      <c r="AJ1945" t="n">
        <v>13</v>
      </c>
      <c r="AK1945" t="n">
        <v>13</v>
      </c>
      <c r="AL1945" t="n">
        <v>2</v>
      </c>
      <c r="AM1945" t="n">
        <v>2</v>
      </c>
      <c r="AN1945" t="n">
        <v>1</v>
      </c>
      <c r="AO1945" t="n">
        <v>1</v>
      </c>
      <c r="AP1945" t="inlineStr">
        <is>
          <t>Yes</t>
        </is>
      </c>
      <c r="AQ1945" t="inlineStr">
        <is>
          <t>Yes</t>
        </is>
      </c>
      <c r="AR1945">
        <f>HYPERLINK("http://catalog.hathitrust.org/Record/002205354","HathiTrust Record")</f>
        <v/>
      </c>
      <c r="AS1945">
        <f>HYPERLINK("https://creighton-primo.hosted.exlibrisgroup.com/primo-explore/search?tab=default_tab&amp;search_scope=EVERYTHING&amp;vid=01CRU&amp;lang=en_US&amp;offset=0&amp;query=any,contains,991001634119702656","Catalog Record")</f>
        <v/>
      </c>
      <c r="AT1945">
        <f>HYPERLINK("http://www.worldcat.org/oclc/20934639","WorldCat Record")</f>
        <v/>
      </c>
      <c r="AU1945" t="inlineStr">
        <is>
          <t>836815619:eng</t>
        </is>
      </c>
      <c r="AV1945" t="inlineStr">
        <is>
          <t>20934639</t>
        </is>
      </c>
      <c r="AW1945" t="inlineStr">
        <is>
          <t>991001634119702656</t>
        </is>
      </c>
      <c r="AX1945" t="inlineStr">
        <is>
          <t>991001634119702656</t>
        </is>
      </c>
      <c r="AY1945" t="inlineStr">
        <is>
          <t>2264805830002656</t>
        </is>
      </c>
      <c r="AZ1945" t="inlineStr">
        <is>
          <t>BOOK</t>
        </is>
      </c>
      <c r="BB1945" t="inlineStr">
        <is>
          <t>9780822310709</t>
        </is>
      </c>
      <c r="BC1945" t="inlineStr">
        <is>
          <t>32285000494152</t>
        </is>
      </c>
      <c r="BD1945" t="inlineStr">
        <is>
          <t>893232111</t>
        </is>
      </c>
    </row>
    <row r="1946">
      <c r="A1946" t="inlineStr">
        <is>
          <t>No</t>
        </is>
      </c>
      <c r="B1946" t="inlineStr">
        <is>
          <t>E840 .B34 1980</t>
        </is>
      </c>
      <c r="C1946" t="inlineStr">
        <is>
          <t>0                      E  0840000B  34          1980</t>
        </is>
      </c>
      <c r="D1946" t="inlineStr">
        <is>
          <t>Intervention and revolution : the United States in the Third World / by Richard J. Barnet.</t>
        </is>
      </c>
      <c r="F1946" t="inlineStr">
        <is>
          <t>No</t>
        </is>
      </c>
      <c r="G1946" t="inlineStr">
        <is>
          <t>1</t>
        </is>
      </c>
      <c r="H1946" t="inlineStr">
        <is>
          <t>No</t>
        </is>
      </c>
      <c r="I1946" t="inlineStr">
        <is>
          <t>Yes</t>
        </is>
      </c>
      <c r="J1946" t="inlineStr">
        <is>
          <t>0</t>
        </is>
      </c>
      <c r="K1946" t="inlineStr">
        <is>
          <t>Barnet, Richard J.</t>
        </is>
      </c>
      <c r="L1946" t="inlineStr">
        <is>
          <t>New York : New American Library, 1980.</t>
        </is>
      </c>
      <c r="M1946" t="inlineStr">
        <is>
          <t>1980</t>
        </is>
      </c>
      <c r="N1946" t="inlineStr">
        <is>
          <t>Rev. and updated.</t>
        </is>
      </c>
      <c r="O1946" t="inlineStr">
        <is>
          <t>eng</t>
        </is>
      </c>
      <c r="P1946" t="inlineStr">
        <is>
          <t>nyu</t>
        </is>
      </c>
      <c r="R1946" t="inlineStr">
        <is>
          <t xml:space="preserve">E  </t>
        </is>
      </c>
      <c r="S1946" t="n">
        <v>6</v>
      </c>
      <c r="T1946" t="n">
        <v>6</v>
      </c>
      <c r="U1946" t="inlineStr">
        <is>
          <t>1998-04-09</t>
        </is>
      </c>
      <c r="V1946" t="inlineStr">
        <is>
          <t>1998-04-09</t>
        </is>
      </c>
      <c r="W1946" t="inlineStr">
        <is>
          <t>1991-06-19</t>
        </is>
      </c>
      <c r="X1946" t="inlineStr">
        <is>
          <t>1991-06-19</t>
        </is>
      </c>
      <c r="Y1946" t="n">
        <v>94</v>
      </c>
      <c r="Z1946" t="n">
        <v>77</v>
      </c>
      <c r="AA1946" t="n">
        <v>1091</v>
      </c>
      <c r="AB1946" t="n">
        <v>1</v>
      </c>
      <c r="AC1946" t="n">
        <v>10</v>
      </c>
      <c r="AD1946" t="n">
        <v>3</v>
      </c>
      <c r="AE1946" t="n">
        <v>51</v>
      </c>
      <c r="AF1946" t="n">
        <v>0</v>
      </c>
      <c r="AG1946" t="n">
        <v>18</v>
      </c>
      <c r="AH1946" t="n">
        <v>2</v>
      </c>
      <c r="AI1946" t="n">
        <v>9</v>
      </c>
      <c r="AJ1946" t="n">
        <v>2</v>
      </c>
      <c r="AK1946" t="n">
        <v>21</v>
      </c>
      <c r="AL1946" t="n">
        <v>0</v>
      </c>
      <c r="AM1946" t="n">
        <v>9</v>
      </c>
      <c r="AN1946" t="n">
        <v>0</v>
      </c>
      <c r="AO1946" t="n">
        <v>4</v>
      </c>
      <c r="AP1946" t="inlineStr">
        <is>
          <t>No</t>
        </is>
      </c>
      <c r="AQ1946" t="inlineStr">
        <is>
          <t>Yes</t>
        </is>
      </c>
      <c r="AR1946">
        <f>HYPERLINK("http://catalog.hathitrust.org/Record/102108395","HathiTrust Record")</f>
        <v/>
      </c>
      <c r="AS1946">
        <f>HYPERLINK("https://creighton-primo.hosted.exlibrisgroup.com/primo-explore/search?tab=default_tab&amp;search_scope=EVERYTHING&amp;vid=01CRU&amp;lang=en_US&amp;offset=0&amp;query=any,contains,991000916729702656","Catalog Record")</f>
        <v/>
      </c>
      <c r="AT1946">
        <f>HYPERLINK("http://www.worldcat.org/oclc/14184944","WorldCat Record")</f>
        <v/>
      </c>
      <c r="AU1946" t="inlineStr">
        <is>
          <t>1349608:eng</t>
        </is>
      </c>
      <c r="AV1946" t="inlineStr">
        <is>
          <t>14184944</t>
        </is>
      </c>
      <c r="AW1946" t="inlineStr">
        <is>
          <t>991000916729702656</t>
        </is>
      </c>
      <c r="AX1946" t="inlineStr">
        <is>
          <t>991000916729702656</t>
        </is>
      </c>
      <c r="AY1946" t="inlineStr">
        <is>
          <t>2261894850002656</t>
        </is>
      </c>
      <c r="AZ1946" t="inlineStr">
        <is>
          <t>BOOK</t>
        </is>
      </c>
      <c r="BB1946" t="inlineStr">
        <is>
          <t>9780452006102</t>
        </is>
      </c>
      <c r="BC1946" t="inlineStr">
        <is>
          <t>32285000670306</t>
        </is>
      </c>
      <c r="BD1946" t="inlineStr">
        <is>
          <t>893346091</t>
        </is>
      </c>
    </row>
    <row r="1947">
      <c r="A1947" t="inlineStr">
        <is>
          <t>No</t>
        </is>
      </c>
      <c r="B1947" t="inlineStr">
        <is>
          <t>E840 .B73 1996</t>
        </is>
      </c>
      <c r="C1947" t="inlineStr">
        <is>
          <t>0                      E  0840000B  73          1996</t>
        </is>
      </c>
      <c r="D1947" t="inlineStr">
        <is>
          <t>Since Vietnam : the United States in world affairs, 1973-1995 / H.W. Brands.</t>
        </is>
      </c>
      <c r="F1947" t="inlineStr">
        <is>
          <t>No</t>
        </is>
      </c>
      <c r="G1947" t="inlineStr">
        <is>
          <t>1</t>
        </is>
      </c>
      <c r="H1947" t="inlineStr">
        <is>
          <t>No</t>
        </is>
      </c>
      <c r="I1947" t="inlineStr">
        <is>
          <t>No</t>
        </is>
      </c>
      <c r="J1947" t="inlineStr">
        <is>
          <t>0</t>
        </is>
      </c>
      <c r="K1947" t="inlineStr">
        <is>
          <t>Brands, H. W.</t>
        </is>
      </c>
      <c r="L1947" t="inlineStr">
        <is>
          <t>New York : McGraw-Hill, c1996.</t>
        </is>
      </c>
      <c r="M1947" t="inlineStr">
        <is>
          <t>1996</t>
        </is>
      </c>
      <c r="O1947" t="inlineStr">
        <is>
          <t>eng</t>
        </is>
      </c>
      <c r="P1947" t="inlineStr">
        <is>
          <t>nyu</t>
        </is>
      </c>
      <c r="Q1947" t="inlineStr">
        <is>
          <t>America in crisis</t>
        </is>
      </c>
      <c r="R1947" t="inlineStr">
        <is>
          <t xml:space="preserve">E  </t>
        </is>
      </c>
      <c r="S1947" t="n">
        <v>3</v>
      </c>
      <c r="T1947" t="n">
        <v>3</v>
      </c>
      <c r="U1947" t="inlineStr">
        <is>
          <t>1998-09-17</t>
        </is>
      </c>
      <c r="V1947" t="inlineStr">
        <is>
          <t>1998-09-17</t>
        </is>
      </c>
      <c r="W1947" t="inlineStr">
        <is>
          <t>1996-08-14</t>
        </is>
      </c>
      <c r="X1947" t="inlineStr">
        <is>
          <t>1996-08-14</t>
        </is>
      </c>
      <c r="Y1947" t="n">
        <v>243</v>
      </c>
      <c r="Z1947" t="n">
        <v>207</v>
      </c>
      <c r="AA1947" t="n">
        <v>211</v>
      </c>
      <c r="AB1947" t="n">
        <v>3</v>
      </c>
      <c r="AC1947" t="n">
        <v>3</v>
      </c>
      <c r="AD1947" t="n">
        <v>6</v>
      </c>
      <c r="AE1947" t="n">
        <v>6</v>
      </c>
      <c r="AF1947" t="n">
        <v>1</v>
      </c>
      <c r="AG1947" t="n">
        <v>1</v>
      </c>
      <c r="AH1947" t="n">
        <v>2</v>
      </c>
      <c r="AI1947" t="n">
        <v>2</v>
      </c>
      <c r="AJ1947" t="n">
        <v>4</v>
      </c>
      <c r="AK1947" t="n">
        <v>4</v>
      </c>
      <c r="AL1947" t="n">
        <v>2</v>
      </c>
      <c r="AM1947" t="n">
        <v>2</v>
      </c>
      <c r="AN1947" t="n">
        <v>0</v>
      </c>
      <c r="AO1947" t="n">
        <v>0</v>
      </c>
      <c r="AP1947" t="inlineStr">
        <is>
          <t>No</t>
        </is>
      </c>
      <c r="AQ1947" t="inlineStr">
        <is>
          <t>Yes</t>
        </is>
      </c>
      <c r="AR1947">
        <f>HYPERLINK("http://catalog.hathitrust.org/Record/003131265","HathiTrust Record")</f>
        <v/>
      </c>
      <c r="AS1947">
        <f>HYPERLINK("https://creighton-primo.hosted.exlibrisgroup.com/primo-explore/search?tab=default_tab&amp;search_scope=EVERYTHING&amp;vid=01CRU&amp;lang=en_US&amp;offset=0&amp;query=any,contains,991002451539702656","Catalog Record")</f>
        <v/>
      </c>
      <c r="AT1947">
        <f>HYPERLINK("http://www.worldcat.org/oclc/31970388","WorldCat Record")</f>
        <v/>
      </c>
      <c r="AU1947" t="inlineStr">
        <is>
          <t>366515283:eng</t>
        </is>
      </c>
      <c r="AV1947" t="inlineStr">
        <is>
          <t>31970388</t>
        </is>
      </c>
      <c r="AW1947" t="inlineStr">
        <is>
          <t>991002451539702656</t>
        </is>
      </c>
      <c r="AX1947" t="inlineStr">
        <is>
          <t>991002451539702656</t>
        </is>
      </c>
      <c r="AY1947" t="inlineStr">
        <is>
          <t>2267588180002656</t>
        </is>
      </c>
      <c r="AZ1947" t="inlineStr">
        <is>
          <t>BOOK</t>
        </is>
      </c>
      <c r="BB1947" t="inlineStr">
        <is>
          <t>9780070071964</t>
        </is>
      </c>
      <c r="BC1947" t="inlineStr">
        <is>
          <t>32285002290202</t>
        </is>
      </c>
      <c r="BD1947" t="inlineStr">
        <is>
          <t>893710302</t>
        </is>
      </c>
    </row>
    <row r="1948">
      <c r="A1948" t="inlineStr">
        <is>
          <t>No</t>
        </is>
      </c>
      <c r="B1948" t="inlineStr">
        <is>
          <t>E840 .B785 1997</t>
        </is>
      </c>
      <c r="C1948" t="inlineStr">
        <is>
          <t>0                      E  0840000B  785         1997</t>
        </is>
      </c>
      <c r="D1948" t="inlineStr">
        <is>
          <t>The grand chessboard : American primacy and its geostrategic imperatives / Zbigniew Brzezinski.</t>
        </is>
      </c>
      <c r="F1948" t="inlineStr">
        <is>
          <t>No</t>
        </is>
      </c>
      <c r="G1948" t="inlineStr">
        <is>
          <t>1</t>
        </is>
      </c>
      <c r="H1948" t="inlineStr">
        <is>
          <t>No</t>
        </is>
      </c>
      <c r="I1948" t="inlineStr">
        <is>
          <t>No</t>
        </is>
      </c>
      <c r="J1948" t="inlineStr">
        <is>
          <t>0</t>
        </is>
      </c>
      <c r="K1948" t="inlineStr">
        <is>
          <t>Brzezinski, Zbigniew, 1928-2017.</t>
        </is>
      </c>
      <c r="L1948" t="inlineStr">
        <is>
          <t>New York : BasicBooks, c1997.</t>
        </is>
      </c>
      <c r="M1948" t="inlineStr">
        <is>
          <t>1997</t>
        </is>
      </c>
      <c r="N1948" t="inlineStr">
        <is>
          <t>1st ed.</t>
        </is>
      </c>
      <c r="O1948" t="inlineStr">
        <is>
          <t>eng</t>
        </is>
      </c>
      <c r="P1948" t="inlineStr">
        <is>
          <t>nyu</t>
        </is>
      </c>
      <c r="R1948" t="inlineStr">
        <is>
          <t xml:space="preserve">E  </t>
        </is>
      </c>
      <c r="S1948" t="n">
        <v>8</v>
      </c>
      <c r="T1948" t="n">
        <v>8</v>
      </c>
      <c r="U1948" t="inlineStr">
        <is>
          <t>2004-11-26</t>
        </is>
      </c>
      <c r="V1948" t="inlineStr">
        <is>
          <t>2004-11-26</t>
        </is>
      </c>
      <c r="W1948" t="inlineStr">
        <is>
          <t>1997-11-04</t>
        </is>
      </c>
      <c r="X1948" t="inlineStr">
        <is>
          <t>1997-11-04</t>
        </is>
      </c>
      <c r="Y1948" t="n">
        <v>917</v>
      </c>
      <c r="Z1948" t="n">
        <v>754</v>
      </c>
      <c r="AA1948" t="n">
        <v>1054</v>
      </c>
      <c r="AB1948" t="n">
        <v>5</v>
      </c>
      <c r="AC1948" t="n">
        <v>6</v>
      </c>
      <c r="AD1948" t="n">
        <v>26</v>
      </c>
      <c r="AE1948" t="n">
        <v>31</v>
      </c>
      <c r="AF1948" t="n">
        <v>8</v>
      </c>
      <c r="AG1948" t="n">
        <v>11</v>
      </c>
      <c r="AH1948" t="n">
        <v>6</v>
      </c>
      <c r="AI1948" t="n">
        <v>6</v>
      </c>
      <c r="AJ1948" t="n">
        <v>14</v>
      </c>
      <c r="AK1948" t="n">
        <v>16</v>
      </c>
      <c r="AL1948" t="n">
        <v>4</v>
      </c>
      <c r="AM1948" t="n">
        <v>5</v>
      </c>
      <c r="AN1948" t="n">
        <v>0</v>
      </c>
      <c r="AO1948" t="n">
        <v>0</v>
      </c>
      <c r="AP1948" t="inlineStr">
        <is>
          <t>No</t>
        </is>
      </c>
      <c r="AQ1948" t="inlineStr">
        <is>
          <t>No</t>
        </is>
      </c>
      <c r="AS1948">
        <f>HYPERLINK("https://creighton-primo.hosted.exlibrisgroup.com/primo-explore/search?tab=default_tab&amp;search_scope=EVERYTHING&amp;vid=01CRU&amp;lang=en_US&amp;offset=0&amp;query=any,contains,991002804049702656","Catalog Record")</f>
        <v/>
      </c>
      <c r="AT1948">
        <f>HYPERLINK("http://www.worldcat.org/oclc/36841318","WorldCat Record")</f>
        <v/>
      </c>
      <c r="AU1948" t="inlineStr">
        <is>
          <t>353319956:eng</t>
        </is>
      </c>
      <c r="AV1948" t="inlineStr">
        <is>
          <t>36841318</t>
        </is>
      </c>
      <c r="AW1948" t="inlineStr">
        <is>
          <t>991002804049702656</t>
        </is>
      </c>
      <c r="AX1948" t="inlineStr">
        <is>
          <t>991002804049702656</t>
        </is>
      </c>
      <c r="AY1948" t="inlineStr">
        <is>
          <t>2262273640002656</t>
        </is>
      </c>
      <c r="AZ1948" t="inlineStr">
        <is>
          <t>BOOK</t>
        </is>
      </c>
      <c r="BB1948" t="inlineStr">
        <is>
          <t>9780465027255</t>
        </is>
      </c>
      <c r="BC1948" t="inlineStr">
        <is>
          <t>32285003275095</t>
        </is>
      </c>
      <c r="BD1948" t="inlineStr">
        <is>
          <t>893257732</t>
        </is>
      </c>
    </row>
    <row r="1949">
      <c r="A1949" t="inlineStr">
        <is>
          <t>No</t>
        </is>
      </c>
      <c r="B1949" t="inlineStr">
        <is>
          <t>E840 .C335 1997</t>
        </is>
      </c>
      <c r="C1949" t="inlineStr">
        <is>
          <t>0                      E  0840000C  335         1997</t>
        </is>
      </c>
      <c r="D1949" t="inlineStr">
        <is>
          <t>Unwinnable wars : American power and ethnic conflict / David Callahan.</t>
        </is>
      </c>
      <c r="F1949" t="inlineStr">
        <is>
          <t>No</t>
        </is>
      </c>
      <c r="G1949" t="inlineStr">
        <is>
          <t>1</t>
        </is>
      </c>
      <c r="H1949" t="inlineStr">
        <is>
          <t>No</t>
        </is>
      </c>
      <c r="I1949" t="inlineStr">
        <is>
          <t>No</t>
        </is>
      </c>
      <c r="J1949" t="inlineStr">
        <is>
          <t>0</t>
        </is>
      </c>
      <c r="K1949" t="inlineStr">
        <is>
          <t>Callahan, David, 1965-</t>
        </is>
      </c>
      <c r="L1949" t="inlineStr">
        <is>
          <t>New York : Hill and Wang, 1997.</t>
        </is>
      </c>
      <c r="M1949" t="inlineStr">
        <is>
          <t>1997</t>
        </is>
      </c>
      <c r="N1949" t="inlineStr">
        <is>
          <t>1st ed.</t>
        </is>
      </c>
      <c r="O1949" t="inlineStr">
        <is>
          <t>eng</t>
        </is>
      </c>
      <c r="P1949" t="inlineStr">
        <is>
          <t>nyu</t>
        </is>
      </c>
      <c r="R1949" t="inlineStr">
        <is>
          <t xml:space="preserve">E  </t>
        </is>
      </c>
      <c r="S1949" t="n">
        <v>0</v>
      </c>
      <c r="T1949" t="n">
        <v>0</v>
      </c>
      <c r="U1949" t="inlineStr">
        <is>
          <t>2001-12-12</t>
        </is>
      </c>
      <c r="V1949" t="inlineStr">
        <is>
          <t>2001-12-12</t>
        </is>
      </c>
      <c r="W1949" t="inlineStr">
        <is>
          <t>1998-07-08</t>
        </is>
      </c>
      <c r="X1949" t="inlineStr">
        <is>
          <t>1998-07-08</t>
        </is>
      </c>
      <c r="Y1949" t="n">
        <v>559</v>
      </c>
      <c r="Z1949" t="n">
        <v>493</v>
      </c>
      <c r="AA1949" t="n">
        <v>542</v>
      </c>
      <c r="AB1949" t="n">
        <v>6</v>
      </c>
      <c r="AC1949" t="n">
        <v>6</v>
      </c>
      <c r="AD1949" t="n">
        <v>26</v>
      </c>
      <c r="AE1949" t="n">
        <v>27</v>
      </c>
      <c r="AF1949" t="n">
        <v>7</v>
      </c>
      <c r="AG1949" t="n">
        <v>8</v>
      </c>
      <c r="AH1949" t="n">
        <v>8</v>
      </c>
      <c r="AI1949" t="n">
        <v>8</v>
      </c>
      <c r="AJ1949" t="n">
        <v>11</v>
      </c>
      <c r="AK1949" t="n">
        <v>11</v>
      </c>
      <c r="AL1949" t="n">
        <v>5</v>
      </c>
      <c r="AM1949" t="n">
        <v>5</v>
      </c>
      <c r="AN1949" t="n">
        <v>0</v>
      </c>
      <c r="AO1949" t="n">
        <v>0</v>
      </c>
      <c r="AP1949" t="inlineStr">
        <is>
          <t>No</t>
        </is>
      </c>
      <c r="AQ1949" t="inlineStr">
        <is>
          <t>No</t>
        </is>
      </c>
      <c r="AS1949">
        <f>HYPERLINK("https://creighton-primo.hosted.exlibrisgroup.com/primo-explore/search?tab=default_tab&amp;search_scope=EVERYTHING&amp;vid=01CRU&amp;lang=en_US&amp;offset=0&amp;query=any,contains,991002835929702656","Catalog Record")</f>
        <v/>
      </c>
      <c r="AT1949">
        <f>HYPERLINK("http://www.worldcat.org/oclc/37353755","WorldCat Record")</f>
        <v/>
      </c>
      <c r="AU1949" t="inlineStr">
        <is>
          <t>616832:eng</t>
        </is>
      </c>
      <c r="AV1949" t="inlineStr">
        <is>
          <t>37353755</t>
        </is>
      </c>
      <c r="AW1949" t="inlineStr">
        <is>
          <t>991002835929702656</t>
        </is>
      </c>
      <c r="AX1949" t="inlineStr">
        <is>
          <t>991002835929702656</t>
        </is>
      </c>
      <c r="AY1949" t="inlineStr">
        <is>
          <t>2260566590002656</t>
        </is>
      </c>
      <c r="AZ1949" t="inlineStr">
        <is>
          <t>BOOK</t>
        </is>
      </c>
      <c r="BB1949" t="inlineStr">
        <is>
          <t>9780809030460</t>
        </is>
      </c>
      <c r="BC1949" t="inlineStr">
        <is>
          <t>32285003430310</t>
        </is>
      </c>
      <c r="BD1949" t="inlineStr">
        <is>
          <t>893792997</t>
        </is>
      </c>
    </row>
    <row r="1950">
      <c r="A1950" t="inlineStr">
        <is>
          <t>No</t>
        </is>
      </c>
      <c r="B1950" t="inlineStr">
        <is>
          <t>E840 .C38 2002</t>
        </is>
      </c>
      <c r="C1950" t="inlineStr">
        <is>
          <t>0                      E  0840000C  38          2002</t>
        </is>
      </c>
      <c r="D1950" t="inlineStr">
        <is>
          <t>Exporting "made-in-America" democracy : the National Endowment for Democracy &amp; U.S. foreign policy / Colin S. Cavell.</t>
        </is>
      </c>
      <c r="F1950" t="inlineStr">
        <is>
          <t>No</t>
        </is>
      </c>
      <c r="G1950" t="inlineStr">
        <is>
          <t>1</t>
        </is>
      </c>
      <c r="H1950" t="inlineStr">
        <is>
          <t>No</t>
        </is>
      </c>
      <c r="I1950" t="inlineStr">
        <is>
          <t>No</t>
        </is>
      </c>
      <c r="J1950" t="inlineStr">
        <is>
          <t>0</t>
        </is>
      </c>
      <c r="K1950" t="inlineStr">
        <is>
          <t>Cavell, Colin S.</t>
        </is>
      </c>
      <c r="L1950" t="inlineStr">
        <is>
          <t>Lanham, Md. : University Press of America, c2002.</t>
        </is>
      </c>
      <c r="M1950" t="inlineStr">
        <is>
          <t>2002</t>
        </is>
      </c>
      <c r="O1950" t="inlineStr">
        <is>
          <t>eng</t>
        </is>
      </c>
      <c r="P1950" t="inlineStr">
        <is>
          <t>mdu</t>
        </is>
      </c>
      <c r="R1950" t="inlineStr">
        <is>
          <t xml:space="preserve">E  </t>
        </is>
      </c>
      <c r="S1950" t="n">
        <v>10</v>
      </c>
      <c r="T1950" t="n">
        <v>10</v>
      </c>
      <c r="U1950" t="inlineStr">
        <is>
          <t>2004-06-27</t>
        </is>
      </c>
      <c r="V1950" t="inlineStr">
        <is>
          <t>2004-06-27</t>
        </is>
      </c>
      <c r="W1950" t="inlineStr">
        <is>
          <t>2003-09-26</t>
        </is>
      </c>
      <c r="X1950" t="inlineStr">
        <is>
          <t>2003-09-26</t>
        </is>
      </c>
      <c r="Y1950" t="n">
        <v>164</v>
      </c>
      <c r="Z1950" t="n">
        <v>135</v>
      </c>
      <c r="AA1950" t="n">
        <v>137</v>
      </c>
      <c r="AB1950" t="n">
        <v>1</v>
      </c>
      <c r="AC1950" t="n">
        <v>1</v>
      </c>
      <c r="AD1950" t="n">
        <v>6</v>
      </c>
      <c r="AE1950" t="n">
        <v>6</v>
      </c>
      <c r="AF1950" t="n">
        <v>2</v>
      </c>
      <c r="AG1950" t="n">
        <v>2</v>
      </c>
      <c r="AH1950" t="n">
        <v>3</v>
      </c>
      <c r="AI1950" t="n">
        <v>3</v>
      </c>
      <c r="AJ1950" t="n">
        <v>3</v>
      </c>
      <c r="AK1950" t="n">
        <v>3</v>
      </c>
      <c r="AL1950" t="n">
        <v>0</v>
      </c>
      <c r="AM1950" t="n">
        <v>0</v>
      </c>
      <c r="AN1950" t="n">
        <v>0</v>
      </c>
      <c r="AO1950" t="n">
        <v>0</v>
      </c>
      <c r="AP1950" t="inlineStr">
        <is>
          <t>No</t>
        </is>
      </c>
      <c r="AQ1950" t="inlineStr">
        <is>
          <t>Yes</t>
        </is>
      </c>
      <c r="AR1950">
        <f>HYPERLINK("http://catalog.hathitrust.org/Record/004306319","HathiTrust Record")</f>
        <v/>
      </c>
      <c r="AS1950">
        <f>HYPERLINK("https://creighton-primo.hosted.exlibrisgroup.com/primo-explore/search?tab=default_tab&amp;search_scope=EVERYTHING&amp;vid=01CRU&amp;lang=en_US&amp;offset=0&amp;query=any,contains,991004137849702656","Catalog Record")</f>
        <v/>
      </c>
      <c r="AT1950">
        <f>HYPERLINK("http://www.worldcat.org/oclc/50767934","WorldCat Record")</f>
        <v/>
      </c>
      <c r="AU1950" t="inlineStr">
        <is>
          <t>754858:eng</t>
        </is>
      </c>
      <c r="AV1950" t="inlineStr">
        <is>
          <t>50767934</t>
        </is>
      </c>
      <c r="AW1950" t="inlineStr">
        <is>
          <t>991004137849702656</t>
        </is>
      </c>
      <c r="AX1950" t="inlineStr">
        <is>
          <t>991004137849702656</t>
        </is>
      </c>
      <c r="AY1950" t="inlineStr">
        <is>
          <t>2268717260002656</t>
        </is>
      </c>
      <c r="AZ1950" t="inlineStr">
        <is>
          <t>BOOK</t>
        </is>
      </c>
      <c r="BB1950" t="inlineStr">
        <is>
          <t>9780761824404</t>
        </is>
      </c>
      <c r="BC1950" t="inlineStr">
        <is>
          <t>32285004796891</t>
        </is>
      </c>
      <c r="BD1950" t="inlineStr">
        <is>
          <t>893718525</t>
        </is>
      </c>
    </row>
    <row r="1951">
      <c r="A1951" t="inlineStr">
        <is>
          <t>No</t>
        </is>
      </c>
      <c r="B1951" t="inlineStr">
        <is>
          <t>E840 .C472 1987</t>
        </is>
      </c>
      <c r="C1951" t="inlineStr">
        <is>
          <t>0                      E  0840000C  472         1987</t>
        </is>
      </c>
      <c r="D1951" t="inlineStr">
        <is>
          <t>The Chomsky reader / Noam Chomsky ; edited by James Peck.</t>
        </is>
      </c>
      <c r="F1951" t="inlineStr">
        <is>
          <t>No</t>
        </is>
      </c>
      <c r="G1951" t="inlineStr">
        <is>
          <t>1</t>
        </is>
      </c>
      <c r="H1951" t="inlineStr">
        <is>
          <t>No</t>
        </is>
      </c>
      <c r="I1951" t="inlineStr">
        <is>
          <t>No</t>
        </is>
      </c>
      <c r="J1951" t="inlineStr">
        <is>
          <t>0</t>
        </is>
      </c>
      <c r="K1951" t="inlineStr">
        <is>
          <t>Chomsky, Noam.</t>
        </is>
      </c>
      <c r="L1951" t="inlineStr">
        <is>
          <t>New York : Pantheon Books, 1987.</t>
        </is>
      </c>
      <c r="M1951" t="inlineStr">
        <is>
          <t>1987</t>
        </is>
      </c>
      <c r="N1951" t="inlineStr">
        <is>
          <t>1st ed.</t>
        </is>
      </c>
      <c r="O1951" t="inlineStr">
        <is>
          <t>eng</t>
        </is>
      </c>
      <c r="P1951" t="inlineStr">
        <is>
          <t>nyu</t>
        </is>
      </c>
      <c r="R1951" t="inlineStr">
        <is>
          <t xml:space="preserve">E  </t>
        </is>
      </c>
      <c r="S1951" t="n">
        <v>3</v>
      </c>
      <c r="T1951" t="n">
        <v>3</v>
      </c>
      <c r="U1951" t="inlineStr">
        <is>
          <t>2005-11-09</t>
        </is>
      </c>
      <c r="V1951" t="inlineStr">
        <is>
          <t>2005-11-09</t>
        </is>
      </c>
      <c r="W1951" t="inlineStr">
        <is>
          <t>1998-12-17</t>
        </is>
      </c>
      <c r="X1951" t="inlineStr">
        <is>
          <t>1998-12-17</t>
        </is>
      </c>
      <c r="Y1951" t="n">
        <v>1053</v>
      </c>
      <c r="Z1951" t="n">
        <v>866</v>
      </c>
      <c r="AA1951" t="n">
        <v>906</v>
      </c>
      <c r="AB1951" t="n">
        <v>3</v>
      </c>
      <c r="AC1951" t="n">
        <v>3</v>
      </c>
      <c r="AD1951" t="n">
        <v>27</v>
      </c>
      <c r="AE1951" t="n">
        <v>27</v>
      </c>
      <c r="AF1951" t="n">
        <v>13</v>
      </c>
      <c r="AG1951" t="n">
        <v>13</v>
      </c>
      <c r="AH1951" t="n">
        <v>7</v>
      </c>
      <c r="AI1951" t="n">
        <v>7</v>
      </c>
      <c r="AJ1951" t="n">
        <v>14</v>
      </c>
      <c r="AK1951" t="n">
        <v>14</v>
      </c>
      <c r="AL1951" t="n">
        <v>1</v>
      </c>
      <c r="AM1951" t="n">
        <v>1</v>
      </c>
      <c r="AN1951" t="n">
        <v>0</v>
      </c>
      <c r="AO1951" t="n">
        <v>0</v>
      </c>
      <c r="AP1951" t="inlineStr">
        <is>
          <t>No</t>
        </is>
      </c>
      <c r="AQ1951" t="inlineStr">
        <is>
          <t>Yes</t>
        </is>
      </c>
      <c r="AR1951">
        <f>HYPERLINK("http://catalog.hathitrust.org/Record/000841046","HathiTrust Record")</f>
        <v/>
      </c>
      <c r="AS1951">
        <f>HYPERLINK("https://creighton-primo.hosted.exlibrisgroup.com/primo-explore/search?tab=default_tab&amp;search_scope=EVERYTHING&amp;vid=01CRU&amp;lang=en_US&amp;offset=0&amp;query=any,contains,991001068919702656","Catalog Record")</f>
        <v/>
      </c>
      <c r="AT1951">
        <f>HYPERLINK("http://www.worldcat.org/oclc/15856475","WorldCat Record")</f>
        <v/>
      </c>
      <c r="AU1951" t="inlineStr">
        <is>
          <t>1059092467:eng</t>
        </is>
      </c>
      <c r="AV1951" t="inlineStr">
        <is>
          <t>15856475</t>
        </is>
      </c>
      <c r="AW1951" t="inlineStr">
        <is>
          <t>991001068919702656</t>
        </is>
      </c>
      <c r="AX1951" t="inlineStr">
        <is>
          <t>991001068919702656</t>
        </is>
      </c>
      <c r="AY1951" t="inlineStr">
        <is>
          <t>2272428130002656</t>
        </is>
      </c>
      <c r="AZ1951" t="inlineStr">
        <is>
          <t>BOOK</t>
        </is>
      </c>
      <c r="BB1951" t="inlineStr">
        <is>
          <t>9780394559568</t>
        </is>
      </c>
      <c r="BC1951" t="inlineStr">
        <is>
          <t>32285003507844</t>
        </is>
      </c>
      <c r="BD1951" t="inlineStr">
        <is>
          <t>893231679</t>
        </is>
      </c>
    </row>
    <row r="1952">
      <c r="A1952" t="inlineStr">
        <is>
          <t>No</t>
        </is>
      </c>
      <c r="B1952" t="inlineStr">
        <is>
          <t>E840 .C48 v. 2</t>
        </is>
      </c>
      <c r="C1952" t="inlineStr">
        <is>
          <t>0                      E  0840000C  48                                                      v. 2</t>
        </is>
      </c>
      <c r="D1952" t="inlineStr">
        <is>
          <t>After the cataclysm, postwar Indochina and the reconstruction of imperial ideology / Noam Chomsky and Edward S. Herman.</t>
        </is>
      </c>
      <c r="E1952" t="inlineStr">
        <is>
          <t>V. 2</t>
        </is>
      </c>
      <c r="F1952" t="inlineStr">
        <is>
          <t>No</t>
        </is>
      </c>
      <c r="G1952" t="inlineStr">
        <is>
          <t>1</t>
        </is>
      </c>
      <c r="H1952" t="inlineStr">
        <is>
          <t>No</t>
        </is>
      </c>
      <c r="I1952" t="inlineStr">
        <is>
          <t>No</t>
        </is>
      </c>
      <c r="J1952" t="inlineStr">
        <is>
          <t>0</t>
        </is>
      </c>
      <c r="K1952" t="inlineStr">
        <is>
          <t>Chomsky, Noam.</t>
        </is>
      </c>
      <c r="L1952" t="inlineStr">
        <is>
          <t>Boston : South End Press, c1979.</t>
        </is>
      </c>
      <c r="M1952" t="inlineStr">
        <is>
          <t>1979</t>
        </is>
      </c>
      <c r="N1952" t="inlineStr">
        <is>
          <t>1st ed.</t>
        </is>
      </c>
      <c r="O1952" t="inlineStr">
        <is>
          <t>eng</t>
        </is>
      </c>
      <c r="P1952" t="inlineStr">
        <is>
          <t>mau</t>
        </is>
      </c>
      <c r="Q1952" t="inlineStr">
        <is>
          <t>Their The political economy of human rights ; v. 2</t>
        </is>
      </c>
      <c r="R1952" t="inlineStr">
        <is>
          <t xml:space="preserve">E  </t>
        </is>
      </c>
      <c r="S1952" t="n">
        <v>1</v>
      </c>
      <c r="T1952" t="n">
        <v>1</v>
      </c>
      <c r="U1952" t="inlineStr">
        <is>
          <t>1993-02-06</t>
        </is>
      </c>
      <c r="V1952" t="inlineStr">
        <is>
          <t>1993-02-06</t>
        </is>
      </c>
      <c r="W1952" t="inlineStr">
        <is>
          <t>1991-06-19</t>
        </is>
      </c>
      <c r="X1952" t="inlineStr">
        <is>
          <t>1991-06-19</t>
        </is>
      </c>
      <c r="Y1952" t="n">
        <v>535</v>
      </c>
      <c r="Z1952" t="n">
        <v>465</v>
      </c>
      <c r="AA1952" t="n">
        <v>843</v>
      </c>
      <c r="AB1952" t="n">
        <v>3</v>
      </c>
      <c r="AC1952" t="n">
        <v>6</v>
      </c>
      <c r="AD1952" t="n">
        <v>19</v>
      </c>
      <c r="AE1952" t="n">
        <v>36</v>
      </c>
      <c r="AF1952" t="n">
        <v>5</v>
      </c>
      <c r="AG1952" t="n">
        <v>12</v>
      </c>
      <c r="AH1952" t="n">
        <v>4</v>
      </c>
      <c r="AI1952" t="n">
        <v>9</v>
      </c>
      <c r="AJ1952" t="n">
        <v>14</v>
      </c>
      <c r="AK1952" t="n">
        <v>17</v>
      </c>
      <c r="AL1952" t="n">
        <v>2</v>
      </c>
      <c r="AM1952" t="n">
        <v>5</v>
      </c>
      <c r="AN1952" t="n">
        <v>1</v>
      </c>
      <c r="AO1952" t="n">
        <v>2</v>
      </c>
      <c r="AP1952" t="inlineStr">
        <is>
          <t>No</t>
        </is>
      </c>
      <c r="AQ1952" t="inlineStr">
        <is>
          <t>No</t>
        </is>
      </c>
      <c r="AS1952">
        <f>HYPERLINK("https://creighton-primo.hosted.exlibrisgroup.com/primo-explore/search?tab=default_tab&amp;search_scope=EVERYTHING&amp;vid=01CRU&amp;lang=en_US&amp;offset=0&amp;query=any,contains,991004936099702656","Catalog Record")</f>
        <v/>
      </c>
      <c r="AT1952">
        <f>HYPERLINK("http://www.worldcat.org/oclc/6143068","WorldCat Record")</f>
        <v/>
      </c>
      <c r="AU1952" t="inlineStr">
        <is>
          <t>3863713390:eng</t>
        </is>
      </c>
      <c r="AV1952" t="inlineStr">
        <is>
          <t>6143068</t>
        </is>
      </c>
      <c r="AW1952" t="inlineStr">
        <is>
          <t>991004936099702656</t>
        </is>
      </c>
      <c r="AX1952" t="inlineStr">
        <is>
          <t>991004936099702656</t>
        </is>
      </c>
      <c r="AY1952" t="inlineStr">
        <is>
          <t>2259879230002656</t>
        </is>
      </c>
      <c r="AZ1952" t="inlineStr">
        <is>
          <t>BOOK</t>
        </is>
      </c>
      <c r="BB1952" t="inlineStr">
        <is>
          <t>9780896081000</t>
        </is>
      </c>
      <c r="BC1952" t="inlineStr">
        <is>
          <t>32285000670330</t>
        </is>
      </c>
      <c r="BD1952" t="inlineStr">
        <is>
          <t>893870270</t>
        </is>
      </c>
    </row>
    <row r="1953">
      <c r="A1953" t="inlineStr">
        <is>
          <t>No</t>
        </is>
      </c>
      <c r="B1953" t="inlineStr">
        <is>
          <t>E840 .C48 v.1</t>
        </is>
      </c>
      <c r="C1953" t="inlineStr">
        <is>
          <t>0                      E  0840000C  48                                                      v.1</t>
        </is>
      </c>
      <c r="D1953" t="inlineStr">
        <is>
          <t>The Washington connection and Third World fascism / Noam Chomsky and Edward S. Herman.</t>
        </is>
      </c>
      <c r="E1953" t="inlineStr">
        <is>
          <t>V. 1</t>
        </is>
      </c>
      <c r="F1953" t="inlineStr">
        <is>
          <t>No</t>
        </is>
      </c>
      <c r="G1953" t="inlineStr">
        <is>
          <t>1</t>
        </is>
      </c>
      <c r="H1953" t="inlineStr">
        <is>
          <t>No</t>
        </is>
      </c>
      <c r="I1953" t="inlineStr">
        <is>
          <t>No</t>
        </is>
      </c>
      <c r="J1953" t="inlineStr">
        <is>
          <t>0</t>
        </is>
      </c>
      <c r="K1953" t="inlineStr">
        <is>
          <t>Chomsky, Noam.</t>
        </is>
      </c>
      <c r="L1953" t="inlineStr">
        <is>
          <t>Boston : South End Press, c1979.</t>
        </is>
      </c>
      <c r="M1953" t="inlineStr">
        <is>
          <t>1979</t>
        </is>
      </c>
      <c r="N1953" t="inlineStr">
        <is>
          <t>1st ed.</t>
        </is>
      </c>
      <c r="O1953" t="inlineStr">
        <is>
          <t>eng</t>
        </is>
      </c>
      <c r="P1953" t="inlineStr">
        <is>
          <t>mau</t>
        </is>
      </c>
      <c r="Q1953" t="inlineStr">
        <is>
          <t>The Political economy of human rights ; v. 1</t>
        </is>
      </c>
      <c r="R1953" t="inlineStr">
        <is>
          <t xml:space="preserve">E  </t>
        </is>
      </c>
      <c r="S1953" t="n">
        <v>5</v>
      </c>
      <c r="T1953" t="n">
        <v>5</v>
      </c>
      <c r="U1953" t="inlineStr">
        <is>
          <t>1999-12-10</t>
        </is>
      </c>
      <c r="V1953" t="inlineStr">
        <is>
          <t>1999-12-10</t>
        </is>
      </c>
      <c r="W1953" t="inlineStr">
        <is>
          <t>1991-06-19</t>
        </is>
      </c>
      <c r="X1953" t="inlineStr">
        <is>
          <t>1991-06-19</t>
        </is>
      </c>
      <c r="Y1953" t="n">
        <v>699</v>
      </c>
      <c r="Z1953" t="n">
        <v>608</v>
      </c>
      <c r="AA1953" t="n">
        <v>720</v>
      </c>
      <c r="AB1953" t="n">
        <v>4</v>
      </c>
      <c r="AC1953" t="n">
        <v>4</v>
      </c>
      <c r="AD1953" t="n">
        <v>24</v>
      </c>
      <c r="AE1953" t="n">
        <v>26</v>
      </c>
      <c r="AF1953" t="n">
        <v>9</v>
      </c>
      <c r="AG1953" t="n">
        <v>11</v>
      </c>
      <c r="AH1953" t="n">
        <v>5</v>
      </c>
      <c r="AI1953" t="n">
        <v>5</v>
      </c>
      <c r="AJ1953" t="n">
        <v>13</v>
      </c>
      <c r="AK1953" t="n">
        <v>14</v>
      </c>
      <c r="AL1953" t="n">
        <v>3</v>
      </c>
      <c r="AM1953" t="n">
        <v>3</v>
      </c>
      <c r="AN1953" t="n">
        <v>1</v>
      </c>
      <c r="AO1953" t="n">
        <v>1</v>
      </c>
      <c r="AP1953" t="inlineStr">
        <is>
          <t>No</t>
        </is>
      </c>
      <c r="AQ1953" t="inlineStr">
        <is>
          <t>Yes</t>
        </is>
      </c>
      <c r="AR1953">
        <f>HYPERLINK("http://catalog.hathitrust.org/Record/004389142","HathiTrust Record")</f>
        <v/>
      </c>
      <c r="AS1953">
        <f>HYPERLINK("https://creighton-primo.hosted.exlibrisgroup.com/primo-explore/search?tab=default_tab&amp;search_scope=EVERYTHING&amp;vid=01CRU&amp;lang=en_US&amp;offset=0&amp;query=any,contains,991004827889702656","Catalog Record")</f>
        <v/>
      </c>
      <c r="AT1953">
        <f>HYPERLINK("http://www.worldcat.org/oclc/5373257","WorldCat Record")</f>
        <v/>
      </c>
      <c r="AU1953" t="inlineStr">
        <is>
          <t>562404:eng</t>
        </is>
      </c>
      <c r="AV1953" t="inlineStr">
        <is>
          <t>5373257</t>
        </is>
      </c>
      <c r="AW1953" t="inlineStr">
        <is>
          <t>991004827889702656</t>
        </is>
      </c>
      <c r="AX1953" t="inlineStr">
        <is>
          <t>991004827889702656</t>
        </is>
      </c>
      <c r="AY1953" t="inlineStr">
        <is>
          <t>2269547020002656</t>
        </is>
      </c>
      <c r="AZ1953" t="inlineStr">
        <is>
          <t>BOOK</t>
        </is>
      </c>
      <c r="BB1953" t="inlineStr">
        <is>
          <t>9780896080904</t>
        </is>
      </c>
      <c r="BC1953" t="inlineStr">
        <is>
          <t>32285000670322</t>
        </is>
      </c>
      <c r="BD1953" t="inlineStr">
        <is>
          <t>893700718</t>
        </is>
      </c>
    </row>
    <row r="1954">
      <c r="A1954" t="inlineStr">
        <is>
          <t>No</t>
        </is>
      </c>
      <c r="B1954" t="inlineStr">
        <is>
          <t>E840 .C494 1993</t>
        </is>
      </c>
      <c r="C1954" t="inlineStr">
        <is>
          <t>0                      E  0840000C  494         1993</t>
        </is>
      </c>
      <c r="D1954" t="inlineStr">
        <is>
          <t>Year 501 : the conquest continues / Noam Chomsky.</t>
        </is>
      </c>
      <c r="F1954" t="inlineStr">
        <is>
          <t>No</t>
        </is>
      </c>
      <c r="G1954" t="inlineStr">
        <is>
          <t>1</t>
        </is>
      </c>
      <c r="H1954" t="inlineStr">
        <is>
          <t>No</t>
        </is>
      </c>
      <c r="I1954" t="inlineStr">
        <is>
          <t>No</t>
        </is>
      </c>
      <c r="J1954" t="inlineStr">
        <is>
          <t>0</t>
        </is>
      </c>
      <c r="K1954" t="inlineStr">
        <is>
          <t>Chomsky, Noam.</t>
        </is>
      </c>
      <c r="L1954" t="inlineStr">
        <is>
          <t>Boston : South End Press, c1993.</t>
        </is>
      </c>
      <c r="M1954" t="inlineStr">
        <is>
          <t>1993</t>
        </is>
      </c>
      <c r="O1954" t="inlineStr">
        <is>
          <t>eng</t>
        </is>
      </c>
      <c r="P1954" t="inlineStr">
        <is>
          <t>mau</t>
        </is>
      </c>
      <c r="R1954" t="inlineStr">
        <is>
          <t xml:space="preserve">E  </t>
        </is>
      </c>
      <c r="S1954" t="n">
        <v>16</v>
      </c>
      <c r="T1954" t="n">
        <v>16</v>
      </c>
      <c r="U1954" t="inlineStr">
        <is>
          <t>2004-02-10</t>
        </is>
      </c>
      <c r="V1954" t="inlineStr">
        <is>
          <t>2004-02-10</t>
        </is>
      </c>
      <c r="W1954" t="inlineStr">
        <is>
          <t>1993-12-16</t>
        </is>
      </c>
      <c r="X1954" t="inlineStr">
        <is>
          <t>1993-12-16</t>
        </is>
      </c>
      <c r="Y1954" t="n">
        <v>672</v>
      </c>
      <c r="Z1954" t="n">
        <v>566</v>
      </c>
      <c r="AA1954" t="n">
        <v>845</v>
      </c>
      <c r="AB1954" t="n">
        <v>6</v>
      </c>
      <c r="AC1954" t="n">
        <v>8</v>
      </c>
      <c r="AD1954" t="n">
        <v>31</v>
      </c>
      <c r="AE1954" t="n">
        <v>40</v>
      </c>
      <c r="AF1954" t="n">
        <v>12</v>
      </c>
      <c r="AG1954" t="n">
        <v>15</v>
      </c>
      <c r="AH1954" t="n">
        <v>7</v>
      </c>
      <c r="AI1954" t="n">
        <v>9</v>
      </c>
      <c r="AJ1954" t="n">
        <v>14</v>
      </c>
      <c r="AK1954" t="n">
        <v>16</v>
      </c>
      <c r="AL1954" t="n">
        <v>5</v>
      </c>
      <c r="AM1954" t="n">
        <v>7</v>
      </c>
      <c r="AN1954" t="n">
        <v>2</v>
      </c>
      <c r="AO1954" t="n">
        <v>2</v>
      </c>
      <c r="AP1954" t="inlineStr">
        <is>
          <t>No</t>
        </is>
      </c>
      <c r="AQ1954" t="inlineStr">
        <is>
          <t>Yes</t>
        </is>
      </c>
      <c r="AR1954">
        <f>HYPERLINK("http://catalog.hathitrust.org/Record/002618173","HathiTrust Record")</f>
        <v/>
      </c>
      <c r="AS1954">
        <f>HYPERLINK("https://creighton-primo.hosted.exlibrisgroup.com/primo-explore/search?tab=default_tab&amp;search_scope=EVERYTHING&amp;vid=01CRU&amp;lang=en_US&amp;offset=0&amp;query=any,contains,991002104309702656","Catalog Record")</f>
        <v/>
      </c>
      <c r="AT1954">
        <f>HYPERLINK("http://www.worldcat.org/oclc/27010813","WorldCat Record")</f>
        <v/>
      </c>
      <c r="AU1954" t="inlineStr">
        <is>
          <t>7362034:eng</t>
        </is>
      </c>
      <c r="AV1954" t="inlineStr">
        <is>
          <t>27010813</t>
        </is>
      </c>
      <c r="AW1954" t="inlineStr">
        <is>
          <t>991002104309702656</t>
        </is>
      </c>
      <c r="AX1954" t="inlineStr">
        <is>
          <t>991002104309702656</t>
        </is>
      </c>
      <c r="AY1954" t="inlineStr">
        <is>
          <t>2267097390002656</t>
        </is>
      </c>
      <c r="AZ1954" t="inlineStr">
        <is>
          <t>BOOK</t>
        </is>
      </c>
      <c r="BB1954" t="inlineStr">
        <is>
          <t>9780896084445</t>
        </is>
      </c>
      <c r="BC1954" t="inlineStr">
        <is>
          <t>32285001816635</t>
        </is>
      </c>
      <c r="BD1954" t="inlineStr">
        <is>
          <t>893809307</t>
        </is>
      </c>
    </row>
    <row r="1955">
      <c r="A1955" t="inlineStr">
        <is>
          <t>No</t>
        </is>
      </c>
      <c r="B1955" t="inlineStr">
        <is>
          <t>E840 .C64 1995</t>
        </is>
      </c>
      <c r="C1955" t="inlineStr">
        <is>
          <t>0                      E  0840000C  64          1995</t>
        </is>
      </c>
      <c r="D1955" t="inlineStr">
        <is>
          <t>Democracies and foreign policy : public participation in the United States and the Netherlands / Bernard C. Cohen.</t>
        </is>
      </c>
      <c r="F1955" t="inlineStr">
        <is>
          <t>No</t>
        </is>
      </c>
      <c r="G1955" t="inlineStr">
        <is>
          <t>1</t>
        </is>
      </c>
      <c r="H1955" t="inlineStr">
        <is>
          <t>No</t>
        </is>
      </c>
      <c r="I1955" t="inlineStr">
        <is>
          <t>No</t>
        </is>
      </c>
      <c r="J1955" t="inlineStr">
        <is>
          <t>0</t>
        </is>
      </c>
      <c r="K1955" t="inlineStr">
        <is>
          <t>Cohen, Bernard Cecil, 1926-</t>
        </is>
      </c>
      <c r="L1955" t="inlineStr">
        <is>
          <t>Madison, Wis. : University of Wisconsin Press, c1995.</t>
        </is>
      </c>
      <c r="M1955" t="inlineStr">
        <is>
          <t>1995</t>
        </is>
      </c>
      <c r="O1955" t="inlineStr">
        <is>
          <t>eng</t>
        </is>
      </c>
      <c r="P1955" t="inlineStr">
        <is>
          <t>wiu</t>
        </is>
      </c>
      <c r="R1955" t="inlineStr">
        <is>
          <t xml:space="preserve">E  </t>
        </is>
      </c>
      <c r="S1955" t="n">
        <v>3</v>
      </c>
      <c r="T1955" t="n">
        <v>3</v>
      </c>
      <c r="U1955" t="inlineStr">
        <is>
          <t>2005-02-21</t>
        </is>
      </c>
      <c r="V1955" t="inlineStr">
        <is>
          <t>2005-02-21</t>
        </is>
      </c>
      <c r="W1955" t="inlineStr">
        <is>
          <t>1996-09-24</t>
        </is>
      </c>
      <c r="X1955" t="inlineStr">
        <is>
          <t>1996-09-24</t>
        </is>
      </c>
      <c r="Y1955" t="n">
        <v>275</v>
      </c>
      <c r="Z1955" t="n">
        <v>231</v>
      </c>
      <c r="AA1955" t="n">
        <v>233</v>
      </c>
      <c r="AB1955" t="n">
        <v>2</v>
      </c>
      <c r="AC1955" t="n">
        <v>2</v>
      </c>
      <c r="AD1955" t="n">
        <v>11</v>
      </c>
      <c r="AE1955" t="n">
        <v>11</v>
      </c>
      <c r="AF1955" t="n">
        <v>2</v>
      </c>
      <c r="AG1955" t="n">
        <v>2</v>
      </c>
      <c r="AH1955" t="n">
        <v>3</v>
      </c>
      <c r="AI1955" t="n">
        <v>3</v>
      </c>
      <c r="AJ1955" t="n">
        <v>9</v>
      </c>
      <c r="AK1955" t="n">
        <v>9</v>
      </c>
      <c r="AL1955" t="n">
        <v>1</v>
      </c>
      <c r="AM1955" t="n">
        <v>1</v>
      </c>
      <c r="AN1955" t="n">
        <v>0</v>
      </c>
      <c r="AO1955" t="n">
        <v>0</v>
      </c>
      <c r="AP1955" t="inlineStr">
        <is>
          <t>No</t>
        </is>
      </c>
      <c r="AQ1955" t="inlineStr">
        <is>
          <t>Yes</t>
        </is>
      </c>
      <c r="AR1955">
        <f>HYPERLINK("http://catalog.hathitrust.org/Record/002971393","HathiTrust Record")</f>
        <v/>
      </c>
      <c r="AS1955">
        <f>HYPERLINK("https://creighton-primo.hosted.exlibrisgroup.com/primo-explore/search?tab=default_tab&amp;search_scope=EVERYTHING&amp;vid=01CRU&amp;lang=en_US&amp;offset=0&amp;query=any,contains,991002407679702656","Catalog Record")</f>
        <v/>
      </c>
      <c r="AT1955">
        <f>HYPERLINK("http://www.worldcat.org/oclc/31328548","WorldCat Record")</f>
        <v/>
      </c>
      <c r="AU1955" t="inlineStr">
        <is>
          <t>33417307:eng</t>
        </is>
      </c>
      <c r="AV1955" t="inlineStr">
        <is>
          <t>31328548</t>
        </is>
      </c>
      <c r="AW1955" t="inlineStr">
        <is>
          <t>991002407679702656</t>
        </is>
      </c>
      <c r="AX1955" t="inlineStr">
        <is>
          <t>991002407679702656</t>
        </is>
      </c>
      <c r="AY1955" t="inlineStr">
        <is>
          <t>2256725670002656</t>
        </is>
      </c>
      <c r="AZ1955" t="inlineStr">
        <is>
          <t>BOOK</t>
        </is>
      </c>
      <c r="BB1955" t="inlineStr">
        <is>
          <t>9780299146405</t>
        </is>
      </c>
      <c r="BC1955" t="inlineStr">
        <is>
          <t>32285002319043</t>
        </is>
      </c>
      <c r="BD1955" t="inlineStr">
        <is>
          <t>893238989</t>
        </is>
      </c>
    </row>
    <row r="1956">
      <c r="A1956" t="inlineStr">
        <is>
          <t>No</t>
        </is>
      </c>
      <c r="B1956" t="inlineStr">
        <is>
          <t>E840 .C66 2002</t>
        </is>
      </c>
      <c r="C1956" t="inlineStr">
        <is>
          <t>0                      E  0840000C  66          2002</t>
        </is>
      </c>
      <c r="D1956" t="inlineStr">
        <is>
          <t>Contemporary cases in U.S. foreign policy : from terrorism to trade / Ralph G. Carter, editor.</t>
        </is>
      </c>
      <c r="F1956" t="inlineStr">
        <is>
          <t>No</t>
        </is>
      </c>
      <c r="G1956" t="inlineStr">
        <is>
          <t>1</t>
        </is>
      </c>
      <c r="H1956" t="inlineStr">
        <is>
          <t>No</t>
        </is>
      </c>
      <c r="I1956" t="inlineStr">
        <is>
          <t>No</t>
        </is>
      </c>
      <c r="J1956" t="inlineStr">
        <is>
          <t>0</t>
        </is>
      </c>
      <c r="L1956" t="inlineStr">
        <is>
          <t>Washington, D.C. : CQ Press, c2002.</t>
        </is>
      </c>
      <c r="M1956" t="inlineStr">
        <is>
          <t>2002</t>
        </is>
      </c>
      <c r="O1956" t="inlineStr">
        <is>
          <t>eng</t>
        </is>
      </c>
      <c r="P1956" t="inlineStr">
        <is>
          <t>dcu</t>
        </is>
      </c>
      <c r="R1956" t="inlineStr">
        <is>
          <t xml:space="preserve">E  </t>
        </is>
      </c>
      <c r="S1956" t="n">
        <v>5</v>
      </c>
      <c r="T1956" t="n">
        <v>5</v>
      </c>
      <c r="U1956" t="inlineStr">
        <is>
          <t>2003-04-30</t>
        </is>
      </c>
      <c r="V1956" t="inlineStr">
        <is>
          <t>2003-04-30</t>
        </is>
      </c>
      <c r="W1956" t="inlineStr">
        <is>
          <t>2001-11-14</t>
        </is>
      </c>
      <c r="X1956" t="inlineStr">
        <is>
          <t>2001-11-14</t>
        </is>
      </c>
      <c r="Y1956" t="n">
        <v>218</v>
      </c>
      <c r="Z1956" t="n">
        <v>199</v>
      </c>
      <c r="AA1956" t="n">
        <v>478</v>
      </c>
      <c r="AB1956" t="n">
        <v>1</v>
      </c>
      <c r="AC1956" t="n">
        <v>2</v>
      </c>
      <c r="AD1956" t="n">
        <v>6</v>
      </c>
      <c r="AE1956" t="n">
        <v>19</v>
      </c>
      <c r="AF1956" t="n">
        <v>3</v>
      </c>
      <c r="AG1956" t="n">
        <v>9</v>
      </c>
      <c r="AH1956" t="n">
        <v>3</v>
      </c>
      <c r="AI1956" t="n">
        <v>7</v>
      </c>
      <c r="AJ1956" t="n">
        <v>5</v>
      </c>
      <c r="AK1956" t="n">
        <v>10</v>
      </c>
      <c r="AL1956" t="n">
        <v>0</v>
      </c>
      <c r="AM1956" t="n">
        <v>1</v>
      </c>
      <c r="AN1956" t="n">
        <v>0</v>
      </c>
      <c r="AO1956" t="n">
        <v>0</v>
      </c>
      <c r="AP1956" t="inlineStr">
        <is>
          <t>No</t>
        </is>
      </c>
      <c r="AQ1956" t="inlineStr">
        <is>
          <t>No</t>
        </is>
      </c>
      <c r="AS1956">
        <f>HYPERLINK("https://creighton-primo.hosted.exlibrisgroup.com/primo-explore/search?tab=default_tab&amp;search_scope=EVERYTHING&amp;vid=01CRU&amp;lang=en_US&amp;offset=0&amp;query=any,contains,991003660839702656","Catalog Record")</f>
        <v/>
      </c>
      <c r="AT1956">
        <f>HYPERLINK("http://www.worldcat.org/oclc/47081352","WorldCat Record")</f>
        <v/>
      </c>
      <c r="AU1956" t="inlineStr">
        <is>
          <t>796339845:eng</t>
        </is>
      </c>
      <c r="AV1956" t="inlineStr">
        <is>
          <t>47081352</t>
        </is>
      </c>
      <c r="AW1956" t="inlineStr">
        <is>
          <t>991003660839702656</t>
        </is>
      </c>
      <c r="AX1956" t="inlineStr">
        <is>
          <t>991003660839702656</t>
        </is>
      </c>
      <c r="AY1956" t="inlineStr">
        <is>
          <t>2256952220002656</t>
        </is>
      </c>
      <c r="AZ1956" t="inlineStr">
        <is>
          <t>BOOK</t>
        </is>
      </c>
      <c r="BB1956" t="inlineStr">
        <is>
          <t>9781568026466</t>
        </is>
      </c>
      <c r="BC1956" t="inlineStr">
        <is>
          <t>32285004411004</t>
        </is>
      </c>
      <c r="BD1956" t="inlineStr">
        <is>
          <t>893531444</t>
        </is>
      </c>
    </row>
    <row r="1957">
      <c r="A1957" t="inlineStr">
        <is>
          <t>No</t>
        </is>
      </c>
      <c r="B1957" t="inlineStr">
        <is>
          <t>E840 .D34 2000</t>
        </is>
      </c>
      <c r="C1957" t="inlineStr">
        <is>
          <t>0                      E  0840000D  34          2000</t>
        </is>
      </c>
      <c r="D1957" t="inlineStr">
        <is>
          <t>Deferring democracy : promoting openness in authoritarian regimes / Catharin E. Dalpino.</t>
        </is>
      </c>
      <c r="F1957" t="inlineStr">
        <is>
          <t>No</t>
        </is>
      </c>
      <c r="G1957" t="inlineStr">
        <is>
          <t>1</t>
        </is>
      </c>
      <c r="H1957" t="inlineStr">
        <is>
          <t>No</t>
        </is>
      </c>
      <c r="I1957" t="inlineStr">
        <is>
          <t>No</t>
        </is>
      </c>
      <c r="J1957" t="inlineStr">
        <is>
          <t>0</t>
        </is>
      </c>
      <c r="K1957" t="inlineStr">
        <is>
          <t>Dalpino, Catharin E.</t>
        </is>
      </c>
      <c r="L1957" t="inlineStr">
        <is>
          <t>Washington, D.C. : Brookings Institution Press, c2000.</t>
        </is>
      </c>
      <c r="M1957" t="inlineStr">
        <is>
          <t>2000</t>
        </is>
      </c>
      <c r="O1957" t="inlineStr">
        <is>
          <t>eng</t>
        </is>
      </c>
      <c r="P1957" t="inlineStr">
        <is>
          <t>dcu</t>
        </is>
      </c>
      <c r="R1957" t="inlineStr">
        <is>
          <t xml:space="preserve">E  </t>
        </is>
      </c>
      <c r="S1957" t="n">
        <v>3</v>
      </c>
      <c r="T1957" t="n">
        <v>3</v>
      </c>
      <c r="U1957" t="inlineStr">
        <is>
          <t>2002-09-30</t>
        </is>
      </c>
      <c r="V1957" t="inlineStr">
        <is>
          <t>2002-09-30</t>
        </is>
      </c>
      <c r="W1957" t="inlineStr">
        <is>
          <t>2001-03-29</t>
        </is>
      </c>
      <c r="X1957" t="inlineStr">
        <is>
          <t>2001-03-29</t>
        </is>
      </c>
      <c r="Y1957" t="n">
        <v>481</v>
      </c>
      <c r="Z1957" t="n">
        <v>413</v>
      </c>
      <c r="AA1957" t="n">
        <v>595</v>
      </c>
      <c r="AB1957" t="n">
        <v>2</v>
      </c>
      <c r="AC1957" t="n">
        <v>3</v>
      </c>
      <c r="AD1957" t="n">
        <v>24</v>
      </c>
      <c r="AE1957" t="n">
        <v>34</v>
      </c>
      <c r="AF1957" t="n">
        <v>9</v>
      </c>
      <c r="AG1957" t="n">
        <v>16</v>
      </c>
      <c r="AH1957" t="n">
        <v>6</v>
      </c>
      <c r="AI1957" t="n">
        <v>8</v>
      </c>
      <c r="AJ1957" t="n">
        <v>14</v>
      </c>
      <c r="AK1957" t="n">
        <v>17</v>
      </c>
      <c r="AL1957" t="n">
        <v>1</v>
      </c>
      <c r="AM1957" t="n">
        <v>2</v>
      </c>
      <c r="AN1957" t="n">
        <v>1</v>
      </c>
      <c r="AO1957" t="n">
        <v>1</v>
      </c>
      <c r="AP1957" t="inlineStr">
        <is>
          <t>No</t>
        </is>
      </c>
      <c r="AQ1957" t="inlineStr">
        <is>
          <t>No</t>
        </is>
      </c>
      <c r="AS1957">
        <f>HYPERLINK("https://creighton-primo.hosted.exlibrisgroup.com/primo-explore/search?tab=default_tab&amp;search_scope=EVERYTHING&amp;vid=01CRU&amp;lang=en_US&amp;offset=0&amp;query=any,contains,991003517759702656","Catalog Record")</f>
        <v/>
      </c>
      <c r="AT1957">
        <f>HYPERLINK("http://www.worldcat.org/oclc/44454541","WorldCat Record")</f>
        <v/>
      </c>
      <c r="AU1957" t="inlineStr">
        <is>
          <t>346973507:eng</t>
        </is>
      </c>
      <c r="AV1957" t="inlineStr">
        <is>
          <t>44454541</t>
        </is>
      </c>
      <c r="AW1957" t="inlineStr">
        <is>
          <t>991003517759702656</t>
        </is>
      </c>
      <c r="AX1957" t="inlineStr">
        <is>
          <t>991003517759702656</t>
        </is>
      </c>
      <c r="AY1957" t="inlineStr">
        <is>
          <t>2269804890002656</t>
        </is>
      </c>
      <c r="AZ1957" t="inlineStr">
        <is>
          <t>BOOK</t>
        </is>
      </c>
      <c r="BB1957" t="inlineStr">
        <is>
          <t>9780815717010</t>
        </is>
      </c>
      <c r="BC1957" t="inlineStr">
        <is>
          <t>32285004308754</t>
        </is>
      </c>
      <c r="BD1957" t="inlineStr">
        <is>
          <t>893893804</t>
        </is>
      </c>
    </row>
    <row r="1958">
      <c r="A1958" t="inlineStr">
        <is>
          <t>No</t>
        </is>
      </c>
      <c r="B1958" t="inlineStr">
        <is>
          <t>E840 .D63 1988</t>
        </is>
      </c>
      <c r="C1958" t="inlineStr">
        <is>
          <t>0                      E  0840000D  63          1988</t>
        </is>
      </c>
      <c r="D1958" t="inlineStr">
        <is>
          <t>The Domestic sources of American foreign policy : insights and evidence / edited by Charles W. Kegley, Jr., Eugene R. Wittkopf.</t>
        </is>
      </c>
      <c r="F1958" t="inlineStr">
        <is>
          <t>No</t>
        </is>
      </c>
      <c r="G1958" t="inlineStr">
        <is>
          <t>1</t>
        </is>
      </c>
      <c r="H1958" t="inlineStr">
        <is>
          <t>No</t>
        </is>
      </c>
      <c r="I1958" t="inlineStr">
        <is>
          <t>No</t>
        </is>
      </c>
      <c r="J1958" t="inlineStr">
        <is>
          <t>0</t>
        </is>
      </c>
      <c r="L1958" t="inlineStr">
        <is>
          <t>New York : St. Martin's Press, c1988.</t>
        </is>
      </c>
      <c r="M1958" t="inlineStr">
        <is>
          <t>1988</t>
        </is>
      </c>
      <c r="O1958" t="inlineStr">
        <is>
          <t>eng</t>
        </is>
      </c>
      <c r="P1958" t="inlineStr">
        <is>
          <t>nyu</t>
        </is>
      </c>
      <c r="R1958" t="inlineStr">
        <is>
          <t xml:space="preserve">E  </t>
        </is>
      </c>
      <c r="S1958" t="n">
        <v>12</v>
      </c>
      <c r="T1958" t="n">
        <v>12</v>
      </c>
      <c r="U1958" t="inlineStr">
        <is>
          <t>1999-04-08</t>
        </is>
      </c>
      <c r="V1958" t="inlineStr">
        <is>
          <t>1999-04-08</t>
        </is>
      </c>
      <c r="W1958" t="inlineStr">
        <is>
          <t>1990-05-04</t>
        </is>
      </c>
      <c r="X1958" t="inlineStr">
        <is>
          <t>1990-05-04</t>
        </is>
      </c>
      <c r="Y1958" t="n">
        <v>184</v>
      </c>
      <c r="Z1958" t="n">
        <v>155</v>
      </c>
      <c r="AA1958" t="n">
        <v>532</v>
      </c>
      <c r="AB1958" t="n">
        <v>2</v>
      </c>
      <c r="AC1958" t="n">
        <v>5</v>
      </c>
      <c r="AD1958" t="n">
        <v>6</v>
      </c>
      <c r="AE1958" t="n">
        <v>25</v>
      </c>
      <c r="AF1958" t="n">
        <v>1</v>
      </c>
      <c r="AG1958" t="n">
        <v>11</v>
      </c>
      <c r="AH1958" t="n">
        <v>2</v>
      </c>
      <c r="AI1958" t="n">
        <v>7</v>
      </c>
      <c r="AJ1958" t="n">
        <v>4</v>
      </c>
      <c r="AK1958" t="n">
        <v>12</v>
      </c>
      <c r="AL1958" t="n">
        <v>1</v>
      </c>
      <c r="AM1958" t="n">
        <v>4</v>
      </c>
      <c r="AN1958" t="n">
        <v>0</v>
      </c>
      <c r="AO1958" t="n">
        <v>0</v>
      </c>
      <c r="AP1958" t="inlineStr">
        <is>
          <t>No</t>
        </is>
      </c>
      <c r="AQ1958" t="inlineStr">
        <is>
          <t>No</t>
        </is>
      </c>
      <c r="AS1958">
        <f>HYPERLINK("https://creighton-primo.hosted.exlibrisgroup.com/primo-explore/search?tab=default_tab&amp;search_scope=EVERYTHING&amp;vid=01CRU&amp;lang=en_US&amp;offset=0&amp;query=any,contains,991001356399702656","Catalog Record")</f>
        <v/>
      </c>
      <c r="AT1958">
        <f>HYPERLINK("http://www.worldcat.org/oclc/18491859","WorldCat Record")</f>
        <v/>
      </c>
      <c r="AU1958" t="inlineStr">
        <is>
          <t>838633838:eng</t>
        </is>
      </c>
      <c r="AV1958" t="inlineStr">
        <is>
          <t>18491859</t>
        </is>
      </c>
      <c r="AW1958" t="inlineStr">
        <is>
          <t>991001356399702656</t>
        </is>
      </c>
      <c r="AX1958" t="inlineStr">
        <is>
          <t>991001356399702656</t>
        </is>
      </c>
      <c r="AY1958" t="inlineStr">
        <is>
          <t>2270674020002656</t>
        </is>
      </c>
      <c r="AZ1958" t="inlineStr">
        <is>
          <t>BOOK</t>
        </is>
      </c>
      <c r="BB1958" t="inlineStr">
        <is>
          <t>9780312011420</t>
        </is>
      </c>
      <c r="BC1958" t="inlineStr">
        <is>
          <t>32285000118322</t>
        </is>
      </c>
      <c r="BD1958" t="inlineStr">
        <is>
          <t>893340367</t>
        </is>
      </c>
    </row>
    <row r="1959">
      <c r="A1959" t="inlineStr">
        <is>
          <t>No</t>
        </is>
      </c>
      <c r="B1959" t="inlineStr">
        <is>
          <t>E840 .E87 1985</t>
        </is>
      </c>
      <c r="C1959" t="inlineStr">
        <is>
          <t>0                      E  0840000E  87          1985</t>
        </is>
      </c>
      <c r="D1959" t="inlineStr">
        <is>
          <t>Estrangement : America and the world / edited by Sanford J. Ungar.</t>
        </is>
      </c>
      <c r="F1959" t="inlineStr">
        <is>
          <t>No</t>
        </is>
      </c>
      <c r="G1959" t="inlineStr">
        <is>
          <t>1</t>
        </is>
      </c>
      <c r="H1959" t="inlineStr">
        <is>
          <t>No</t>
        </is>
      </c>
      <c r="I1959" t="inlineStr">
        <is>
          <t>No</t>
        </is>
      </c>
      <c r="J1959" t="inlineStr">
        <is>
          <t>0</t>
        </is>
      </c>
      <c r="L1959" t="inlineStr">
        <is>
          <t>New York : Oxford University Press, 1985.</t>
        </is>
      </c>
      <c r="M1959" t="inlineStr">
        <is>
          <t>1985</t>
        </is>
      </c>
      <c r="O1959" t="inlineStr">
        <is>
          <t>eng</t>
        </is>
      </c>
      <c r="P1959" t="inlineStr">
        <is>
          <t>nyu</t>
        </is>
      </c>
      <c r="R1959" t="inlineStr">
        <is>
          <t xml:space="preserve">E  </t>
        </is>
      </c>
      <c r="S1959" t="n">
        <v>2</v>
      </c>
      <c r="T1959" t="n">
        <v>2</v>
      </c>
      <c r="U1959" t="inlineStr">
        <is>
          <t>1993-09-20</t>
        </is>
      </c>
      <c r="V1959" t="inlineStr">
        <is>
          <t>1993-09-20</t>
        </is>
      </c>
      <c r="W1959" t="inlineStr">
        <is>
          <t>1991-06-19</t>
        </is>
      </c>
      <c r="X1959" t="inlineStr">
        <is>
          <t>1991-06-19</t>
        </is>
      </c>
      <c r="Y1959" t="n">
        <v>771</v>
      </c>
      <c r="Z1959" t="n">
        <v>663</v>
      </c>
      <c r="AA1959" t="n">
        <v>672</v>
      </c>
      <c r="AB1959" t="n">
        <v>3</v>
      </c>
      <c r="AC1959" t="n">
        <v>3</v>
      </c>
      <c r="AD1959" t="n">
        <v>25</v>
      </c>
      <c r="AE1959" t="n">
        <v>25</v>
      </c>
      <c r="AF1959" t="n">
        <v>11</v>
      </c>
      <c r="AG1959" t="n">
        <v>11</v>
      </c>
      <c r="AH1959" t="n">
        <v>3</v>
      </c>
      <c r="AI1959" t="n">
        <v>3</v>
      </c>
      <c r="AJ1959" t="n">
        <v>15</v>
      </c>
      <c r="AK1959" t="n">
        <v>15</v>
      </c>
      <c r="AL1959" t="n">
        <v>2</v>
      </c>
      <c r="AM1959" t="n">
        <v>2</v>
      </c>
      <c r="AN1959" t="n">
        <v>1</v>
      </c>
      <c r="AO1959" t="n">
        <v>1</v>
      </c>
      <c r="AP1959" t="inlineStr">
        <is>
          <t>No</t>
        </is>
      </c>
      <c r="AQ1959" t="inlineStr">
        <is>
          <t>Yes</t>
        </is>
      </c>
      <c r="AR1959">
        <f>HYPERLINK("http://catalog.hathitrust.org/Record/000466049","HathiTrust Record")</f>
        <v/>
      </c>
      <c r="AS1959">
        <f>HYPERLINK("https://creighton-primo.hosted.exlibrisgroup.com/primo-explore/search?tab=default_tab&amp;search_scope=EVERYTHING&amp;vid=01CRU&amp;lang=en_US&amp;offset=0&amp;query=any,contains,991000679749702656","Catalog Record")</f>
        <v/>
      </c>
      <c r="AT1959">
        <f>HYPERLINK("http://www.worldcat.org/oclc/12372488","WorldCat Record")</f>
        <v/>
      </c>
      <c r="AU1959" t="inlineStr">
        <is>
          <t>368071044:eng</t>
        </is>
      </c>
      <c r="AV1959" t="inlineStr">
        <is>
          <t>12372488</t>
        </is>
      </c>
      <c r="AW1959" t="inlineStr">
        <is>
          <t>991000679749702656</t>
        </is>
      </c>
      <c r="AX1959" t="inlineStr">
        <is>
          <t>991000679749702656</t>
        </is>
      </c>
      <c r="AY1959" t="inlineStr">
        <is>
          <t>2260277520002656</t>
        </is>
      </c>
      <c r="AZ1959" t="inlineStr">
        <is>
          <t>BOOK</t>
        </is>
      </c>
      <c r="BB1959" t="inlineStr">
        <is>
          <t>9780195037074</t>
        </is>
      </c>
      <c r="BC1959" t="inlineStr">
        <is>
          <t>32285000670355</t>
        </is>
      </c>
      <c r="BD1959" t="inlineStr">
        <is>
          <t>893528287</t>
        </is>
      </c>
    </row>
    <row r="1960">
      <c r="A1960" t="inlineStr">
        <is>
          <t>No</t>
        </is>
      </c>
      <c r="B1960" t="inlineStr">
        <is>
          <t>E840 .E88 1985</t>
        </is>
      </c>
      <c r="C1960" t="inlineStr">
        <is>
          <t>0                      E  0840000E  88          1985</t>
        </is>
      </c>
      <c r="D1960" t="inlineStr">
        <is>
          <t>Can governments learn? : American foreign policy and Central American revolutions / Lloyd S. Etheredge.</t>
        </is>
      </c>
      <c r="F1960" t="inlineStr">
        <is>
          <t>No</t>
        </is>
      </c>
      <c r="G1960" t="inlineStr">
        <is>
          <t>1</t>
        </is>
      </c>
      <c r="H1960" t="inlineStr">
        <is>
          <t>No</t>
        </is>
      </c>
      <c r="I1960" t="inlineStr">
        <is>
          <t>No</t>
        </is>
      </c>
      <c r="J1960" t="inlineStr">
        <is>
          <t>0</t>
        </is>
      </c>
      <c r="K1960" t="inlineStr">
        <is>
          <t>Etheredge, Lloyd S.</t>
        </is>
      </c>
      <c r="L1960" t="inlineStr">
        <is>
          <t>New York : Pergamon Press, c1985.</t>
        </is>
      </c>
      <c r="M1960" t="inlineStr">
        <is>
          <t>1985</t>
        </is>
      </c>
      <c r="O1960" t="inlineStr">
        <is>
          <t>eng</t>
        </is>
      </c>
      <c r="P1960" t="inlineStr">
        <is>
          <t>nyu</t>
        </is>
      </c>
      <c r="Q1960" t="inlineStr">
        <is>
          <t>Pergamon government &amp; politics series</t>
        </is>
      </c>
      <c r="R1960" t="inlineStr">
        <is>
          <t xml:space="preserve">E  </t>
        </is>
      </c>
      <c r="S1960" t="n">
        <v>1</v>
      </c>
      <c r="T1960" t="n">
        <v>1</v>
      </c>
      <c r="U1960" t="inlineStr">
        <is>
          <t>2004-02-07</t>
        </is>
      </c>
      <c r="V1960" t="inlineStr">
        <is>
          <t>2004-02-07</t>
        </is>
      </c>
      <c r="W1960" t="inlineStr">
        <is>
          <t>1990-02-14</t>
        </is>
      </c>
      <c r="X1960" t="inlineStr">
        <is>
          <t>1990-02-14</t>
        </is>
      </c>
      <c r="Y1960" t="n">
        <v>609</v>
      </c>
      <c r="Z1960" t="n">
        <v>492</v>
      </c>
      <c r="AA1960" t="n">
        <v>526</v>
      </c>
      <c r="AB1960" t="n">
        <v>1</v>
      </c>
      <c r="AC1960" t="n">
        <v>2</v>
      </c>
      <c r="AD1960" t="n">
        <v>19</v>
      </c>
      <c r="AE1960" t="n">
        <v>22</v>
      </c>
      <c r="AF1960" t="n">
        <v>10</v>
      </c>
      <c r="AG1960" t="n">
        <v>12</v>
      </c>
      <c r="AH1960" t="n">
        <v>6</v>
      </c>
      <c r="AI1960" t="n">
        <v>7</v>
      </c>
      <c r="AJ1960" t="n">
        <v>9</v>
      </c>
      <c r="AK1960" t="n">
        <v>9</v>
      </c>
      <c r="AL1960" t="n">
        <v>0</v>
      </c>
      <c r="AM1960" t="n">
        <v>1</v>
      </c>
      <c r="AN1960" t="n">
        <v>0</v>
      </c>
      <c r="AO1960" t="n">
        <v>0</v>
      </c>
      <c r="AP1960" t="inlineStr">
        <is>
          <t>No</t>
        </is>
      </c>
      <c r="AQ1960" t="inlineStr">
        <is>
          <t>Yes</t>
        </is>
      </c>
      <c r="AR1960">
        <f>HYPERLINK("http://catalog.hathitrust.org/Record/000419474","HathiTrust Record")</f>
        <v/>
      </c>
      <c r="AS1960">
        <f>HYPERLINK("https://creighton-primo.hosted.exlibrisgroup.com/primo-explore/search?tab=default_tab&amp;search_scope=EVERYTHING&amp;vid=01CRU&amp;lang=en_US&amp;offset=0&amp;query=any,contains,991000562109702656","Catalog Record")</f>
        <v/>
      </c>
      <c r="AT1960">
        <f>HYPERLINK("http://www.worldcat.org/oclc/11599156","WorldCat Record")</f>
        <v/>
      </c>
      <c r="AU1960" t="inlineStr">
        <is>
          <t>407927:eng</t>
        </is>
      </c>
      <c r="AV1960" t="inlineStr">
        <is>
          <t>11599156</t>
        </is>
      </c>
      <c r="AW1960" t="inlineStr">
        <is>
          <t>991000562109702656</t>
        </is>
      </c>
      <c r="AX1960" t="inlineStr">
        <is>
          <t>991000562109702656</t>
        </is>
      </c>
      <c r="AY1960" t="inlineStr">
        <is>
          <t>2261504420002656</t>
        </is>
      </c>
      <c r="AZ1960" t="inlineStr">
        <is>
          <t>BOOK</t>
        </is>
      </c>
      <c r="BB1960" t="inlineStr">
        <is>
          <t>9780080324012</t>
        </is>
      </c>
      <c r="BC1960" t="inlineStr">
        <is>
          <t>32285000052430</t>
        </is>
      </c>
      <c r="BD1960" t="inlineStr">
        <is>
          <t>893714694</t>
        </is>
      </c>
    </row>
    <row r="1961">
      <c r="A1961" t="inlineStr">
        <is>
          <t>No</t>
        </is>
      </c>
      <c r="B1961" t="inlineStr">
        <is>
          <t>E840 .F678 1996</t>
        </is>
      </c>
      <c r="C1961" t="inlineStr">
        <is>
          <t>0                      E  0840000F  678         1996</t>
        </is>
      </c>
      <c r="D1961" t="inlineStr">
        <is>
          <t>Foreign policy into the 21st century : the U.S. leadership challenge / editor, Douglas Johnston.</t>
        </is>
      </c>
      <c r="F1961" t="inlineStr">
        <is>
          <t>No</t>
        </is>
      </c>
      <c r="G1961" t="inlineStr">
        <is>
          <t>1</t>
        </is>
      </c>
      <c r="H1961" t="inlineStr">
        <is>
          <t>No</t>
        </is>
      </c>
      <c r="I1961" t="inlineStr">
        <is>
          <t>No</t>
        </is>
      </c>
      <c r="J1961" t="inlineStr">
        <is>
          <t>0</t>
        </is>
      </c>
      <c r="L1961" t="inlineStr">
        <is>
          <t>Washington, D.C. : Center for Strategic and International Studies, c1996.</t>
        </is>
      </c>
      <c r="M1961" t="inlineStr">
        <is>
          <t>1996</t>
        </is>
      </c>
      <c r="O1961" t="inlineStr">
        <is>
          <t>eng</t>
        </is>
      </c>
      <c r="P1961" t="inlineStr">
        <is>
          <t>dcu</t>
        </is>
      </c>
      <c r="Q1961" t="inlineStr">
        <is>
          <t>CSIS reports</t>
        </is>
      </c>
      <c r="R1961" t="inlineStr">
        <is>
          <t xml:space="preserve">E  </t>
        </is>
      </c>
      <c r="S1961" t="n">
        <v>2</v>
      </c>
      <c r="T1961" t="n">
        <v>2</v>
      </c>
      <c r="U1961" t="inlineStr">
        <is>
          <t>1997-03-26</t>
        </is>
      </c>
      <c r="V1961" t="inlineStr">
        <is>
          <t>1997-03-26</t>
        </is>
      </c>
      <c r="W1961" t="inlineStr">
        <is>
          <t>1996-12-10</t>
        </is>
      </c>
      <c r="X1961" t="inlineStr">
        <is>
          <t>1996-12-10</t>
        </is>
      </c>
      <c r="Y1961" t="n">
        <v>217</v>
      </c>
      <c r="Z1961" t="n">
        <v>170</v>
      </c>
      <c r="AA1961" t="n">
        <v>176</v>
      </c>
      <c r="AB1961" t="n">
        <v>2</v>
      </c>
      <c r="AC1961" t="n">
        <v>2</v>
      </c>
      <c r="AD1961" t="n">
        <v>6</v>
      </c>
      <c r="AE1961" t="n">
        <v>6</v>
      </c>
      <c r="AF1961" t="n">
        <v>0</v>
      </c>
      <c r="AG1961" t="n">
        <v>0</v>
      </c>
      <c r="AH1961" t="n">
        <v>2</v>
      </c>
      <c r="AI1961" t="n">
        <v>2</v>
      </c>
      <c r="AJ1961" t="n">
        <v>3</v>
      </c>
      <c r="AK1961" t="n">
        <v>3</v>
      </c>
      <c r="AL1961" t="n">
        <v>1</v>
      </c>
      <c r="AM1961" t="n">
        <v>1</v>
      </c>
      <c r="AN1961" t="n">
        <v>2</v>
      </c>
      <c r="AO1961" t="n">
        <v>2</v>
      </c>
      <c r="AP1961" t="inlineStr">
        <is>
          <t>No</t>
        </is>
      </c>
      <c r="AQ1961" t="inlineStr">
        <is>
          <t>No</t>
        </is>
      </c>
      <c r="AS1961">
        <f>HYPERLINK("https://creighton-primo.hosted.exlibrisgroup.com/primo-explore/search?tab=default_tab&amp;search_scope=EVERYTHING&amp;vid=01CRU&amp;lang=en_US&amp;offset=0&amp;query=any,contains,991002699949702656","Catalog Record")</f>
        <v/>
      </c>
      <c r="AT1961">
        <f>HYPERLINK("http://www.worldcat.org/oclc/35249479","WorldCat Record")</f>
        <v/>
      </c>
      <c r="AU1961" t="inlineStr">
        <is>
          <t>41187703:eng</t>
        </is>
      </c>
      <c r="AV1961" t="inlineStr">
        <is>
          <t>35249479</t>
        </is>
      </c>
      <c r="AW1961" t="inlineStr">
        <is>
          <t>991002699949702656</t>
        </is>
      </c>
      <c r="AX1961" t="inlineStr">
        <is>
          <t>991002699949702656</t>
        </is>
      </c>
      <c r="AY1961" t="inlineStr">
        <is>
          <t>2256927720002656</t>
        </is>
      </c>
      <c r="AZ1961" t="inlineStr">
        <is>
          <t>BOOK</t>
        </is>
      </c>
      <c r="BB1961" t="inlineStr">
        <is>
          <t>9780892062928</t>
        </is>
      </c>
      <c r="BC1961" t="inlineStr">
        <is>
          <t>32285002389756</t>
        </is>
      </c>
      <c r="BD1961" t="inlineStr">
        <is>
          <t>893352471</t>
        </is>
      </c>
    </row>
    <row r="1962">
      <c r="A1962" t="inlineStr">
        <is>
          <t>No</t>
        </is>
      </c>
      <c r="B1962" t="inlineStr">
        <is>
          <t>E840 .F78 1994</t>
        </is>
      </c>
      <c r="C1962" t="inlineStr">
        <is>
          <t>0                      E  0840000F  78          1994</t>
        </is>
      </c>
      <c r="D1962" t="inlineStr">
        <is>
          <t>America the vincible : U.S. foreign policy for the twenty-first century / Earl H. Fry, Stan A. Taylor, Robert S. Wood.</t>
        </is>
      </c>
      <c r="F1962" t="inlineStr">
        <is>
          <t>No</t>
        </is>
      </c>
      <c r="G1962" t="inlineStr">
        <is>
          <t>1</t>
        </is>
      </c>
      <c r="H1962" t="inlineStr">
        <is>
          <t>No</t>
        </is>
      </c>
      <c r="I1962" t="inlineStr">
        <is>
          <t>No</t>
        </is>
      </c>
      <c r="J1962" t="inlineStr">
        <is>
          <t>0</t>
        </is>
      </c>
      <c r="K1962" t="inlineStr">
        <is>
          <t>Fry, Earl H.</t>
        </is>
      </c>
      <c r="L1962" t="inlineStr">
        <is>
          <t>Englewood Cliffs, N.J. : Prentice Hall, c1994.</t>
        </is>
      </c>
      <c r="M1962" t="inlineStr">
        <is>
          <t>1994</t>
        </is>
      </c>
      <c r="O1962" t="inlineStr">
        <is>
          <t>eng</t>
        </is>
      </c>
      <c r="P1962" t="inlineStr">
        <is>
          <t>nju</t>
        </is>
      </c>
      <c r="R1962" t="inlineStr">
        <is>
          <t xml:space="preserve">E  </t>
        </is>
      </c>
      <c r="S1962" t="n">
        <v>5</v>
      </c>
      <c r="T1962" t="n">
        <v>5</v>
      </c>
      <c r="U1962" t="inlineStr">
        <is>
          <t>1999-04-23</t>
        </is>
      </c>
      <c r="V1962" t="inlineStr">
        <is>
          <t>1999-04-23</t>
        </is>
      </c>
      <c r="W1962" t="inlineStr">
        <is>
          <t>1994-05-06</t>
        </is>
      </c>
      <c r="X1962" t="inlineStr">
        <is>
          <t>1994-05-06</t>
        </is>
      </c>
      <c r="Y1962" t="n">
        <v>203</v>
      </c>
      <c r="Z1962" t="n">
        <v>174</v>
      </c>
      <c r="AA1962" t="n">
        <v>180</v>
      </c>
      <c r="AB1962" t="n">
        <v>2</v>
      </c>
      <c r="AC1962" t="n">
        <v>2</v>
      </c>
      <c r="AD1962" t="n">
        <v>6</v>
      </c>
      <c r="AE1962" t="n">
        <v>6</v>
      </c>
      <c r="AF1962" t="n">
        <v>3</v>
      </c>
      <c r="AG1962" t="n">
        <v>3</v>
      </c>
      <c r="AH1962" t="n">
        <v>1</v>
      </c>
      <c r="AI1962" t="n">
        <v>1</v>
      </c>
      <c r="AJ1962" t="n">
        <v>3</v>
      </c>
      <c r="AK1962" t="n">
        <v>3</v>
      </c>
      <c r="AL1962" t="n">
        <v>1</v>
      </c>
      <c r="AM1962" t="n">
        <v>1</v>
      </c>
      <c r="AN1962" t="n">
        <v>0</v>
      </c>
      <c r="AO1962" t="n">
        <v>0</v>
      </c>
      <c r="AP1962" t="inlineStr">
        <is>
          <t>No</t>
        </is>
      </c>
      <c r="AQ1962" t="inlineStr">
        <is>
          <t>No</t>
        </is>
      </c>
      <c r="AS1962">
        <f>HYPERLINK("https://creighton-primo.hosted.exlibrisgroup.com/primo-explore/search?tab=default_tab&amp;search_scope=EVERYTHING&amp;vid=01CRU&amp;lang=en_US&amp;offset=0&amp;query=any,contains,991002216059702656","Catalog Record")</f>
        <v/>
      </c>
      <c r="AT1962">
        <f>HYPERLINK("http://www.worldcat.org/oclc/28547121","WorldCat Record")</f>
        <v/>
      </c>
      <c r="AU1962" t="inlineStr">
        <is>
          <t>46578873:eng</t>
        </is>
      </c>
      <c r="AV1962" t="inlineStr">
        <is>
          <t>28547121</t>
        </is>
      </c>
      <c r="AW1962" t="inlineStr">
        <is>
          <t>991002216059702656</t>
        </is>
      </c>
      <c r="AX1962" t="inlineStr">
        <is>
          <t>991002216059702656</t>
        </is>
      </c>
      <c r="AY1962" t="inlineStr">
        <is>
          <t>2258158010002656</t>
        </is>
      </c>
      <c r="AZ1962" t="inlineStr">
        <is>
          <t>BOOK</t>
        </is>
      </c>
      <c r="BB1962" t="inlineStr">
        <is>
          <t>9780130284570</t>
        </is>
      </c>
      <c r="BC1962" t="inlineStr">
        <is>
          <t>32285001879005</t>
        </is>
      </c>
      <c r="BD1962" t="inlineStr">
        <is>
          <t>893591056</t>
        </is>
      </c>
    </row>
    <row r="1963">
      <c r="A1963" t="inlineStr">
        <is>
          <t>No</t>
        </is>
      </c>
      <c r="B1963" t="inlineStr">
        <is>
          <t>E840 .G56 1997</t>
        </is>
      </c>
      <c r="C1963" t="inlineStr">
        <is>
          <t>0                      E  0840000G  56          1997</t>
        </is>
      </c>
      <c r="D1963" t="inlineStr">
        <is>
          <t>Global perspectives : international relations, U.S. foreign policy, and the view from abroad / edited by David Lai.</t>
        </is>
      </c>
      <c r="F1963" t="inlineStr">
        <is>
          <t>No</t>
        </is>
      </c>
      <c r="G1963" t="inlineStr">
        <is>
          <t>1</t>
        </is>
      </c>
      <c r="H1963" t="inlineStr">
        <is>
          <t>No</t>
        </is>
      </c>
      <c r="I1963" t="inlineStr">
        <is>
          <t>No</t>
        </is>
      </c>
      <c r="J1963" t="inlineStr">
        <is>
          <t>0</t>
        </is>
      </c>
      <c r="L1963" t="inlineStr">
        <is>
          <t>Boulder, Colo. : Lynne Rienner Publishers, 1997.</t>
        </is>
      </c>
      <c r="M1963" t="inlineStr">
        <is>
          <t>1997</t>
        </is>
      </c>
      <c r="O1963" t="inlineStr">
        <is>
          <t>eng</t>
        </is>
      </c>
      <c r="P1963" t="inlineStr">
        <is>
          <t>cou</t>
        </is>
      </c>
      <c r="R1963" t="inlineStr">
        <is>
          <t xml:space="preserve">E  </t>
        </is>
      </c>
      <c r="S1963" t="n">
        <v>5</v>
      </c>
      <c r="T1963" t="n">
        <v>5</v>
      </c>
      <c r="U1963" t="inlineStr">
        <is>
          <t>2002-04-18</t>
        </is>
      </c>
      <c r="V1963" t="inlineStr">
        <is>
          <t>2002-04-18</t>
        </is>
      </c>
      <c r="W1963" t="inlineStr">
        <is>
          <t>1998-05-11</t>
        </is>
      </c>
      <c r="X1963" t="inlineStr">
        <is>
          <t>1998-05-11</t>
        </is>
      </c>
      <c r="Y1963" t="n">
        <v>208</v>
      </c>
      <c r="Z1963" t="n">
        <v>158</v>
      </c>
      <c r="AA1963" t="n">
        <v>158</v>
      </c>
      <c r="AB1963" t="n">
        <v>1</v>
      </c>
      <c r="AC1963" t="n">
        <v>1</v>
      </c>
      <c r="AD1963" t="n">
        <v>5</v>
      </c>
      <c r="AE1963" t="n">
        <v>5</v>
      </c>
      <c r="AF1963" t="n">
        <v>2</v>
      </c>
      <c r="AG1963" t="n">
        <v>2</v>
      </c>
      <c r="AH1963" t="n">
        <v>2</v>
      </c>
      <c r="AI1963" t="n">
        <v>2</v>
      </c>
      <c r="AJ1963" t="n">
        <v>5</v>
      </c>
      <c r="AK1963" t="n">
        <v>5</v>
      </c>
      <c r="AL1963" t="n">
        <v>0</v>
      </c>
      <c r="AM1963" t="n">
        <v>0</v>
      </c>
      <c r="AN1963" t="n">
        <v>0</v>
      </c>
      <c r="AO1963" t="n">
        <v>0</v>
      </c>
      <c r="AP1963" t="inlineStr">
        <is>
          <t>No</t>
        </is>
      </c>
      <c r="AQ1963" t="inlineStr">
        <is>
          <t>No</t>
        </is>
      </c>
      <c r="AS1963">
        <f>HYPERLINK("https://creighton-primo.hosted.exlibrisgroup.com/primo-explore/search?tab=default_tab&amp;search_scope=EVERYTHING&amp;vid=01CRU&amp;lang=en_US&amp;offset=0&amp;query=any,contains,991002769429702656","Catalog Record")</f>
        <v/>
      </c>
      <c r="AT1963">
        <f>HYPERLINK("http://www.worldcat.org/oclc/36350453","WorldCat Record")</f>
        <v/>
      </c>
      <c r="AU1963" t="inlineStr">
        <is>
          <t>141773486:eng</t>
        </is>
      </c>
      <c r="AV1963" t="inlineStr">
        <is>
          <t>36350453</t>
        </is>
      </c>
      <c r="AW1963" t="inlineStr">
        <is>
          <t>991002769429702656</t>
        </is>
      </c>
      <c r="AX1963" t="inlineStr">
        <is>
          <t>991002769429702656</t>
        </is>
      </c>
      <c r="AY1963" t="inlineStr">
        <is>
          <t>2266112660002656</t>
        </is>
      </c>
      <c r="AZ1963" t="inlineStr">
        <is>
          <t>BOOK</t>
        </is>
      </c>
      <c r="BB1963" t="inlineStr">
        <is>
          <t>9781555877194</t>
        </is>
      </c>
      <c r="BC1963" t="inlineStr">
        <is>
          <t>32285003407383</t>
        </is>
      </c>
      <c r="BD1963" t="inlineStr">
        <is>
          <t>893329514</t>
        </is>
      </c>
    </row>
    <row r="1964">
      <c r="A1964" t="inlineStr">
        <is>
          <t>No</t>
        </is>
      </c>
      <c r="B1964" t="inlineStr">
        <is>
          <t>E840 .G6</t>
        </is>
      </c>
      <c r="C1964" t="inlineStr">
        <is>
          <t>0                      E  0840000G  6</t>
        </is>
      </c>
      <c r="D1964" t="inlineStr">
        <is>
          <t>Beyond the cold war; essays on American foreign policy in a changing world environment. Essays by Charles Burton Marshall [and others] Edited by Robert A. Goldwin.</t>
        </is>
      </c>
      <c r="F1964" t="inlineStr">
        <is>
          <t>No</t>
        </is>
      </c>
      <c r="G1964" t="inlineStr">
        <is>
          <t>1</t>
        </is>
      </c>
      <c r="H1964" t="inlineStr">
        <is>
          <t>No</t>
        </is>
      </c>
      <c r="I1964" t="inlineStr">
        <is>
          <t>No</t>
        </is>
      </c>
      <c r="J1964" t="inlineStr">
        <is>
          <t>0</t>
        </is>
      </c>
      <c r="K1964" t="inlineStr">
        <is>
          <t>Goldwin, Robert A., 1922-2010 editor.</t>
        </is>
      </c>
      <c r="L1964" t="inlineStr">
        <is>
          <t>Chicago, Rand McNally [c1965]</t>
        </is>
      </c>
      <c r="M1964" t="inlineStr">
        <is>
          <t>1965</t>
        </is>
      </c>
      <c r="O1964" t="inlineStr">
        <is>
          <t>eng</t>
        </is>
      </c>
      <c r="P1964" t="inlineStr">
        <is>
          <t>ilu</t>
        </is>
      </c>
      <c r="Q1964" t="inlineStr">
        <is>
          <t>Rand McNally political science series</t>
        </is>
      </c>
      <c r="R1964" t="inlineStr">
        <is>
          <t xml:space="preserve">E  </t>
        </is>
      </c>
      <c r="S1964" t="n">
        <v>2</v>
      </c>
      <c r="T1964" t="n">
        <v>2</v>
      </c>
      <c r="U1964" t="inlineStr">
        <is>
          <t>2001-04-17</t>
        </is>
      </c>
      <c r="V1964" t="inlineStr">
        <is>
          <t>2001-04-17</t>
        </is>
      </c>
      <c r="W1964" t="inlineStr">
        <is>
          <t>1997-04-29</t>
        </is>
      </c>
      <c r="X1964" t="inlineStr">
        <is>
          <t>1997-04-29</t>
        </is>
      </c>
      <c r="Y1964" t="n">
        <v>676</v>
      </c>
      <c r="Z1964" t="n">
        <v>613</v>
      </c>
      <c r="AA1964" t="n">
        <v>643</v>
      </c>
      <c r="AB1964" t="n">
        <v>8</v>
      </c>
      <c r="AC1964" t="n">
        <v>8</v>
      </c>
      <c r="AD1964" t="n">
        <v>35</v>
      </c>
      <c r="AE1964" t="n">
        <v>39</v>
      </c>
      <c r="AF1964" t="n">
        <v>12</v>
      </c>
      <c r="AG1964" t="n">
        <v>15</v>
      </c>
      <c r="AH1964" t="n">
        <v>8</v>
      </c>
      <c r="AI1964" t="n">
        <v>8</v>
      </c>
      <c r="AJ1964" t="n">
        <v>17</v>
      </c>
      <c r="AK1964" t="n">
        <v>19</v>
      </c>
      <c r="AL1964" t="n">
        <v>7</v>
      </c>
      <c r="AM1964" t="n">
        <v>7</v>
      </c>
      <c r="AN1964" t="n">
        <v>1</v>
      </c>
      <c r="AO1964" t="n">
        <v>1</v>
      </c>
      <c r="AP1964" t="inlineStr">
        <is>
          <t>No</t>
        </is>
      </c>
      <c r="AQ1964" t="inlineStr">
        <is>
          <t>Yes</t>
        </is>
      </c>
      <c r="AR1964">
        <f>HYPERLINK("http://catalog.hathitrust.org/Record/000471034","HathiTrust Record")</f>
        <v/>
      </c>
      <c r="AS1964">
        <f>HYPERLINK("https://creighton-primo.hosted.exlibrisgroup.com/primo-explore/search?tab=default_tab&amp;search_scope=EVERYTHING&amp;vid=01CRU&amp;lang=en_US&amp;offset=0&amp;query=any,contains,991002826969702656","Catalog Record")</f>
        <v/>
      </c>
      <c r="AT1964">
        <f>HYPERLINK("http://www.worldcat.org/oclc/475822","WorldCat Record")</f>
        <v/>
      </c>
      <c r="AU1964" t="inlineStr">
        <is>
          <t>181259668:eng</t>
        </is>
      </c>
      <c r="AV1964" t="inlineStr">
        <is>
          <t>475822</t>
        </is>
      </c>
      <c r="AW1964" t="inlineStr">
        <is>
          <t>991002826969702656</t>
        </is>
      </c>
      <c r="AX1964" t="inlineStr">
        <is>
          <t>991002826969702656</t>
        </is>
      </c>
      <c r="AY1964" t="inlineStr">
        <is>
          <t>2255198570002656</t>
        </is>
      </c>
      <c r="AZ1964" t="inlineStr">
        <is>
          <t>BOOK</t>
        </is>
      </c>
      <c r="BC1964" t="inlineStr">
        <is>
          <t>32285002567781</t>
        </is>
      </c>
      <c r="BD1964" t="inlineStr">
        <is>
          <t>893434338</t>
        </is>
      </c>
    </row>
    <row r="1965">
      <c r="A1965" t="inlineStr">
        <is>
          <t>No</t>
        </is>
      </c>
      <c r="B1965" t="inlineStr">
        <is>
          <t>E840 .H5</t>
        </is>
      </c>
      <c r="C1965" t="inlineStr">
        <is>
          <t>0                      E  0840000H  5</t>
        </is>
      </c>
      <c r="D1965" t="inlineStr">
        <is>
          <t>To move a nation : the politics of foreign policy in the administration of John F. Kennedy.</t>
        </is>
      </c>
      <c r="F1965" t="inlineStr">
        <is>
          <t>No</t>
        </is>
      </c>
      <c r="G1965" t="inlineStr">
        <is>
          <t>1</t>
        </is>
      </c>
      <c r="H1965" t="inlineStr">
        <is>
          <t>No</t>
        </is>
      </c>
      <c r="I1965" t="inlineStr">
        <is>
          <t>No</t>
        </is>
      </c>
      <c r="J1965" t="inlineStr">
        <is>
          <t>0</t>
        </is>
      </c>
      <c r="K1965" t="inlineStr">
        <is>
          <t>Hilsman, Roger.</t>
        </is>
      </c>
      <c r="L1965" t="inlineStr">
        <is>
          <t>Garden City, N.Y. : Doubleday, 1967.</t>
        </is>
      </c>
      <c r="M1965" t="inlineStr">
        <is>
          <t>1967</t>
        </is>
      </c>
      <c r="N1965" t="inlineStr">
        <is>
          <t>[1st ed.]</t>
        </is>
      </c>
      <c r="O1965" t="inlineStr">
        <is>
          <t>eng</t>
        </is>
      </c>
      <c r="P1965" t="inlineStr">
        <is>
          <t>nyu</t>
        </is>
      </c>
      <c r="R1965" t="inlineStr">
        <is>
          <t xml:space="preserve">E  </t>
        </is>
      </c>
      <c r="S1965" t="n">
        <v>6</v>
      </c>
      <c r="T1965" t="n">
        <v>6</v>
      </c>
      <c r="U1965" t="inlineStr">
        <is>
          <t>1993-11-14</t>
        </is>
      </c>
      <c r="V1965" t="inlineStr">
        <is>
          <t>1993-11-14</t>
        </is>
      </c>
      <c r="W1965" t="inlineStr">
        <is>
          <t>1992-01-24</t>
        </is>
      </c>
      <c r="X1965" t="inlineStr">
        <is>
          <t>1992-01-24</t>
        </is>
      </c>
      <c r="Y1965" t="n">
        <v>1535</v>
      </c>
      <c r="Z1965" t="n">
        <v>1393</v>
      </c>
      <c r="AA1965" t="n">
        <v>1470</v>
      </c>
      <c r="AB1965" t="n">
        <v>10</v>
      </c>
      <c r="AC1965" t="n">
        <v>10</v>
      </c>
      <c r="AD1965" t="n">
        <v>48</v>
      </c>
      <c r="AE1965" t="n">
        <v>50</v>
      </c>
      <c r="AF1965" t="n">
        <v>18</v>
      </c>
      <c r="AG1965" t="n">
        <v>19</v>
      </c>
      <c r="AH1965" t="n">
        <v>9</v>
      </c>
      <c r="AI1965" t="n">
        <v>10</v>
      </c>
      <c r="AJ1965" t="n">
        <v>21</v>
      </c>
      <c r="AK1965" t="n">
        <v>22</v>
      </c>
      <c r="AL1965" t="n">
        <v>8</v>
      </c>
      <c r="AM1965" t="n">
        <v>8</v>
      </c>
      <c r="AN1965" t="n">
        <v>2</v>
      </c>
      <c r="AO1965" t="n">
        <v>2</v>
      </c>
      <c r="AP1965" t="inlineStr">
        <is>
          <t>No</t>
        </is>
      </c>
      <c r="AQ1965" t="inlineStr">
        <is>
          <t>Yes</t>
        </is>
      </c>
      <c r="AR1965">
        <f>HYPERLINK("http://catalog.hathitrust.org/Record/000578858","HathiTrust Record")</f>
        <v/>
      </c>
      <c r="AS1965">
        <f>HYPERLINK("https://creighton-primo.hosted.exlibrisgroup.com/primo-explore/search?tab=default_tab&amp;search_scope=EVERYTHING&amp;vid=01CRU&amp;lang=en_US&amp;offset=0&amp;query=any,contains,991002831299702656","Catalog Record")</f>
        <v/>
      </c>
      <c r="AT1965">
        <f>HYPERLINK("http://www.worldcat.org/oclc/477601","WorldCat Record")</f>
        <v/>
      </c>
      <c r="AU1965" t="inlineStr">
        <is>
          <t>151023:eng</t>
        </is>
      </c>
      <c r="AV1965" t="inlineStr">
        <is>
          <t>477601</t>
        </is>
      </c>
      <c r="AW1965" t="inlineStr">
        <is>
          <t>991002831299702656</t>
        </is>
      </c>
      <c r="AX1965" t="inlineStr">
        <is>
          <t>991002831299702656</t>
        </is>
      </c>
      <c r="AY1965" t="inlineStr">
        <is>
          <t>2264052470002656</t>
        </is>
      </c>
      <c r="AZ1965" t="inlineStr">
        <is>
          <t>BOOK</t>
        </is>
      </c>
      <c r="BC1965" t="inlineStr">
        <is>
          <t>32285000917590</t>
        </is>
      </c>
      <c r="BD1965" t="inlineStr">
        <is>
          <t>893524099</t>
        </is>
      </c>
    </row>
    <row r="1966">
      <c r="A1966" t="inlineStr">
        <is>
          <t>No</t>
        </is>
      </c>
      <c r="B1966" t="inlineStr">
        <is>
          <t>E840 .K28 1996</t>
        </is>
      </c>
      <c r="C1966" t="inlineStr">
        <is>
          <t>0                      E  0840000K  28          1996</t>
        </is>
      </c>
      <c r="D1966" t="inlineStr">
        <is>
          <t>Estranged friends? : the transatlantic consequences of societal change / Max Kaase and Andrew Kohut.</t>
        </is>
      </c>
      <c r="F1966" t="inlineStr">
        <is>
          <t>No</t>
        </is>
      </c>
      <c r="G1966" t="inlineStr">
        <is>
          <t>1</t>
        </is>
      </c>
      <c r="H1966" t="inlineStr">
        <is>
          <t>No</t>
        </is>
      </c>
      <c r="I1966" t="inlineStr">
        <is>
          <t>No</t>
        </is>
      </c>
      <c r="J1966" t="inlineStr">
        <is>
          <t>0</t>
        </is>
      </c>
      <c r="K1966" t="inlineStr">
        <is>
          <t>Kaase, Max.</t>
        </is>
      </c>
      <c r="L1966" t="inlineStr">
        <is>
          <t>New York : Council on Foreign Relations Press, c1996.</t>
        </is>
      </c>
      <c r="M1966" t="inlineStr">
        <is>
          <t>1996</t>
        </is>
      </c>
      <c r="O1966" t="inlineStr">
        <is>
          <t>eng</t>
        </is>
      </c>
      <c r="P1966" t="inlineStr">
        <is>
          <t>nyu</t>
        </is>
      </c>
      <c r="R1966" t="inlineStr">
        <is>
          <t xml:space="preserve">E  </t>
        </is>
      </c>
      <c r="S1966" t="n">
        <v>6</v>
      </c>
      <c r="T1966" t="n">
        <v>6</v>
      </c>
      <c r="U1966" t="inlineStr">
        <is>
          <t>1999-10-28</t>
        </is>
      </c>
      <c r="V1966" t="inlineStr">
        <is>
          <t>1999-10-28</t>
        </is>
      </c>
      <c r="W1966" t="inlineStr">
        <is>
          <t>1996-06-07</t>
        </is>
      </c>
      <c r="X1966" t="inlineStr">
        <is>
          <t>1996-06-07</t>
        </is>
      </c>
      <c r="Y1966" t="n">
        <v>228</v>
      </c>
      <c r="Z1966" t="n">
        <v>188</v>
      </c>
      <c r="AA1966" t="n">
        <v>205</v>
      </c>
      <c r="AB1966" t="n">
        <v>3</v>
      </c>
      <c r="AC1966" t="n">
        <v>3</v>
      </c>
      <c r="AD1966" t="n">
        <v>14</v>
      </c>
      <c r="AE1966" t="n">
        <v>15</v>
      </c>
      <c r="AF1966" t="n">
        <v>4</v>
      </c>
      <c r="AG1966" t="n">
        <v>4</v>
      </c>
      <c r="AH1966" t="n">
        <v>4</v>
      </c>
      <c r="AI1966" t="n">
        <v>4</v>
      </c>
      <c r="AJ1966" t="n">
        <v>7</v>
      </c>
      <c r="AK1966" t="n">
        <v>7</v>
      </c>
      <c r="AL1966" t="n">
        <v>2</v>
      </c>
      <c r="AM1966" t="n">
        <v>2</v>
      </c>
      <c r="AN1966" t="n">
        <v>1</v>
      </c>
      <c r="AO1966" t="n">
        <v>2</v>
      </c>
      <c r="AP1966" t="inlineStr">
        <is>
          <t>No</t>
        </is>
      </c>
      <c r="AQ1966" t="inlineStr">
        <is>
          <t>Yes</t>
        </is>
      </c>
      <c r="AR1966">
        <f>HYPERLINK("http://catalog.hathitrust.org/Record/003065302","HathiTrust Record")</f>
        <v/>
      </c>
      <c r="AS1966">
        <f>HYPERLINK("https://creighton-primo.hosted.exlibrisgroup.com/primo-explore/search?tab=default_tab&amp;search_scope=EVERYTHING&amp;vid=01CRU&amp;lang=en_US&amp;offset=0&amp;query=any,contains,991002565749702656","Catalog Record")</f>
        <v/>
      </c>
      <c r="AT1966">
        <f>HYPERLINK("http://www.worldcat.org/oclc/33357358","WorldCat Record")</f>
        <v/>
      </c>
      <c r="AU1966" t="inlineStr">
        <is>
          <t>37533008:eng</t>
        </is>
      </c>
      <c r="AV1966" t="inlineStr">
        <is>
          <t>33357358</t>
        </is>
      </c>
      <c r="AW1966" t="inlineStr">
        <is>
          <t>991002565749702656</t>
        </is>
      </c>
      <c r="AX1966" t="inlineStr">
        <is>
          <t>991002565749702656</t>
        </is>
      </c>
      <c r="AY1966" t="inlineStr">
        <is>
          <t>2260085110002656</t>
        </is>
      </c>
      <c r="AZ1966" t="inlineStr">
        <is>
          <t>BOOK</t>
        </is>
      </c>
      <c r="BB1966" t="inlineStr">
        <is>
          <t>9780876091852</t>
        </is>
      </c>
      <c r="BC1966" t="inlineStr">
        <is>
          <t>32285002190220</t>
        </is>
      </c>
      <c r="BD1966" t="inlineStr">
        <is>
          <t>893685495</t>
        </is>
      </c>
    </row>
    <row r="1967">
      <c r="A1967" t="inlineStr">
        <is>
          <t>No</t>
        </is>
      </c>
      <c r="B1967" t="inlineStr">
        <is>
          <t>E840 .K3 2000</t>
        </is>
      </c>
      <c r="C1967" t="inlineStr">
        <is>
          <t>0                      E  0840000K  3           2000</t>
        </is>
      </c>
      <c r="D1967" t="inlineStr">
        <is>
          <t>While America sleeps : self-delusion, military weakness, and the threat to peace today / Donald Kagan, Frederick W. Kagan.</t>
        </is>
      </c>
      <c r="F1967" t="inlineStr">
        <is>
          <t>No</t>
        </is>
      </c>
      <c r="G1967" t="inlineStr">
        <is>
          <t>1</t>
        </is>
      </c>
      <c r="H1967" t="inlineStr">
        <is>
          <t>No</t>
        </is>
      </c>
      <c r="I1967" t="inlineStr">
        <is>
          <t>No</t>
        </is>
      </c>
      <c r="J1967" t="inlineStr">
        <is>
          <t>0</t>
        </is>
      </c>
      <c r="K1967" t="inlineStr">
        <is>
          <t>Kagan, Donald.</t>
        </is>
      </c>
      <c r="L1967" t="inlineStr">
        <is>
          <t>New York : St. Martin's Press, 2000.</t>
        </is>
      </c>
      <c r="M1967" t="inlineStr">
        <is>
          <t>2000</t>
        </is>
      </c>
      <c r="N1967" t="inlineStr">
        <is>
          <t>1st ed.</t>
        </is>
      </c>
      <c r="O1967" t="inlineStr">
        <is>
          <t>eng</t>
        </is>
      </c>
      <c r="P1967" t="inlineStr">
        <is>
          <t>nyu</t>
        </is>
      </c>
      <c r="R1967" t="inlineStr">
        <is>
          <t xml:space="preserve">E  </t>
        </is>
      </c>
      <c r="S1967" t="n">
        <v>3</v>
      </c>
      <c r="T1967" t="n">
        <v>3</v>
      </c>
      <c r="U1967" t="inlineStr">
        <is>
          <t>2005-01-03</t>
        </is>
      </c>
      <c r="V1967" t="inlineStr">
        <is>
          <t>2005-01-03</t>
        </is>
      </c>
      <c r="W1967" t="inlineStr">
        <is>
          <t>2000-12-13</t>
        </is>
      </c>
      <c r="X1967" t="inlineStr">
        <is>
          <t>2000-12-13</t>
        </is>
      </c>
      <c r="Y1967" t="n">
        <v>585</v>
      </c>
      <c r="Z1967" t="n">
        <v>538</v>
      </c>
      <c r="AA1967" t="n">
        <v>550</v>
      </c>
      <c r="AB1967" t="n">
        <v>6</v>
      </c>
      <c r="AC1967" t="n">
        <v>6</v>
      </c>
      <c r="AD1967" t="n">
        <v>23</v>
      </c>
      <c r="AE1967" t="n">
        <v>23</v>
      </c>
      <c r="AF1967" t="n">
        <v>8</v>
      </c>
      <c r="AG1967" t="n">
        <v>8</v>
      </c>
      <c r="AH1967" t="n">
        <v>6</v>
      </c>
      <c r="AI1967" t="n">
        <v>6</v>
      </c>
      <c r="AJ1967" t="n">
        <v>12</v>
      </c>
      <c r="AK1967" t="n">
        <v>12</v>
      </c>
      <c r="AL1967" t="n">
        <v>4</v>
      </c>
      <c r="AM1967" t="n">
        <v>4</v>
      </c>
      <c r="AN1967" t="n">
        <v>0</v>
      </c>
      <c r="AO1967" t="n">
        <v>0</v>
      </c>
      <c r="AP1967" t="inlineStr">
        <is>
          <t>No</t>
        </is>
      </c>
      <c r="AQ1967" t="inlineStr">
        <is>
          <t>No</t>
        </is>
      </c>
      <c r="AS1967">
        <f>HYPERLINK("https://creighton-primo.hosted.exlibrisgroup.com/primo-explore/search?tab=default_tab&amp;search_scope=EVERYTHING&amp;vid=01CRU&amp;lang=en_US&amp;offset=0&amp;query=any,contains,991003341999702656","Catalog Record")</f>
        <v/>
      </c>
      <c r="AT1967">
        <f>HYPERLINK("http://www.worldcat.org/oclc/44128788","WorldCat Record")</f>
        <v/>
      </c>
      <c r="AU1967" t="inlineStr">
        <is>
          <t>44022:eng</t>
        </is>
      </c>
      <c r="AV1967" t="inlineStr">
        <is>
          <t>44128788</t>
        </is>
      </c>
      <c r="AW1967" t="inlineStr">
        <is>
          <t>991003341999702656</t>
        </is>
      </c>
      <c r="AX1967" t="inlineStr">
        <is>
          <t>991003341999702656</t>
        </is>
      </c>
      <c r="AY1967" t="inlineStr">
        <is>
          <t>2264604990002656</t>
        </is>
      </c>
      <c r="AZ1967" t="inlineStr">
        <is>
          <t>BOOK</t>
        </is>
      </c>
      <c r="BB1967" t="inlineStr">
        <is>
          <t>9780312206246</t>
        </is>
      </c>
      <c r="BC1967" t="inlineStr">
        <is>
          <t>32285004276498</t>
        </is>
      </c>
      <c r="BD1967" t="inlineStr">
        <is>
          <t>893617263</t>
        </is>
      </c>
    </row>
    <row r="1968">
      <c r="A1968" t="inlineStr">
        <is>
          <t>No</t>
        </is>
      </c>
      <c r="B1968" t="inlineStr">
        <is>
          <t>E840 .K5</t>
        </is>
      </c>
      <c r="C1968" t="inlineStr">
        <is>
          <t>0                      E  0840000K  5</t>
        </is>
      </c>
      <c r="D1968" t="inlineStr">
        <is>
          <t>American foreign policy : three essays / [by] Henry A. Kissinger.</t>
        </is>
      </c>
      <c r="F1968" t="inlineStr">
        <is>
          <t>No</t>
        </is>
      </c>
      <c r="G1968" t="inlineStr">
        <is>
          <t>1</t>
        </is>
      </c>
      <c r="H1968" t="inlineStr">
        <is>
          <t>No</t>
        </is>
      </c>
      <c r="I1968" t="inlineStr">
        <is>
          <t>No</t>
        </is>
      </c>
      <c r="J1968" t="inlineStr">
        <is>
          <t>0</t>
        </is>
      </c>
      <c r="K1968" t="inlineStr">
        <is>
          <t>Kissinger, Henry, 1923-</t>
        </is>
      </c>
      <c r="L1968" t="inlineStr">
        <is>
          <t>New York : Norton, [1969]</t>
        </is>
      </c>
      <c r="M1968" t="inlineStr">
        <is>
          <t>1969</t>
        </is>
      </c>
      <c r="N1968" t="inlineStr">
        <is>
          <t>[1st ed.]</t>
        </is>
      </c>
      <c r="O1968" t="inlineStr">
        <is>
          <t>eng</t>
        </is>
      </c>
      <c r="P1968" t="inlineStr">
        <is>
          <t>nyu</t>
        </is>
      </c>
      <c r="R1968" t="inlineStr">
        <is>
          <t xml:space="preserve">E  </t>
        </is>
      </c>
      <c r="S1968" t="n">
        <v>3</v>
      </c>
      <c r="T1968" t="n">
        <v>3</v>
      </c>
      <c r="U1968" t="inlineStr">
        <is>
          <t>2003-04-30</t>
        </is>
      </c>
      <c r="V1968" t="inlineStr">
        <is>
          <t>2003-04-30</t>
        </is>
      </c>
      <c r="W1968" t="inlineStr">
        <is>
          <t>1994-03-11</t>
        </is>
      </c>
      <c r="X1968" t="inlineStr">
        <is>
          <t>1994-03-11</t>
        </is>
      </c>
      <c r="Y1968" t="n">
        <v>1269</v>
      </c>
      <c r="Z1968" t="n">
        <v>1142</v>
      </c>
      <c r="AA1968" t="n">
        <v>1168</v>
      </c>
      <c r="AB1968" t="n">
        <v>10</v>
      </c>
      <c r="AC1968" t="n">
        <v>10</v>
      </c>
      <c r="AD1968" t="n">
        <v>40</v>
      </c>
      <c r="AE1968" t="n">
        <v>41</v>
      </c>
      <c r="AF1968" t="n">
        <v>16</v>
      </c>
      <c r="AG1968" t="n">
        <v>17</v>
      </c>
      <c r="AH1968" t="n">
        <v>8</v>
      </c>
      <c r="AI1968" t="n">
        <v>8</v>
      </c>
      <c r="AJ1968" t="n">
        <v>17</v>
      </c>
      <c r="AK1968" t="n">
        <v>17</v>
      </c>
      <c r="AL1968" t="n">
        <v>7</v>
      </c>
      <c r="AM1968" t="n">
        <v>7</v>
      </c>
      <c r="AN1968" t="n">
        <v>3</v>
      </c>
      <c r="AO1968" t="n">
        <v>3</v>
      </c>
      <c r="AP1968" t="inlineStr">
        <is>
          <t>No</t>
        </is>
      </c>
      <c r="AQ1968" t="inlineStr">
        <is>
          <t>Yes</t>
        </is>
      </c>
      <c r="AR1968">
        <f>HYPERLINK("http://catalog.hathitrust.org/Record/000470869","HathiTrust Record")</f>
        <v/>
      </c>
      <c r="AS1968">
        <f>HYPERLINK("https://creighton-primo.hosted.exlibrisgroup.com/primo-explore/search?tab=default_tab&amp;search_scope=EVERYTHING&amp;vid=01CRU&amp;lang=en_US&amp;offset=0&amp;query=any,contains,991005439659702656","Catalog Record")</f>
        <v/>
      </c>
      <c r="AT1968">
        <f>HYPERLINK("http://www.worldcat.org/oclc/7201","WorldCat Record")</f>
        <v/>
      </c>
      <c r="AU1968" t="inlineStr">
        <is>
          <t>4923493843:eng</t>
        </is>
      </c>
      <c r="AV1968" t="inlineStr">
        <is>
          <t>7201</t>
        </is>
      </c>
      <c r="AW1968" t="inlineStr">
        <is>
          <t>991005439659702656</t>
        </is>
      </c>
      <c r="AX1968" t="inlineStr">
        <is>
          <t>991005439659702656</t>
        </is>
      </c>
      <c r="AY1968" t="inlineStr">
        <is>
          <t>2267658310002656</t>
        </is>
      </c>
      <c r="AZ1968" t="inlineStr">
        <is>
          <t>BOOK</t>
        </is>
      </c>
      <c r="BC1968" t="inlineStr">
        <is>
          <t>32285001853042</t>
        </is>
      </c>
      <c r="BD1968" t="inlineStr">
        <is>
          <t>893437844</t>
        </is>
      </c>
    </row>
    <row r="1969">
      <c r="A1969" t="inlineStr">
        <is>
          <t>No</t>
        </is>
      </c>
      <c r="B1969" t="inlineStr">
        <is>
          <t>E840 .K5 1977</t>
        </is>
      </c>
      <c r="C1969" t="inlineStr">
        <is>
          <t>0                      E  0840000K  5           1977</t>
        </is>
      </c>
      <c r="D1969" t="inlineStr">
        <is>
          <t>American foreign policy / Henry A. Kissinger.</t>
        </is>
      </c>
      <c r="F1969" t="inlineStr">
        <is>
          <t>No</t>
        </is>
      </c>
      <c r="G1969" t="inlineStr">
        <is>
          <t>1</t>
        </is>
      </c>
      <c r="H1969" t="inlineStr">
        <is>
          <t>No</t>
        </is>
      </c>
      <c r="I1969" t="inlineStr">
        <is>
          <t>No</t>
        </is>
      </c>
      <c r="J1969" t="inlineStr">
        <is>
          <t>0</t>
        </is>
      </c>
      <c r="K1969" t="inlineStr">
        <is>
          <t>Kissinger, Henry, 1923-</t>
        </is>
      </c>
      <c r="L1969" t="inlineStr">
        <is>
          <t>New York : Norton, c1977.</t>
        </is>
      </c>
      <c r="M1969" t="inlineStr">
        <is>
          <t>1977</t>
        </is>
      </c>
      <c r="N1969" t="inlineStr">
        <is>
          <t>3d ed.</t>
        </is>
      </c>
      <c r="O1969" t="inlineStr">
        <is>
          <t>eng</t>
        </is>
      </c>
      <c r="P1969" t="inlineStr">
        <is>
          <t>nyu</t>
        </is>
      </c>
      <c r="R1969" t="inlineStr">
        <is>
          <t xml:space="preserve">E  </t>
        </is>
      </c>
      <c r="S1969" t="n">
        <v>11</v>
      </c>
      <c r="T1969" t="n">
        <v>11</v>
      </c>
      <c r="U1969" t="inlineStr">
        <is>
          <t>2003-04-30</t>
        </is>
      </c>
      <c r="V1969" t="inlineStr">
        <is>
          <t>2003-04-30</t>
        </is>
      </c>
      <c r="W1969" t="inlineStr">
        <is>
          <t>1993-12-20</t>
        </is>
      </c>
      <c r="X1969" t="inlineStr">
        <is>
          <t>1993-12-20</t>
        </is>
      </c>
      <c r="Y1969" t="n">
        <v>765</v>
      </c>
      <c r="Z1969" t="n">
        <v>655</v>
      </c>
      <c r="AA1969" t="n">
        <v>1199</v>
      </c>
      <c r="AB1969" t="n">
        <v>5</v>
      </c>
      <c r="AC1969" t="n">
        <v>7</v>
      </c>
      <c r="AD1969" t="n">
        <v>25</v>
      </c>
      <c r="AE1969" t="n">
        <v>40</v>
      </c>
      <c r="AF1969" t="n">
        <v>7</v>
      </c>
      <c r="AG1969" t="n">
        <v>16</v>
      </c>
      <c r="AH1969" t="n">
        <v>7</v>
      </c>
      <c r="AI1969" t="n">
        <v>7</v>
      </c>
      <c r="AJ1969" t="n">
        <v>13</v>
      </c>
      <c r="AK1969" t="n">
        <v>19</v>
      </c>
      <c r="AL1969" t="n">
        <v>4</v>
      </c>
      <c r="AM1969" t="n">
        <v>5</v>
      </c>
      <c r="AN1969" t="n">
        <v>0</v>
      </c>
      <c r="AO1969" t="n">
        <v>1</v>
      </c>
      <c r="AP1969" t="inlineStr">
        <is>
          <t>No</t>
        </is>
      </c>
      <c r="AQ1969" t="inlineStr">
        <is>
          <t>Yes</t>
        </is>
      </c>
      <c r="AR1969">
        <f>HYPERLINK("http://catalog.hathitrust.org/Record/000253970","HathiTrust Record")</f>
        <v/>
      </c>
      <c r="AS1969">
        <f>HYPERLINK("https://creighton-primo.hosted.exlibrisgroup.com/primo-explore/search?tab=default_tab&amp;search_scope=EVERYTHING&amp;vid=01CRU&amp;lang=en_US&amp;offset=0&amp;query=any,contains,991004339369702656","Catalog Record")</f>
        <v/>
      </c>
      <c r="AT1969">
        <f>HYPERLINK("http://www.worldcat.org/oclc/3085386","WorldCat Record")</f>
        <v/>
      </c>
      <c r="AU1969" t="inlineStr">
        <is>
          <t>3768361032:eng</t>
        </is>
      </c>
      <c r="AV1969" t="inlineStr">
        <is>
          <t>3085386</t>
        </is>
      </c>
      <c r="AW1969" t="inlineStr">
        <is>
          <t>991004339369702656</t>
        </is>
      </c>
      <c r="AX1969" t="inlineStr">
        <is>
          <t>991004339369702656</t>
        </is>
      </c>
      <c r="AY1969" t="inlineStr">
        <is>
          <t>2265449180002656</t>
        </is>
      </c>
      <c r="AZ1969" t="inlineStr">
        <is>
          <t>BOOK</t>
        </is>
      </c>
      <c r="BB1969" t="inlineStr">
        <is>
          <t>9780393056341</t>
        </is>
      </c>
      <c r="BC1969" t="inlineStr">
        <is>
          <t>32285001819019</t>
        </is>
      </c>
      <c r="BD1969" t="inlineStr">
        <is>
          <t>893337597</t>
        </is>
      </c>
    </row>
    <row r="1970">
      <c r="A1970" t="inlineStr">
        <is>
          <t>No</t>
        </is>
      </c>
      <c r="B1970" t="inlineStr">
        <is>
          <t>E840 .K7</t>
        </is>
      </c>
      <c r="C1970" t="inlineStr">
        <is>
          <t>0                      E  0840000K  7</t>
        </is>
      </c>
      <c r="D1970" t="inlineStr">
        <is>
          <t>The great debates : background, perspective, effects.</t>
        </is>
      </c>
      <c r="F1970" t="inlineStr">
        <is>
          <t>No</t>
        </is>
      </c>
      <c r="G1970" t="inlineStr">
        <is>
          <t>1</t>
        </is>
      </c>
      <c r="H1970" t="inlineStr">
        <is>
          <t>No</t>
        </is>
      </c>
      <c r="I1970" t="inlineStr">
        <is>
          <t>No</t>
        </is>
      </c>
      <c r="J1970" t="inlineStr">
        <is>
          <t>0</t>
        </is>
      </c>
      <c r="K1970" t="inlineStr">
        <is>
          <t>Kraus, Sidney editor.</t>
        </is>
      </c>
      <c r="L1970" t="inlineStr">
        <is>
          <t>[Bloomington] : Indiana University Press, [1962]</t>
        </is>
      </c>
      <c r="M1970" t="inlineStr">
        <is>
          <t>1962</t>
        </is>
      </c>
      <c r="O1970" t="inlineStr">
        <is>
          <t>eng</t>
        </is>
      </c>
      <c r="P1970" t="inlineStr">
        <is>
          <t>inu</t>
        </is>
      </c>
      <c r="R1970" t="inlineStr">
        <is>
          <t xml:space="preserve">E  </t>
        </is>
      </c>
      <c r="S1970" t="n">
        <v>4</v>
      </c>
      <c r="T1970" t="n">
        <v>4</v>
      </c>
      <c r="U1970" t="inlineStr">
        <is>
          <t>2002-02-26</t>
        </is>
      </c>
      <c r="V1970" t="inlineStr">
        <is>
          <t>2002-02-26</t>
        </is>
      </c>
      <c r="W1970" t="inlineStr">
        <is>
          <t>1992-12-16</t>
        </is>
      </c>
      <c r="X1970" t="inlineStr">
        <is>
          <t>1992-12-16</t>
        </is>
      </c>
      <c r="Y1970" t="n">
        <v>796</v>
      </c>
      <c r="Z1970" t="n">
        <v>736</v>
      </c>
      <c r="AA1970" t="n">
        <v>919</v>
      </c>
      <c r="AB1970" t="n">
        <v>9</v>
      </c>
      <c r="AC1970" t="n">
        <v>10</v>
      </c>
      <c r="AD1970" t="n">
        <v>33</v>
      </c>
      <c r="AE1970" t="n">
        <v>45</v>
      </c>
      <c r="AF1970" t="n">
        <v>11</v>
      </c>
      <c r="AG1970" t="n">
        <v>17</v>
      </c>
      <c r="AH1970" t="n">
        <v>5</v>
      </c>
      <c r="AI1970" t="n">
        <v>8</v>
      </c>
      <c r="AJ1970" t="n">
        <v>13</v>
      </c>
      <c r="AK1970" t="n">
        <v>19</v>
      </c>
      <c r="AL1970" t="n">
        <v>8</v>
      </c>
      <c r="AM1970" t="n">
        <v>9</v>
      </c>
      <c r="AN1970" t="n">
        <v>0</v>
      </c>
      <c r="AO1970" t="n">
        <v>0</v>
      </c>
      <c r="AP1970" t="inlineStr">
        <is>
          <t>No</t>
        </is>
      </c>
      <c r="AQ1970" t="inlineStr">
        <is>
          <t>Yes</t>
        </is>
      </c>
      <c r="AR1970">
        <f>HYPERLINK("http://catalog.hathitrust.org/Record/000577692","HathiTrust Record")</f>
        <v/>
      </c>
      <c r="AS1970">
        <f>HYPERLINK("https://creighton-primo.hosted.exlibrisgroup.com/primo-explore/search?tab=default_tab&amp;search_scope=EVERYTHING&amp;vid=01CRU&amp;lang=en_US&amp;offset=0&amp;query=any,contains,991002824719702656","Catalog Record")</f>
        <v/>
      </c>
      <c r="AT1970">
        <f>HYPERLINK("http://www.worldcat.org/oclc/475053","WorldCat Record")</f>
        <v/>
      </c>
      <c r="AU1970" t="inlineStr">
        <is>
          <t>20996844:eng</t>
        </is>
      </c>
      <c r="AV1970" t="inlineStr">
        <is>
          <t>475053</t>
        </is>
      </c>
      <c r="AW1970" t="inlineStr">
        <is>
          <t>991002824719702656</t>
        </is>
      </c>
      <c r="AX1970" t="inlineStr">
        <is>
          <t>991002824719702656</t>
        </is>
      </c>
      <c r="AY1970" t="inlineStr">
        <is>
          <t>2254718430002656</t>
        </is>
      </c>
      <c r="AZ1970" t="inlineStr">
        <is>
          <t>BOOK</t>
        </is>
      </c>
      <c r="BC1970" t="inlineStr">
        <is>
          <t>32285001443067</t>
        </is>
      </c>
      <c r="BD1970" t="inlineStr">
        <is>
          <t>893886780</t>
        </is>
      </c>
    </row>
    <row r="1971">
      <c r="A1971" t="inlineStr">
        <is>
          <t>No</t>
        </is>
      </c>
      <c r="B1971" t="inlineStr">
        <is>
          <t>E840 .L42 1982</t>
        </is>
      </c>
      <c r="C1971" t="inlineStr">
        <is>
          <t>0                      E  0840000L  42          1982</t>
        </is>
      </c>
      <c r="D1971" t="inlineStr">
        <is>
          <t>Soviet perceptions of U.S. foreign policy : a study of ideology, power, and consensus / John Lenczowski.</t>
        </is>
      </c>
      <c r="F1971" t="inlineStr">
        <is>
          <t>No</t>
        </is>
      </c>
      <c r="G1971" t="inlineStr">
        <is>
          <t>1</t>
        </is>
      </c>
      <c r="H1971" t="inlineStr">
        <is>
          <t>No</t>
        </is>
      </c>
      <c r="I1971" t="inlineStr">
        <is>
          <t>No</t>
        </is>
      </c>
      <c r="J1971" t="inlineStr">
        <is>
          <t>0</t>
        </is>
      </c>
      <c r="K1971" t="inlineStr">
        <is>
          <t>Lenczowski, John.</t>
        </is>
      </c>
      <c r="L1971" t="inlineStr">
        <is>
          <t>Ithaca : Cornell University Press, 1982.</t>
        </is>
      </c>
      <c r="M1971" t="inlineStr">
        <is>
          <t>1982</t>
        </is>
      </c>
      <c r="O1971" t="inlineStr">
        <is>
          <t>eng</t>
        </is>
      </c>
      <c r="P1971" t="inlineStr">
        <is>
          <t>nyu</t>
        </is>
      </c>
      <c r="R1971" t="inlineStr">
        <is>
          <t xml:space="preserve">E  </t>
        </is>
      </c>
      <c r="S1971" t="n">
        <v>1</v>
      </c>
      <c r="T1971" t="n">
        <v>1</v>
      </c>
      <c r="U1971" t="inlineStr">
        <is>
          <t>1993-04-13</t>
        </is>
      </c>
      <c r="V1971" t="inlineStr">
        <is>
          <t>1993-04-13</t>
        </is>
      </c>
      <c r="W1971" t="inlineStr">
        <is>
          <t>1991-06-19</t>
        </is>
      </c>
      <c r="X1971" t="inlineStr">
        <is>
          <t>1991-06-19</t>
        </is>
      </c>
      <c r="Y1971" t="n">
        <v>581</v>
      </c>
      <c r="Z1971" t="n">
        <v>481</v>
      </c>
      <c r="AA1971" t="n">
        <v>488</v>
      </c>
      <c r="AB1971" t="n">
        <v>3</v>
      </c>
      <c r="AC1971" t="n">
        <v>3</v>
      </c>
      <c r="AD1971" t="n">
        <v>24</v>
      </c>
      <c r="AE1971" t="n">
        <v>24</v>
      </c>
      <c r="AF1971" t="n">
        <v>10</v>
      </c>
      <c r="AG1971" t="n">
        <v>10</v>
      </c>
      <c r="AH1971" t="n">
        <v>6</v>
      </c>
      <c r="AI1971" t="n">
        <v>6</v>
      </c>
      <c r="AJ1971" t="n">
        <v>16</v>
      </c>
      <c r="AK1971" t="n">
        <v>16</v>
      </c>
      <c r="AL1971" t="n">
        <v>2</v>
      </c>
      <c r="AM1971" t="n">
        <v>2</v>
      </c>
      <c r="AN1971" t="n">
        <v>0</v>
      </c>
      <c r="AO1971" t="n">
        <v>0</v>
      </c>
      <c r="AP1971" t="inlineStr">
        <is>
          <t>No</t>
        </is>
      </c>
      <c r="AQ1971" t="inlineStr">
        <is>
          <t>Yes</t>
        </is>
      </c>
      <c r="AR1971">
        <f>HYPERLINK("http://catalog.hathitrust.org/Record/000102147","HathiTrust Record")</f>
        <v/>
      </c>
      <c r="AS1971">
        <f>HYPERLINK("https://creighton-primo.hosted.exlibrisgroup.com/primo-explore/search?tab=default_tab&amp;search_scope=EVERYTHING&amp;vid=01CRU&amp;lang=en_US&amp;offset=0&amp;query=any,contains,991005225379702656","Catalog Record")</f>
        <v/>
      </c>
      <c r="AT1971">
        <f>HYPERLINK("http://www.worldcat.org/oclc/8281444","WorldCat Record")</f>
        <v/>
      </c>
      <c r="AU1971" t="inlineStr">
        <is>
          <t>863758704:eng</t>
        </is>
      </c>
      <c r="AV1971" t="inlineStr">
        <is>
          <t>8281444</t>
        </is>
      </c>
      <c r="AW1971" t="inlineStr">
        <is>
          <t>991005225379702656</t>
        </is>
      </c>
      <c r="AX1971" t="inlineStr">
        <is>
          <t>991005225379702656</t>
        </is>
      </c>
      <c r="AY1971" t="inlineStr">
        <is>
          <t>2266774450002656</t>
        </is>
      </c>
      <c r="AZ1971" t="inlineStr">
        <is>
          <t>BOOK</t>
        </is>
      </c>
      <c r="BB1971" t="inlineStr">
        <is>
          <t>9780801414510</t>
        </is>
      </c>
      <c r="BC1971" t="inlineStr">
        <is>
          <t>32285000670389</t>
        </is>
      </c>
      <c r="BD1971" t="inlineStr">
        <is>
          <t>893607037</t>
        </is>
      </c>
    </row>
    <row r="1972">
      <c r="A1972" t="inlineStr">
        <is>
          <t>No</t>
        </is>
      </c>
      <c r="B1972" t="inlineStr">
        <is>
          <t>E840 .M43 2000</t>
        </is>
      </c>
      <c r="C1972" t="inlineStr">
        <is>
          <t>0                      E  0840000M  43          2000</t>
        </is>
      </c>
      <c r="D1972" t="inlineStr">
        <is>
          <t>American foreign policy since the Vietnam War : the search for consensus from Nixon to Clinton / by Richard A. Melanson.</t>
        </is>
      </c>
      <c r="F1972" t="inlineStr">
        <is>
          <t>No</t>
        </is>
      </c>
      <c r="G1972" t="inlineStr">
        <is>
          <t>1</t>
        </is>
      </c>
      <c r="H1972" t="inlineStr">
        <is>
          <t>No</t>
        </is>
      </c>
      <c r="I1972" t="inlineStr">
        <is>
          <t>No</t>
        </is>
      </c>
      <c r="J1972" t="inlineStr">
        <is>
          <t>0</t>
        </is>
      </c>
      <c r="K1972" t="inlineStr">
        <is>
          <t>Melanson, Richard A.</t>
        </is>
      </c>
      <c r="L1972" t="inlineStr">
        <is>
          <t>Armonk, N.Y. : M.E. Sharpe, 2000.</t>
        </is>
      </c>
      <c r="M1972" t="inlineStr">
        <is>
          <t>2000</t>
        </is>
      </c>
      <c r="N1972" t="inlineStr">
        <is>
          <t>3rd ed.</t>
        </is>
      </c>
      <c r="O1972" t="inlineStr">
        <is>
          <t>eng</t>
        </is>
      </c>
      <c r="P1972" t="inlineStr">
        <is>
          <t>nyu</t>
        </is>
      </c>
      <c r="R1972" t="inlineStr">
        <is>
          <t xml:space="preserve">E  </t>
        </is>
      </c>
      <c r="S1972" t="n">
        <v>4</v>
      </c>
      <c r="T1972" t="n">
        <v>4</v>
      </c>
      <c r="U1972" t="inlineStr">
        <is>
          <t>2003-04-30</t>
        </is>
      </c>
      <c r="V1972" t="inlineStr">
        <is>
          <t>2003-04-30</t>
        </is>
      </c>
      <c r="W1972" t="inlineStr">
        <is>
          <t>2001-10-22</t>
        </is>
      </c>
      <c r="X1972" t="inlineStr">
        <is>
          <t>2001-10-22</t>
        </is>
      </c>
      <c r="Y1972" t="n">
        <v>312</v>
      </c>
      <c r="Z1972" t="n">
        <v>246</v>
      </c>
      <c r="AA1972" t="n">
        <v>1658</v>
      </c>
      <c r="AB1972" t="n">
        <v>5</v>
      </c>
      <c r="AC1972" t="n">
        <v>45</v>
      </c>
      <c r="AD1972" t="n">
        <v>13</v>
      </c>
      <c r="AE1972" t="n">
        <v>51</v>
      </c>
      <c r="AF1972" t="n">
        <v>3</v>
      </c>
      <c r="AG1972" t="n">
        <v>21</v>
      </c>
      <c r="AH1972" t="n">
        <v>3</v>
      </c>
      <c r="AI1972" t="n">
        <v>8</v>
      </c>
      <c r="AJ1972" t="n">
        <v>9</v>
      </c>
      <c r="AK1972" t="n">
        <v>20</v>
      </c>
      <c r="AL1972" t="n">
        <v>3</v>
      </c>
      <c r="AM1972" t="n">
        <v>13</v>
      </c>
      <c r="AN1972" t="n">
        <v>0</v>
      </c>
      <c r="AO1972" t="n">
        <v>0</v>
      </c>
      <c r="AP1972" t="inlineStr">
        <is>
          <t>No</t>
        </is>
      </c>
      <c r="AQ1972" t="inlineStr">
        <is>
          <t>Yes</t>
        </is>
      </c>
      <c r="AR1972">
        <f>HYPERLINK("http://catalog.hathitrust.org/Record/004071920","HathiTrust Record")</f>
        <v/>
      </c>
      <c r="AS1972">
        <f>HYPERLINK("https://creighton-primo.hosted.exlibrisgroup.com/primo-explore/search?tab=default_tab&amp;search_scope=EVERYTHING&amp;vid=01CRU&amp;lang=en_US&amp;offset=0&amp;query=any,contains,991003633669702656","Catalog Record")</f>
        <v/>
      </c>
      <c r="AT1972">
        <f>HYPERLINK("http://www.worldcat.org/oclc/42290549","WorldCat Record")</f>
        <v/>
      </c>
      <c r="AU1972" t="inlineStr">
        <is>
          <t>799516903:eng</t>
        </is>
      </c>
      <c r="AV1972" t="inlineStr">
        <is>
          <t>42290549</t>
        </is>
      </c>
      <c r="AW1972" t="inlineStr">
        <is>
          <t>991003633669702656</t>
        </is>
      </c>
      <c r="AX1972" t="inlineStr">
        <is>
          <t>991003633669702656</t>
        </is>
      </c>
      <c r="AY1972" t="inlineStr">
        <is>
          <t>2259364300002656</t>
        </is>
      </c>
      <c r="AZ1972" t="inlineStr">
        <is>
          <t>BOOK</t>
        </is>
      </c>
      <c r="BB1972" t="inlineStr">
        <is>
          <t>9780765602725</t>
        </is>
      </c>
      <c r="BC1972" t="inlineStr">
        <is>
          <t>32285004399043</t>
        </is>
      </c>
      <c r="BD1972" t="inlineStr">
        <is>
          <t>893234386</t>
        </is>
      </c>
    </row>
    <row r="1973">
      <c r="A1973" t="inlineStr">
        <is>
          <t>No</t>
        </is>
      </c>
      <c r="B1973" t="inlineStr">
        <is>
          <t>E840 .M593</t>
        </is>
      </c>
      <c r="C1973" t="inlineStr">
        <is>
          <t>0                      E  0840000M  593</t>
        </is>
      </c>
      <c r="D1973" t="inlineStr">
        <is>
          <t>A new foreign policy for the United States [by] Hans J. Morgenthau.</t>
        </is>
      </c>
      <c r="F1973" t="inlineStr">
        <is>
          <t>No</t>
        </is>
      </c>
      <c r="G1973" t="inlineStr">
        <is>
          <t>1</t>
        </is>
      </c>
      <c r="H1973" t="inlineStr">
        <is>
          <t>No</t>
        </is>
      </c>
      <c r="I1973" t="inlineStr">
        <is>
          <t>No</t>
        </is>
      </c>
      <c r="J1973" t="inlineStr">
        <is>
          <t>0</t>
        </is>
      </c>
      <c r="K1973" t="inlineStr">
        <is>
          <t>Morgenthau, Hans J. (Hans Joachim), 1904-1980.</t>
        </is>
      </c>
      <c r="L1973" t="inlineStr">
        <is>
          <t>New York, Published for the Council on Foreign Relations by F. A. Praeger [1969]</t>
        </is>
      </c>
      <c r="M1973" t="inlineStr">
        <is>
          <t>1969</t>
        </is>
      </c>
      <c r="O1973" t="inlineStr">
        <is>
          <t>eng</t>
        </is>
      </c>
      <c r="P1973" t="inlineStr">
        <is>
          <t>nyu</t>
        </is>
      </c>
      <c r="R1973" t="inlineStr">
        <is>
          <t xml:space="preserve">E  </t>
        </is>
      </c>
      <c r="S1973" t="n">
        <v>2</v>
      </c>
      <c r="T1973" t="n">
        <v>2</v>
      </c>
      <c r="U1973" t="inlineStr">
        <is>
          <t>2003-04-30</t>
        </is>
      </c>
      <c r="V1973" t="inlineStr">
        <is>
          <t>2003-04-30</t>
        </is>
      </c>
      <c r="W1973" t="inlineStr">
        <is>
          <t>1997-04-29</t>
        </is>
      </c>
      <c r="X1973" t="inlineStr">
        <is>
          <t>1997-04-29</t>
        </is>
      </c>
      <c r="Y1973" t="n">
        <v>1159</v>
      </c>
      <c r="Z1973" t="n">
        <v>1051</v>
      </c>
      <c r="AA1973" t="n">
        <v>1076</v>
      </c>
      <c r="AB1973" t="n">
        <v>7</v>
      </c>
      <c r="AC1973" t="n">
        <v>7</v>
      </c>
      <c r="AD1973" t="n">
        <v>46</v>
      </c>
      <c r="AE1973" t="n">
        <v>50</v>
      </c>
      <c r="AF1973" t="n">
        <v>20</v>
      </c>
      <c r="AG1973" t="n">
        <v>20</v>
      </c>
      <c r="AH1973" t="n">
        <v>9</v>
      </c>
      <c r="AI1973" t="n">
        <v>9</v>
      </c>
      <c r="AJ1973" t="n">
        <v>18</v>
      </c>
      <c r="AK1973" t="n">
        <v>18</v>
      </c>
      <c r="AL1973" t="n">
        <v>6</v>
      </c>
      <c r="AM1973" t="n">
        <v>6</v>
      </c>
      <c r="AN1973" t="n">
        <v>3</v>
      </c>
      <c r="AO1973" t="n">
        <v>7</v>
      </c>
      <c r="AP1973" t="inlineStr">
        <is>
          <t>No</t>
        </is>
      </c>
      <c r="AQ1973" t="inlineStr">
        <is>
          <t>Yes</t>
        </is>
      </c>
      <c r="AR1973">
        <f>HYPERLINK("http://catalog.hathitrust.org/Record/000578246","HathiTrust Record")</f>
        <v/>
      </c>
      <c r="AS1973">
        <f>HYPERLINK("https://creighton-primo.hosted.exlibrisgroup.com/primo-explore/search?tab=default_tab&amp;search_scope=EVERYTHING&amp;vid=01CRU&amp;lang=en_US&amp;offset=0&amp;query=any,contains,991001208229702656","Catalog Record")</f>
        <v/>
      </c>
      <c r="AT1973">
        <f>HYPERLINK("http://www.worldcat.org/oclc/192664","WorldCat Record")</f>
        <v/>
      </c>
      <c r="AU1973" t="inlineStr">
        <is>
          <t>350264244:eng</t>
        </is>
      </c>
      <c r="AV1973" t="inlineStr">
        <is>
          <t>192664</t>
        </is>
      </c>
      <c r="AW1973" t="inlineStr">
        <is>
          <t>991001208229702656</t>
        </is>
      </c>
      <c r="AX1973" t="inlineStr">
        <is>
          <t>991001208229702656</t>
        </is>
      </c>
      <c r="AY1973" t="inlineStr">
        <is>
          <t>2256347950002656</t>
        </is>
      </c>
      <c r="AZ1973" t="inlineStr">
        <is>
          <t>BOOK</t>
        </is>
      </c>
      <c r="BC1973" t="inlineStr">
        <is>
          <t>32285002567856</t>
        </is>
      </c>
      <c r="BD1973" t="inlineStr">
        <is>
          <t>893590109</t>
        </is>
      </c>
    </row>
    <row r="1974">
      <c r="A1974" t="inlineStr">
        <is>
          <t>No</t>
        </is>
      </c>
      <c r="B1974" t="inlineStr">
        <is>
          <t>E840 .M873 1996</t>
        </is>
      </c>
      <c r="C1974" t="inlineStr">
        <is>
          <t>0                      E  0840000M  873         1996</t>
        </is>
      </c>
      <c r="D1974" t="inlineStr">
        <is>
          <t>The imperative of American leadership : a challenge to neo-isolationism / by Joshua Muravchik.</t>
        </is>
      </c>
      <c r="F1974" t="inlineStr">
        <is>
          <t>No</t>
        </is>
      </c>
      <c r="G1974" t="inlineStr">
        <is>
          <t>1</t>
        </is>
      </c>
      <c r="H1974" t="inlineStr">
        <is>
          <t>No</t>
        </is>
      </c>
      <c r="I1974" t="inlineStr">
        <is>
          <t>No</t>
        </is>
      </c>
      <c r="J1974" t="inlineStr">
        <is>
          <t>0</t>
        </is>
      </c>
      <c r="K1974" t="inlineStr">
        <is>
          <t>Muravchik, Joshua.</t>
        </is>
      </c>
      <c r="L1974" t="inlineStr">
        <is>
          <t>Washington, D.C. : The AEI Press, publisher for the American Enterprise Institute, 1996.</t>
        </is>
      </c>
      <c r="M1974" t="inlineStr">
        <is>
          <t>1996</t>
        </is>
      </c>
      <c r="O1974" t="inlineStr">
        <is>
          <t>eng</t>
        </is>
      </c>
      <c r="P1974" t="inlineStr">
        <is>
          <t>dcu</t>
        </is>
      </c>
      <c r="R1974" t="inlineStr">
        <is>
          <t xml:space="preserve">E  </t>
        </is>
      </c>
      <c r="S1974" t="n">
        <v>2</v>
      </c>
      <c r="T1974" t="n">
        <v>2</v>
      </c>
      <c r="U1974" t="inlineStr">
        <is>
          <t>1999-04-21</t>
        </is>
      </c>
      <c r="V1974" t="inlineStr">
        <is>
          <t>1999-04-21</t>
        </is>
      </c>
      <c r="W1974" t="inlineStr">
        <is>
          <t>1998-11-09</t>
        </is>
      </c>
      <c r="X1974" t="inlineStr">
        <is>
          <t>1998-11-09</t>
        </is>
      </c>
      <c r="Y1974" t="n">
        <v>424</v>
      </c>
      <c r="Z1974" t="n">
        <v>374</v>
      </c>
      <c r="AA1974" t="n">
        <v>392</v>
      </c>
      <c r="AB1974" t="n">
        <v>2</v>
      </c>
      <c r="AC1974" t="n">
        <v>2</v>
      </c>
      <c r="AD1974" t="n">
        <v>20</v>
      </c>
      <c r="AE1974" t="n">
        <v>21</v>
      </c>
      <c r="AF1974" t="n">
        <v>7</v>
      </c>
      <c r="AG1974" t="n">
        <v>7</v>
      </c>
      <c r="AH1974" t="n">
        <v>5</v>
      </c>
      <c r="AI1974" t="n">
        <v>5</v>
      </c>
      <c r="AJ1974" t="n">
        <v>12</v>
      </c>
      <c r="AK1974" t="n">
        <v>12</v>
      </c>
      <c r="AL1974" t="n">
        <v>1</v>
      </c>
      <c r="AM1974" t="n">
        <v>1</v>
      </c>
      <c r="AN1974" t="n">
        <v>1</v>
      </c>
      <c r="AO1974" t="n">
        <v>2</v>
      </c>
      <c r="AP1974" t="inlineStr">
        <is>
          <t>No</t>
        </is>
      </c>
      <c r="AQ1974" t="inlineStr">
        <is>
          <t>No</t>
        </is>
      </c>
      <c r="AS1974">
        <f>HYPERLINK("https://creighton-primo.hosted.exlibrisgroup.com/primo-explore/search?tab=default_tab&amp;search_scope=EVERYTHING&amp;vid=01CRU&amp;lang=en_US&amp;offset=0&amp;query=any,contains,991002601039702656","Catalog Record")</f>
        <v/>
      </c>
      <c r="AT1974">
        <f>HYPERLINK("http://www.worldcat.org/oclc/34077275","WorldCat Record")</f>
        <v/>
      </c>
      <c r="AU1974" t="inlineStr">
        <is>
          <t>20993995:eng</t>
        </is>
      </c>
      <c r="AV1974" t="inlineStr">
        <is>
          <t>34077275</t>
        </is>
      </c>
      <c r="AW1974" t="inlineStr">
        <is>
          <t>991002601039702656</t>
        </is>
      </c>
      <c r="AX1974" t="inlineStr">
        <is>
          <t>991002601039702656</t>
        </is>
      </c>
      <c r="AY1974" t="inlineStr">
        <is>
          <t>2271810970002656</t>
        </is>
      </c>
      <c r="AZ1974" t="inlineStr">
        <is>
          <t>BOOK</t>
        </is>
      </c>
      <c r="BB1974" t="inlineStr">
        <is>
          <t>9780844739588</t>
        </is>
      </c>
      <c r="BC1974" t="inlineStr">
        <is>
          <t>32285003486726</t>
        </is>
      </c>
      <c r="BD1974" t="inlineStr">
        <is>
          <t>893409295</t>
        </is>
      </c>
    </row>
    <row r="1975">
      <c r="A1975" t="inlineStr">
        <is>
          <t>No</t>
        </is>
      </c>
      <c r="B1975" t="inlineStr">
        <is>
          <t>E840 .M88 1996</t>
        </is>
      </c>
      <c r="C1975" t="inlineStr">
        <is>
          <t>0                      E  0840000M  88          1996</t>
        </is>
      </c>
      <c r="D1975" t="inlineStr">
        <is>
          <t>Anchors against change : American opinion leaders' beliefs after the Cold War / Shoon Kathleen Murray.</t>
        </is>
      </c>
      <c r="F1975" t="inlineStr">
        <is>
          <t>No</t>
        </is>
      </c>
      <c r="G1975" t="inlineStr">
        <is>
          <t>1</t>
        </is>
      </c>
      <c r="H1975" t="inlineStr">
        <is>
          <t>No</t>
        </is>
      </c>
      <c r="I1975" t="inlineStr">
        <is>
          <t>No</t>
        </is>
      </c>
      <c r="J1975" t="inlineStr">
        <is>
          <t>0</t>
        </is>
      </c>
      <c r="K1975" t="inlineStr">
        <is>
          <t>Murray, Shoon Kathleen, 1961-</t>
        </is>
      </c>
      <c r="L1975" t="inlineStr">
        <is>
          <t>Ann Arbor : University of Michigan Press, c1996.</t>
        </is>
      </c>
      <c r="M1975" t="inlineStr">
        <is>
          <t>1996</t>
        </is>
      </c>
      <c r="O1975" t="inlineStr">
        <is>
          <t>eng</t>
        </is>
      </c>
      <c r="P1975" t="inlineStr">
        <is>
          <t>miu</t>
        </is>
      </c>
      <c r="R1975" t="inlineStr">
        <is>
          <t xml:space="preserve">E  </t>
        </is>
      </c>
      <c r="S1975" t="n">
        <v>4</v>
      </c>
      <c r="T1975" t="n">
        <v>4</v>
      </c>
      <c r="U1975" t="inlineStr">
        <is>
          <t>2000-11-28</t>
        </is>
      </c>
      <c r="V1975" t="inlineStr">
        <is>
          <t>2000-11-28</t>
        </is>
      </c>
      <c r="W1975" t="inlineStr">
        <is>
          <t>1997-02-25</t>
        </is>
      </c>
      <c r="X1975" t="inlineStr">
        <is>
          <t>1997-02-25</t>
        </is>
      </c>
      <c r="Y1975" t="n">
        <v>297</v>
      </c>
      <c r="Z1975" t="n">
        <v>263</v>
      </c>
      <c r="AA1975" t="n">
        <v>280</v>
      </c>
      <c r="AB1975" t="n">
        <v>3</v>
      </c>
      <c r="AC1975" t="n">
        <v>3</v>
      </c>
      <c r="AD1975" t="n">
        <v>14</v>
      </c>
      <c r="AE1975" t="n">
        <v>14</v>
      </c>
      <c r="AF1975" t="n">
        <v>3</v>
      </c>
      <c r="AG1975" t="n">
        <v>3</v>
      </c>
      <c r="AH1975" t="n">
        <v>4</v>
      </c>
      <c r="AI1975" t="n">
        <v>4</v>
      </c>
      <c r="AJ1975" t="n">
        <v>9</v>
      </c>
      <c r="AK1975" t="n">
        <v>9</v>
      </c>
      <c r="AL1975" t="n">
        <v>2</v>
      </c>
      <c r="AM1975" t="n">
        <v>2</v>
      </c>
      <c r="AN1975" t="n">
        <v>0</v>
      </c>
      <c r="AO1975" t="n">
        <v>0</v>
      </c>
      <c r="AP1975" t="inlineStr">
        <is>
          <t>No</t>
        </is>
      </c>
      <c r="AQ1975" t="inlineStr">
        <is>
          <t>Yes</t>
        </is>
      </c>
      <c r="AR1975">
        <f>HYPERLINK("http://catalog.hathitrust.org/Record/003115804","HathiTrust Record")</f>
        <v/>
      </c>
      <c r="AS1975">
        <f>HYPERLINK("https://creighton-primo.hosted.exlibrisgroup.com/primo-explore/search?tab=default_tab&amp;search_scope=EVERYTHING&amp;vid=01CRU&amp;lang=en_US&amp;offset=0&amp;query=any,contains,991002687969702656","Catalog Record")</f>
        <v/>
      </c>
      <c r="AT1975">
        <f>HYPERLINK("http://www.worldcat.org/oclc/35114943","WorldCat Record")</f>
        <v/>
      </c>
      <c r="AU1975" t="inlineStr">
        <is>
          <t>6669949:eng</t>
        </is>
      </c>
      <c r="AV1975" t="inlineStr">
        <is>
          <t>35114943</t>
        </is>
      </c>
      <c r="AW1975" t="inlineStr">
        <is>
          <t>991002687969702656</t>
        </is>
      </c>
      <c r="AX1975" t="inlineStr">
        <is>
          <t>991002687969702656</t>
        </is>
      </c>
      <c r="AY1975" t="inlineStr">
        <is>
          <t>2267252830002656</t>
        </is>
      </c>
      <c r="AZ1975" t="inlineStr">
        <is>
          <t>BOOK</t>
        </is>
      </c>
      <c r="BB1975" t="inlineStr">
        <is>
          <t>9780472107582</t>
        </is>
      </c>
      <c r="BC1975" t="inlineStr">
        <is>
          <t>32285002433224</t>
        </is>
      </c>
      <c r="BD1975" t="inlineStr">
        <is>
          <t>893867564</t>
        </is>
      </c>
    </row>
    <row r="1976">
      <c r="A1976" t="inlineStr">
        <is>
          <t>No</t>
        </is>
      </c>
      <c r="B1976" t="inlineStr">
        <is>
          <t>E840 .N38 2002</t>
        </is>
      </c>
      <c r="C1976" t="inlineStr">
        <is>
          <t>0                      E  0840000N  38          2002</t>
        </is>
      </c>
      <c r="D1976" t="inlineStr">
        <is>
          <t>At home abroad : identity and power in American foreign policy / Henry R. Nau.</t>
        </is>
      </c>
      <c r="F1976" t="inlineStr">
        <is>
          <t>No</t>
        </is>
      </c>
      <c r="G1976" t="inlineStr">
        <is>
          <t>1</t>
        </is>
      </c>
      <c r="H1976" t="inlineStr">
        <is>
          <t>No</t>
        </is>
      </c>
      <c r="I1976" t="inlineStr">
        <is>
          <t>No</t>
        </is>
      </c>
      <c r="J1976" t="inlineStr">
        <is>
          <t>0</t>
        </is>
      </c>
      <c r="K1976" t="inlineStr">
        <is>
          <t>Nau, Henry R., 1941-</t>
        </is>
      </c>
      <c r="L1976" t="inlineStr">
        <is>
          <t>Ithaca : Cornell University Press, 2002.</t>
        </is>
      </c>
      <c r="M1976" t="inlineStr">
        <is>
          <t>2002</t>
        </is>
      </c>
      <c r="O1976" t="inlineStr">
        <is>
          <t>eng</t>
        </is>
      </c>
      <c r="P1976" t="inlineStr">
        <is>
          <t>nyu</t>
        </is>
      </c>
      <c r="Q1976" t="inlineStr">
        <is>
          <t>Cornell studies in political economy</t>
        </is>
      </c>
      <c r="R1976" t="inlineStr">
        <is>
          <t xml:space="preserve">E  </t>
        </is>
      </c>
      <c r="S1976" t="n">
        <v>1</v>
      </c>
      <c r="T1976" t="n">
        <v>1</v>
      </c>
      <c r="U1976" t="inlineStr">
        <is>
          <t>2002-11-05</t>
        </is>
      </c>
      <c r="V1976" t="inlineStr">
        <is>
          <t>2002-11-05</t>
        </is>
      </c>
      <c r="W1976" t="inlineStr">
        <is>
          <t>2002-11-05</t>
        </is>
      </c>
      <c r="X1976" t="inlineStr">
        <is>
          <t>2002-11-05</t>
        </is>
      </c>
      <c r="Y1976" t="n">
        <v>561</v>
      </c>
      <c r="Z1976" t="n">
        <v>466</v>
      </c>
      <c r="AA1976" t="n">
        <v>568</v>
      </c>
      <c r="AB1976" t="n">
        <v>6</v>
      </c>
      <c r="AC1976" t="n">
        <v>6</v>
      </c>
      <c r="AD1976" t="n">
        <v>28</v>
      </c>
      <c r="AE1976" t="n">
        <v>30</v>
      </c>
      <c r="AF1976" t="n">
        <v>9</v>
      </c>
      <c r="AG1976" t="n">
        <v>10</v>
      </c>
      <c r="AH1976" t="n">
        <v>6</v>
      </c>
      <c r="AI1976" t="n">
        <v>7</v>
      </c>
      <c r="AJ1976" t="n">
        <v>15</v>
      </c>
      <c r="AK1976" t="n">
        <v>16</v>
      </c>
      <c r="AL1976" t="n">
        <v>5</v>
      </c>
      <c r="AM1976" t="n">
        <v>5</v>
      </c>
      <c r="AN1976" t="n">
        <v>0</v>
      </c>
      <c r="AO1976" t="n">
        <v>0</v>
      </c>
      <c r="AP1976" t="inlineStr">
        <is>
          <t>No</t>
        </is>
      </c>
      <c r="AQ1976" t="inlineStr">
        <is>
          <t>No</t>
        </is>
      </c>
      <c r="AS1976">
        <f>HYPERLINK("https://creighton-primo.hosted.exlibrisgroup.com/primo-explore/search?tab=default_tab&amp;search_scope=EVERYTHING&amp;vid=01CRU&amp;lang=en_US&amp;offset=0&amp;query=any,contains,991003902149702656","Catalog Record")</f>
        <v/>
      </c>
      <c r="AT1976">
        <f>HYPERLINK("http://www.worldcat.org/oclc/48014756","WorldCat Record")</f>
        <v/>
      </c>
      <c r="AU1976" t="inlineStr">
        <is>
          <t>37049056:eng</t>
        </is>
      </c>
      <c r="AV1976" t="inlineStr">
        <is>
          <t>48014756</t>
        </is>
      </c>
      <c r="AW1976" t="inlineStr">
        <is>
          <t>991003902149702656</t>
        </is>
      </c>
      <c r="AX1976" t="inlineStr">
        <is>
          <t>991003902149702656</t>
        </is>
      </c>
      <c r="AY1976" t="inlineStr">
        <is>
          <t>2269935900002656</t>
        </is>
      </c>
      <c r="AZ1976" t="inlineStr">
        <is>
          <t>BOOK</t>
        </is>
      </c>
      <c r="BB1976" t="inlineStr">
        <is>
          <t>9780801439315</t>
        </is>
      </c>
      <c r="BC1976" t="inlineStr">
        <is>
          <t>32285004661061</t>
        </is>
      </c>
      <c r="BD1976" t="inlineStr">
        <is>
          <t>893775372</t>
        </is>
      </c>
    </row>
    <row r="1977">
      <c r="A1977" t="inlineStr">
        <is>
          <t>No</t>
        </is>
      </c>
      <c r="B1977" t="inlineStr">
        <is>
          <t>E840 .N44 2002</t>
        </is>
      </c>
      <c r="C1977" t="inlineStr">
        <is>
          <t>0                      E  0840000N  44          2002</t>
        </is>
      </c>
      <c r="D1977" t="inlineStr">
        <is>
          <t>Winning the world : lessons for America's future from the Cold War / Thomas M. Nichols.</t>
        </is>
      </c>
      <c r="F1977" t="inlineStr">
        <is>
          <t>No</t>
        </is>
      </c>
      <c r="G1977" t="inlineStr">
        <is>
          <t>1</t>
        </is>
      </c>
      <c r="H1977" t="inlineStr">
        <is>
          <t>No</t>
        </is>
      </c>
      <c r="I1977" t="inlineStr">
        <is>
          <t>No</t>
        </is>
      </c>
      <c r="J1977" t="inlineStr">
        <is>
          <t>0</t>
        </is>
      </c>
      <c r="K1977" t="inlineStr">
        <is>
          <t>Nichols, Thomas M., 1960-</t>
        </is>
      </c>
      <c r="L1977" t="inlineStr">
        <is>
          <t>Westport, CT : Praeger, 2002.</t>
        </is>
      </c>
      <c r="M1977" t="inlineStr">
        <is>
          <t>2002</t>
        </is>
      </c>
      <c r="O1977" t="inlineStr">
        <is>
          <t>eng</t>
        </is>
      </c>
      <c r="P1977" t="inlineStr">
        <is>
          <t>ctu</t>
        </is>
      </c>
      <c r="Q1977" t="inlineStr">
        <is>
          <t>Humanistic perspectives on international relations, 1535-0363</t>
        </is>
      </c>
      <c r="R1977" t="inlineStr">
        <is>
          <t xml:space="preserve">E  </t>
        </is>
      </c>
      <c r="S1977" t="n">
        <v>2</v>
      </c>
      <c r="T1977" t="n">
        <v>2</v>
      </c>
      <c r="U1977" t="inlineStr">
        <is>
          <t>2003-11-01</t>
        </is>
      </c>
      <c r="V1977" t="inlineStr">
        <is>
          <t>2003-11-01</t>
        </is>
      </c>
      <c r="W1977" t="inlineStr">
        <is>
          <t>2003-09-17</t>
        </is>
      </c>
      <c r="X1977" t="inlineStr">
        <is>
          <t>2003-09-17</t>
        </is>
      </c>
      <c r="Y1977" t="n">
        <v>391</v>
      </c>
      <c r="Z1977" t="n">
        <v>350</v>
      </c>
      <c r="AA1977" t="n">
        <v>925</v>
      </c>
      <c r="AB1977" t="n">
        <v>4</v>
      </c>
      <c r="AC1977" t="n">
        <v>19</v>
      </c>
      <c r="AD1977" t="n">
        <v>20</v>
      </c>
      <c r="AE1977" t="n">
        <v>36</v>
      </c>
      <c r="AF1977" t="n">
        <v>6</v>
      </c>
      <c r="AG1977" t="n">
        <v>12</v>
      </c>
      <c r="AH1977" t="n">
        <v>5</v>
      </c>
      <c r="AI1977" t="n">
        <v>5</v>
      </c>
      <c r="AJ1977" t="n">
        <v>10</v>
      </c>
      <c r="AK1977" t="n">
        <v>13</v>
      </c>
      <c r="AL1977" t="n">
        <v>3</v>
      </c>
      <c r="AM1977" t="n">
        <v>11</v>
      </c>
      <c r="AN1977" t="n">
        <v>1</v>
      </c>
      <c r="AO1977" t="n">
        <v>1</v>
      </c>
      <c r="AP1977" t="inlineStr">
        <is>
          <t>No</t>
        </is>
      </c>
      <c r="AQ1977" t="inlineStr">
        <is>
          <t>Yes</t>
        </is>
      </c>
      <c r="AR1977">
        <f>HYPERLINK("http://catalog.hathitrust.org/Record/004297818","HathiTrust Record")</f>
        <v/>
      </c>
      <c r="AS1977">
        <f>HYPERLINK("https://creighton-primo.hosted.exlibrisgroup.com/primo-explore/search?tab=default_tab&amp;search_scope=EVERYTHING&amp;vid=01CRU&amp;lang=en_US&amp;offset=0&amp;query=any,contains,991004127019702656","Catalog Record")</f>
        <v/>
      </c>
      <c r="AT1977">
        <f>HYPERLINK("http://www.worldcat.org/oclc/49952133","WorldCat Record")</f>
        <v/>
      </c>
      <c r="AU1977" t="inlineStr">
        <is>
          <t>995676:eng</t>
        </is>
      </c>
      <c r="AV1977" t="inlineStr">
        <is>
          <t>49952133</t>
        </is>
      </c>
      <c r="AW1977" t="inlineStr">
        <is>
          <t>991004127019702656</t>
        </is>
      </c>
      <c r="AX1977" t="inlineStr">
        <is>
          <t>991004127019702656</t>
        </is>
      </c>
      <c r="AY1977" t="inlineStr">
        <is>
          <t>2264769980002656</t>
        </is>
      </c>
      <c r="AZ1977" t="inlineStr">
        <is>
          <t>BOOK</t>
        </is>
      </c>
      <c r="BB1977" t="inlineStr">
        <is>
          <t>9780275966638</t>
        </is>
      </c>
      <c r="BC1977" t="inlineStr">
        <is>
          <t>32285004791116</t>
        </is>
      </c>
      <c r="BD1977" t="inlineStr">
        <is>
          <t>893506443</t>
        </is>
      </c>
    </row>
    <row r="1978">
      <c r="A1978" t="inlineStr">
        <is>
          <t>No</t>
        </is>
      </c>
      <c r="B1978" t="inlineStr">
        <is>
          <t>E840 .N55 1992</t>
        </is>
      </c>
      <c r="C1978" t="inlineStr">
        <is>
          <t>0                      E  0840000N  55          1992</t>
        </is>
      </c>
      <c r="D1978" t="inlineStr">
        <is>
          <t>Democracy and foreign policy : the fallacy of political realism / Miroslav Nincic.</t>
        </is>
      </c>
      <c r="F1978" t="inlineStr">
        <is>
          <t>No</t>
        </is>
      </c>
      <c r="G1978" t="inlineStr">
        <is>
          <t>1</t>
        </is>
      </c>
      <c r="H1978" t="inlineStr">
        <is>
          <t>No</t>
        </is>
      </c>
      <c r="I1978" t="inlineStr">
        <is>
          <t>No</t>
        </is>
      </c>
      <c r="J1978" t="inlineStr">
        <is>
          <t>0</t>
        </is>
      </c>
      <c r="K1978" t="inlineStr">
        <is>
          <t>Nincic, Miroslav.</t>
        </is>
      </c>
      <c r="L1978" t="inlineStr">
        <is>
          <t>New York : Columbia University Press, c1992.</t>
        </is>
      </c>
      <c r="M1978" t="inlineStr">
        <is>
          <t>1992</t>
        </is>
      </c>
      <c r="O1978" t="inlineStr">
        <is>
          <t>eng</t>
        </is>
      </c>
      <c r="P1978" t="inlineStr">
        <is>
          <t>nyu</t>
        </is>
      </c>
      <c r="R1978" t="inlineStr">
        <is>
          <t xml:space="preserve">E  </t>
        </is>
      </c>
      <c r="S1978" t="n">
        <v>2</v>
      </c>
      <c r="T1978" t="n">
        <v>2</v>
      </c>
      <c r="U1978" t="inlineStr">
        <is>
          <t>2003-04-30</t>
        </is>
      </c>
      <c r="V1978" t="inlineStr">
        <is>
          <t>2003-04-30</t>
        </is>
      </c>
      <c r="W1978" t="inlineStr">
        <is>
          <t>1992-08-26</t>
        </is>
      </c>
      <c r="X1978" t="inlineStr">
        <is>
          <t>1992-08-26</t>
        </is>
      </c>
      <c r="Y1978" t="n">
        <v>379</v>
      </c>
      <c r="Z1978" t="n">
        <v>284</v>
      </c>
      <c r="AA1978" t="n">
        <v>290</v>
      </c>
      <c r="AB1978" t="n">
        <v>3</v>
      </c>
      <c r="AC1978" t="n">
        <v>3</v>
      </c>
      <c r="AD1978" t="n">
        <v>15</v>
      </c>
      <c r="AE1978" t="n">
        <v>15</v>
      </c>
      <c r="AF1978" t="n">
        <v>6</v>
      </c>
      <c r="AG1978" t="n">
        <v>6</v>
      </c>
      <c r="AH1978" t="n">
        <v>3</v>
      </c>
      <c r="AI1978" t="n">
        <v>3</v>
      </c>
      <c r="AJ1978" t="n">
        <v>7</v>
      </c>
      <c r="AK1978" t="n">
        <v>7</v>
      </c>
      <c r="AL1978" t="n">
        <v>2</v>
      </c>
      <c r="AM1978" t="n">
        <v>2</v>
      </c>
      <c r="AN1978" t="n">
        <v>0</v>
      </c>
      <c r="AO1978" t="n">
        <v>0</v>
      </c>
      <c r="AP1978" t="inlineStr">
        <is>
          <t>No</t>
        </is>
      </c>
      <c r="AQ1978" t="inlineStr">
        <is>
          <t>No</t>
        </is>
      </c>
      <c r="AS1978">
        <f>HYPERLINK("https://creighton-primo.hosted.exlibrisgroup.com/primo-explore/search?tab=default_tab&amp;search_scope=EVERYTHING&amp;vid=01CRU&amp;lang=en_US&amp;offset=0&amp;query=any,contains,991001947669702656","Catalog Record")</f>
        <v/>
      </c>
      <c r="AT1978">
        <f>HYPERLINK("http://www.worldcat.org/oclc/24627347","WorldCat Record")</f>
        <v/>
      </c>
      <c r="AU1978" t="inlineStr">
        <is>
          <t>836917996:eng</t>
        </is>
      </c>
      <c r="AV1978" t="inlineStr">
        <is>
          <t>24627347</t>
        </is>
      </c>
      <c r="AW1978" t="inlineStr">
        <is>
          <t>991001947669702656</t>
        </is>
      </c>
      <c r="AX1978" t="inlineStr">
        <is>
          <t>991001947669702656</t>
        </is>
      </c>
      <c r="AY1978" t="inlineStr">
        <is>
          <t>2259878300002656</t>
        </is>
      </c>
      <c r="AZ1978" t="inlineStr">
        <is>
          <t>BOOK</t>
        </is>
      </c>
      <c r="BB1978" t="inlineStr">
        <is>
          <t>9780231076685</t>
        </is>
      </c>
      <c r="BC1978" t="inlineStr">
        <is>
          <t>32285001199065</t>
        </is>
      </c>
      <c r="BD1978" t="inlineStr">
        <is>
          <t>893316197</t>
        </is>
      </c>
    </row>
    <row r="1979">
      <c r="A1979" t="inlineStr">
        <is>
          <t>No</t>
        </is>
      </c>
      <c r="B1979" t="inlineStr">
        <is>
          <t>E840 .N57</t>
        </is>
      </c>
      <c r="C1979" t="inlineStr">
        <is>
          <t>0                      E  0840000N  57</t>
        </is>
      </c>
      <c r="D1979" t="inlineStr">
        <is>
          <t>The real war / by Richard Nixon.</t>
        </is>
      </c>
      <c r="F1979" t="inlineStr">
        <is>
          <t>No</t>
        </is>
      </c>
      <c r="G1979" t="inlineStr">
        <is>
          <t>1</t>
        </is>
      </c>
      <c r="H1979" t="inlineStr">
        <is>
          <t>No</t>
        </is>
      </c>
      <c r="I1979" t="inlineStr">
        <is>
          <t>No</t>
        </is>
      </c>
      <c r="J1979" t="inlineStr">
        <is>
          <t>0</t>
        </is>
      </c>
      <c r="K1979" t="inlineStr">
        <is>
          <t>Nixon, Richard M. (Richard Milhous), 1913-1994.</t>
        </is>
      </c>
      <c r="L1979" t="inlineStr">
        <is>
          <t>New York : Warner Books : distributed in the U.S. by Random House, c1980.</t>
        </is>
      </c>
      <c r="M1979" t="inlineStr">
        <is>
          <t>1980</t>
        </is>
      </c>
      <c r="O1979" t="inlineStr">
        <is>
          <t>eng</t>
        </is>
      </c>
      <c r="P1979" t="inlineStr">
        <is>
          <t>nyu</t>
        </is>
      </c>
      <c r="R1979" t="inlineStr">
        <is>
          <t xml:space="preserve">E  </t>
        </is>
      </c>
      <c r="S1979" t="n">
        <v>1</v>
      </c>
      <c r="T1979" t="n">
        <v>1</v>
      </c>
      <c r="U1979" t="inlineStr">
        <is>
          <t>2003-07-03</t>
        </is>
      </c>
      <c r="V1979" t="inlineStr">
        <is>
          <t>2003-07-03</t>
        </is>
      </c>
      <c r="W1979" t="inlineStr">
        <is>
          <t>1990-04-17</t>
        </is>
      </c>
      <c r="X1979" t="inlineStr">
        <is>
          <t>1990-04-17</t>
        </is>
      </c>
      <c r="Y1979" t="n">
        <v>2604</v>
      </c>
      <c r="Z1979" t="n">
        <v>2367</v>
      </c>
      <c r="AA1979" t="n">
        <v>2578</v>
      </c>
      <c r="AB1979" t="n">
        <v>21</v>
      </c>
      <c r="AC1979" t="n">
        <v>22</v>
      </c>
      <c r="AD1979" t="n">
        <v>59</v>
      </c>
      <c r="AE1979" t="n">
        <v>61</v>
      </c>
      <c r="AF1979" t="n">
        <v>24</v>
      </c>
      <c r="AG1979" t="n">
        <v>24</v>
      </c>
      <c r="AH1979" t="n">
        <v>10</v>
      </c>
      <c r="AI1979" t="n">
        <v>10</v>
      </c>
      <c r="AJ1979" t="n">
        <v>22</v>
      </c>
      <c r="AK1979" t="n">
        <v>23</v>
      </c>
      <c r="AL1979" t="n">
        <v>12</v>
      </c>
      <c r="AM1979" t="n">
        <v>13</v>
      </c>
      <c r="AN1979" t="n">
        <v>2</v>
      </c>
      <c r="AO1979" t="n">
        <v>2</v>
      </c>
      <c r="AP1979" t="inlineStr">
        <is>
          <t>No</t>
        </is>
      </c>
      <c r="AQ1979" t="inlineStr">
        <is>
          <t>No</t>
        </is>
      </c>
      <c r="AS1979">
        <f>HYPERLINK("https://creighton-primo.hosted.exlibrisgroup.com/primo-explore/search?tab=default_tab&amp;search_scope=EVERYTHING&amp;vid=01CRU&amp;lang=en_US&amp;offset=0&amp;query=any,contains,991004885579702656","Catalog Record")</f>
        <v/>
      </c>
      <c r="AT1979">
        <f>HYPERLINK("http://www.worldcat.org/oclc/5831733","WorldCat Record")</f>
        <v/>
      </c>
      <c r="AU1979" t="inlineStr">
        <is>
          <t>47443607:eng</t>
        </is>
      </c>
      <c r="AV1979" t="inlineStr">
        <is>
          <t>5831733</t>
        </is>
      </c>
      <c r="AW1979" t="inlineStr">
        <is>
          <t>991004885579702656</t>
        </is>
      </c>
      <c r="AX1979" t="inlineStr">
        <is>
          <t>991004885579702656</t>
        </is>
      </c>
      <c r="AY1979" t="inlineStr">
        <is>
          <t>2263316270002656</t>
        </is>
      </c>
      <c r="AZ1979" t="inlineStr">
        <is>
          <t>BOOK</t>
        </is>
      </c>
      <c r="BB1979" t="inlineStr">
        <is>
          <t>9780446512015</t>
        </is>
      </c>
      <c r="BC1979" t="inlineStr">
        <is>
          <t>32285000122340</t>
        </is>
      </c>
      <c r="BD1979" t="inlineStr">
        <is>
          <t>893532895</t>
        </is>
      </c>
    </row>
    <row r="1980">
      <c r="A1980" t="inlineStr">
        <is>
          <t>No</t>
        </is>
      </c>
      <c r="B1980" t="inlineStr">
        <is>
          <t>E840 .N63 1999</t>
        </is>
      </c>
      <c r="C1980" t="inlineStr">
        <is>
          <t>0                      E  0840000N  63          1999</t>
        </is>
      </c>
      <c r="D1980" t="inlineStr">
        <is>
          <t>An elusive consensus : nuclear weapons and American security after the Cold War / Janne E. Nolan.</t>
        </is>
      </c>
      <c r="F1980" t="inlineStr">
        <is>
          <t>No</t>
        </is>
      </c>
      <c r="G1980" t="inlineStr">
        <is>
          <t>1</t>
        </is>
      </c>
      <c r="H1980" t="inlineStr">
        <is>
          <t>No</t>
        </is>
      </c>
      <c r="I1980" t="inlineStr">
        <is>
          <t>No</t>
        </is>
      </c>
      <c r="J1980" t="inlineStr">
        <is>
          <t>0</t>
        </is>
      </c>
      <c r="K1980" t="inlineStr">
        <is>
          <t>Nolan, Janne E.</t>
        </is>
      </c>
      <c r="L1980" t="inlineStr">
        <is>
          <t>Washington D.C. : Brookings Institution Press, c1999.</t>
        </is>
      </c>
      <c r="M1980" t="inlineStr">
        <is>
          <t>1999</t>
        </is>
      </c>
      <c r="O1980" t="inlineStr">
        <is>
          <t>eng</t>
        </is>
      </c>
      <c r="P1980" t="inlineStr">
        <is>
          <t>dcu</t>
        </is>
      </c>
      <c r="R1980" t="inlineStr">
        <is>
          <t xml:space="preserve">E  </t>
        </is>
      </c>
      <c r="S1980" t="n">
        <v>3</v>
      </c>
      <c r="T1980" t="n">
        <v>3</v>
      </c>
      <c r="U1980" t="inlineStr">
        <is>
          <t>1999-11-18</t>
        </is>
      </c>
      <c r="V1980" t="inlineStr">
        <is>
          <t>1999-11-18</t>
        </is>
      </c>
      <c r="W1980" t="inlineStr">
        <is>
          <t>1999-08-18</t>
        </is>
      </c>
      <c r="X1980" t="inlineStr">
        <is>
          <t>1999-08-18</t>
        </is>
      </c>
      <c r="Y1980" t="n">
        <v>466</v>
      </c>
      <c r="Z1980" t="n">
        <v>402</v>
      </c>
      <c r="AA1980" t="n">
        <v>408</v>
      </c>
      <c r="AB1980" t="n">
        <v>3</v>
      </c>
      <c r="AC1980" t="n">
        <v>3</v>
      </c>
      <c r="AD1980" t="n">
        <v>26</v>
      </c>
      <c r="AE1980" t="n">
        <v>26</v>
      </c>
      <c r="AF1980" t="n">
        <v>7</v>
      </c>
      <c r="AG1980" t="n">
        <v>7</v>
      </c>
      <c r="AH1980" t="n">
        <v>6</v>
      </c>
      <c r="AI1980" t="n">
        <v>6</v>
      </c>
      <c r="AJ1980" t="n">
        <v>15</v>
      </c>
      <c r="AK1980" t="n">
        <v>15</v>
      </c>
      <c r="AL1980" t="n">
        <v>2</v>
      </c>
      <c r="AM1980" t="n">
        <v>2</v>
      </c>
      <c r="AN1980" t="n">
        <v>3</v>
      </c>
      <c r="AO1980" t="n">
        <v>3</v>
      </c>
      <c r="AP1980" t="inlineStr">
        <is>
          <t>No</t>
        </is>
      </c>
      <c r="AQ1980" t="inlineStr">
        <is>
          <t>Yes</t>
        </is>
      </c>
      <c r="AR1980">
        <f>HYPERLINK("http://catalog.hathitrust.org/Record/004045693","HathiTrust Record")</f>
        <v/>
      </c>
      <c r="AS1980">
        <f>HYPERLINK("https://creighton-primo.hosted.exlibrisgroup.com/primo-explore/search?tab=default_tab&amp;search_scope=EVERYTHING&amp;vid=01CRU&amp;lang=en_US&amp;offset=0&amp;query=any,contains,991003022289702656","Catalog Record")</f>
        <v/>
      </c>
      <c r="AT1980">
        <f>HYPERLINK("http://www.worldcat.org/oclc/41223883","WorldCat Record")</f>
        <v/>
      </c>
      <c r="AU1980" t="inlineStr">
        <is>
          <t>20860574:eng</t>
        </is>
      </c>
      <c r="AV1980" t="inlineStr">
        <is>
          <t>41223883</t>
        </is>
      </c>
      <c r="AW1980" t="inlineStr">
        <is>
          <t>991003022289702656</t>
        </is>
      </c>
      <c r="AX1980" t="inlineStr">
        <is>
          <t>991003022289702656</t>
        </is>
      </c>
      <c r="AY1980" t="inlineStr">
        <is>
          <t>2260613370002656</t>
        </is>
      </c>
      <c r="AZ1980" t="inlineStr">
        <is>
          <t>BOOK</t>
        </is>
      </c>
      <c r="BB1980" t="inlineStr">
        <is>
          <t>9780815761013</t>
        </is>
      </c>
      <c r="BC1980" t="inlineStr">
        <is>
          <t>32285003582680</t>
        </is>
      </c>
      <c r="BD1980" t="inlineStr">
        <is>
          <t>893623061</t>
        </is>
      </c>
    </row>
    <row r="1981">
      <c r="A1981" t="inlineStr">
        <is>
          <t>No</t>
        </is>
      </c>
      <c r="B1981" t="inlineStr">
        <is>
          <t>E840 .N94 1990</t>
        </is>
      </c>
      <c r="C1981" t="inlineStr">
        <is>
          <t>0                      E  0840000N  94          1990</t>
        </is>
      </c>
      <c r="D1981" t="inlineStr">
        <is>
          <t>Bound to lead : the changing nature of American power / Joseph S. Nye, Jr.</t>
        </is>
      </c>
      <c r="F1981" t="inlineStr">
        <is>
          <t>No</t>
        </is>
      </c>
      <c r="G1981" t="inlineStr">
        <is>
          <t>1</t>
        </is>
      </c>
      <c r="H1981" t="inlineStr">
        <is>
          <t>No</t>
        </is>
      </c>
      <c r="I1981" t="inlineStr">
        <is>
          <t>No</t>
        </is>
      </c>
      <c r="J1981" t="inlineStr">
        <is>
          <t>0</t>
        </is>
      </c>
      <c r="K1981" t="inlineStr">
        <is>
          <t>Nye, Joseph S.</t>
        </is>
      </c>
      <c r="L1981" t="inlineStr">
        <is>
          <t>New York : Basic Books, c1990.</t>
        </is>
      </c>
      <c r="M1981" t="inlineStr">
        <is>
          <t>1990</t>
        </is>
      </c>
      <c r="O1981" t="inlineStr">
        <is>
          <t>eng</t>
        </is>
      </c>
      <c r="P1981" t="inlineStr">
        <is>
          <t>nyu</t>
        </is>
      </c>
      <c r="R1981" t="inlineStr">
        <is>
          <t xml:space="preserve">E  </t>
        </is>
      </c>
      <c r="S1981" t="n">
        <v>6</v>
      </c>
      <c r="T1981" t="n">
        <v>6</v>
      </c>
      <c r="U1981" t="inlineStr">
        <is>
          <t>2002-04-26</t>
        </is>
      </c>
      <c r="V1981" t="inlineStr">
        <is>
          <t>2002-04-26</t>
        </is>
      </c>
      <c r="W1981" t="inlineStr">
        <is>
          <t>1990-11-08</t>
        </is>
      </c>
      <c r="X1981" t="inlineStr">
        <is>
          <t>1990-11-08</t>
        </is>
      </c>
      <c r="Y1981" t="n">
        <v>1069</v>
      </c>
      <c r="Z1981" t="n">
        <v>906</v>
      </c>
      <c r="AA1981" t="n">
        <v>1016</v>
      </c>
      <c r="AB1981" t="n">
        <v>6</v>
      </c>
      <c r="AC1981" t="n">
        <v>6</v>
      </c>
      <c r="AD1981" t="n">
        <v>42</v>
      </c>
      <c r="AE1981" t="n">
        <v>46</v>
      </c>
      <c r="AF1981" t="n">
        <v>17</v>
      </c>
      <c r="AG1981" t="n">
        <v>20</v>
      </c>
      <c r="AH1981" t="n">
        <v>11</v>
      </c>
      <c r="AI1981" t="n">
        <v>11</v>
      </c>
      <c r="AJ1981" t="n">
        <v>19</v>
      </c>
      <c r="AK1981" t="n">
        <v>21</v>
      </c>
      <c r="AL1981" t="n">
        <v>5</v>
      </c>
      <c r="AM1981" t="n">
        <v>5</v>
      </c>
      <c r="AN1981" t="n">
        <v>0</v>
      </c>
      <c r="AO1981" t="n">
        <v>0</v>
      </c>
      <c r="AP1981" t="inlineStr">
        <is>
          <t>No</t>
        </is>
      </c>
      <c r="AQ1981" t="inlineStr">
        <is>
          <t>Yes</t>
        </is>
      </c>
      <c r="AR1981">
        <f>HYPERLINK("http://catalog.hathitrust.org/Record/001943068","HathiTrust Record")</f>
        <v/>
      </c>
      <c r="AS1981">
        <f>HYPERLINK("https://creighton-primo.hosted.exlibrisgroup.com/primo-explore/search?tab=default_tab&amp;search_scope=EVERYTHING&amp;vid=01CRU&amp;lang=en_US&amp;offset=0&amp;query=any,contains,991001597929702656","Catalog Record")</f>
        <v/>
      </c>
      <c r="AT1981">
        <f>HYPERLINK("http://www.worldcat.org/oclc/20631482","WorldCat Record")</f>
        <v/>
      </c>
      <c r="AU1981" t="inlineStr">
        <is>
          <t>22506959:eng</t>
        </is>
      </c>
      <c r="AV1981" t="inlineStr">
        <is>
          <t>20631482</t>
        </is>
      </c>
      <c r="AW1981" t="inlineStr">
        <is>
          <t>991001597929702656</t>
        </is>
      </c>
      <c r="AX1981" t="inlineStr">
        <is>
          <t>991001597929702656</t>
        </is>
      </c>
      <c r="AY1981" t="inlineStr">
        <is>
          <t>2260741810002656</t>
        </is>
      </c>
      <c r="AZ1981" t="inlineStr">
        <is>
          <t>BOOK</t>
        </is>
      </c>
      <c r="BB1981" t="inlineStr">
        <is>
          <t>9780465001774</t>
        </is>
      </c>
      <c r="BC1981" t="inlineStr">
        <is>
          <t>32285000313931</t>
        </is>
      </c>
      <c r="BD1981" t="inlineStr">
        <is>
          <t>893885393</t>
        </is>
      </c>
    </row>
    <row r="1982">
      <c r="A1982" t="inlineStr">
        <is>
          <t>No</t>
        </is>
      </c>
      <c r="B1982" t="inlineStr">
        <is>
          <t>E840 .O76 1989</t>
        </is>
      </c>
      <c r="C1982" t="inlineStr">
        <is>
          <t>0                      E  0840000O  76          1989</t>
        </is>
      </c>
      <c r="D1982" t="inlineStr">
        <is>
          <t>Political instability and American foreign policy : the middle options / John David Orme.</t>
        </is>
      </c>
      <c r="F1982" t="inlineStr">
        <is>
          <t>No</t>
        </is>
      </c>
      <c r="G1982" t="inlineStr">
        <is>
          <t>1</t>
        </is>
      </c>
      <c r="H1982" t="inlineStr">
        <is>
          <t>No</t>
        </is>
      </c>
      <c r="I1982" t="inlineStr">
        <is>
          <t>No</t>
        </is>
      </c>
      <c r="J1982" t="inlineStr">
        <is>
          <t>0</t>
        </is>
      </c>
      <c r="K1982" t="inlineStr">
        <is>
          <t>Orme, John David.</t>
        </is>
      </c>
      <c r="L1982" t="inlineStr">
        <is>
          <t>New York : St. Martin's Press, 1989.</t>
        </is>
      </c>
      <c r="M1982" t="inlineStr">
        <is>
          <t>1989</t>
        </is>
      </c>
      <c r="O1982" t="inlineStr">
        <is>
          <t>eng</t>
        </is>
      </c>
      <c r="P1982" t="inlineStr">
        <is>
          <t>nyu</t>
        </is>
      </c>
      <c r="R1982" t="inlineStr">
        <is>
          <t xml:space="preserve">E  </t>
        </is>
      </c>
      <c r="S1982" t="n">
        <v>3</v>
      </c>
      <c r="T1982" t="n">
        <v>3</v>
      </c>
      <c r="U1982" t="inlineStr">
        <is>
          <t>2005-04-03</t>
        </is>
      </c>
      <c r="V1982" t="inlineStr">
        <is>
          <t>2005-04-03</t>
        </is>
      </c>
      <c r="W1982" t="inlineStr">
        <is>
          <t>1990-11-27</t>
        </is>
      </c>
      <c r="X1982" t="inlineStr">
        <is>
          <t>1990-11-27</t>
        </is>
      </c>
      <c r="Y1982" t="n">
        <v>373</v>
      </c>
      <c r="Z1982" t="n">
        <v>327</v>
      </c>
      <c r="AA1982" t="n">
        <v>337</v>
      </c>
      <c r="AB1982" t="n">
        <v>3</v>
      </c>
      <c r="AC1982" t="n">
        <v>3</v>
      </c>
      <c r="AD1982" t="n">
        <v>16</v>
      </c>
      <c r="AE1982" t="n">
        <v>16</v>
      </c>
      <c r="AF1982" t="n">
        <v>5</v>
      </c>
      <c r="AG1982" t="n">
        <v>5</v>
      </c>
      <c r="AH1982" t="n">
        <v>6</v>
      </c>
      <c r="AI1982" t="n">
        <v>6</v>
      </c>
      <c r="AJ1982" t="n">
        <v>8</v>
      </c>
      <c r="AK1982" t="n">
        <v>8</v>
      </c>
      <c r="AL1982" t="n">
        <v>2</v>
      </c>
      <c r="AM1982" t="n">
        <v>2</v>
      </c>
      <c r="AN1982" t="n">
        <v>1</v>
      </c>
      <c r="AO1982" t="n">
        <v>1</v>
      </c>
      <c r="AP1982" t="inlineStr">
        <is>
          <t>No</t>
        </is>
      </c>
      <c r="AQ1982" t="inlineStr">
        <is>
          <t>No</t>
        </is>
      </c>
      <c r="AS1982">
        <f>HYPERLINK("https://creighton-primo.hosted.exlibrisgroup.com/primo-explore/search?tab=default_tab&amp;search_scope=EVERYTHING&amp;vid=01CRU&amp;lang=en_US&amp;offset=0&amp;query=any,contains,991001491629702656","Catalog Record")</f>
        <v/>
      </c>
      <c r="AT1982">
        <f>HYPERLINK("http://www.worldcat.org/oclc/19723889","WorldCat Record")</f>
        <v/>
      </c>
      <c r="AU1982" t="inlineStr">
        <is>
          <t>17404482:eng</t>
        </is>
      </c>
      <c r="AV1982" t="inlineStr">
        <is>
          <t>19723889</t>
        </is>
      </c>
      <c r="AW1982" t="inlineStr">
        <is>
          <t>991001491629702656</t>
        </is>
      </c>
      <c r="AX1982" t="inlineStr">
        <is>
          <t>991001491629702656</t>
        </is>
      </c>
      <c r="AY1982" t="inlineStr">
        <is>
          <t>2260490750002656</t>
        </is>
      </c>
      <c r="AZ1982" t="inlineStr">
        <is>
          <t>BOOK</t>
        </is>
      </c>
      <c r="BB1982" t="inlineStr">
        <is>
          <t>9780312032135</t>
        </is>
      </c>
      <c r="BC1982" t="inlineStr">
        <is>
          <t>32285000357342</t>
        </is>
      </c>
      <c r="BD1982" t="inlineStr">
        <is>
          <t>893225885</t>
        </is>
      </c>
    </row>
    <row r="1983">
      <c r="A1983" t="inlineStr">
        <is>
          <t>No</t>
        </is>
      </c>
      <c r="B1983" t="inlineStr">
        <is>
          <t>E840 .R4313 2003</t>
        </is>
      </c>
      <c r="C1983" t="inlineStr">
        <is>
          <t>0                      E  0840000R  4313        2003</t>
        </is>
      </c>
      <c r="D1983" t="inlineStr">
        <is>
          <t>Anti-Americanism / Jean François Revel ; translated from the French by Diarmid Cammell.</t>
        </is>
      </c>
      <c r="F1983" t="inlineStr">
        <is>
          <t>No</t>
        </is>
      </c>
      <c r="G1983" t="inlineStr">
        <is>
          <t>1</t>
        </is>
      </c>
      <c r="H1983" t="inlineStr">
        <is>
          <t>No</t>
        </is>
      </c>
      <c r="I1983" t="inlineStr">
        <is>
          <t>No</t>
        </is>
      </c>
      <c r="J1983" t="inlineStr">
        <is>
          <t>0</t>
        </is>
      </c>
      <c r="K1983" t="inlineStr">
        <is>
          <t>Revel, Jean-François.</t>
        </is>
      </c>
      <c r="L1983" t="inlineStr">
        <is>
          <t>San Francisco, Calif. : Encounter Books, 2003.</t>
        </is>
      </c>
      <c r="M1983" t="inlineStr">
        <is>
          <t>2003</t>
        </is>
      </c>
      <c r="N1983" t="inlineStr">
        <is>
          <t>1st English language ed.</t>
        </is>
      </c>
      <c r="O1983" t="inlineStr">
        <is>
          <t>eng</t>
        </is>
      </c>
      <c r="P1983" t="inlineStr">
        <is>
          <t>cau</t>
        </is>
      </c>
      <c r="R1983" t="inlineStr">
        <is>
          <t xml:space="preserve">E  </t>
        </is>
      </c>
      <c r="S1983" t="n">
        <v>5</v>
      </c>
      <c r="T1983" t="n">
        <v>5</v>
      </c>
      <c r="U1983" t="inlineStr">
        <is>
          <t>2005-09-14</t>
        </is>
      </c>
      <c r="V1983" t="inlineStr">
        <is>
          <t>2005-09-14</t>
        </is>
      </c>
      <c r="W1983" t="inlineStr">
        <is>
          <t>2003-12-16</t>
        </is>
      </c>
      <c r="X1983" t="inlineStr">
        <is>
          <t>2003-12-16</t>
        </is>
      </c>
      <c r="Y1983" t="n">
        <v>813</v>
      </c>
      <c r="Z1983" t="n">
        <v>727</v>
      </c>
      <c r="AA1983" t="n">
        <v>734</v>
      </c>
      <c r="AB1983" t="n">
        <v>6</v>
      </c>
      <c r="AC1983" t="n">
        <v>6</v>
      </c>
      <c r="AD1983" t="n">
        <v>29</v>
      </c>
      <c r="AE1983" t="n">
        <v>29</v>
      </c>
      <c r="AF1983" t="n">
        <v>10</v>
      </c>
      <c r="AG1983" t="n">
        <v>10</v>
      </c>
      <c r="AH1983" t="n">
        <v>7</v>
      </c>
      <c r="AI1983" t="n">
        <v>7</v>
      </c>
      <c r="AJ1983" t="n">
        <v>12</v>
      </c>
      <c r="AK1983" t="n">
        <v>12</v>
      </c>
      <c r="AL1983" t="n">
        <v>5</v>
      </c>
      <c r="AM1983" t="n">
        <v>5</v>
      </c>
      <c r="AN1983" t="n">
        <v>2</v>
      </c>
      <c r="AO1983" t="n">
        <v>2</v>
      </c>
      <c r="AP1983" t="inlineStr">
        <is>
          <t>No</t>
        </is>
      </c>
      <c r="AQ1983" t="inlineStr">
        <is>
          <t>Yes</t>
        </is>
      </c>
      <c r="AR1983">
        <f>HYPERLINK("http://catalog.hathitrust.org/Record/003873645","HathiTrust Record")</f>
        <v/>
      </c>
      <c r="AS1983">
        <f>HYPERLINK("https://creighton-primo.hosted.exlibrisgroup.com/primo-explore/search?tab=default_tab&amp;search_scope=EVERYTHING&amp;vid=01CRU&amp;lang=en_US&amp;offset=0&amp;query=any,contains,991004183699702656","Catalog Record")</f>
        <v/>
      </c>
      <c r="AT1983">
        <f>HYPERLINK("http://www.worldcat.org/oclc/52980587","WorldCat Record")</f>
        <v/>
      </c>
      <c r="AU1983" t="inlineStr">
        <is>
          <t>145490374:eng</t>
        </is>
      </c>
      <c r="AV1983" t="inlineStr">
        <is>
          <t>52980587</t>
        </is>
      </c>
      <c r="AW1983" t="inlineStr">
        <is>
          <t>991004183699702656</t>
        </is>
      </c>
      <c r="AX1983" t="inlineStr">
        <is>
          <t>991004183699702656</t>
        </is>
      </c>
      <c r="AY1983" t="inlineStr">
        <is>
          <t>2268633040002656</t>
        </is>
      </c>
      <c r="AZ1983" t="inlineStr">
        <is>
          <t>BOOK</t>
        </is>
      </c>
      <c r="BB1983" t="inlineStr">
        <is>
          <t>9781893554856</t>
        </is>
      </c>
      <c r="BC1983" t="inlineStr">
        <is>
          <t>32285004847033</t>
        </is>
      </c>
      <c r="BD1983" t="inlineStr">
        <is>
          <t>893869399</t>
        </is>
      </c>
    </row>
    <row r="1984">
      <c r="A1984" t="inlineStr">
        <is>
          <t>No</t>
        </is>
      </c>
      <c r="B1984" t="inlineStr">
        <is>
          <t>E840 .R63 1972</t>
        </is>
      </c>
      <c r="C1984" t="inlineStr">
        <is>
          <t>0                      E  0840000R  63          1972</t>
        </is>
      </c>
      <c r="D1984" t="inlineStr">
        <is>
          <t>Beyond conflict and containment; critical studies of military and foreign policy. Edited by Milton J. Rosenberg.</t>
        </is>
      </c>
      <c r="F1984" t="inlineStr">
        <is>
          <t>No</t>
        </is>
      </c>
      <c r="G1984" t="inlineStr">
        <is>
          <t>1</t>
        </is>
      </c>
      <c r="H1984" t="inlineStr">
        <is>
          <t>No</t>
        </is>
      </c>
      <c r="I1984" t="inlineStr">
        <is>
          <t>No</t>
        </is>
      </c>
      <c r="J1984" t="inlineStr">
        <is>
          <t>0</t>
        </is>
      </c>
      <c r="K1984" t="inlineStr">
        <is>
          <t>Rosenberg, Milton J., 1925-, compiler.</t>
        </is>
      </c>
      <c r="L1984" t="inlineStr">
        <is>
          <t>New Brunswick, N.J., Transaction Books; distributed by Dutton [New York, 1972]</t>
        </is>
      </c>
      <c r="M1984" t="inlineStr">
        <is>
          <t>1972</t>
        </is>
      </c>
      <c r="O1984" t="inlineStr">
        <is>
          <t>eng</t>
        </is>
      </c>
      <c r="P1984" t="inlineStr">
        <is>
          <t>nju</t>
        </is>
      </c>
      <c r="Q1984" t="inlineStr">
        <is>
          <t>Transaction/Society book series ; TA/S-26</t>
        </is>
      </c>
      <c r="R1984" t="inlineStr">
        <is>
          <t xml:space="preserve">E  </t>
        </is>
      </c>
      <c r="S1984" t="n">
        <v>2</v>
      </c>
      <c r="T1984" t="n">
        <v>2</v>
      </c>
      <c r="U1984" t="inlineStr">
        <is>
          <t>2003-04-01</t>
        </is>
      </c>
      <c r="V1984" t="inlineStr">
        <is>
          <t>2003-04-01</t>
        </is>
      </c>
      <c r="W1984" t="inlineStr">
        <is>
          <t>1997-04-29</t>
        </is>
      </c>
      <c r="X1984" t="inlineStr">
        <is>
          <t>1997-04-29</t>
        </is>
      </c>
      <c r="Y1984" t="n">
        <v>421</v>
      </c>
      <c r="Z1984" t="n">
        <v>368</v>
      </c>
      <c r="AA1984" t="n">
        <v>375</v>
      </c>
      <c r="AB1984" t="n">
        <v>3</v>
      </c>
      <c r="AC1984" t="n">
        <v>3</v>
      </c>
      <c r="AD1984" t="n">
        <v>16</v>
      </c>
      <c r="AE1984" t="n">
        <v>16</v>
      </c>
      <c r="AF1984" t="n">
        <v>6</v>
      </c>
      <c r="AG1984" t="n">
        <v>6</v>
      </c>
      <c r="AH1984" t="n">
        <v>3</v>
      </c>
      <c r="AI1984" t="n">
        <v>3</v>
      </c>
      <c r="AJ1984" t="n">
        <v>7</v>
      </c>
      <c r="AK1984" t="n">
        <v>7</v>
      </c>
      <c r="AL1984" t="n">
        <v>2</v>
      </c>
      <c r="AM1984" t="n">
        <v>2</v>
      </c>
      <c r="AN1984" t="n">
        <v>1</v>
      </c>
      <c r="AO1984" t="n">
        <v>1</v>
      </c>
      <c r="AP1984" t="inlineStr">
        <is>
          <t>No</t>
        </is>
      </c>
      <c r="AQ1984" t="inlineStr">
        <is>
          <t>No</t>
        </is>
      </c>
      <c r="AS1984">
        <f>HYPERLINK("https://creighton-primo.hosted.exlibrisgroup.com/primo-explore/search?tab=default_tab&amp;search_scope=EVERYTHING&amp;vid=01CRU&amp;lang=en_US&amp;offset=0&amp;query=any,contains,991004239789702656","Catalog Record")</f>
        <v/>
      </c>
      <c r="AT1984">
        <f>HYPERLINK("http://www.worldcat.org/oclc/2780565","WorldCat Record")</f>
        <v/>
      </c>
      <c r="AU1984" t="inlineStr">
        <is>
          <t>821338126:eng</t>
        </is>
      </c>
      <c r="AV1984" t="inlineStr">
        <is>
          <t>2780565</t>
        </is>
      </c>
      <c r="AW1984" t="inlineStr">
        <is>
          <t>991004239789702656</t>
        </is>
      </c>
      <c r="AX1984" t="inlineStr">
        <is>
          <t>991004239789702656</t>
        </is>
      </c>
      <c r="AY1984" t="inlineStr">
        <is>
          <t>2262984970002656</t>
        </is>
      </c>
      <c r="AZ1984" t="inlineStr">
        <is>
          <t>BOOK</t>
        </is>
      </c>
      <c r="BB1984" t="inlineStr">
        <is>
          <t>9780878550388</t>
        </is>
      </c>
      <c r="BC1984" t="inlineStr">
        <is>
          <t>32285002567922</t>
        </is>
      </c>
      <c r="BD1984" t="inlineStr">
        <is>
          <t>893782006</t>
        </is>
      </c>
    </row>
    <row r="1985">
      <c r="A1985" t="inlineStr">
        <is>
          <t>No</t>
        </is>
      </c>
      <c r="B1985" t="inlineStr">
        <is>
          <t>E840 .R65</t>
        </is>
      </c>
      <c r="C1985" t="inlineStr">
        <is>
          <t>0                      E  0840000R  65</t>
        </is>
      </c>
      <c r="D1985" t="inlineStr">
        <is>
          <t>The Third World and U.S. foreign policy : cooperation and conflict in the 1980s / Robert L. Rothstein.</t>
        </is>
      </c>
      <c r="F1985" t="inlineStr">
        <is>
          <t>No</t>
        </is>
      </c>
      <c r="G1985" t="inlineStr">
        <is>
          <t>1</t>
        </is>
      </c>
      <c r="H1985" t="inlineStr">
        <is>
          <t>No</t>
        </is>
      </c>
      <c r="I1985" t="inlineStr">
        <is>
          <t>No</t>
        </is>
      </c>
      <c r="J1985" t="inlineStr">
        <is>
          <t>0</t>
        </is>
      </c>
      <c r="K1985" t="inlineStr">
        <is>
          <t>Rothstein, Robert L.</t>
        </is>
      </c>
      <c r="L1985" t="inlineStr">
        <is>
          <t>Boulder, Colo. : Westview Press, 1981.</t>
        </is>
      </c>
      <c r="M1985" t="inlineStr">
        <is>
          <t>1981</t>
        </is>
      </c>
      <c r="O1985" t="inlineStr">
        <is>
          <t>eng</t>
        </is>
      </c>
      <c r="P1985" t="inlineStr">
        <is>
          <t>cou</t>
        </is>
      </c>
      <c r="Q1985" t="inlineStr">
        <is>
          <t>Westview special studies in international relations</t>
        </is>
      </c>
      <c r="R1985" t="inlineStr">
        <is>
          <t xml:space="preserve">E  </t>
        </is>
      </c>
      <c r="S1985" t="n">
        <v>3</v>
      </c>
      <c r="T1985" t="n">
        <v>3</v>
      </c>
      <c r="U1985" t="inlineStr">
        <is>
          <t>2003-04-30</t>
        </is>
      </c>
      <c r="V1985" t="inlineStr">
        <is>
          <t>2003-04-30</t>
        </is>
      </c>
      <c r="W1985" t="inlineStr">
        <is>
          <t>1991-06-19</t>
        </is>
      </c>
      <c r="X1985" t="inlineStr">
        <is>
          <t>1991-06-19</t>
        </is>
      </c>
      <c r="Y1985" t="n">
        <v>559</v>
      </c>
      <c r="Z1985" t="n">
        <v>463</v>
      </c>
      <c r="AA1985" t="n">
        <v>489</v>
      </c>
      <c r="AB1985" t="n">
        <v>4</v>
      </c>
      <c r="AC1985" t="n">
        <v>4</v>
      </c>
      <c r="AD1985" t="n">
        <v>21</v>
      </c>
      <c r="AE1985" t="n">
        <v>21</v>
      </c>
      <c r="AF1985" t="n">
        <v>8</v>
      </c>
      <c r="AG1985" t="n">
        <v>8</v>
      </c>
      <c r="AH1985" t="n">
        <v>5</v>
      </c>
      <c r="AI1985" t="n">
        <v>5</v>
      </c>
      <c r="AJ1985" t="n">
        <v>12</v>
      </c>
      <c r="AK1985" t="n">
        <v>12</v>
      </c>
      <c r="AL1985" t="n">
        <v>3</v>
      </c>
      <c r="AM1985" t="n">
        <v>3</v>
      </c>
      <c r="AN1985" t="n">
        <v>0</v>
      </c>
      <c r="AO1985" t="n">
        <v>0</v>
      </c>
      <c r="AP1985" t="inlineStr">
        <is>
          <t>No</t>
        </is>
      </c>
      <c r="AQ1985" t="inlineStr">
        <is>
          <t>Yes</t>
        </is>
      </c>
      <c r="AR1985">
        <f>HYPERLINK("http://catalog.hathitrust.org/Record/000226867","HathiTrust Record")</f>
        <v/>
      </c>
      <c r="AS1985">
        <f>HYPERLINK("https://creighton-primo.hosted.exlibrisgroup.com/primo-explore/search?tab=default_tab&amp;search_scope=EVERYTHING&amp;vid=01CRU&amp;lang=en_US&amp;offset=0&amp;query=any,contains,991005102949702656","Catalog Record")</f>
        <v/>
      </c>
      <c r="AT1985">
        <f>HYPERLINK("http://www.worldcat.org/oclc/7307108","WorldCat Record")</f>
        <v/>
      </c>
      <c r="AU1985" t="inlineStr">
        <is>
          <t>309205709:eng</t>
        </is>
      </c>
      <c r="AV1985" t="inlineStr">
        <is>
          <t>7307108</t>
        </is>
      </c>
      <c r="AW1985" t="inlineStr">
        <is>
          <t>991005102949702656</t>
        </is>
      </c>
      <c r="AX1985" t="inlineStr">
        <is>
          <t>991005102949702656</t>
        </is>
      </c>
      <c r="AY1985" t="inlineStr">
        <is>
          <t>2259705720002656</t>
        </is>
      </c>
      <c r="AZ1985" t="inlineStr">
        <is>
          <t>BOOK</t>
        </is>
      </c>
      <c r="BB1985" t="inlineStr">
        <is>
          <t>9780865312067</t>
        </is>
      </c>
      <c r="BC1985" t="inlineStr">
        <is>
          <t>32285000670405</t>
        </is>
      </c>
      <c r="BD1985" t="inlineStr">
        <is>
          <t>893338510</t>
        </is>
      </c>
    </row>
    <row r="1986">
      <c r="A1986" t="inlineStr">
        <is>
          <t>No</t>
        </is>
      </c>
      <c r="B1986" t="inlineStr">
        <is>
          <t>E840 .R78 1996</t>
        </is>
      </c>
      <c r="C1986" t="inlineStr">
        <is>
          <t>0                      E  0840000R  78          1996</t>
        </is>
      </c>
      <c r="D1986" t="inlineStr">
        <is>
          <t>Winning the peace : America and world order in the new era / John Gerard Ruggie.</t>
        </is>
      </c>
      <c r="F1986" t="inlineStr">
        <is>
          <t>No</t>
        </is>
      </c>
      <c r="G1986" t="inlineStr">
        <is>
          <t>1</t>
        </is>
      </c>
      <c r="H1986" t="inlineStr">
        <is>
          <t>No</t>
        </is>
      </c>
      <c r="I1986" t="inlineStr">
        <is>
          <t>No</t>
        </is>
      </c>
      <c r="J1986" t="inlineStr">
        <is>
          <t>0</t>
        </is>
      </c>
      <c r="K1986" t="inlineStr">
        <is>
          <t>Ruggie, John Gerard, 1944-</t>
        </is>
      </c>
      <c r="L1986" t="inlineStr">
        <is>
          <t>New York : Columbia University Press, c1996.</t>
        </is>
      </c>
      <c r="M1986" t="inlineStr">
        <is>
          <t>1996</t>
        </is>
      </c>
      <c r="O1986" t="inlineStr">
        <is>
          <t>eng</t>
        </is>
      </c>
      <c r="P1986" t="inlineStr">
        <is>
          <t>nyu</t>
        </is>
      </c>
      <c r="R1986" t="inlineStr">
        <is>
          <t xml:space="preserve">E  </t>
        </is>
      </c>
      <c r="S1986" t="n">
        <v>2</v>
      </c>
      <c r="T1986" t="n">
        <v>2</v>
      </c>
      <c r="U1986" t="inlineStr">
        <is>
          <t>1999-02-20</t>
        </is>
      </c>
      <c r="V1986" t="inlineStr">
        <is>
          <t>1999-02-20</t>
        </is>
      </c>
      <c r="W1986" t="inlineStr">
        <is>
          <t>1998-08-03</t>
        </is>
      </c>
      <c r="X1986" t="inlineStr">
        <is>
          <t>1998-08-03</t>
        </is>
      </c>
      <c r="Y1986" t="n">
        <v>701</v>
      </c>
      <c r="Z1986" t="n">
        <v>567</v>
      </c>
      <c r="AA1986" t="n">
        <v>571</v>
      </c>
      <c r="AB1986" t="n">
        <v>6</v>
      </c>
      <c r="AC1986" t="n">
        <v>6</v>
      </c>
      <c r="AD1986" t="n">
        <v>36</v>
      </c>
      <c r="AE1986" t="n">
        <v>36</v>
      </c>
      <c r="AF1986" t="n">
        <v>13</v>
      </c>
      <c r="AG1986" t="n">
        <v>13</v>
      </c>
      <c r="AH1986" t="n">
        <v>9</v>
      </c>
      <c r="AI1986" t="n">
        <v>9</v>
      </c>
      <c r="AJ1986" t="n">
        <v>19</v>
      </c>
      <c r="AK1986" t="n">
        <v>19</v>
      </c>
      <c r="AL1986" t="n">
        <v>5</v>
      </c>
      <c r="AM1986" t="n">
        <v>5</v>
      </c>
      <c r="AN1986" t="n">
        <v>0</v>
      </c>
      <c r="AO1986" t="n">
        <v>0</v>
      </c>
      <c r="AP1986" t="inlineStr">
        <is>
          <t>No</t>
        </is>
      </c>
      <c r="AQ1986" t="inlineStr">
        <is>
          <t>No</t>
        </is>
      </c>
      <c r="AS1986">
        <f>HYPERLINK("https://creighton-primo.hosted.exlibrisgroup.com/primo-explore/search?tab=default_tab&amp;search_scope=EVERYTHING&amp;vid=01CRU&amp;lang=en_US&amp;offset=0&amp;query=any,contains,991002622489702656","Catalog Record")</f>
        <v/>
      </c>
      <c r="AT1986">
        <f>HYPERLINK("http://www.worldcat.org/oclc/34356436","WorldCat Record")</f>
        <v/>
      </c>
      <c r="AU1986" t="inlineStr">
        <is>
          <t>836919256:eng</t>
        </is>
      </c>
      <c r="AV1986" t="inlineStr">
        <is>
          <t>34356436</t>
        </is>
      </c>
      <c r="AW1986" t="inlineStr">
        <is>
          <t>991002622489702656</t>
        </is>
      </c>
      <c r="AX1986" t="inlineStr">
        <is>
          <t>991002622489702656</t>
        </is>
      </c>
      <c r="AY1986" t="inlineStr">
        <is>
          <t>2266964800002656</t>
        </is>
      </c>
      <c r="AZ1986" t="inlineStr">
        <is>
          <t>BOOK</t>
        </is>
      </c>
      <c r="BB1986" t="inlineStr">
        <is>
          <t>9780231104265</t>
        </is>
      </c>
      <c r="BC1986" t="inlineStr">
        <is>
          <t>32285003448056</t>
        </is>
      </c>
      <c r="BD1986" t="inlineStr">
        <is>
          <t>893704286</t>
        </is>
      </c>
    </row>
    <row r="1987">
      <c r="A1987" t="inlineStr">
        <is>
          <t>No</t>
        </is>
      </c>
      <c r="B1987" t="inlineStr">
        <is>
          <t>E840 .S233 1983</t>
        </is>
      </c>
      <c r="C1987" t="inlineStr">
        <is>
          <t>0                      E  0840000S  233         1983</t>
        </is>
      </c>
      <c r="D1987" t="inlineStr">
        <is>
          <t>Peddlers of crisis : the Committee on the Present Danger and the politics of containment / Jerry W. Sanders.</t>
        </is>
      </c>
      <c r="F1987" t="inlineStr">
        <is>
          <t>No</t>
        </is>
      </c>
      <c r="G1987" t="inlineStr">
        <is>
          <t>1</t>
        </is>
      </c>
      <c r="H1987" t="inlineStr">
        <is>
          <t>No</t>
        </is>
      </c>
      <c r="I1987" t="inlineStr">
        <is>
          <t>No</t>
        </is>
      </c>
      <c r="J1987" t="inlineStr">
        <is>
          <t>0</t>
        </is>
      </c>
      <c r="K1987" t="inlineStr">
        <is>
          <t>Sanders, Jerry Wayne.</t>
        </is>
      </c>
      <c r="L1987" t="inlineStr">
        <is>
          <t>Boston, MA : South End Press, c1983.</t>
        </is>
      </c>
      <c r="M1987" t="inlineStr">
        <is>
          <t>1983</t>
        </is>
      </c>
      <c r="N1987" t="inlineStr">
        <is>
          <t>1st ed.</t>
        </is>
      </c>
      <c r="O1987" t="inlineStr">
        <is>
          <t>eng</t>
        </is>
      </c>
      <c r="P1987" t="inlineStr">
        <is>
          <t>mau</t>
        </is>
      </c>
      <c r="R1987" t="inlineStr">
        <is>
          <t xml:space="preserve">E  </t>
        </is>
      </c>
      <c r="S1987" t="n">
        <v>3</v>
      </c>
      <c r="T1987" t="n">
        <v>3</v>
      </c>
      <c r="U1987" t="inlineStr">
        <is>
          <t>1992-11-22</t>
        </is>
      </c>
      <c r="V1987" t="inlineStr">
        <is>
          <t>1992-11-22</t>
        </is>
      </c>
      <c r="W1987" t="inlineStr">
        <is>
          <t>1991-06-19</t>
        </is>
      </c>
      <c r="X1987" t="inlineStr">
        <is>
          <t>1991-06-19</t>
        </is>
      </c>
      <c r="Y1987" t="n">
        <v>477</v>
      </c>
      <c r="Z1987" t="n">
        <v>410</v>
      </c>
      <c r="AA1987" t="n">
        <v>410</v>
      </c>
      <c r="AB1987" t="n">
        <v>4</v>
      </c>
      <c r="AC1987" t="n">
        <v>4</v>
      </c>
      <c r="AD1987" t="n">
        <v>21</v>
      </c>
      <c r="AE1987" t="n">
        <v>21</v>
      </c>
      <c r="AF1987" t="n">
        <v>11</v>
      </c>
      <c r="AG1987" t="n">
        <v>11</v>
      </c>
      <c r="AH1987" t="n">
        <v>3</v>
      </c>
      <c r="AI1987" t="n">
        <v>3</v>
      </c>
      <c r="AJ1987" t="n">
        <v>8</v>
      </c>
      <c r="AK1987" t="n">
        <v>8</v>
      </c>
      <c r="AL1987" t="n">
        <v>3</v>
      </c>
      <c r="AM1987" t="n">
        <v>3</v>
      </c>
      <c r="AN1987" t="n">
        <v>1</v>
      </c>
      <c r="AO1987" t="n">
        <v>1</v>
      </c>
      <c r="AP1987" t="inlineStr">
        <is>
          <t>No</t>
        </is>
      </c>
      <c r="AQ1987" t="inlineStr">
        <is>
          <t>No</t>
        </is>
      </c>
      <c r="AS1987">
        <f>HYPERLINK("https://creighton-primo.hosted.exlibrisgroup.com/primo-explore/search?tab=default_tab&amp;search_scope=EVERYTHING&amp;vid=01CRU&amp;lang=en_US&amp;offset=0&amp;query=any,contains,991000290649702656","Catalog Record")</f>
        <v/>
      </c>
      <c r="AT1987">
        <f>HYPERLINK("http://www.worldcat.org/oclc/9967880","WorldCat Record")</f>
        <v/>
      </c>
      <c r="AU1987" t="inlineStr">
        <is>
          <t>350990311:eng</t>
        </is>
      </c>
      <c r="AV1987" t="inlineStr">
        <is>
          <t>9967880</t>
        </is>
      </c>
      <c r="AW1987" t="inlineStr">
        <is>
          <t>991000290649702656</t>
        </is>
      </c>
      <c r="AX1987" t="inlineStr">
        <is>
          <t>991000290649702656</t>
        </is>
      </c>
      <c r="AY1987" t="inlineStr">
        <is>
          <t>2265027400002656</t>
        </is>
      </c>
      <c r="AZ1987" t="inlineStr">
        <is>
          <t>BOOK</t>
        </is>
      </c>
      <c r="BB1987" t="inlineStr">
        <is>
          <t>9780896081826</t>
        </is>
      </c>
      <c r="BC1987" t="inlineStr">
        <is>
          <t>32285000670413</t>
        </is>
      </c>
      <c r="BD1987" t="inlineStr">
        <is>
          <t>893261422</t>
        </is>
      </c>
    </row>
    <row r="1988">
      <c r="A1988" t="inlineStr">
        <is>
          <t>No</t>
        </is>
      </c>
      <c r="B1988" t="inlineStr">
        <is>
          <t>E840 .S35 1960</t>
        </is>
      </c>
      <c r="C1988" t="inlineStr">
        <is>
          <t>0                      E  0840000S  35          1960</t>
        </is>
      </c>
      <c r="D1988" t="inlineStr">
        <is>
          <t>Kennedy or Nixon : does it make any difference? / by Arthur Schlesinger, Jr.</t>
        </is>
      </c>
      <c r="F1988" t="inlineStr">
        <is>
          <t>No</t>
        </is>
      </c>
      <c r="G1988" t="inlineStr">
        <is>
          <t>1</t>
        </is>
      </c>
      <c r="H1988" t="inlineStr">
        <is>
          <t>No</t>
        </is>
      </c>
      <c r="I1988" t="inlineStr">
        <is>
          <t>No</t>
        </is>
      </c>
      <c r="J1988" t="inlineStr">
        <is>
          <t>0</t>
        </is>
      </c>
      <c r="K1988" t="inlineStr">
        <is>
          <t>Schlesinger, Arthur M., Jr. (Arthur Meier), 1917-2007.</t>
        </is>
      </c>
      <c r="L1988" t="inlineStr">
        <is>
          <t>New York : Macmillan, 1960.</t>
        </is>
      </c>
      <c r="M1988" t="inlineStr">
        <is>
          <t>1960</t>
        </is>
      </c>
      <c r="O1988" t="inlineStr">
        <is>
          <t>eng</t>
        </is>
      </c>
      <c r="P1988" t="inlineStr">
        <is>
          <t>___</t>
        </is>
      </c>
      <c r="R1988" t="inlineStr">
        <is>
          <t xml:space="preserve">E  </t>
        </is>
      </c>
      <c r="S1988" t="n">
        <v>3</v>
      </c>
      <c r="T1988" t="n">
        <v>3</v>
      </c>
      <c r="U1988" t="inlineStr">
        <is>
          <t>1996-04-22</t>
        </is>
      </c>
      <c r="V1988" t="inlineStr">
        <is>
          <t>1996-04-22</t>
        </is>
      </c>
      <c r="W1988" t="inlineStr">
        <is>
          <t>1992-06-09</t>
        </is>
      </c>
      <c r="X1988" t="inlineStr">
        <is>
          <t>1992-06-09</t>
        </is>
      </c>
      <c r="Y1988" t="n">
        <v>494</v>
      </c>
      <c r="Z1988" t="n">
        <v>439</v>
      </c>
      <c r="AA1988" t="n">
        <v>447</v>
      </c>
      <c r="AB1988" t="n">
        <v>2</v>
      </c>
      <c r="AC1988" t="n">
        <v>2</v>
      </c>
      <c r="AD1988" t="n">
        <v>19</v>
      </c>
      <c r="AE1988" t="n">
        <v>19</v>
      </c>
      <c r="AF1988" t="n">
        <v>9</v>
      </c>
      <c r="AG1988" t="n">
        <v>9</v>
      </c>
      <c r="AH1988" t="n">
        <v>4</v>
      </c>
      <c r="AI1988" t="n">
        <v>4</v>
      </c>
      <c r="AJ1988" t="n">
        <v>10</v>
      </c>
      <c r="AK1988" t="n">
        <v>10</v>
      </c>
      <c r="AL1988" t="n">
        <v>1</v>
      </c>
      <c r="AM1988" t="n">
        <v>1</v>
      </c>
      <c r="AN1988" t="n">
        <v>0</v>
      </c>
      <c r="AO1988" t="n">
        <v>0</v>
      </c>
      <c r="AP1988" t="inlineStr">
        <is>
          <t>No</t>
        </is>
      </c>
      <c r="AQ1988" t="inlineStr">
        <is>
          <t>Yes</t>
        </is>
      </c>
      <c r="AR1988">
        <f>HYPERLINK("http://catalog.hathitrust.org/Record/000575138","HathiTrust Record")</f>
        <v/>
      </c>
      <c r="AS1988">
        <f>HYPERLINK("https://creighton-primo.hosted.exlibrisgroup.com/primo-explore/search?tab=default_tab&amp;search_scope=EVERYTHING&amp;vid=01CRU&amp;lang=en_US&amp;offset=0&amp;query=any,contains,991002336399702656","Catalog Record")</f>
        <v/>
      </c>
      <c r="AT1988">
        <f>HYPERLINK("http://www.worldcat.org/oclc/323170","WorldCat Record")</f>
        <v/>
      </c>
      <c r="AU1988" t="inlineStr">
        <is>
          <t>285705851:eng</t>
        </is>
      </c>
      <c r="AV1988" t="inlineStr">
        <is>
          <t>323170</t>
        </is>
      </c>
      <c r="AW1988" t="inlineStr">
        <is>
          <t>991002336399702656</t>
        </is>
      </c>
      <c r="AX1988" t="inlineStr">
        <is>
          <t>991002336399702656</t>
        </is>
      </c>
      <c r="AY1988" t="inlineStr">
        <is>
          <t>2256775820002656</t>
        </is>
      </c>
      <c r="AZ1988" t="inlineStr">
        <is>
          <t>BOOK</t>
        </is>
      </c>
      <c r="BC1988" t="inlineStr">
        <is>
          <t>32285001075166</t>
        </is>
      </c>
      <c r="BD1988" t="inlineStr">
        <is>
          <t>893886128</t>
        </is>
      </c>
    </row>
    <row r="1989">
      <c r="A1989" t="inlineStr">
        <is>
          <t>No</t>
        </is>
      </c>
      <c r="B1989" t="inlineStr">
        <is>
          <t>E840 .S43 1993</t>
        </is>
      </c>
      <c r="C1989" t="inlineStr">
        <is>
          <t>0                      E  0840000S  43          1993</t>
        </is>
      </c>
      <c r="D1989" t="inlineStr">
        <is>
          <t>Imperial alibis : rationalizing U.S. intervention after the cold war / Stephen Rosskamm Shalom.</t>
        </is>
      </c>
      <c r="F1989" t="inlineStr">
        <is>
          <t>No</t>
        </is>
      </c>
      <c r="G1989" t="inlineStr">
        <is>
          <t>1</t>
        </is>
      </c>
      <c r="H1989" t="inlineStr">
        <is>
          <t>No</t>
        </is>
      </c>
      <c r="I1989" t="inlineStr">
        <is>
          <t>No</t>
        </is>
      </c>
      <c r="J1989" t="inlineStr">
        <is>
          <t>0</t>
        </is>
      </c>
      <c r="K1989" t="inlineStr">
        <is>
          <t>Shalom, Stephen Rosskamm, 1948-</t>
        </is>
      </c>
      <c r="L1989" t="inlineStr">
        <is>
          <t>Boston : South End Press, c1993.</t>
        </is>
      </c>
      <c r="M1989" t="inlineStr">
        <is>
          <t>1993</t>
        </is>
      </c>
      <c r="O1989" t="inlineStr">
        <is>
          <t>eng</t>
        </is>
      </c>
      <c r="P1989" t="inlineStr">
        <is>
          <t>mau</t>
        </is>
      </c>
      <c r="R1989" t="inlineStr">
        <is>
          <t xml:space="preserve">E  </t>
        </is>
      </c>
      <c r="S1989" t="n">
        <v>5</v>
      </c>
      <c r="T1989" t="n">
        <v>5</v>
      </c>
      <c r="U1989" t="inlineStr">
        <is>
          <t>2003-02-23</t>
        </is>
      </c>
      <c r="V1989" t="inlineStr">
        <is>
          <t>2003-02-23</t>
        </is>
      </c>
      <c r="W1989" t="inlineStr">
        <is>
          <t>1993-11-29</t>
        </is>
      </c>
      <c r="X1989" t="inlineStr">
        <is>
          <t>1993-11-29</t>
        </is>
      </c>
      <c r="Y1989" t="n">
        <v>408</v>
      </c>
      <c r="Z1989" t="n">
        <v>349</v>
      </c>
      <c r="AA1989" t="n">
        <v>353</v>
      </c>
      <c r="AB1989" t="n">
        <v>5</v>
      </c>
      <c r="AC1989" t="n">
        <v>5</v>
      </c>
      <c r="AD1989" t="n">
        <v>20</v>
      </c>
      <c r="AE1989" t="n">
        <v>20</v>
      </c>
      <c r="AF1989" t="n">
        <v>5</v>
      </c>
      <c r="AG1989" t="n">
        <v>5</v>
      </c>
      <c r="AH1989" t="n">
        <v>5</v>
      </c>
      <c r="AI1989" t="n">
        <v>5</v>
      </c>
      <c r="AJ1989" t="n">
        <v>9</v>
      </c>
      <c r="AK1989" t="n">
        <v>9</v>
      </c>
      <c r="AL1989" t="n">
        <v>4</v>
      </c>
      <c r="AM1989" t="n">
        <v>4</v>
      </c>
      <c r="AN1989" t="n">
        <v>2</v>
      </c>
      <c r="AO1989" t="n">
        <v>2</v>
      </c>
      <c r="AP1989" t="inlineStr">
        <is>
          <t>No</t>
        </is>
      </c>
      <c r="AQ1989" t="inlineStr">
        <is>
          <t>No</t>
        </is>
      </c>
      <c r="AS1989">
        <f>HYPERLINK("https://creighton-primo.hosted.exlibrisgroup.com/primo-explore/search?tab=default_tab&amp;search_scope=EVERYTHING&amp;vid=01CRU&amp;lang=en_US&amp;offset=0&amp;query=any,contains,991002068469702656","Catalog Record")</f>
        <v/>
      </c>
      <c r="AT1989">
        <f>HYPERLINK("http://www.worldcat.org/oclc/26502812","WorldCat Record")</f>
        <v/>
      </c>
      <c r="AU1989" t="inlineStr">
        <is>
          <t>908332984:eng</t>
        </is>
      </c>
      <c r="AV1989" t="inlineStr">
        <is>
          <t>26502812</t>
        </is>
      </c>
      <c r="AW1989" t="inlineStr">
        <is>
          <t>991002068469702656</t>
        </is>
      </c>
      <c r="AX1989" t="inlineStr">
        <is>
          <t>991002068469702656</t>
        </is>
      </c>
      <c r="AY1989" t="inlineStr">
        <is>
          <t>2257003790002656</t>
        </is>
      </c>
      <c r="AZ1989" t="inlineStr">
        <is>
          <t>BOOK</t>
        </is>
      </c>
      <c r="BB1989" t="inlineStr">
        <is>
          <t>9780896084483</t>
        </is>
      </c>
      <c r="BC1989" t="inlineStr">
        <is>
          <t>32285001813343</t>
        </is>
      </c>
      <c r="BD1989" t="inlineStr">
        <is>
          <t>893697299</t>
        </is>
      </c>
    </row>
    <row r="1990">
      <c r="A1990" t="inlineStr">
        <is>
          <t>No</t>
        </is>
      </c>
      <c r="B1990" t="inlineStr">
        <is>
          <t>E840 .S48 1993</t>
        </is>
      </c>
      <c r="C1990" t="inlineStr">
        <is>
          <t>0                      E  0840000S  48          1993</t>
        </is>
      </c>
      <c r="D1990" t="inlineStr">
        <is>
          <t>Security without war : a post-Cold War foreign policy / Michael H. Shuman and Hal Harvey ; with a foreword by Paul Simon.</t>
        </is>
      </c>
      <c r="F1990" t="inlineStr">
        <is>
          <t>No</t>
        </is>
      </c>
      <c r="G1990" t="inlineStr">
        <is>
          <t>1</t>
        </is>
      </c>
      <c r="H1990" t="inlineStr">
        <is>
          <t>No</t>
        </is>
      </c>
      <c r="I1990" t="inlineStr">
        <is>
          <t>No</t>
        </is>
      </c>
      <c r="J1990" t="inlineStr">
        <is>
          <t>0</t>
        </is>
      </c>
      <c r="K1990" t="inlineStr">
        <is>
          <t>Shuman, Michael.</t>
        </is>
      </c>
      <c r="L1990" t="inlineStr">
        <is>
          <t>Boulder : Westview Press, 1993.</t>
        </is>
      </c>
      <c r="M1990" t="inlineStr">
        <is>
          <t>1993</t>
        </is>
      </c>
      <c r="O1990" t="inlineStr">
        <is>
          <t>eng</t>
        </is>
      </c>
      <c r="P1990" t="inlineStr">
        <is>
          <t>cou</t>
        </is>
      </c>
      <c r="R1990" t="inlineStr">
        <is>
          <t xml:space="preserve">E  </t>
        </is>
      </c>
      <c r="S1990" t="n">
        <v>1</v>
      </c>
      <c r="T1990" t="n">
        <v>1</v>
      </c>
      <c r="U1990" t="inlineStr">
        <is>
          <t>2000-10-08</t>
        </is>
      </c>
      <c r="V1990" t="inlineStr">
        <is>
          <t>2000-10-08</t>
        </is>
      </c>
      <c r="W1990" t="inlineStr">
        <is>
          <t>1995-05-10</t>
        </is>
      </c>
      <c r="X1990" t="inlineStr">
        <is>
          <t>1995-05-10</t>
        </is>
      </c>
      <c r="Y1990" t="n">
        <v>417</v>
      </c>
      <c r="Z1990" t="n">
        <v>339</v>
      </c>
      <c r="AA1990" t="n">
        <v>363</v>
      </c>
      <c r="AB1990" t="n">
        <v>3</v>
      </c>
      <c r="AC1990" t="n">
        <v>3</v>
      </c>
      <c r="AD1990" t="n">
        <v>22</v>
      </c>
      <c r="AE1990" t="n">
        <v>22</v>
      </c>
      <c r="AF1990" t="n">
        <v>7</v>
      </c>
      <c r="AG1990" t="n">
        <v>7</v>
      </c>
      <c r="AH1990" t="n">
        <v>7</v>
      </c>
      <c r="AI1990" t="n">
        <v>7</v>
      </c>
      <c r="AJ1990" t="n">
        <v>12</v>
      </c>
      <c r="AK1990" t="n">
        <v>12</v>
      </c>
      <c r="AL1990" t="n">
        <v>2</v>
      </c>
      <c r="AM1990" t="n">
        <v>2</v>
      </c>
      <c r="AN1990" t="n">
        <v>0</v>
      </c>
      <c r="AO1990" t="n">
        <v>0</v>
      </c>
      <c r="AP1990" t="inlineStr">
        <is>
          <t>No</t>
        </is>
      </c>
      <c r="AQ1990" t="inlineStr">
        <is>
          <t>Yes</t>
        </is>
      </c>
      <c r="AR1990">
        <f>HYPERLINK("http://catalog.hathitrust.org/Record/002738529","HathiTrust Record")</f>
        <v/>
      </c>
      <c r="AS1990">
        <f>HYPERLINK("https://creighton-primo.hosted.exlibrisgroup.com/primo-explore/search?tab=default_tab&amp;search_scope=EVERYTHING&amp;vid=01CRU&amp;lang=en_US&amp;offset=0&amp;query=any,contains,991002226339702656","Catalog Record")</f>
        <v/>
      </c>
      <c r="AT1990">
        <f>HYPERLINK("http://www.worldcat.org/oclc/28675826","WorldCat Record")</f>
        <v/>
      </c>
      <c r="AU1990" t="inlineStr">
        <is>
          <t>141706906:eng</t>
        </is>
      </c>
      <c r="AV1990" t="inlineStr">
        <is>
          <t>28675826</t>
        </is>
      </c>
      <c r="AW1990" t="inlineStr">
        <is>
          <t>991002226339702656</t>
        </is>
      </c>
      <c r="AX1990" t="inlineStr">
        <is>
          <t>991002226339702656</t>
        </is>
      </c>
      <c r="AY1990" t="inlineStr">
        <is>
          <t>2272733640002656</t>
        </is>
      </c>
      <c r="AZ1990" t="inlineStr">
        <is>
          <t>BOOK</t>
        </is>
      </c>
      <c r="BB1990" t="inlineStr">
        <is>
          <t>9780813318837</t>
        </is>
      </c>
      <c r="BC1990" t="inlineStr">
        <is>
          <t>32285002038585</t>
        </is>
      </c>
      <c r="BD1990" t="inlineStr">
        <is>
          <t>893609602</t>
        </is>
      </c>
    </row>
    <row r="1991">
      <c r="A1991" t="inlineStr">
        <is>
          <t>No</t>
        </is>
      </c>
      <c r="B1991" t="inlineStr">
        <is>
          <t>E840 .S725 1995</t>
        </is>
      </c>
      <c r="C1991" t="inlineStr">
        <is>
          <t>0                      E  0840000S  725         1995</t>
        </is>
      </c>
      <c r="D1991" t="inlineStr">
        <is>
          <t>Temptations of a superpower / Ronald Steel.</t>
        </is>
      </c>
      <c r="F1991" t="inlineStr">
        <is>
          <t>No</t>
        </is>
      </c>
      <c r="G1991" t="inlineStr">
        <is>
          <t>1</t>
        </is>
      </c>
      <c r="H1991" t="inlineStr">
        <is>
          <t>No</t>
        </is>
      </c>
      <c r="I1991" t="inlineStr">
        <is>
          <t>No</t>
        </is>
      </c>
      <c r="J1991" t="inlineStr">
        <is>
          <t>0</t>
        </is>
      </c>
      <c r="K1991" t="inlineStr">
        <is>
          <t>Steel, Ronald.</t>
        </is>
      </c>
      <c r="L1991" t="inlineStr">
        <is>
          <t>Cambridge, Mass. : Harvard University Press, 1995.</t>
        </is>
      </c>
      <c r="M1991" t="inlineStr">
        <is>
          <t>1995</t>
        </is>
      </c>
      <c r="O1991" t="inlineStr">
        <is>
          <t>eng</t>
        </is>
      </c>
      <c r="P1991" t="inlineStr">
        <is>
          <t>mau</t>
        </is>
      </c>
      <c r="Q1991" t="inlineStr">
        <is>
          <t>The Joanna Jackson Goldman memorial lecture on American civilization and government</t>
        </is>
      </c>
      <c r="R1991" t="inlineStr">
        <is>
          <t xml:space="preserve">E  </t>
        </is>
      </c>
      <c r="S1991" t="n">
        <v>4</v>
      </c>
      <c r="T1991" t="n">
        <v>4</v>
      </c>
      <c r="U1991" t="inlineStr">
        <is>
          <t>2000-03-02</t>
        </is>
      </c>
      <c r="V1991" t="inlineStr">
        <is>
          <t>2000-03-02</t>
        </is>
      </c>
      <c r="W1991" t="inlineStr">
        <is>
          <t>1995-05-23</t>
        </is>
      </c>
      <c r="X1991" t="inlineStr">
        <is>
          <t>1995-05-23</t>
        </is>
      </c>
      <c r="Y1991" t="n">
        <v>581</v>
      </c>
      <c r="Z1991" t="n">
        <v>484</v>
      </c>
      <c r="AA1991" t="n">
        <v>500</v>
      </c>
      <c r="AB1991" t="n">
        <v>2</v>
      </c>
      <c r="AC1991" t="n">
        <v>2</v>
      </c>
      <c r="AD1991" t="n">
        <v>20</v>
      </c>
      <c r="AE1991" t="n">
        <v>22</v>
      </c>
      <c r="AF1991" t="n">
        <v>6</v>
      </c>
      <c r="AG1991" t="n">
        <v>6</v>
      </c>
      <c r="AH1991" t="n">
        <v>6</v>
      </c>
      <c r="AI1991" t="n">
        <v>8</v>
      </c>
      <c r="AJ1991" t="n">
        <v>11</v>
      </c>
      <c r="AK1991" t="n">
        <v>12</v>
      </c>
      <c r="AL1991" t="n">
        <v>1</v>
      </c>
      <c r="AM1991" t="n">
        <v>1</v>
      </c>
      <c r="AN1991" t="n">
        <v>1</v>
      </c>
      <c r="AO1991" t="n">
        <v>1</v>
      </c>
      <c r="AP1991" t="inlineStr">
        <is>
          <t>No</t>
        </is>
      </c>
      <c r="AQ1991" t="inlineStr">
        <is>
          <t>Yes</t>
        </is>
      </c>
      <c r="AR1991">
        <f>HYPERLINK("http://catalog.hathitrust.org/Record/002963458","HathiTrust Record")</f>
        <v/>
      </c>
      <c r="AS1991">
        <f>HYPERLINK("https://creighton-primo.hosted.exlibrisgroup.com/primo-explore/search?tab=default_tab&amp;search_scope=EVERYTHING&amp;vid=01CRU&amp;lang=en_US&amp;offset=0&amp;query=any,contains,991002415219702656","Catalog Record")</f>
        <v/>
      </c>
      <c r="AT1991">
        <f>HYPERLINK("http://www.worldcat.org/oclc/31434574","WorldCat Record")</f>
        <v/>
      </c>
      <c r="AU1991" t="inlineStr">
        <is>
          <t>16563659:eng</t>
        </is>
      </c>
      <c r="AV1991" t="inlineStr">
        <is>
          <t>31434574</t>
        </is>
      </c>
      <c r="AW1991" t="inlineStr">
        <is>
          <t>991002415219702656</t>
        </is>
      </c>
      <c r="AX1991" t="inlineStr">
        <is>
          <t>991002415219702656</t>
        </is>
      </c>
      <c r="AY1991" t="inlineStr">
        <is>
          <t>2260900010002656</t>
        </is>
      </c>
      <c r="AZ1991" t="inlineStr">
        <is>
          <t>BOOK</t>
        </is>
      </c>
      <c r="BB1991" t="inlineStr">
        <is>
          <t>9780674873407</t>
        </is>
      </c>
      <c r="BC1991" t="inlineStr">
        <is>
          <t>32285002046646</t>
        </is>
      </c>
      <c r="BD1991" t="inlineStr">
        <is>
          <t>893239000</t>
        </is>
      </c>
    </row>
    <row r="1992">
      <c r="A1992" t="inlineStr">
        <is>
          <t>No</t>
        </is>
      </c>
      <c r="B1992" t="inlineStr">
        <is>
          <t>E840 .S78 1995</t>
        </is>
      </c>
      <c r="C1992" t="inlineStr">
        <is>
          <t>0                      E  0840000S  78          1995</t>
        </is>
      </c>
      <c r="D1992" t="inlineStr">
        <is>
          <t>Democracy and American foreign policy : reflections on the legacy of Alexis de Tocqueville / Robert Strausz-Hupé.</t>
        </is>
      </c>
      <c r="F1992" t="inlineStr">
        <is>
          <t>No</t>
        </is>
      </c>
      <c r="G1992" t="inlineStr">
        <is>
          <t>1</t>
        </is>
      </c>
      <c r="H1992" t="inlineStr">
        <is>
          <t>No</t>
        </is>
      </c>
      <c r="I1992" t="inlineStr">
        <is>
          <t>No</t>
        </is>
      </c>
      <c r="J1992" t="inlineStr">
        <is>
          <t>0</t>
        </is>
      </c>
      <c r="K1992" t="inlineStr">
        <is>
          <t>Strausz-Hupé, Robert, 1903-2002.</t>
        </is>
      </c>
      <c r="L1992" t="inlineStr">
        <is>
          <t>New Brunswick, N.J., USA : Transaction Publishers, c1995.</t>
        </is>
      </c>
      <c r="M1992" t="inlineStr">
        <is>
          <t>1995</t>
        </is>
      </c>
      <c r="O1992" t="inlineStr">
        <is>
          <t>eng</t>
        </is>
      </c>
      <c r="P1992" t="inlineStr">
        <is>
          <t>nju</t>
        </is>
      </c>
      <c r="R1992" t="inlineStr">
        <is>
          <t xml:space="preserve">E  </t>
        </is>
      </c>
      <c r="S1992" t="n">
        <v>2</v>
      </c>
      <c r="T1992" t="n">
        <v>2</v>
      </c>
      <c r="U1992" t="inlineStr">
        <is>
          <t>2003-04-30</t>
        </is>
      </c>
      <c r="V1992" t="inlineStr">
        <is>
          <t>2003-04-30</t>
        </is>
      </c>
      <c r="W1992" t="inlineStr">
        <is>
          <t>1996-02-14</t>
        </is>
      </c>
      <c r="X1992" t="inlineStr">
        <is>
          <t>1996-02-14</t>
        </is>
      </c>
      <c r="Y1992" t="n">
        <v>354</v>
      </c>
      <c r="Z1992" t="n">
        <v>307</v>
      </c>
      <c r="AA1992" t="n">
        <v>329</v>
      </c>
      <c r="AB1992" t="n">
        <v>3</v>
      </c>
      <c r="AC1992" t="n">
        <v>3</v>
      </c>
      <c r="AD1992" t="n">
        <v>14</v>
      </c>
      <c r="AE1992" t="n">
        <v>14</v>
      </c>
      <c r="AF1992" t="n">
        <v>4</v>
      </c>
      <c r="AG1992" t="n">
        <v>4</v>
      </c>
      <c r="AH1992" t="n">
        <v>4</v>
      </c>
      <c r="AI1992" t="n">
        <v>4</v>
      </c>
      <c r="AJ1992" t="n">
        <v>7</v>
      </c>
      <c r="AK1992" t="n">
        <v>7</v>
      </c>
      <c r="AL1992" t="n">
        <v>2</v>
      </c>
      <c r="AM1992" t="n">
        <v>2</v>
      </c>
      <c r="AN1992" t="n">
        <v>0</v>
      </c>
      <c r="AO1992" t="n">
        <v>0</v>
      </c>
      <c r="AP1992" t="inlineStr">
        <is>
          <t>No</t>
        </is>
      </c>
      <c r="AQ1992" t="inlineStr">
        <is>
          <t>No</t>
        </is>
      </c>
      <c r="AS1992">
        <f>HYPERLINK("https://creighton-primo.hosted.exlibrisgroup.com/primo-explore/search?tab=default_tab&amp;search_scope=EVERYTHING&amp;vid=01CRU&amp;lang=en_US&amp;offset=0&amp;query=any,contains,991002312489702656","Catalog Record")</f>
        <v/>
      </c>
      <c r="AT1992">
        <f>HYPERLINK("http://www.worldcat.org/oclc/30028217","WorldCat Record")</f>
        <v/>
      </c>
      <c r="AU1992" t="inlineStr">
        <is>
          <t>141716079:eng</t>
        </is>
      </c>
      <c r="AV1992" t="inlineStr">
        <is>
          <t>30028217</t>
        </is>
      </c>
      <c r="AW1992" t="inlineStr">
        <is>
          <t>991002312489702656</t>
        </is>
      </c>
      <c r="AX1992" t="inlineStr">
        <is>
          <t>991002312489702656</t>
        </is>
      </c>
      <c r="AY1992" t="inlineStr">
        <is>
          <t>2261332200002656</t>
        </is>
      </c>
      <c r="AZ1992" t="inlineStr">
        <is>
          <t>BOOK</t>
        </is>
      </c>
      <c r="BB1992" t="inlineStr">
        <is>
          <t>9781560001751</t>
        </is>
      </c>
      <c r="BC1992" t="inlineStr">
        <is>
          <t>32285002135225</t>
        </is>
      </c>
      <c r="BD1992" t="inlineStr">
        <is>
          <t>893898615</t>
        </is>
      </c>
    </row>
    <row r="1993">
      <c r="A1993" t="inlineStr">
        <is>
          <t>No</t>
        </is>
      </c>
      <c r="B1993" t="inlineStr">
        <is>
          <t>E840 .T74</t>
        </is>
      </c>
      <c r="C1993" t="inlineStr">
        <is>
          <t>0                      E  0840000T  74</t>
        </is>
      </c>
      <c r="D1993" t="inlineStr">
        <is>
          <t>Three crises in American foreign affairs and a continuing revolution.</t>
        </is>
      </c>
      <c r="F1993" t="inlineStr">
        <is>
          <t>No</t>
        </is>
      </c>
      <c r="G1993" t="inlineStr">
        <is>
          <t>1</t>
        </is>
      </c>
      <c r="H1993" t="inlineStr">
        <is>
          <t>No</t>
        </is>
      </c>
      <c r="I1993" t="inlineStr">
        <is>
          <t>No</t>
        </is>
      </c>
      <c r="J1993" t="inlineStr">
        <is>
          <t>0</t>
        </is>
      </c>
      <c r="K1993" t="inlineStr">
        <is>
          <t>Trivers, Howard.</t>
        </is>
      </c>
      <c r="L1993" t="inlineStr">
        <is>
          <t>Carbondale : Southern Illinois University Press, [1972]</t>
        </is>
      </c>
      <c r="M1993" t="inlineStr">
        <is>
          <t>1972</t>
        </is>
      </c>
      <c r="O1993" t="inlineStr">
        <is>
          <t>eng</t>
        </is>
      </c>
      <c r="P1993" t="inlineStr">
        <is>
          <t>ilu</t>
        </is>
      </c>
      <c r="R1993" t="inlineStr">
        <is>
          <t xml:space="preserve">E  </t>
        </is>
      </c>
      <c r="S1993" t="n">
        <v>3</v>
      </c>
      <c r="T1993" t="n">
        <v>3</v>
      </c>
      <c r="U1993" t="inlineStr">
        <is>
          <t>1998-10-12</t>
        </is>
      </c>
      <c r="V1993" t="inlineStr">
        <is>
          <t>1998-10-12</t>
        </is>
      </c>
      <c r="W1993" t="inlineStr">
        <is>
          <t>1991-01-15</t>
        </is>
      </c>
      <c r="X1993" t="inlineStr">
        <is>
          <t>1991-01-15</t>
        </is>
      </c>
      <c r="Y1993" t="n">
        <v>477</v>
      </c>
      <c r="Z1993" t="n">
        <v>422</v>
      </c>
      <c r="AA1993" t="n">
        <v>423</v>
      </c>
      <c r="AB1993" t="n">
        <v>4</v>
      </c>
      <c r="AC1993" t="n">
        <v>4</v>
      </c>
      <c r="AD1993" t="n">
        <v>16</v>
      </c>
      <c r="AE1993" t="n">
        <v>16</v>
      </c>
      <c r="AF1993" t="n">
        <v>7</v>
      </c>
      <c r="AG1993" t="n">
        <v>7</v>
      </c>
      <c r="AH1993" t="n">
        <v>3</v>
      </c>
      <c r="AI1993" t="n">
        <v>3</v>
      </c>
      <c r="AJ1993" t="n">
        <v>9</v>
      </c>
      <c r="AK1993" t="n">
        <v>9</v>
      </c>
      <c r="AL1993" t="n">
        <v>3</v>
      </c>
      <c r="AM1993" t="n">
        <v>3</v>
      </c>
      <c r="AN1993" t="n">
        <v>0</v>
      </c>
      <c r="AO1993" t="n">
        <v>0</v>
      </c>
      <c r="AP1993" t="inlineStr">
        <is>
          <t>No</t>
        </is>
      </c>
      <c r="AQ1993" t="inlineStr">
        <is>
          <t>Yes</t>
        </is>
      </c>
      <c r="AR1993">
        <f>HYPERLINK("http://catalog.hathitrust.org/Record/000575140","HathiTrust Record")</f>
        <v/>
      </c>
      <c r="AS1993">
        <f>HYPERLINK("https://creighton-primo.hosted.exlibrisgroup.com/primo-explore/search?tab=default_tab&amp;search_scope=EVERYTHING&amp;vid=01CRU&amp;lang=en_US&amp;offset=0&amp;query=any,contains,991002898479702656","Catalog Record")</f>
        <v/>
      </c>
      <c r="AT1993">
        <f>HYPERLINK("http://www.worldcat.org/oclc/515836","WorldCat Record")</f>
        <v/>
      </c>
      <c r="AU1993" t="inlineStr">
        <is>
          <t>1495469:eng</t>
        </is>
      </c>
      <c r="AV1993" t="inlineStr">
        <is>
          <t>515836</t>
        </is>
      </c>
      <c r="AW1993" t="inlineStr">
        <is>
          <t>991002898479702656</t>
        </is>
      </c>
      <c r="AX1993" t="inlineStr">
        <is>
          <t>991002898479702656</t>
        </is>
      </c>
      <c r="AY1993" t="inlineStr">
        <is>
          <t>2263986570002656</t>
        </is>
      </c>
      <c r="AZ1993" t="inlineStr">
        <is>
          <t>BOOK</t>
        </is>
      </c>
      <c r="BB1993" t="inlineStr">
        <is>
          <t>9780809305742</t>
        </is>
      </c>
      <c r="BC1993" t="inlineStr">
        <is>
          <t>32285000428689</t>
        </is>
      </c>
      <c r="BD1993" t="inlineStr">
        <is>
          <t>893880552</t>
        </is>
      </c>
    </row>
    <row r="1994">
      <c r="A1994" t="inlineStr">
        <is>
          <t>No</t>
        </is>
      </c>
      <c r="B1994" t="inlineStr">
        <is>
          <t>E840 .T83 1971</t>
        </is>
      </c>
      <c r="C1994" t="inlineStr">
        <is>
          <t>0                      E  0840000T  83          1971</t>
        </is>
      </c>
      <c r="D1994" t="inlineStr">
        <is>
          <t>The radical left and American foreign policy [by] Robert W. Tucker.</t>
        </is>
      </c>
      <c r="F1994" t="inlineStr">
        <is>
          <t>No</t>
        </is>
      </c>
      <c r="G1994" t="inlineStr">
        <is>
          <t>1</t>
        </is>
      </c>
      <c r="H1994" t="inlineStr">
        <is>
          <t>No</t>
        </is>
      </c>
      <c r="I1994" t="inlineStr">
        <is>
          <t>No</t>
        </is>
      </c>
      <c r="J1994" t="inlineStr">
        <is>
          <t>0</t>
        </is>
      </c>
      <c r="K1994" t="inlineStr">
        <is>
          <t>Tucker, Robert W.</t>
        </is>
      </c>
      <c r="L1994" t="inlineStr">
        <is>
          <t>Baltimore, Johns Hopkins Press [1971]</t>
        </is>
      </c>
      <c r="M1994" t="inlineStr">
        <is>
          <t>1971</t>
        </is>
      </c>
      <c r="O1994" t="inlineStr">
        <is>
          <t>eng</t>
        </is>
      </c>
      <c r="P1994" t="inlineStr">
        <is>
          <t>mdu</t>
        </is>
      </c>
      <c r="Q1994" t="inlineStr">
        <is>
          <t>Washington Center of Foreign Policy Research. Studies in international affairs, no. 15</t>
        </is>
      </c>
      <c r="R1994" t="inlineStr">
        <is>
          <t xml:space="preserve">E  </t>
        </is>
      </c>
      <c r="S1994" t="n">
        <v>2</v>
      </c>
      <c r="T1994" t="n">
        <v>2</v>
      </c>
      <c r="U1994" t="inlineStr">
        <is>
          <t>2003-04-30</t>
        </is>
      </c>
      <c r="V1994" t="inlineStr">
        <is>
          <t>2003-04-30</t>
        </is>
      </c>
      <c r="W1994" t="inlineStr">
        <is>
          <t>1997-04-29</t>
        </is>
      </c>
      <c r="X1994" t="inlineStr">
        <is>
          <t>1997-04-29</t>
        </is>
      </c>
      <c r="Y1994" t="n">
        <v>803</v>
      </c>
      <c r="Z1994" t="n">
        <v>673</v>
      </c>
      <c r="AA1994" t="n">
        <v>684</v>
      </c>
      <c r="AB1994" t="n">
        <v>6</v>
      </c>
      <c r="AC1994" t="n">
        <v>6</v>
      </c>
      <c r="AD1994" t="n">
        <v>36</v>
      </c>
      <c r="AE1994" t="n">
        <v>36</v>
      </c>
      <c r="AF1994" t="n">
        <v>14</v>
      </c>
      <c r="AG1994" t="n">
        <v>14</v>
      </c>
      <c r="AH1994" t="n">
        <v>9</v>
      </c>
      <c r="AI1994" t="n">
        <v>9</v>
      </c>
      <c r="AJ1994" t="n">
        <v>16</v>
      </c>
      <c r="AK1994" t="n">
        <v>16</v>
      </c>
      <c r="AL1994" t="n">
        <v>5</v>
      </c>
      <c r="AM1994" t="n">
        <v>5</v>
      </c>
      <c r="AN1994" t="n">
        <v>1</v>
      </c>
      <c r="AO1994" t="n">
        <v>1</v>
      </c>
      <c r="AP1994" t="inlineStr">
        <is>
          <t>No</t>
        </is>
      </c>
      <c r="AQ1994" t="inlineStr">
        <is>
          <t>Yes</t>
        </is>
      </c>
      <c r="AR1994">
        <f>HYPERLINK("http://catalog.hathitrust.org/Record/000244619","HathiTrust Record")</f>
        <v/>
      </c>
      <c r="AS1994">
        <f>HYPERLINK("https://creighton-primo.hosted.exlibrisgroup.com/primo-explore/search?tab=default_tab&amp;search_scope=EVERYTHING&amp;vid=01CRU&amp;lang=en_US&amp;offset=0&amp;query=any,contains,991001234889702656","Catalog Record")</f>
        <v/>
      </c>
      <c r="AT1994">
        <f>HYPERLINK("http://www.worldcat.org/oclc/205239","WorldCat Record")</f>
        <v/>
      </c>
      <c r="AU1994" t="inlineStr">
        <is>
          <t>1265566:eng</t>
        </is>
      </c>
      <c r="AV1994" t="inlineStr">
        <is>
          <t>205239</t>
        </is>
      </c>
      <c r="AW1994" t="inlineStr">
        <is>
          <t>991001234889702656</t>
        </is>
      </c>
      <c r="AX1994" t="inlineStr">
        <is>
          <t>991001234889702656</t>
        </is>
      </c>
      <c r="AY1994" t="inlineStr">
        <is>
          <t>2255384630002656</t>
        </is>
      </c>
      <c r="AZ1994" t="inlineStr">
        <is>
          <t>BOOK</t>
        </is>
      </c>
      <c r="BB1994" t="inlineStr">
        <is>
          <t>9780801812255</t>
        </is>
      </c>
      <c r="BC1994" t="inlineStr">
        <is>
          <t>32285002567963</t>
        </is>
      </c>
      <c r="BD1994" t="inlineStr">
        <is>
          <t>893590134</t>
        </is>
      </c>
    </row>
    <row r="1995">
      <c r="A1995" t="inlineStr">
        <is>
          <t>No</t>
        </is>
      </c>
      <c r="B1995" t="inlineStr">
        <is>
          <t>E840 .U17 1983</t>
        </is>
      </c>
      <c r="C1995" t="inlineStr">
        <is>
          <t>0                      E  0840000U  17          1983</t>
        </is>
      </c>
      <c r="D1995" t="inlineStr">
        <is>
          <t>U.S. foreign policy / edited by Marlow Reddleman.</t>
        </is>
      </c>
      <c r="F1995" t="inlineStr">
        <is>
          <t>No</t>
        </is>
      </c>
      <c r="G1995" t="inlineStr">
        <is>
          <t>1</t>
        </is>
      </c>
      <c r="H1995" t="inlineStr">
        <is>
          <t>No</t>
        </is>
      </c>
      <c r="I1995" t="inlineStr">
        <is>
          <t>No</t>
        </is>
      </c>
      <c r="J1995" t="inlineStr">
        <is>
          <t>0</t>
        </is>
      </c>
      <c r="L1995" t="inlineStr">
        <is>
          <t>New York : H.W. Wilson, 1983.</t>
        </is>
      </c>
      <c r="M1995" t="inlineStr">
        <is>
          <t>1983</t>
        </is>
      </c>
      <c r="O1995" t="inlineStr">
        <is>
          <t>eng</t>
        </is>
      </c>
      <c r="P1995" t="inlineStr">
        <is>
          <t>nyu</t>
        </is>
      </c>
      <c r="Q1995" t="inlineStr">
        <is>
          <t>Reference shelf ; v. 55, no. 1</t>
        </is>
      </c>
      <c r="R1995" t="inlineStr">
        <is>
          <t xml:space="preserve">E  </t>
        </is>
      </c>
      <c r="S1995" t="n">
        <v>2</v>
      </c>
      <c r="T1995" t="n">
        <v>2</v>
      </c>
      <c r="U1995" t="inlineStr">
        <is>
          <t>2003-04-30</t>
        </is>
      </c>
      <c r="V1995" t="inlineStr">
        <is>
          <t>2003-04-30</t>
        </is>
      </c>
      <c r="W1995" t="inlineStr">
        <is>
          <t>1991-06-19</t>
        </is>
      </c>
      <c r="X1995" t="inlineStr">
        <is>
          <t>1991-06-19</t>
        </is>
      </c>
      <c r="Y1995" t="n">
        <v>1238</v>
      </c>
      <c r="Z1995" t="n">
        <v>1200</v>
      </c>
      <c r="AA1995" t="n">
        <v>1207</v>
      </c>
      <c r="AB1995" t="n">
        <v>9</v>
      </c>
      <c r="AC1995" t="n">
        <v>9</v>
      </c>
      <c r="AD1995" t="n">
        <v>44</v>
      </c>
      <c r="AE1995" t="n">
        <v>44</v>
      </c>
      <c r="AF1995" t="n">
        <v>19</v>
      </c>
      <c r="AG1995" t="n">
        <v>19</v>
      </c>
      <c r="AH1995" t="n">
        <v>7</v>
      </c>
      <c r="AI1995" t="n">
        <v>7</v>
      </c>
      <c r="AJ1995" t="n">
        <v>21</v>
      </c>
      <c r="AK1995" t="n">
        <v>21</v>
      </c>
      <c r="AL1995" t="n">
        <v>6</v>
      </c>
      <c r="AM1995" t="n">
        <v>6</v>
      </c>
      <c r="AN1995" t="n">
        <v>0</v>
      </c>
      <c r="AO1995" t="n">
        <v>0</v>
      </c>
      <c r="AP1995" t="inlineStr">
        <is>
          <t>No</t>
        </is>
      </c>
      <c r="AQ1995" t="inlineStr">
        <is>
          <t>Yes</t>
        </is>
      </c>
      <c r="AR1995">
        <f>HYPERLINK("http://catalog.hathitrust.org/Record/000114151","HathiTrust Record")</f>
        <v/>
      </c>
      <c r="AS1995">
        <f>HYPERLINK("https://creighton-primo.hosted.exlibrisgroup.com/primo-explore/search?tab=default_tab&amp;search_scope=EVERYTHING&amp;vid=01CRU&amp;lang=en_US&amp;offset=0&amp;query=any,contains,991000222449702656","Catalog Record")</f>
        <v/>
      </c>
      <c r="AT1995">
        <f>HYPERLINK("http://www.worldcat.org/oclc/9576945","WorldCat Record")</f>
        <v/>
      </c>
      <c r="AU1995" t="inlineStr">
        <is>
          <t>54579317:eng</t>
        </is>
      </c>
      <c r="AV1995" t="inlineStr">
        <is>
          <t>9576945</t>
        </is>
      </c>
      <c r="AW1995" t="inlineStr">
        <is>
          <t>991000222449702656</t>
        </is>
      </c>
      <c r="AX1995" t="inlineStr">
        <is>
          <t>991000222449702656</t>
        </is>
      </c>
      <c r="AY1995" t="inlineStr">
        <is>
          <t>2269169820002656</t>
        </is>
      </c>
      <c r="AZ1995" t="inlineStr">
        <is>
          <t>BOOK</t>
        </is>
      </c>
      <c r="BB1995" t="inlineStr">
        <is>
          <t>9780824206864</t>
        </is>
      </c>
      <c r="BC1995" t="inlineStr">
        <is>
          <t>32285000670421</t>
        </is>
      </c>
      <c r="BD1995" t="inlineStr">
        <is>
          <t>893230977</t>
        </is>
      </c>
    </row>
    <row r="1996">
      <c r="A1996" t="inlineStr">
        <is>
          <t>No</t>
        </is>
      </c>
      <c r="B1996" t="inlineStr">
        <is>
          <t>E840 .U1715 1997</t>
        </is>
      </c>
      <c r="C1996" t="inlineStr">
        <is>
          <t>0                      E  0840000U  1715        1997</t>
        </is>
      </c>
      <c r="D1996" t="inlineStr">
        <is>
          <t>U.S. foreign policy after the Cold War / edited by Randall B. Ripley and James M. Lindsay.</t>
        </is>
      </c>
      <c r="F1996" t="inlineStr">
        <is>
          <t>No</t>
        </is>
      </c>
      <c r="G1996" t="inlineStr">
        <is>
          <t>1</t>
        </is>
      </c>
      <c r="H1996" t="inlineStr">
        <is>
          <t>No</t>
        </is>
      </c>
      <c r="I1996" t="inlineStr">
        <is>
          <t>No</t>
        </is>
      </c>
      <c r="J1996" t="inlineStr">
        <is>
          <t>0</t>
        </is>
      </c>
      <c r="L1996" t="inlineStr">
        <is>
          <t>Pittsburgh : University of Pittsburgh Press, c1997.</t>
        </is>
      </c>
      <c r="M1996" t="inlineStr">
        <is>
          <t>1997</t>
        </is>
      </c>
      <c r="O1996" t="inlineStr">
        <is>
          <t>eng</t>
        </is>
      </c>
      <c r="P1996" t="inlineStr">
        <is>
          <t>pau</t>
        </is>
      </c>
      <c r="Q1996" t="inlineStr">
        <is>
          <t>Pitt series in policy and institutional studies</t>
        </is>
      </c>
      <c r="R1996" t="inlineStr">
        <is>
          <t xml:space="preserve">E  </t>
        </is>
      </c>
      <c r="S1996" t="n">
        <v>8</v>
      </c>
      <c r="T1996" t="n">
        <v>8</v>
      </c>
      <c r="U1996" t="inlineStr">
        <is>
          <t>2000-02-02</t>
        </is>
      </c>
      <c r="V1996" t="inlineStr">
        <is>
          <t>2000-02-02</t>
        </is>
      </c>
      <c r="W1996" t="inlineStr">
        <is>
          <t>1998-11-16</t>
        </is>
      </c>
      <c r="X1996" t="inlineStr">
        <is>
          <t>1998-11-16</t>
        </is>
      </c>
      <c r="Y1996" t="n">
        <v>439</v>
      </c>
      <c r="Z1996" t="n">
        <v>376</v>
      </c>
      <c r="AA1996" t="n">
        <v>390</v>
      </c>
      <c r="AB1996" t="n">
        <v>2</v>
      </c>
      <c r="AC1996" t="n">
        <v>2</v>
      </c>
      <c r="AD1996" t="n">
        <v>20</v>
      </c>
      <c r="AE1996" t="n">
        <v>20</v>
      </c>
      <c r="AF1996" t="n">
        <v>7</v>
      </c>
      <c r="AG1996" t="n">
        <v>7</v>
      </c>
      <c r="AH1996" t="n">
        <v>4</v>
      </c>
      <c r="AI1996" t="n">
        <v>4</v>
      </c>
      <c r="AJ1996" t="n">
        <v>13</v>
      </c>
      <c r="AK1996" t="n">
        <v>13</v>
      </c>
      <c r="AL1996" t="n">
        <v>1</v>
      </c>
      <c r="AM1996" t="n">
        <v>1</v>
      </c>
      <c r="AN1996" t="n">
        <v>0</v>
      </c>
      <c r="AO1996" t="n">
        <v>0</v>
      </c>
      <c r="AP1996" t="inlineStr">
        <is>
          <t>No</t>
        </is>
      </c>
      <c r="AQ1996" t="inlineStr">
        <is>
          <t>Yes</t>
        </is>
      </c>
      <c r="AR1996">
        <f>HYPERLINK("http://catalog.hathitrust.org/Record/003952330","HathiTrust Record")</f>
        <v/>
      </c>
      <c r="AS1996">
        <f>HYPERLINK("https://creighton-primo.hosted.exlibrisgroup.com/primo-explore/search?tab=default_tab&amp;search_scope=EVERYTHING&amp;vid=01CRU&amp;lang=en_US&amp;offset=0&amp;query=any,contains,991002763169702656","Catalog Record")</f>
        <v/>
      </c>
      <c r="AT1996">
        <f>HYPERLINK("http://www.worldcat.org/oclc/36246073","WorldCat Record")</f>
        <v/>
      </c>
      <c r="AU1996" t="inlineStr">
        <is>
          <t>350610635:eng</t>
        </is>
      </c>
      <c r="AV1996" t="inlineStr">
        <is>
          <t>36246073</t>
        </is>
      </c>
      <c r="AW1996" t="inlineStr">
        <is>
          <t>991002763169702656</t>
        </is>
      </c>
      <c r="AX1996" t="inlineStr">
        <is>
          <t>991002763169702656</t>
        </is>
      </c>
      <c r="AY1996" t="inlineStr">
        <is>
          <t>2264690990002656</t>
        </is>
      </c>
      <c r="AZ1996" t="inlineStr">
        <is>
          <t>BOOK</t>
        </is>
      </c>
      <c r="BB1996" t="inlineStr">
        <is>
          <t>9780822939818</t>
        </is>
      </c>
      <c r="BC1996" t="inlineStr">
        <is>
          <t>32285003488987</t>
        </is>
      </c>
      <c r="BD1996" t="inlineStr">
        <is>
          <t>893427988</t>
        </is>
      </c>
    </row>
    <row r="1997">
      <c r="A1997" t="inlineStr">
        <is>
          <t>No</t>
        </is>
      </c>
      <c r="B1997" t="inlineStr">
        <is>
          <t>E840 .U173 1994</t>
        </is>
      </c>
      <c r="C1997" t="inlineStr">
        <is>
          <t>0                      E  0840000U  173         1994</t>
        </is>
      </c>
      <c r="D1997" t="inlineStr">
        <is>
          <t>U.S. intervention policy for the post-Cold War world : new challenges and new responses / Arnold Kanter and Linton F. Brooks, editors.</t>
        </is>
      </c>
      <c r="F1997" t="inlineStr">
        <is>
          <t>No</t>
        </is>
      </c>
      <c r="G1997" t="inlineStr">
        <is>
          <t>1</t>
        </is>
      </c>
      <c r="H1997" t="inlineStr">
        <is>
          <t>No</t>
        </is>
      </c>
      <c r="I1997" t="inlineStr">
        <is>
          <t>No</t>
        </is>
      </c>
      <c r="J1997" t="inlineStr">
        <is>
          <t>0</t>
        </is>
      </c>
      <c r="L1997" t="inlineStr">
        <is>
          <t>New York : W.W. Norton, c1994.</t>
        </is>
      </c>
      <c r="M1997" t="inlineStr">
        <is>
          <t>1994</t>
        </is>
      </c>
      <c r="N1997" t="inlineStr">
        <is>
          <t>1st ed.</t>
        </is>
      </c>
      <c r="O1997" t="inlineStr">
        <is>
          <t>eng</t>
        </is>
      </c>
      <c r="P1997" t="inlineStr">
        <is>
          <t>nyu</t>
        </is>
      </c>
      <c r="R1997" t="inlineStr">
        <is>
          <t xml:space="preserve">E  </t>
        </is>
      </c>
      <c r="S1997" t="n">
        <v>5</v>
      </c>
      <c r="T1997" t="n">
        <v>5</v>
      </c>
      <c r="U1997" t="inlineStr">
        <is>
          <t>2003-11-05</t>
        </is>
      </c>
      <c r="V1997" t="inlineStr">
        <is>
          <t>2003-11-05</t>
        </is>
      </c>
      <c r="W1997" t="inlineStr">
        <is>
          <t>1996-05-17</t>
        </is>
      </c>
      <c r="X1997" t="inlineStr">
        <is>
          <t>1996-05-17</t>
        </is>
      </c>
      <c r="Y1997" t="n">
        <v>419</v>
      </c>
      <c r="Z1997" t="n">
        <v>351</v>
      </c>
      <c r="AA1997" t="n">
        <v>356</v>
      </c>
      <c r="AB1997" t="n">
        <v>3</v>
      </c>
      <c r="AC1997" t="n">
        <v>3</v>
      </c>
      <c r="AD1997" t="n">
        <v>20</v>
      </c>
      <c r="AE1997" t="n">
        <v>20</v>
      </c>
      <c r="AF1997" t="n">
        <v>9</v>
      </c>
      <c r="AG1997" t="n">
        <v>9</v>
      </c>
      <c r="AH1997" t="n">
        <v>4</v>
      </c>
      <c r="AI1997" t="n">
        <v>4</v>
      </c>
      <c r="AJ1997" t="n">
        <v>9</v>
      </c>
      <c r="AK1997" t="n">
        <v>9</v>
      </c>
      <c r="AL1997" t="n">
        <v>2</v>
      </c>
      <c r="AM1997" t="n">
        <v>2</v>
      </c>
      <c r="AN1997" t="n">
        <v>0</v>
      </c>
      <c r="AO1997" t="n">
        <v>0</v>
      </c>
      <c r="AP1997" t="inlineStr">
        <is>
          <t>No</t>
        </is>
      </c>
      <c r="AQ1997" t="inlineStr">
        <is>
          <t>No</t>
        </is>
      </c>
      <c r="AS1997">
        <f>HYPERLINK("https://creighton-primo.hosted.exlibrisgroup.com/primo-explore/search?tab=default_tab&amp;search_scope=EVERYTHING&amp;vid=01CRU&amp;lang=en_US&amp;offset=0&amp;query=any,contains,991002370809702656","Catalog Record")</f>
        <v/>
      </c>
      <c r="AT1997">
        <f>HYPERLINK("http://www.worldcat.org/oclc/30812337","WorldCat Record")</f>
        <v/>
      </c>
      <c r="AU1997" t="inlineStr">
        <is>
          <t>919252960:eng</t>
        </is>
      </c>
      <c r="AV1997" t="inlineStr">
        <is>
          <t>30812337</t>
        </is>
      </c>
      <c r="AW1997" t="inlineStr">
        <is>
          <t>991002370809702656</t>
        </is>
      </c>
      <c r="AX1997" t="inlineStr">
        <is>
          <t>991002370809702656</t>
        </is>
      </c>
      <c r="AY1997" t="inlineStr">
        <is>
          <t>2267888620002656</t>
        </is>
      </c>
      <c r="AZ1997" t="inlineStr">
        <is>
          <t>BOOK</t>
        </is>
      </c>
      <c r="BB1997" t="inlineStr">
        <is>
          <t>9780393036985</t>
        </is>
      </c>
      <c r="BC1997" t="inlineStr">
        <is>
          <t>32285002169992</t>
        </is>
      </c>
      <c r="BD1997" t="inlineStr">
        <is>
          <t>893710203</t>
        </is>
      </c>
    </row>
    <row r="1998">
      <c r="A1998" t="inlineStr">
        <is>
          <t>No</t>
        </is>
      </c>
      <c r="B1998" t="inlineStr">
        <is>
          <t>E840 .U475 2004</t>
        </is>
      </c>
      <c r="C1998" t="inlineStr">
        <is>
          <t>0                      E  0840000U  475         2004</t>
        </is>
      </c>
      <c r="D1998" t="inlineStr">
        <is>
          <t>Understanding anti-Americanism : its origins and impact at home and abroad / edited with an introduction by Paul Hollander.</t>
        </is>
      </c>
      <c r="F1998" t="inlineStr">
        <is>
          <t>No</t>
        </is>
      </c>
      <c r="G1998" t="inlineStr">
        <is>
          <t>1</t>
        </is>
      </c>
      <c r="H1998" t="inlineStr">
        <is>
          <t>No</t>
        </is>
      </c>
      <c r="I1998" t="inlineStr">
        <is>
          <t>No</t>
        </is>
      </c>
      <c r="J1998" t="inlineStr">
        <is>
          <t>0</t>
        </is>
      </c>
      <c r="L1998" t="inlineStr">
        <is>
          <t>Chicago : Ivan R. Dee, 2004.</t>
        </is>
      </c>
      <c r="M1998" t="inlineStr">
        <is>
          <t>2004</t>
        </is>
      </c>
      <c r="O1998" t="inlineStr">
        <is>
          <t>eng</t>
        </is>
      </c>
      <c r="P1998" t="inlineStr">
        <is>
          <t>ilu</t>
        </is>
      </c>
      <c r="R1998" t="inlineStr">
        <is>
          <t xml:space="preserve">E  </t>
        </is>
      </c>
      <c r="S1998" t="n">
        <v>5</v>
      </c>
      <c r="T1998" t="n">
        <v>5</v>
      </c>
      <c r="U1998" t="inlineStr">
        <is>
          <t>2005-09-14</t>
        </is>
      </c>
      <c r="V1998" t="inlineStr">
        <is>
          <t>2005-09-14</t>
        </is>
      </c>
      <c r="W1998" t="inlineStr">
        <is>
          <t>2004-07-12</t>
        </is>
      </c>
      <c r="X1998" t="inlineStr">
        <is>
          <t>2004-07-12</t>
        </is>
      </c>
      <c r="Y1998" t="n">
        <v>601</v>
      </c>
      <c r="Z1998" t="n">
        <v>516</v>
      </c>
      <c r="AA1998" t="n">
        <v>523</v>
      </c>
      <c r="AB1998" t="n">
        <v>3</v>
      </c>
      <c r="AC1998" t="n">
        <v>3</v>
      </c>
      <c r="AD1998" t="n">
        <v>20</v>
      </c>
      <c r="AE1998" t="n">
        <v>20</v>
      </c>
      <c r="AF1998" t="n">
        <v>6</v>
      </c>
      <c r="AG1998" t="n">
        <v>6</v>
      </c>
      <c r="AH1998" t="n">
        <v>7</v>
      </c>
      <c r="AI1998" t="n">
        <v>7</v>
      </c>
      <c r="AJ1998" t="n">
        <v>11</v>
      </c>
      <c r="AK1998" t="n">
        <v>11</v>
      </c>
      <c r="AL1998" t="n">
        <v>1</v>
      </c>
      <c r="AM1998" t="n">
        <v>1</v>
      </c>
      <c r="AN1998" t="n">
        <v>0</v>
      </c>
      <c r="AO1998" t="n">
        <v>0</v>
      </c>
      <c r="AP1998" t="inlineStr">
        <is>
          <t>No</t>
        </is>
      </c>
      <c r="AQ1998" t="inlineStr">
        <is>
          <t>Yes</t>
        </is>
      </c>
      <c r="AR1998">
        <f>HYPERLINK("http://catalog.hathitrust.org/Record/004973964","HathiTrust Record")</f>
        <v/>
      </c>
      <c r="AS1998">
        <f>HYPERLINK("https://creighton-primo.hosted.exlibrisgroup.com/primo-explore/search?tab=default_tab&amp;search_scope=EVERYTHING&amp;vid=01CRU&amp;lang=en_US&amp;offset=0&amp;query=any,contains,991004316319702656","Catalog Record")</f>
        <v/>
      </c>
      <c r="AT1998">
        <f>HYPERLINK("http://www.worldcat.org/oclc/54425241","WorldCat Record")</f>
        <v/>
      </c>
      <c r="AU1998" t="inlineStr">
        <is>
          <t>779135:eng</t>
        </is>
      </c>
      <c r="AV1998" t="inlineStr">
        <is>
          <t>54425241</t>
        </is>
      </c>
      <c r="AW1998" t="inlineStr">
        <is>
          <t>991004316319702656</t>
        </is>
      </c>
      <c r="AX1998" t="inlineStr">
        <is>
          <t>991004316319702656</t>
        </is>
      </c>
      <c r="AY1998" t="inlineStr">
        <is>
          <t>2267154790002656</t>
        </is>
      </c>
      <c r="AZ1998" t="inlineStr">
        <is>
          <t>BOOK</t>
        </is>
      </c>
      <c r="BB1998" t="inlineStr">
        <is>
          <t>9781566635646</t>
        </is>
      </c>
      <c r="BC1998" t="inlineStr">
        <is>
          <t>32285004923073</t>
        </is>
      </c>
      <c r="BD1998" t="inlineStr">
        <is>
          <t>893247425</t>
        </is>
      </c>
    </row>
    <row r="1999">
      <c r="A1999" t="inlineStr">
        <is>
          <t>No</t>
        </is>
      </c>
      <c r="B1999" t="inlineStr">
        <is>
          <t>E840 .W46</t>
        </is>
      </c>
      <c r="C1999" t="inlineStr">
        <is>
          <t>0                      E  0840000W  46</t>
        </is>
      </c>
      <c r="D1999" t="inlineStr">
        <is>
          <t>Contemporary American foreign policy: minimal diplomacy, defensive strategy, and détente management [by] Lawrence L. Whetten.</t>
        </is>
      </c>
      <c r="F1999" t="inlineStr">
        <is>
          <t>No</t>
        </is>
      </c>
      <c r="G1999" t="inlineStr">
        <is>
          <t>1</t>
        </is>
      </c>
      <c r="H1999" t="inlineStr">
        <is>
          <t>No</t>
        </is>
      </c>
      <c r="I1999" t="inlineStr">
        <is>
          <t>No</t>
        </is>
      </c>
      <c r="J1999" t="inlineStr">
        <is>
          <t>0</t>
        </is>
      </c>
      <c r="K1999" t="inlineStr">
        <is>
          <t>Whetten, Lawrence L.</t>
        </is>
      </c>
      <c r="L1999" t="inlineStr">
        <is>
          <t>Lexington, Mass., Lexington Books [1974]</t>
        </is>
      </c>
      <c r="M1999" t="inlineStr">
        <is>
          <t>1974</t>
        </is>
      </c>
      <c r="O1999" t="inlineStr">
        <is>
          <t>eng</t>
        </is>
      </c>
      <c r="P1999" t="inlineStr">
        <is>
          <t>mau</t>
        </is>
      </c>
      <c r="R1999" t="inlineStr">
        <is>
          <t xml:space="preserve">E  </t>
        </is>
      </c>
      <c r="S1999" t="n">
        <v>2</v>
      </c>
      <c r="T1999" t="n">
        <v>2</v>
      </c>
      <c r="U1999" t="inlineStr">
        <is>
          <t>2003-04-30</t>
        </is>
      </c>
      <c r="V1999" t="inlineStr">
        <is>
          <t>2003-04-30</t>
        </is>
      </c>
      <c r="W1999" t="inlineStr">
        <is>
          <t>1997-04-29</t>
        </is>
      </c>
      <c r="X1999" t="inlineStr">
        <is>
          <t>1997-04-29</t>
        </is>
      </c>
      <c r="Y1999" t="n">
        <v>404</v>
      </c>
      <c r="Z1999" t="n">
        <v>323</v>
      </c>
      <c r="AA1999" t="n">
        <v>329</v>
      </c>
      <c r="AB1999" t="n">
        <v>3</v>
      </c>
      <c r="AC1999" t="n">
        <v>3</v>
      </c>
      <c r="AD1999" t="n">
        <v>12</v>
      </c>
      <c r="AE1999" t="n">
        <v>12</v>
      </c>
      <c r="AF1999" t="n">
        <v>3</v>
      </c>
      <c r="AG1999" t="n">
        <v>3</v>
      </c>
      <c r="AH1999" t="n">
        <v>3</v>
      </c>
      <c r="AI1999" t="n">
        <v>3</v>
      </c>
      <c r="AJ1999" t="n">
        <v>5</v>
      </c>
      <c r="AK1999" t="n">
        <v>5</v>
      </c>
      <c r="AL1999" t="n">
        <v>2</v>
      </c>
      <c r="AM1999" t="n">
        <v>2</v>
      </c>
      <c r="AN1999" t="n">
        <v>0</v>
      </c>
      <c r="AO1999" t="n">
        <v>0</v>
      </c>
      <c r="AP1999" t="inlineStr">
        <is>
          <t>No</t>
        </is>
      </c>
      <c r="AQ1999" t="inlineStr">
        <is>
          <t>Yes</t>
        </is>
      </c>
      <c r="AR1999">
        <f>HYPERLINK("http://catalog.hathitrust.org/Record/000011629","HathiTrust Record")</f>
        <v/>
      </c>
      <c r="AS1999">
        <f>HYPERLINK("https://creighton-primo.hosted.exlibrisgroup.com/primo-explore/search?tab=default_tab&amp;search_scope=EVERYTHING&amp;vid=01CRU&amp;lang=en_US&amp;offset=0&amp;query=any,contains,991003264769702656","Catalog Record")</f>
        <v/>
      </c>
      <c r="AT1999">
        <f>HYPERLINK("http://www.worldcat.org/oclc/790385","WorldCat Record")</f>
        <v/>
      </c>
      <c r="AU1999" t="inlineStr">
        <is>
          <t>1734471:eng</t>
        </is>
      </c>
      <c r="AV1999" t="inlineStr">
        <is>
          <t>790385</t>
        </is>
      </c>
      <c r="AW1999" t="inlineStr">
        <is>
          <t>991003264769702656</t>
        </is>
      </c>
      <c r="AX1999" t="inlineStr">
        <is>
          <t>991003264769702656</t>
        </is>
      </c>
      <c r="AY1999" t="inlineStr">
        <is>
          <t>2264095640002656</t>
        </is>
      </c>
      <c r="AZ1999" t="inlineStr">
        <is>
          <t>BOOK</t>
        </is>
      </c>
      <c r="BB1999" t="inlineStr">
        <is>
          <t>9780669917284</t>
        </is>
      </c>
      <c r="BC1999" t="inlineStr">
        <is>
          <t>32285002567997</t>
        </is>
      </c>
      <c r="BD1999" t="inlineStr">
        <is>
          <t>893805586</t>
        </is>
      </c>
    </row>
    <row r="2000">
      <c r="A2000" t="inlineStr">
        <is>
          <t>No</t>
        </is>
      </c>
      <c r="B2000" t="inlineStr">
        <is>
          <t>E840.2 .A78 1988</t>
        </is>
      </c>
      <c r="C2000" t="inlineStr">
        <is>
          <t>0                      E  0840200A  78          1988</t>
        </is>
      </c>
      <c r="D2000" t="inlineStr">
        <is>
          <t>The Voice of America : from detente to the Reagan doctrine / Laurien Alexandre.</t>
        </is>
      </c>
      <c r="F2000" t="inlineStr">
        <is>
          <t>No</t>
        </is>
      </c>
      <c r="G2000" t="inlineStr">
        <is>
          <t>1</t>
        </is>
      </c>
      <c r="H2000" t="inlineStr">
        <is>
          <t>No</t>
        </is>
      </c>
      <c r="I2000" t="inlineStr">
        <is>
          <t>No</t>
        </is>
      </c>
      <c r="J2000" t="inlineStr">
        <is>
          <t>0</t>
        </is>
      </c>
      <c r="K2000" t="inlineStr">
        <is>
          <t>Alexandre, Laurien.</t>
        </is>
      </c>
      <c r="L2000" t="inlineStr">
        <is>
          <t>Norwood, N.J. : Ablex Pub. Corp., c1988.</t>
        </is>
      </c>
      <c r="M2000" t="inlineStr">
        <is>
          <t>1988</t>
        </is>
      </c>
      <c r="O2000" t="inlineStr">
        <is>
          <t>eng</t>
        </is>
      </c>
      <c r="P2000" t="inlineStr">
        <is>
          <t>nju</t>
        </is>
      </c>
      <c r="Q2000" t="inlineStr">
        <is>
          <t>Communication and information science</t>
        </is>
      </c>
      <c r="R2000" t="inlineStr">
        <is>
          <t xml:space="preserve">E  </t>
        </is>
      </c>
      <c r="S2000" t="n">
        <v>3</v>
      </c>
      <c r="T2000" t="n">
        <v>3</v>
      </c>
      <c r="U2000" t="inlineStr">
        <is>
          <t>1993-04-14</t>
        </is>
      </c>
      <c r="V2000" t="inlineStr">
        <is>
          <t>1993-04-14</t>
        </is>
      </c>
      <c r="W2000" t="inlineStr">
        <is>
          <t>1990-01-16</t>
        </is>
      </c>
      <c r="X2000" t="inlineStr">
        <is>
          <t>1990-01-16</t>
        </is>
      </c>
      <c r="Y2000" t="n">
        <v>338</v>
      </c>
      <c r="Z2000" t="n">
        <v>281</v>
      </c>
      <c r="AA2000" t="n">
        <v>288</v>
      </c>
      <c r="AB2000" t="n">
        <v>3</v>
      </c>
      <c r="AC2000" t="n">
        <v>3</v>
      </c>
      <c r="AD2000" t="n">
        <v>17</v>
      </c>
      <c r="AE2000" t="n">
        <v>17</v>
      </c>
      <c r="AF2000" t="n">
        <v>6</v>
      </c>
      <c r="AG2000" t="n">
        <v>6</v>
      </c>
      <c r="AH2000" t="n">
        <v>2</v>
      </c>
      <c r="AI2000" t="n">
        <v>2</v>
      </c>
      <c r="AJ2000" t="n">
        <v>10</v>
      </c>
      <c r="AK2000" t="n">
        <v>10</v>
      </c>
      <c r="AL2000" t="n">
        <v>2</v>
      </c>
      <c r="AM2000" t="n">
        <v>2</v>
      </c>
      <c r="AN2000" t="n">
        <v>1</v>
      </c>
      <c r="AO2000" t="n">
        <v>1</v>
      </c>
      <c r="AP2000" t="inlineStr">
        <is>
          <t>No</t>
        </is>
      </c>
      <c r="AQ2000" t="inlineStr">
        <is>
          <t>Yes</t>
        </is>
      </c>
      <c r="AR2000">
        <f>HYPERLINK("http://catalog.hathitrust.org/Record/001096633","HathiTrust Record")</f>
        <v/>
      </c>
      <c r="AS2000">
        <f>HYPERLINK("https://creighton-primo.hosted.exlibrisgroup.com/primo-explore/search?tab=default_tab&amp;search_scope=EVERYTHING&amp;vid=01CRU&amp;lang=en_US&amp;offset=0&amp;query=any,contains,991001260489702656","Catalog Record")</f>
        <v/>
      </c>
      <c r="AT2000">
        <f>HYPERLINK("http://www.worldcat.org/oclc/17767008","WorldCat Record")</f>
        <v/>
      </c>
      <c r="AU2000" t="inlineStr">
        <is>
          <t>254299656:eng</t>
        </is>
      </c>
      <c r="AV2000" t="inlineStr">
        <is>
          <t>17767008</t>
        </is>
      </c>
      <c r="AW2000" t="inlineStr">
        <is>
          <t>991001260489702656</t>
        </is>
      </c>
      <c r="AX2000" t="inlineStr">
        <is>
          <t>991001260489702656</t>
        </is>
      </c>
      <c r="AY2000" t="inlineStr">
        <is>
          <t>2257018440002656</t>
        </is>
      </c>
      <c r="AZ2000" t="inlineStr">
        <is>
          <t>BOOK</t>
        </is>
      </c>
      <c r="BB2000" t="inlineStr">
        <is>
          <t>9780893914653</t>
        </is>
      </c>
      <c r="BC2000" t="inlineStr">
        <is>
          <t>32285000028687</t>
        </is>
      </c>
      <c r="BD2000" t="inlineStr">
        <is>
          <t>893420208</t>
        </is>
      </c>
    </row>
    <row r="2001">
      <c r="A2001" t="inlineStr">
        <is>
          <t>No</t>
        </is>
      </c>
      <c r="B2001" t="inlineStr">
        <is>
          <t>E840.2 .F57</t>
        </is>
      </c>
      <c r="C2001" t="inlineStr">
        <is>
          <t>0                      E  0840200F  57</t>
        </is>
      </c>
      <c r="D2001" t="inlineStr">
        <is>
          <t>American communication in a global society / Glen Fisher.</t>
        </is>
      </c>
      <c r="F2001" t="inlineStr">
        <is>
          <t>No</t>
        </is>
      </c>
      <c r="G2001" t="inlineStr">
        <is>
          <t>1</t>
        </is>
      </c>
      <c r="H2001" t="inlineStr">
        <is>
          <t>No</t>
        </is>
      </c>
      <c r="I2001" t="inlineStr">
        <is>
          <t>No</t>
        </is>
      </c>
      <c r="J2001" t="inlineStr">
        <is>
          <t>0</t>
        </is>
      </c>
      <c r="K2001" t="inlineStr">
        <is>
          <t>Fisher, Glen, 1922-2011.</t>
        </is>
      </c>
      <c r="L2001" t="inlineStr">
        <is>
          <t>Norwood, N.J. : Ablex Pub. Corp., 1979.</t>
        </is>
      </c>
      <c r="M2001" t="inlineStr">
        <is>
          <t>1979</t>
        </is>
      </c>
      <c r="O2001" t="inlineStr">
        <is>
          <t>eng</t>
        </is>
      </c>
      <c r="P2001" t="inlineStr">
        <is>
          <t>nju</t>
        </is>
      </c>
      <c r="Q2001" t="inlineStr">
        <is>
          <t>Communication and information science</t>
        </is>
      </c>
      <c r="R2001" t="inlineStr">
        <is>
          <t xml:space="preserve">E  </t>
        </is>
      </c>
      <c r="S2001" t="n">
        <v>3</v>
      </c>
      <c r="T2001" t="n">
        <v>3</v>
      </c>
      <c r="U2001" t="inlineStr">
        <is>
          <t>1994-09-23</t>
        </is>
      </c>
      <c r="V2001" t="inlineStr">
        <is>
          <t>1994-09-23</t>
        </is>
      </c>
      <c r="W2001" t="inlineStr">
        <is>
          <t>1991-06-19</t>
        </is>
      </c>
      <c r="X2001" t="inlineStr">
        <is>
          <t>1991-06-19</t>
        </is>
      </c>
      <c r="Y2001" t="n">
        <v>429</v>
      </c>
      <c r="Z2001" t="n">
        <v>356</v>
      </c>
      <c r="AA2001" t="n">
        <v>481</v>
      </c>
      <c r="AB2001" t="n">
        <v>3</v>
      </c>
      <c r="AC2001" t="n">
        <v>3</v>
      </c>
      <c r="AD2001" t="n">
        <v>17</v>
      </c>
      <c r="AE2001" t="n">
        <v>26</v>
      </c>
      <c r="AF2001" t="n">
        <v>3</v>
      </c>
      <c r="AG2001" t="n">
        <v>9</v>
      </c>
      <c r="AH2001" t="n">
        <v>3</v>
      </c>
      <c r="AI2001" t="n">
        <v>5</v>
      </c>
      <c r="AJ2001" t="n">
        <v>10</v>
      </c>
      <c r="AK2001" t="n">
        <v>15</v>
      </c>
      <c r="AL2001" t="n">
        <v>2</v>
      </c>
      <c r="AM2001" t="n">
        <v>2</v>
      </c>
      <c r="AN2001" t="n">
        <v>1</v>
      </c>
      <c r="AO2001" t="n">
        <v>1</v>
      </c>
      <c r="AP2001" t="inlineStr">
        <is>
          <t>No</t>
        </is>
      </c>
      <c r="AQ2001" t="inlineStr">
        <is>
          <t>Yes</t>
        </is>
      </c>
      <c r="AR2001">
        <f>HYPERLINK("http://catalog.hathitrust.org/Record/000303463","HathiTrust Record")</f>
        <v/>
      </c>
      <c r="AS2001">
        <f>HYPERLINK("https://creighton-primo.hosted.exlibrisgroup.com/primo-explore/search?tab=default_tab&amp;search_scope=EVERYTHING&amp;vid=01CRU&amp;lang=en_US&amp;offset=0&amp;query=any,contains,991004778049702656","Catalog Record")</f>
        <v/>
      </c>
      <c r="AT2001">
        <f>HYPERLINK("http://www.worldcat.org/oclc/5101773","WorldCat Record")</f>
        <v/>
      </c>
      <c r="AU2001" t="inlineStr">
        <is>
          <t>2868318:eng</t>
        </is>
      </c>
      <c r="AV2001" t="inlineStr">
        <is>
          <t>5101773</t>
        </is>
      </c>
      <c r="AW2001" t="inlineStr">
        <is>
          <t>991004778049702656</t>
        </is>
      </c>
      <c r="AX2001" t="inlineStr">
        <is>
          <t>991004778049702656</t>
        </is>
      </c>
      <c r="AY2001" t="inlineStr">
        <is>
          <t>2258992730002656</t>
        </is>
      </c>
      <c r="AZ2001" t="inlineStr">
        <is>
          <t>BOOK</t>
        </is>
      </c>
      <c r="BB2001" t="inlineStr">
        <is>
          <t>9780893910259</t>
        </is>
      </c>
      <c r="BC2001" t="inlineStr">
        <is>
          <t>32285000670454</t>
        </is>
      </c>
      <c r="BD2001" t="inlineStr">
        <is>
          <t>893795268</t>
        </is>
      </c>
    </row>
    <row r="2002">
      <c r="A2002" t="inlineStr">
        <is>
          <t>No</t>
        </is>
      </c>
      <c r="B2002" t="inlineStr">
        <is>
          <t>E840.2 .H36 1984</t>
        </is>
      </c>
      <c r="C2002" t="inlineStr">
        <is>
          <t>0                      E  0840200H  36          1984</t>
        </is>
      </c>
      <c r="D2002" t="inlineStr">
        <is>
          <t>USIA, public diplomacy in the computer age / Allen C. Hansen.</t>
        </is>
      </c>
      <c r="F2002" t="inlineStr">
        <is>
          <t>No</t>
        </is>
      </c>
      <c r="G2002" t="inlineStr">
        <is>
          <t>1</t>
        </is>
      </c>
      <c r="H2002" t="inlineStr">
        <is>
          <t>No</t>
        </is>
      </c>
      <c r="I2002" t="inlineStr">
        <is>
          <t>No</t>
        </is>
      </c>
      <c r="J2002" t="inlineStr">
        <is>
          <t>0</t>
        </is>
      </c>
      <c r="K2002" t="inlineStr">
        <is>
          <t>Hansen, Allen C.</t>
        </is>
      </c>
      <c r="L2002" t="inlineStr">
        <is>
          <t>New York : Praeger, 1984.</t>
        </is>
      </c>
      <c r="M2002" t="inlineStr">
        <is>
          <t>1984</t>
        </is>
      </c>
      <c r="O2002" t="inlineStr">
        <is>
          <t>eng</t>
        </is>
      </c>
      <c r="P2002" t="inlineStr">
        <is>
          <t>nyu</t>
        </is>
      </c>
      <c r="R2002" t="inlineStr">
        <is>
          <t xml:space="preserve">E  </t>
        </is>
      </c>
      <c r="S2002" t="n">
        <v>3</v>
      </c>
      <c r="T2002" t="n">
        <v>3</v>
      </c>
      <c r="U2002" t="inlineStr">
        <is>
          <t>1993-04-14</t>
        </is>
      </c>
      <c r="V2002" t="inlineStr">
        <is>
          <t>1993-04-14</t>
        </is>
      </c>
      <c r="W2002" t="inlineStr">
        <is>
          <t>1991-06-19</t>
        </is>
      </c>
      <c r="X2002" t="inlineStr">
        <is>
          <t>1991-06-19</t>
        </is>
      </c>
      <c r="Y2002" t="n">
        <v>346</v>
      </c>
      <c r="Z2002" t="n">
        <v>290</v>
      </c>
      <c r="AA2002" t="n">
        <v>353</v>
      </c>
      <c r="AB2002" t="n">
        <v>3</v>
      </c>
      <c r="AC2002" t="n">
        <v>4</v>
      </c>
      <c r="AD2002" t="n">
        <v>14</v>
      </c>
      <c r="AE2002" t="n">
        <v>16</v>
      </c>
      <c r="AF2002" t="n">
        <v>2</v>
      </c>
      <c r="AG2002" t="n">
        <v>2</v>
      </c>
      <c r="AH2002" t="n">
        <v>5</v>
      </c>
      <c r="AI2002" t="n">
        <v>5</v>
      </c>
      <c r="AJ2002" t="n">
        <v>8</v>
      </c>
      <c r="AK2002" t="n">
        <v>9</v>
      </c>
      <c r="AL2002" t="n">
        <v>2</v>
      </c>
      <c r="AM2002" t="n">
        <v>3</v>
      </c>
      <c r="AN2002" t="n">
        <v>0</v>
      </c>
      <c r="AO2002" t="n">
        <v>0</v>
      </c>
      <c r="AP2002" t="inlineStr">
        <is>
          <t>No</t>
        </is>
      </c>
      <c r="AQ2002" t="inlineStr">
        <is>
          <t>Yes</t>
        </is>
      </c>
      <c r="AR2002">
        <f>HYPERLINK("http://catalog.hathitrust.org/Record/000243265","HathiTrust Record")</f>
        <v/>
      </c>
      <c r="AS2002">
        <f>HYPERLINK("https://creighton-primo.hosted.exlibrisgroup.com/primo-explore/search?tab=default_tab&amp;search_scope=EVERYTHING&amp;vid=01CRU&amp;lang=en_US&amp;offset=0&amp;query=any,contains,991000324729702656","Catalog Record")</f>
        <v/>
      </c>
      <c r="AT2002">
        <f>HYPERLINK("http://www.worldcat.org/oclc/10163255","WorldCat Record")</f>
        <v/>
      </c>
      <c r="AU2002" t="inlineStr">
        <is>
          <t>2565575:eng</t>
        </is>
      </c>
      <c r="AV2002" t="inlineStr">
        <is>
          <t>10163255</t>
        </is>
      </c>
      <c r="AW2002" t="inlineStr">
        <is>
          <t>991000324729702656</t>
        </is>
      </c>
      <c r="AX2002" t="inlineStr">
        <is>
          <t>991000324729702656</t>
        </is>
      </c>
      <c r="AY2002" t="inlineStr">
        <is>
          <t>2268540030002656</t>
        </is>
      </c>
      <c r="AZ2002" t="inlineStr">
        <is>
          <t>BOOK</t>
        </is>
      </c>
      <c r="BB2002" t="inlineStr">
        <is>
          <t>9780275911867</t>
        </is>
      </c>
      <c r="BC2002" t="inlineStr">
        <is>
          <t>32285000670470</t>
        </is>
      </c>
      <c r="BD2002" t="inlineStr">
        <is>
          <t>893345554</t>
        </is>
      </c>
    </row>
    <row r="2003">
      <c r="A2003" t="inlineStr">
        <is>
          <t>No</t>
        </is>
      </c>
      <c r="B2003" t="inlineStr">
        <is>
          <t>E840.2 .H47 2002</t>
        </is>
      </c>
      <c r="C2003" t="inlineStr">
        <is>
          <t>0                      E  0840200H  47          2002</t>
        </is>
      </c>
      <c r="D2003" t="inlineStr">
        <is>
          <t>The eagle's shadow : why America fascinates and infuriates the world / Mark Hertsgaard.</t>
        </is>
      </c>
      <c r="F2003" t="inlineStr">
        <is>
          <t>No</t>
        </is>
      </c>
      <c r="G2003" t="inlineStr">
        <is>
          <t>1</t>
        </is>
      </c>
      <c r="H2003" t="inlineStr">
        <is>
          <t>No</t>
        </is>
      </c>
      <c r="I2003" t="inlineStr">
        <is>
          <t>No</t>
        </is>
      </c>
      <c r="J2003" t="inlineStr">
        <is>
          <t>0</t>
        </is>
      </c>
      <c r="K2003" t="inlineStr">
        <is>
          <t>Hertsgaard, Mark, 1956-</t>
        </is>
      </c>
      <c r="L2003" t="inlineStr">
        <is>
          <t>New York : Farrar, Strauss and Giroux, 2002.</t>
        </is>
      </c>
      <c r="M2003" t="inlineStr">
        <is>
          <t>2002</t>
        </is>
      </c>
      <c r="N2003" t="inlineStr">
        <is>
          <t>1st ed.</t>
        </is>
      </c>
      <c r="O2003" t="inlineStr">
        <is>
          <t>eng</t>
        </is>
      </c>
      <c r="P2003" t="inlineStr">
        <is>
          <t>nyu</t>
        </is>
      </c>
      <c r="R2003" t="inlineStr">
        <is>
          <t xml:space="preserve">E  </t>
        </is>
      </c>
      <c r="S2003" t="n">
        <v>3</v>
      </c>
      <c r="T2003" t="n">
        <v>3</v>
      </c>
      <c r="U2003" t="inlineStr">
        <is>
          <t>2004-08-25</t>
        </is>
      </c>
      <c r="V2003" t="inlineStr">
        <is>
          <t>2004-08-25</t>
        </is>
      </c>
      <c r="W2003" t="inlineStr">
        <is>
          <t>2003-03-03</t>
        </is>
      </c>
      <c r="X2003" t="inlineStr">
        <is>
          <t>2003-03-03</t>
        </is>
      </c>
      <c r="Y2003" t="n">
        <v>844</v>
      </c>
      <c r="Z2003" t="n">
        <v>781</v>
      </c>
      <c r="AA2003" t="n">
        <v>889</v>
      </c>
      <c r="AB2003" t="n">
        <v>10</v>
      </c>
      <c r="AC2003" t="n">
        <v>11</v>
      </c>
      <c r="AD2003" t="n">
        <v>26</v>
      </c>
      <c r="AE2003" t="n">
        <v>29</v>
      </c>
      <c r="AF2003" t="n">
        <v>8</v>
      </c>
      <c r="AG2003" t="n">
        <v>10</v>
      </c>
      <c r="AH2003" t="n">
        <v>5</v>
      </c>
      <c r="AI2003" t="n">
        <v>6</v>
      </c>
      <c r="AJ2003" t="n">
        <v>12</v>
      </c>
      <c r="AK2003" t="n">
        <v>13</v>
      </c>
      <c r="AL2003" t="n">
        <v>6</v>
      </c>
      <c r="AM2003" t="n">
        <v>6</v>
      </c>
      <c r="AN2003" t="n">
        <v>0</v>
      </c>
      <c r="AO2003" t="n">
        <v>0</v>
      </c>
      <c r="AP2003" t="inlineStr">
        <is>
          <t>No</t>
        </is>
      </c>
      <c r="AQ2003" t="inlineStr">
        <is>
          <t>No</t>
        </is>
      </c>
      <c r="AS2003">
        <f>HYPERLINK("https://creighton-primo.hosted.exlibrisgroup.com/primo-explore/search?tab=default_tab&amp;search_scope=EVERYTHING&amp;vid=01CRU&amp;lang=en_US&amp;offset=0&amp;query=any,contains,991003962979702656","Catalog Record")</f>
        <v/>
      </c>
      <c r="AT2003">
        <f>HYPERLINK("http://www.worldcat.org/oclc/49902821","WorldCat Record")</f>
        <v/>
      </c>
      <c r="AU2003" t="inlineStr">
        <is>
          <t>8916153:eng</t>
        </is>
      </c>
      <c r="AV2003" t="inlineStr">
        <is>
          <t>49902821</t>
        </is>
      </c>
      <c r="AW2003" t="inlineStr">
        <is>
          <t>991003962979702656</t>
        </is>
      </c>
      <c r="AX2003" t="inlineStr">
        <is>
          <t>991003962979702656</t>
        </is>
      </c>
      <c r="AY2003" t="inlineStr">
        <is>
          <t>2257380470002656</t>
        </is>
      </c>
      <c r="AZ2003" t="inlineStr">
        <is>
          <t>BOOK</t>
        </is>
      </c>
      <c r="BB2003" t="inlineStr">
        <is>
          <t>9780374103835</t>
        </is>
      </c>
      <c r="BC2003" t="inlineStr">
        <is>
          <t>32285004682000</t>
        </is>
      </c>
      <c r="BD2003" t="inlineStr">
        <is>
          <t>893246981</t>
        </is>
      </c>
    </row>
    <row r="2004">
      <c r="A2004" t="inlineStr">
        <is>
          <t>No</t>
        </is>
      </c>
      <c r="B2004" t="inlineStr">
        <is>
          <t>E840.2 .R8</t>
        </is>
      </c>
      <c r="C2004" t="inlineStr">
        <is>
          <t>0                      E  0840200R  8</t>
        </is>
      </c>
      <c r="D2004" t="inlineStr">
        <is>
          <t>How others report us : America in the foreign press / Barry Rubin.</t>
        </is>
      </c>
      <c r="F2004" t="inlineStr">
        <is>
          <t>No</t>
        </is>
      </c>
      <c r="G2004" t="inlineStr">
        <is>
          <t>1</t>
        </is>
      </c>
      <c r="H2004" t="inlineStr">
        <is>
          <t>No</t>
        </is>
      </c>
      <c r="I2004" t="inlineStr">
        <is>
          <t>No</t>
        </is>
      </c>
      <c r="J2004" t="inlineStr">
        <is>
          <t>0</t>
        </is>
      </c>
      <c r="K2004" t="inlineStr">
        <is>
          <t>Rubin, Barry, 1941-</t>
        </is>
      </c>
      <c r="L2004" t="inlineStr">
        <is>
          <t>Beverly Hills : Sage Publications, c1979.</t>
        </is>
      </c>
      <c r="M2004" t="inlineStr">
        <is>
          <t>1979</t>
        </is>
      </c>
      <c r="O2004" t="inlineStr">
        <is>
          <t>eng</t>
        </is>
      </c>
      <c r="P2004" t="inlineStr">
        <is>
          <t>cau</t>
        </is>
      </c>
      <c r="Q2004" t="inlineStr">
        <is>
          <t>A Sage policy paper</t>
        </is>
      </c>
      <c r="R2004" t="inlineStr">
        <is>
          <t xml:space="preserve">E  </t>
        </is>
      </c>
      <c r="S2004" t="n">
        <v>2</v>
      </c>
      <c r="T2004" t="n">
        <v>2</v>
      </c>
      <c r="U2004" t="inlineStr">
        <is>
          <t>1993-09-17</t>
        </is>
      </c>
      <c r="V2004" t="inlineStr">
        <is>
          <t>1993-09-17</t>
        </is>
      </c>
      <c r="W2004" t="inlineStr">
        <is>
          <t>1991-06-19</t>
        </is>
      </c>
      <c r="X2004" t="inlineStr">
        <is>
          <t>1991-06-19</t>
        </is>
      </c>
      <c r="Y2004" t="n">
        <v>274</v>
      </c>
      <c r="Z2004" t="n">
        <v>225</v>
      </c>
      <c r="AA2004" t="n">
        <v>230</v>
      </c>
      <c r="AB2004" t="n">
        <v>2</v>
      </c>
      <c r="AC2004" t="n">
        <v>2</v>
      </c>
      <c r="AD2004" t="n">
        <v>10</v>
      </c>
      <c r="AE2004" t="n">
        <v>10</v>
      </c>
      <c r="AF2004" t="n">
        <v>0</v>
      </c>
      <c r="AG2004" t="n">
        <v>0</v>
      </c>
      <c r="AH2004" t="n">
        <v>4</v>
      </c>
      <c r="AI2004" t="n">
        <v>4</v>
      </c>
      <c r="AJ2004" t="n">
        <v>7</v>
      </c>
      <c r="AK2004" t="n">
        <v>7</v>
      </c>
      <c r="AL2004" t="n">
        <v>1</v>
      </c>
      <c r="AM2004" t="n">
        <v>1</v>
      </c>
      <c r="AN2004" t="n">
        <v>0</v>
      </c>
      <c r="AO2004" t="n">
        <v>0</v>
      </c>
      <c r="AP2004" t="inlineStr">
        <is>
          <t>No</t>
        </is>
      </c>
      <c r="AQ2004" t="inlineStr">
        <is>
          <t>Yes</t>
        </is>
      </c>
      <c r="AR2004">
        <f>HYPERLINK("http://catalog.hathitrust.org/Record/000303207","HathiTrust Record")</f>
        <v/>
      </c>
      <c r="AS2004">
        <f>HYPERLINK("https://creighton-primo.hosted.exlibrisgroup.com/primo-explore/search?tab=default_tab&amp;search_scope=EVERYTHING&amp;vid=01CRU&amp;lang=en_US&amp;offset=0&amp;query=any,contains,991004773899702656","Catalog Record")</f>
        <v/>
      </c>
      <c r="AT2004">
        <f>HYPERLINK("http://www.worldcat.org/oclc/5095793","WorldCat Record")</f>
        <v/>
      </c>
      <c r="AU2004" t="inlineStr">
        <is>
          <t>890344391:eng</t>
        </is>
      </c>
      <c r="AV2004" t="inlineStr">
        <is>
          <t>5095793</t>
        </is>
      </c>
      <c r="AW2004" t="inlineStr">
        <is>
          <t>991004773899702656</t>
        </is>
      </c>
      <c r="AX2004" t="inlineStr">
        <is>
          <t>991004773899702656</t>
        </is>
      </c>
      <c r="AY2004" t="inlineStr">
        <is>
          <t>2256848630002656</t>
        </is>
      </c>
      <c r="AZ2004" t="inlineStr">
        <is>
          <t>BOOK</t>
        </is>
      </c>
      <c r="BB2004" t="inlineStr">
        <is>
          <t>9780803913080</t>
        </is>
      </c>
      <c r="BC2004" t="inlineStr">
        <is>
          <t>32285000670488</t>
        </is>
      </c>
      <c r="BD2004" t="inlineStr">
        <is>
          <t>893436736</t>
        </is>
      </c>
    </row>
    <row r="2005">
      <c r="A2005" t="inlineStr">
        <is>
          <t>No</t>
        </is>
      </c>
      <c r="B2005" t="inlineStr">
        <is>
          <t>E840.5.F65 A3 2004</t>
        </is>
      </c>
      <c r="C2005" t="inlineStr">
        <is>
          <t>0                      E  0840500F  65                 A  3           2004</t>
        </is>
      </c>
      <c r="D2005" t="inlineStr">
        <is>
          <t>American soldier / Tommy Franks, with Malcom McConnell.</t>
        </is>
      </c>
      <c r="F2005" t="inlineStr">
        <is>
          <t>No</t>
        </is>
      </c>
      <c r="G2005" t="inlineStr">
        <is>
          <t>1</t>
        </is>
      </c>
      <c r="H2005" t="inlineStr">
        <is>
          <t>No</t>
        </is>
      </c>
      <c r="I2005" t="inlineStr">
        <is>
          <t>No</t>
        </is>
      </c>
      <c r="J2005" t="inlineStr">
        <is>
          <t>0</t>
        </is>
      </c>
      <c r="K2005" t="inlineStr">
        <is>
          <t>Franks, Tommy, 1945-</t>
        </is>
      </c>
      <c r="L2005" t="inlineStr">
        <is>
          <t>New York, N.Y. : Regan Books, c2004.</t>
        </is>
      </c>
      <c r="M2005" t="inlineStr">
        <is>
          <t>2004</t>
        </is>
      </c>
      <c r="N2005" t="inlineStr">
        <is>
          <t>1st ed.</t>
        </is>
      </c>
      <c r="O2005" t="inlineStr">
        <is>
          <t>eng</t>
        </is>
      </c>
      <c r="P2005" t="inlineStr">
        <is>
          <t>nyu</t>
        </is>
      </c>
      <c r="R2005" t="inlineStr">
        <is>
          <t xml:space="preserve">E  </t>
        </is>
      </c>
      <c r="S2005" t="n">
        <v>3</v>
      </c>
      <c r="T2005" t="n">
        <v>3</v>
      </c>
      <c r="U2005" t="inlineStr">
        <is>
          <t>2004-10-08</t>
        </is>
      </c>
      <c r="V2005" t="inlineStr">
        <is>
          <t>2004-10-08</t>
        </is>
      </c>
      <c r="W2005" t="inlineStr">
        <is>
          <t>2004-09-14</t>
        </is>
      </c>
      <c r="X2005" t="inlineStr">
        <is>
          <t>2004-09-14</t>
        </is>
      </c>
      <c r="Y2005" t="n">
        <v>2365</v>
      </c>
      <c r="Z2005" t="n">
        <v>2292</v>
      </c>
      <c r="AA2005" t="n">
        <v>2510</v>
      </c>
      <c r="AB2005" t="n">
        <v>32</v>
      </c>
      <c r="AC2005" t="n">
        <v>32</v>
      </c>
      <c r="AD2005" t="n">
        <v>34</v>
      </c>
      <c r="AE2005" t="n">
        <v>34</v>
      </c>
      <c r="AF2005" t="n">
        <v>16</v>
      </c>
      <c r="AG2005" t="n">
        <v>16</v>
      </c>
      <c r="AH2005" t="n">
        <v>5</v>
      </c>
      <c r="AI2005" t="n">
        <v>5</v>
      </c>
      <c r="AJ2005" t="n">
        <v>13</v>
      </c>
      <c r="AK2005" t="n">
        <v>13</v>
      </c>
      <c r="AL2005" t="n">
        <v>7</v>
      </c>
      <c r="AM2005" t="n">
        <v>7</v>
      </c>
      <c r="AN2005" t="n">
        <v>1</v>
      </c>
      <c r="AO2005" t="n">
        <v>1</v>
      </c>
      <c r="AP2005" t="inlineStr">
        <is>
          <t>No</t>
        </is>
      </c>
      <c r="AQ2005" t="inlineStr">
        <is>
          <t>No</t>
        </is>
      </c>
      <c r="AS2005">
        <f>HYPERLINK("https://creighton-primo.hosted.exlibrisgroup.com/primo-explore/search?tab=default_tab&amp;search_scope=EVERYTHING&amp;vid=01CRU&amp;lang=en_US&amp;offset=0&amp;query=any,contains,991004370349702656","Catalog Record")</f>
        <v/>
      </c>
      <c r="AT2005">
        <f>HYPERLINK("http://www.worldcat.org/oclc/55991275","WorldCat Record")</f>
        <v/>
      </c>
      <c r="AU2005" t="inlineStr">
        <is>
          <t>2195:eng</t>
        </is>
      </c>
      <c r="AV2005" t="inlineStr">
        <is>
          <t>55991275</t>
        </is>
      </c>
      <c r="AW2005" t="inlineStr">
        <is>
          <t>991004370349702656</t>
        </is>
      </c>
      <c r="AX2005" t="inlineStr">
        <is>
          <t>991004370349702656</t>
        </is>
      </c>
      <c r="AY2005" t="inlineStr">
        <is>
          <t>2256710680002656</t>
        </is>
      </c>
      <c r="AZ2005" t="inlineStr">
        <is>
          <t>BOOK</t>
        </is>
      </c>
      <c r="BB2005" t="inlineStr">
        <is>
          <t>9780060731588</t>
        </is>
      </c>
      <c r="BC2005" t="inlineStr">
        <is>
          <t>32285004987037</t>
        </is>
      </c>
      <c r="BD2005" t="inlineStr">
        <is>
          <t>893869637</t>
        </is>
      </c>
    </row>
    <row r="2006">
      <c r="A2006" t="inlineStr">
        <is>
          <t>No</t>
        </is>
      </c>
      <c r="B2006" t="inlineStr">
        <is>
          <t>E840.5.P68 R67 1993</t>
        </is>
      </c>
      <c r="C2006" t="inlineStr">
        <is>
          <t>0                      E  0840500P  68                 R  67          1993</t>
        </is>
      </c>
      <c r="D2006" t="inlineStr">
        <is>
          <t>Sacred honor : a biography of Colin Powell / by David Roth.</t>
        </is>
      </c>
      <c r="F2006" t="inlineStr">
        <is>
          <t>No</t>
        </is>
      </c>
      <c r="G2006" t="inlineStr">
        <is>
          <t>1</t>
        </is>
      </c>
      <c r="H2006" t="inlineStr">
        <is>
          <t>No</t>
        </is>
      </c>
      <c r="I2006" t="inlineStr">
        <is>
          <t>No</t>
        </is>
      </c>
      <c r="J2006" t="inlineStr">
        <is>
          <t>0</t>
        </is>
      </c>
      <c r="K2006" t="inlineStr">
        <is>
          <t>Roth, David, 1955-</t>
        </is>
      </c>
      <c r="L2006" t="inlineStr">
        <is>
          <t>Grand Rapids, Mich. : Zondervan Pub. House ; San Francisco, Calif. : HarperSan Francisco, c1993.</t>
        </is>
      </c>
      <c r="M2006" t="inlineStr">
        <is>
          <t>1993</t>
        </is>
      </c>
      <c r="O2006" t="inlineStr">
        <is>
          <t>eng</t>
        </is>
      </c>
      <c r="P2006" t="inlineStr">
        <is>
          <t>miu</t>
        </is>
      </c>
      <c r="R2006" t="inlineStr">
        <is>
          <t xml:space="preserve">E  </t>
        </is>
      </c>
      <c r="S2006" t="n">
        <v>11</v>
      </c>
      <c r="T2006" t="n">
        <v>11</v>
      </c>
      <c r="U2006" t="inlineStr">
        <is>
          <t>2002-09-30</t>
        </is>
      </c>
      <c r="V2006" t="inlineStr">
        <is>
          <t>2002-09-30</t>
        </is>
      </c>
      <c r="W2006" t="inlineStr">
        <is>
          <t>1993-12-06</t>
        </is>
      </c>
      <c r="X2006" t="inlineStr">
        <is>
          <t>1993-12-06</t>
        </is>
      </c>
      <c r="Y2006" t="n">
        <v>1333</v>
      </c>
      <c r="Z2006" t="n">
        <v>1296</v>
      </c>
      <c r="AA2006" t="n">
        <v>1313</v>
      </c>
      <c r="AB2006" t="n">
        <v>9</v>
      </c>
      <c r="AC2006" t="n">
        <v>9</v>
      </c>
      <c r="AD2006" t="n">
        <v>15</v>
      </c>
      <c r="AE2006" t="n">
        <v>15</v>
      </c>
      <c r="AF2006" t="n">
        <v>9</v>
      </c>
      <c r="AG2006" t="n">
        <v>9</v>
      </c>
      <c r="AH2006" t="n">
        <v>3</v>
      </c>
      <c r="AI2006" t="n">
        <v>3</v>
      </c>
      <c r="AJ2006" t="n">
        <v>5</v>
      </c>
      <c r="AK2006" t="n">
        <v>5</v>
      </c>
      <c r="AL2006" t="n">
        <v>1</v>
      </c>
      <c r="AM2006" t="n">
        <v>1</v>
      </c>
      <c r="AN2006" t="n">
        <v>0</v>
      </c>
      <c r="AO2006" t="n">
        <v>0</v>
      </c>
      <c r="AP2006" t="inlineStr">
        <is>
          <t>No</t>
        </is>
      </c>
      <c r="AQ2006" t="inlineStr">
        <is>
          <t>Yes</t>
        </is>
      </c>
      <c r="AR2006">
        <f>HYPERLINK("http://catalog.hathitrust.org/Record/002782361","HathiTrust Record")</f>
        <v/>
      </c>
      <c r="AS2006">
        <f>HYPERLINK("https://creighton-primo.hosted.exlibrisgroup.com/primo-explore/search?tab=default_tab&amp;search_scope=EVERYTHING&amp;vid=01CRU&amp;lang=en_US&amp;offset=0&amp;query=any,contains,991002187009702656","Catalog Record")</f>
        <v/>
      </c>
      <c r="AT2006">
        <f>HYPERLINK("http://www.worldcat.org/oclc/28149553","WorldCat Record")</f>
        <v/>
      </c>
      <c r="AU2006" t="inlineStr">
        <is>
          <t>865134998:eng</t>
        </is>
      </c>
      <c r="AV2006" t="inlineStr">
        <is>
          <t>28149553</t>
        </is>
      </c>
      <c r="AW2006" t="inlineStr">
        <is>
          <t>991002187009702656</t>
        </is>
      </c>
      <c r="AX2006" t="inlineStr">
        <is>
          <t>991002187009702656</t>
        </is>
      </c>
      <c r="AY2006" t="inlineStr">
        <is>
          <t>2271496550002656</t>
        </is>
      </c>
      <c r="AZ2006" t="inlineStr">
        <is>
          <t>BOOK</t>
        </is>
      </c>
      <c r="BB2006" t="inlineStr">
        <is>
          <t>9780310604808</t>
        </is>
      </c>
      <c r="BC2006" t="inlineStr">
        <is>
          <t>32285001814531</t>
        </is>
      </c>
      <c r="BD2006" t="inlineStr">
        <is>
          <t>893809341</t>
        </is>
      </c>
    </row>
    <row r="2007">
      <c r="A2007" t="inlineStr">
        <is>
          <t>No</t>
        </is>
      </c>
      <c r="B2007" t="inlineStr">
        <is>
          <t>E840.5.S39 C64 1991</t>
        </is>
      </c>
      <c r="C2007" t="inlineStr">
        <is>
          <t>0                      E  0840500S  39                 C  64          1991</t>
        </is>
      </c>
      <c r="D2007" t="inlineStr">
        <is>
          <t>In the eye of the storm : the life of General H. Norman Schwarzkopf / Roger Cohen, Claudio Gatti.</t>
        </is>
      </c>
      <c r="F2007" t="inlineStr">
        <is>
          <t>No</t>
        </is>
      </c>
      <c r="G2007" t="inlineStr">
        <is>
          <t>1</t>
        </is>
      </c>
      <c r="H2007" t="inlineStr">
        <is>
          <t>No</t>
        </is>
      </c>
      <c r="I2007" t="inlineStr">
        <is>
          <t>No</t>
        </is>
      </c>
      <c r="J2007" t="inlineStr">
        <is>
          <t>0</t>
        </is>
      </c>
      <c r="K2007" t="inlineStr">
        <is>
          <t>Cohen, Roger.</t>
        </is>
      </c>
      <c r="L2007" t="inlineStr">
        <is>
          <t>New York : Farrar, Straus, and Giroux, 1991.</t>
        </is>
      </c>
      <c r="M2007" t="inlineStr">
        <is>
          <t>1991</t>
        </is>
      </c>
      <c r="N2007" t="inlineStr">
        <is>
          <t>1st ed.</t>
        </is>
      </c>
      <c r="O2007" t="inlineStr">
        <is>
          <t>eng</t>
        </is>
      </c>
      <c r="P2007" t="inlineStr">
        <is>
          <t>nyu</t>
        </is>
      </c>
      <c r="R2007" t="inlineStr">
        <is>
          <t xml:space="preserve">E  </t>
        </is>
      </c>
      <c r="S2007" t="n">
        <v>14</v>
      </c>
      <c r="T2007" t="n">
        <v>14</v>
      </c>
      <c r="U2007" t="inlineStr">
        <is>
          <t>2001-04-16</t>
        </is>
      </c>
      <c r="V2007" t="inlineStr">
        <is>
          <t>2001-04-16</t>
        </is>
      </c>
      <c r="W2007" t="inlineStr">
        <is>
          <t>1991-10-24</t>
        </is>
      </c>
      <c r="X2007" t="inlineStr">
        <is>
          <t>1991-10-24</t>
        </is>
      </c>
      <c r="Y2007" t="n">
        <v>1417</v>
      </c>
      <c r="Z2007" t="n">
        <v>1360</v>
      </c>
      <c r="AA2007" t="n">
        <v>1485</v>
      </c>
      <c r="AB2007" t="n">
        <v>16</v>
      </c>
      <c r="AC2007" t="n">
        <v>16</v>
      </c>
      <c r="AD2007" t="n">
        <v>24</v>
      </c>
      <c r="AE2007" t="n">
        <v>26</v>
      </c>
      <c r="AF2007" t="n">
        <v>8</v>
      </c>
      <c r="AG2007" t="n">
        <v>9</v>
      </c>
      <c r="AH2007" t="n">
        <v>4</v>
      </c>
      <c r="AI2007" t="n">
        <v>4</v>
      </c>
      <c r="AJ2007" t="n">
        <v>12</v>
      </c>
      <c r="AK2007" t="n">
        <v>12</v>
      </c>
      <c r="AL2007" t="n">
        <v>6</v>
      </c>
      <c r="AM2007" t="n">
        <v>6</v>
      </c>
      <c r="AN2007" t="n">
        <v>0</v>
      </c>
      <c r="AO2007" t="n">
        <v>1</v>
      </c>
      <c r="AP2007" t="inlineStr">
        <is>
          <t>No</t>
        </is>
      </c>
      <c r="AQ2007" t="inlineStr">
        <is>
          <t>No</t>
        </is>
      </c>
      <c r="AS2007">
        <f>HYPERLINK("https://creighton-primo.hosted.exlibrisgroup.com/primo-explore/search?tab=default_tab&amp;search_scope=EVERYTHING&amp;vid=01CRU&amp;lang=en_US&amp;offset=0&amp;query=any,contains,991001878599702656","Catalog Record")</f>
        <v/>
      </c>
      <c r="AT2007">
        <f>HYPERLINK("http://www.worldcat.org/oclc/23693848","WorldCat Record")</f>
        <v/>
      </c>
      <c r="AU2007" t="inlineStr">
        <is>
          <t>25863682:eng</t>
        </is>
      </c>
      <c r="AV2007" t="inlineStr">
        <is>
          <t>23693848</t>
        </is>
      </c>
      <c r="AW2007" t="inlineStr">
        <is>
          <t>991001878599702656</t>
        </is>
      </c>
      <c r="AX2007" t="inlineStr">
        <is>
          <t>991001878599702656</t>
        </is>
      </c>
      <c r="AY2007" t="inlineStr">
        <is>
          <t>2260182850002656</t>
        </is>
      </c>
      <c r="AZ2007" t="inlineStr">
        <is>
          <t>BOOK</t>
        </is>
      </c>
      <c r="BB2007" t="inlineStr">
        <is>
          <t>9780374177089</t>
        </is>
      </c>
      <c r="BC2007" t="inlineStr">
        <is>
          <t>32285000728070</t>
        </is>
      </c>
      <c r="BD2007" t="inlineStr">
        <is>
          <t>893785462</t>
        </is>
      </c>
    </row>
    <row r="2008">
      <c r="A2008" t="inlineStr">
        <is>
          <t>No</t>
        </is>
      </c>
      <c r="B2008" t="inlineStr">
        <is>
          <t>E840.6 .B57 1998</t>
        </is>
      </c>
      <c r="C2008" t="inlineStr">
        <is>
          <t>0                      E  0840600B  57          1998</t>
        </is>
      </c>
      <c r="D2008" t="inlineStr">
        <is>
          <t>The color of truth : McGeorge Bundy and William Bundy, brothers in arms : a biography / Kai Bird.</t>
        </is>
      </c>
      <c r="F2008" t="inlineStr">
        <is>
          <t>No</t>
        </is>
      </c>
      <c r="G2008" t="inlineStr">
        <is>
          <t>1</t>
        </is>
      </c>
      <c r="H2008" t="inlineStr">
        <is>
          <t>No</t>
        </is>
      </c>
      <c r="I2008" t="inlineStr">
        <is>
          <t>No</t>
        </is>
      </c>
      <c r="J2008" t="inlineStr">
        <is>
          <t>0</t>
        </is>
      </c>
      <c r="K2008" t="inlineStr">
        <is>
          <t>Bird, Kai.</t>
        </is>
      </c>
      <c r="L2008" t="inlineStr">
        <is>
          <t>New York : Simon &amp; Schuster, c1998.</t>
        </is>
      </c>
      <c r="M2008" t="inlineStr">
        <is>
          <t>1998</t>
        </is>
      </c>
      <c r="O2008" t="inlineStr">
        <is>
          <t>eng</t>
        </is>
      </c>
      <c r="P2008" t="inlineStr">
        <is>
          <t>nyu</t>
        </is>
      </c>
      <c r="R2008" t="inlineStr">
        <is>
          <t xml:space="preserve">E  </t>
        </is>
      </c>
      <c r="S2008" t="n">
        <v>3</v>
      </c>
      <c r="T2008" t="n">
        <v>3</v>
      </c>
      <c r="U2008" t="inlineStr">
        <is>
          <t>2000-07-18</t>
        </is>
      </c>
      <c r="V2008" t="inlineStr">
        <is>
          <t>2000-07-18</t>
        </is>
      </c>
      <c r="W2008" t="inlineStr">
        <is>
          <t>1999-08-05</t>
        </is>
      </c>
      <c r="X2008" t="inlineStr">
        <is>
          <t>1999-08-05</t>
        </is>
      </c>
      <c r="Y2008" t="n">
        <v>867</v>
      </c>
      <c r="Z2008" t="n">
        <v>804</v>
      </c>
      <c r="AA2008" t="n">
        <v>842</v>
      </c>
      <c r="AB2008" t="n">
        <v>4</v>
      </c>
      <c r="AC2008" t="n">
        <v>4</v>
      </c>
      <c r="AD2008" t="n">
        <v>29</v>
      </c>
      <c r="AE2008" t="n">
        <v>29</v>
      </c>
      <c r="AF2008" t="n">
        <v>9</v>
      </c>
      <c r="AG2008" t="n">
        <v>9</v>
      </c>
      <c r="AH2008" t="n">
        <v>7</v>
      </c>
      <c r="AI2008" t="n">
        <v>7</v>
      </c>
      <c r="AJ2008" t="n">
        <v>13</v>
      </c>
      <c r="AK2008" t="n">
        <v>13</v>
      </c>
      <c r="AL2008" t="n">
        <v>3</v>
      </c>
      <c r="AM2008" t="n">
        <v>3</v>
      </c>
      <c r="AN2008" t="n">
        <v>2</v>
      </c>
      <c r="AO2008" t="n">
        <v>2</v>
      </c>
      <c r="AP2008" t="inlineStr">
        <is>
          <t>No</t>
        </is>
      </c>
      <c r="AQ2008" t="inlineStr">
        <is>
          <t>Yes</t>
        </is>
      </c>
      <c r="AR2008">
        <f>HYPERLINK("http://catalog.hathitrust.org/Record/004001538","HathiTrust Record")</f>
        <v/>
      </c>
      <c r="AS2008">
        <f>HYPERLINK("https://creighton-primo.hosted.exlibrisgroup.com/primo-explore/search?tab=default_tab&amp;search_scope=EVERYTHING&amp;vid=01CRU&amp;lang=en_US&amp;offset=0&amp;query=any,contains,991002948409702656","Catalog Record")</f>
        <v/>
      </c>
      <c r="AT2008">
        <f>HYPERLINK("http://www.worldcat.org/oclc/39281840","WorldCat Record")</f>
        <v/>
      </c>
      <c r="AU2008" t="inlineStr">
        <is>
          <t>42288178:eng</t>
        </is>
      </c>
      <c r="AV2008" t="inlineStr">
        <is>
          <t>39281840</t>
        </is>
      </c>
      <c r="AW2008" t="inlineStr">
        <is>
          <t>991002948409702656</t>
        </is>
      </c>
      <c r="AX2008" t="inlineStr">
        <is>
          <t>991002948409702656</t>
        </is>
      </c>
      <c r="AY2008" t="inlineStr">
        <is>
          <t>2267789460002656</t>
        </is>
      </c>
      <c r="AZ2008" t="inlineStr">
        <is>
          <t>BOOK</t>
        </is>
      </c>
      <c r="BB2008" t="inlineStr">
        <is>
          <t>9780684809700</t>
        </is>
      </c>
      <c r="BC2008" t="inlineStr">
        <is>
          <t>32285003580213</t>
        </is>
      </c>
      <c r="BD2008" t="inlineStr">
        <is>
          <t>893239712</t>
        </is>
      </c>
    </row>
    <row r="2009">
      <c r="A2009" t="inlineStr">
        <is>
          <t>No</t>
        </is>
      </c>
      <c r="B2009" t="inlineStr">
        <is>
          <t>E840.6 .B79 1975</t>
        </is>
      </c>
      <c r="C2009" t="inlineStr">
        <is>
          <t>0                      E  0840600B  79          1975</t>
        </is>
      </c>
      <c r="D2009" t="inlineStr">
        <is>
          <t>Dog days at the White House : the outrageous memoirs of the Presidential kennel keeper / Traphes Bryant, with Frances Spatz Leighton.</t>
        </is>
      </c>
      <c r="F2009" t="inlineStr">
        <is>
          <t>No</t>
        </is>
      </c>
      <c r="G2009" t="inlineStr">
        <is>
          <t>1</t>
        </is>
      </c>
      <c r="H2009" t="inlineStr">
        <is>
          <t>No</t>
        </is>
      </c>
      <c r="I2009" t="inlineStr">
        <is>
          <t>No</t>
        </is>
      </c>
      <c r="J2009" t="inlineStr">
        <is>
          <t>0</t>
        </is>
      </c>
      <c r="K2009" t="inlineStr">
        <is>
          <t>Bryant, Traphes.</t>
        </is>
      </c>
      <c r="L2009" t="inlineStr">
        <is>
          <t>New York : Macmillan, 1975.</t>
        </is>
      </c>
      <c r="M2009" t="inlineStr">
        <is>
          <t>1975</t>
        </is>
      </c>
      <c r="O2009" t="inlineStr">
        <is>
          <t>eng</t>
        </is>
      </c>
      <c r="P2009" t="inlineStr">
        <is>
          <t>nyu</t>
        </is>
      </c>
      <c r="R2009" t="inlineStr">
        <is>
          <t xml:space="preserve">E  </t>
        </is>
      </c>
      <c r="S2009" t="n">
        <v>11</v>
      </c>
      <c r="T2009" t="n">
        <v>11</v>
      </c>
      <c r="U2009" t="inlineStr">
        <is>
          <t>1992-05-27</t>
        </is>
      </c>
      <c r="V2009" t="inlineStr">
        <is>
          <t>1992-05-27</t>
        </is>
      </c>
      <c r="W2009" t="inlineStr">
        <is>
          <t>1991-06-19</t>
        </is>
      </c>
      <c r="X2009" t="inlineStr">
        <is>
          <t>1991-06-19</t>
        </is>
      </c>
      <c r="Y2009" t="n">
        <v>559</v>
      </c>
      <c r="Z2009" t="n">
        <v>549</v>
      </c>
      <c r="AA2009" t="n">
        <v>584</v>
      </c>
      <c r="AB2009" t="n">
        <v>8</v>
      </c>
      <c r="AC2009" t="n">
        <v>8</v>
      </c>
      <c r="AD2009" t="n">
        <v>3</v>
      </c>
      <c r="AE2009" t="n">
        <v>3</v>
      </c>
      <c r="AF2009" t="n">
        <v>2</v>
      </c>
      <c r="AG2009" t="n">
        <v>2</v>
      </c>
      <c r="AH2009" t="n">
        <v>0</v>
      </c>
      <c r="AI2009" t="n">
        <v>0</v>
      </c>
      <c r="AJ2009" t="n">
        <v>0</v>
      </c>
      <c r="AK2009" t="n">
        <v>0</v>
      </c>
      <c r="AL2009" t="n">
        <v>1</v>
      </c>
      <c r="AM2009" t="n">
        <v>1</v>
      </c>
      <c r="AN2009" t="n">
        <v>0</v>
      </c>
      <c r="AO2009" t="n">
        <v>0</v>
      </c>
      <c r="AP2009" t="inlineStr">
        <is>
          <t>No</t>
        </is>
      </c>
      <c r="AQ2009" t="inlineStr">
        <is>
          <t>Yes</t>
        </is>
      </c>
      <c r="AR2009">
        <f>HYPERLINK("http://catalog.hathitrust.org/Record/000022942","HathiTrust Record")</f>
        <v/>
      </c>
      <c r="AS2009">
        <f>HYPERLINK("https://creighton-primo.hosted.exlibrisgroup.com/primo-explore/search?tab=default_tab&amp;search_scope=EVERYTHING&amp;vid=01CRU&amp;lang=en_US&amp;offset=0&amp;query=any,contains,991003637069702656","Catalog Record")</f>
        <v/>
      </c>
      <c r="AT2009">
        <f>HYPERLINK("http://www.worldcat.org/oclc/1230790","WorldCat Record")</f>
        <v/>
      </c>
      <c r="AU2009" t="inlineStr">
        <is>
          <t>519537:eng</t>
        </is>
      </c>
      <c r="AV2009" t="inlineStr">
        <is>
          <t>1230790</t>
        </is>
      </c>
      <c r="AW2009" t="inlineStr">
        <is>
          <t>991003637069702656</t>
        </is>
      </c>
      <c r="AX2009" t="inlineStr">
        <is>
          <t>991003637069702656</t>
        </is>
      </c>
      <c r="AY2009" t="inlineStr">
        <is>
          <t>2261692250002656</t>
        </is>
      </c>
      <c r="AZ2009" t="inlineStr">
        <is>
          <t>BOOK</t>
        </is>
      </c>
      <c r="BB2009" t="inlineStr">
        <is>
          <t>9780025179905</t>
        </is>
      </c>
      <c r="BC2009" t="inlineStr">
        <is>
          <t>32285000670496</t>
        </is>
      </c>
      <c r="BD2009" t="inlineStr">
        <is>
          <t>893881376</t>
        </is>
      </c>
    </row>
    <row r="2010">
      <c r="A2010" t="inlineStr">
        <is>
          <t>No</t>
        </is>
      </c>
      <c r="B2010" t="inlineStr">
        <is>
          <t>E840.8.A37 A3 2003</t>
        </is>
      </c>
      <c r="C2010" t="inlineStr">
        <is>
          <t>0                      E  0840800A  37                 A  3           2003</t>
        </is>
      </c>
      <c r="D2010" t="inlineStr">
        <is>
          <t>Madam Secretary / Madeleine Albright, with Bill Woodward.</t>
        </is>
      </c>
      <c r="F2010" t="inlineStr">
        <is>
          <t>No</t>
        </is>
      </c>
      <c r="G2010" t="inlineStr">
        <is>
          <t>1</t>
        </is>
      </c>
      <c r="H2010" t="inlineStr">
        <is>
          <t>No</t>
        </is>
      </c>
      <c r="I2010" t="inlineStr">
        <is>
          <t>No</t>
        </is>
      </c>
      <c r="J2010" t="inlineStr">
        <is>
          <t>0</t>
        </is>
      </c>
      <c r="K2010" t="inlineStr">
        <is>
          <t>Albright, Madeleine Korbel.</t>
        </is>
      </c>
      <c r="L2010" t="inlineStr">
        <is>
          <t>New York : Miramax Books, c2003.</t>
        </is>
      </c>
      <c r="M2010" t="inlineStr">
        <is>
          <t>2003</t>
        </is>
      </c>
      <c r="O2010" t="inlineStr">
        <is>
          <t>eng</t>
        </is>
      </c>
      <c r="P2010" t="inlineStr">
        <is>
          <t>nyu</t>
        </is>
      </c>
      <c r="R2010" t="inlineStr">
        <is>
          <t xml:space="preserve">E  </t>
        </is>
      </c>
      <c r="S2010" t="n">
        <v>1</v>
      </c>
      <c r="T2010" t="n">
        <v>1</v>
      </c>
      <c r="U2010" t="inlineStr">
        <is>
          <t>2003-12-11</t>
        </is>
      </c>
      <c r="V2010" t="inlineStr">
        <is>
          <t>2003-12-11</t>
        </is>
      </c>
      <c r="W2010" t="inlineStr">
        <is>
          <t>2003-12-11</t>
        </is>
      </c>
      <c r="X2010" t="inlineStr">
        <is>
          <t>2003-12-11</t>
        </is>
      </c>
      <c r="Y2010" t="n">
        <v>2157</v>
      </c>
      <c r="Z2010" t="n">
        <v>2064</v>
      </c>
      <c r="AA2010" t="n">
        <v>2512</v>
      </c>
      <c r="AB2010" t="n">
        <v>25</v>
      </c>
      <c r="AC2010" t="n">
        <v>31</v>
      </c>
      <c r="AD2010" t="n">
        <v>50</v>
      </c>
      <c r="AE2010" t="n">
        <v>56</v>
      </c>
      <c r="AF2010" t="n">
        <v>25</v>
      </c>
      <c r="AG2010" t="n">
        <v>26</v>
      </c>
      <c r="AH2010" t="n">
        <v>8</v>
      </c>
      <c r="AI2010" t="n">
        <v>9</v>
      </c>
      <c r="AJ2010" t="n">
        <v>18</v>
      </c>
      <c r="AK2010" t="n">
        <v>20</v>
      </c>
      <c r="AL2010" t="n">
        <v>7</v>
      </c>
      <c r="AM2010" t="n">
        <v>8</v>
      </c>
      <c r="AN2010" t="n">
        <v>3</v>
      </c>
      <c r="AO2010" t="n">
        <v>4</v>
      </c>
      <c r="AP2010" t="inlineStr">
        <is>
          <t>No</t>
        </is>
      </c>
      <c r="AQ2010" t="inlineStr">
        <is>
          <t>Yes</t>
        </is>
      </c>
      <c r="AR2010">
        <f>HYPERLINK("http://catalog.hathitrust.org/Record/004333461","HathiTrust Record")</f>
        <v/>
      </c>
      <c r="AS2010">
        <f>HYPERLINK("https://creighton-primo.hosted.exlibrisgroup.com/primo-explore/search?tab=default_tab&amp;search_scope=EVERYTHING&amp;vid=01CRU&amp;lang=en_US&amp;offset=0&amp;query=any,contains,991004175169702656","Catalog Record")</f>
        <v/>
      </c>
      <c r="AT2010">
        <f>HYPERLINK("http://www.worldcat.org/oclc/52824764","WorldCat Record")</f>
        <v/>
      </c>
      <c r="AU2010" t="inlineStr">
        <is>
          <t>687112:eng</t>
        </is>
      </c>
      <c r="AV2010" t="inlineStr">
        <is>
          <t>52824764</t>
        </is>
      </c>
      <c r="AW2010" t="inlineStr">
        <is>
          <t>991004175169702656</t>
        </is>
      </c>
      <c r="AX2010" t="inlineStr">
        <is>
          <t>991004175169702656</t>
        </is>
      </c>
      <c r="AY2010" t="inlineStr">
        <is>
          <t>2270750220002656</t>
        </is>
      </c>
      <c r="AZ2010" t="inlineStr">
        <is>
          <t>BOOK</t>
        </is>
      </c>
      <c r="BB2010" t="inlineStr">
        <is>
          <t>9780786868438</t>
        </is>
      </c>
      <c r="BC2010" t="inlineStr">
        <is>
          <t>32285004846308</t>
        </is>
      </c>
      <c r="BD2010" t="inlineStr">
        <is>
          <t>893349703</t>
        </is>
      </c>
    </row>
    <row r="2011">
      <c r="A2011" t="inlineStr">
        <is>
          <t>No</t>
        </is>
      </c>
      <c r="B2011" t="inlineStr">
        <is>
          <t>E840.8.A37 B57 1997</t>
        </is>
      </c>
      <c r="C2011" t="inlineStr">
        <is>
          <t>0                      E  0840800A  37                 B  57          1997</t>
        </is>
      </c>
      <c r="D2011" t="inlineStr">
        <is>
          <t>Madam secretary : a biography of Madeleine Albright / by Thomas Blood.</t>
        </is>
      </c>
      <c r="F2011" t="inlineStr">
        <is>
          <t>No</t>
        </is>
      </c>
      <c r="G2011" t="inlineStr">
        <is>
          <t>1</t>
        </is>
      </c>
      <c r="H2011" t="inlineStr">
        <is>
          <t>No</t>
        </is>
      </c>
      <c r="I2011" t="inlineStr">
        <is>
          <t>No</t>
        </is>
      </c>
      <c r="J2011" t="inlineStr">
        <is>
          <t>0</t>
        </is>
      </c>
      <c r="K2011" t="inlineStr">
        <is>
          <t>Blood, Thomas.</t>
        </is>
      </c>
      <c r="L2011" t="inlineStr">
        <is>
          <t>New York : St. Martin's Press, 1997.</t>
        </is>
      </c>
      <c r="M2011" t="inlineStr">
        <is>
          <t>1997</t>
        </is>
      </c>
      <c r="N2011" t="inlineStr">
        <is>
          <t>1st ed.</t>
        </is>
      </c>
      <c r="O2011" t="inlineStr">
        <is>
          <t>eng</t>
        </is>
      </c>
      <c r="P2011" t="inlineStr">
        <is>
          <t>nyu</t>
        </is>
      </c>
      <c r="R2011" t="inlineStr">
        <is>
          <t xml:space="preserve">E  </t>
        </is>
      </c>
      <c r="S2011" t="n">
        <v>2</v>
      </c>
      <c r="T2011" t="n">
        <v>2</v>
      </c>
      <c r="U2011" t="inlineStr">
        <is>
          <t>2001-03-15</t>
        </is>
      </c>
      <c r="V2011" t="inlineStr">
        <is>
          <t>2001-03-15</t>
        </is>
      </c>
      <c r="W2011" t="inlineStr">
        <is>
          <t>1997-11-18</t>
        </is>
      </c>
      <c r="X2011" t="inlineStr">
        <is>
          <t>1997-11-18</t>
        </is>
      </c>
      <c r="Y2011" t="n">
        <v>725</v>
      </c>
      <c r="Z2011" t="n">
        <v>691</v>
      </c>
      <c r="AA2011" t="n">
        <v>734</v>
      </c>
      <c r="AB2011" t="n">
        <v>7</v>
      </c>
      <c r="AC2011" t="n">
        <v>7</v>
      </c>
      <c r="AD2011" t="n">
        <v>12</v>
      </c>
      <c r="AE2011" t="n">
        <v>13</v>
      </c>
      <c r="AF2011" t="n">
        <v>2</v>
      </c>
      <c r="AG2011" t="n">
        <v>3</v>
      </c>
      <c r="AH2011" t="n">
        <v>2</v>
      </c>
      <c r="AI2011" t="n">
        <v>2</v>
      </c>
      <c r="AJ2011" t="n">
        <v>6</v>
      </c>
      <c r="AK2011" t="n">
        <v>6</v>
      </c>
      <c r="AL2011" t="n">
        <v>2</v>
      </c>
      <c r="AM2011" t="n">
        <v>2</v>
      </c>
      <c r="AN2011" t="n">
        <v>2</v>
      </c>
      <c r="AO2011" t="n">
        <v>2</v>
      </c>
      <c r="AP2011" t="inlineStr">
        <is>
          <t>No</t>
        </is>
      </c>
      <c r="AQ2011" t="inlineStr">
        <is>
          <t>No</t>
        </is>
      </c>
      <c r="AS2011">
        <f>HYPERLINK("https://creighton-primo.hosted.exlibrisgroup.com/primo-explore/search?tab=default_tab&amp;search_scope=EVERYTHING&amp;vid=01CRU&amp;lang=en_US&amp;offset=0&amp;query=any,contains,991002800399702656","Catalog Record")</f>
        <v/>
      </c>
      <c r="AT2011">
        <f>HYPERLINK("http://www.worldcat.org/oclc/36783848","WorldCat Record")</f>
        <v/>
      </c>
      <c r="AU2011" t="inlineStr">
        <is>
          <t>609190:eng</t>
        </is>
      </c>
      <c r="AV2011" t="inlineStr">
        <is>
          <t>36783848</t>
        </is>
      </c>
      <c r="AW2011" t="inlineStr">
        <is>
          <t>991002800399702656</t>
        </is>
      </c>
      <c r="AX2011" t="inlineStr">
        <is>
          <t>991002800399702656</t>
        </is>
      </c>
      <c r="AY2011" t="inlineStr">
        <is>
          <t>2256630880002656</t>
        </is>
      </c>
      <c r="AZ2011" t="inlineStr">
        <is>
          <t>BOOK</t>
        </is>
      </c>
      <c r="BB2011" t="inlineStr">
        <is>
          <t>9780312171803</t>
        </is>
      </c>
      <c r="BC2011" t="inlineStr">
        <is>
          <t>32285003271185</t>
        </is>
      </c>
      <c r="BD2011" t="inlineStr">
        <is>
          <t>893692018</t>
        </is>
      </c>
    </row>
    <row r="2012">
      <c r="A2012" t="inlineStr">
        <is>
          <t>No</t>
        </is>
      </c>
      <c r="B2012" t="inlineStr">
        <is>
          <t>E840.8.A37 D63 1999</t>
        </is>
      </c>
      <c r="C2012" t="inlineStr">
        <is>
          <t>0                      E  0840800A  37                 D  63          1999</t>
        </is>
      </c>
      <c r="D2012" t="inlineStr">
        <is>
          <t>Madeleine Albright : a twentieth-century odyssey / Michael Dobbs.</t>
        </is>
      </c>
      <c r="F2012" t="inlineStr">
        <is>
          <t>No</t>
        </is>
      </c>
      <c r="G2012" t="inlineStr">
        <is>
          <t>1</t>
        </is>
      </c>
      <c r="H2012" t="inlineStr">
        <is>
          <t>No</t>
        </is>
      </c>
      <c r="I2012" t="inlineStr">
        <is>
          <t>No</t>
        </is>
      </c>
      <c r="J2012" t="inlineStr">
        <is>
          <t>0</t>
        </is>
      </c>
      <c r="K2012" t="inlineStr">
        <is>
          <t>Dobbs, Michael, 1950-</t>
        </is>
      </c>
      <c r="L2012" t="inlineStr">
        <is>
          <t>New York : Henry Holt and Co., 1999.</t>
        </is>
      </c>
      <c r="M2012" t="inlineStr">
        <is>
          <t>1999</t>
        </is>
      </c>
      <c r="N2012" t="inlineStr">
        <is>
          <t>1st ed.</t>
        </is>
      </c>
      <c r="O2012" t="inlineStr">
        <is>
          <t>eng</t>
        </is>
      </c>
      <c r="P2012" t="inlineStr">
        <is>
          <t>nyu</t>
        </is>
      </c>
      <c r="R2012" t="inlineStr">
        <is>
          <t xml:space="preserve">E  </t>
        </is>
      </c>
      <c r="S2012" t="n">
        <v>2</v>
      </c>
      <c r="T2012" t="n">
        <v>2</v>
      </c>
      <c r="U2012" t="inlineStr">
        <is>
          <t>2005-12-06</t>
        </is>
      </c>
      <c r="V2012" t="inlineStr">
        <is>
          <t>2005-12-06</t>
        </is>
      </c>
      <c r="W2012" t="inlineStr">
        <is>
          <t>1999-08-09</t>
        </is>
      </c>
      <c r="X2012" t="inlineStr">
        <is>
          <t>1999-08-09</t>
        </is>
      </c>
      <c r="Y2012" t="n">
        <v>1148</v>
      </c>
      <c r="Z2012" t="n">
        <v>1089</v>
      </c>
      <c r="AA2012" t="n">
        <v>1136</v>
      </c>
      <c r="AB2012" t="n">
        <v>8</v>
      </c>
      <c r="AC2012" t="n">
        <v>8</v>
      </c>
      <c r="AD2012" t="n">
        <v>34</v>
      </c>
      <c r="AE2012" t="n">
        <v>37</v>
      </c>
      <c r="AF2012" t="n">
        <v>13</v>
      </c>
      <c r="AG2012" t="n">
        <v>14</v>
      </c>
      <c r="AH2012" t="n">
        <v>9</v>
      </c>
      <c r="AI2012" t="n">
        <v>9</v>
      </c>
      <c r="AJ2012" t="n">
        <v>16</v>
      </c>
      <c r="AK2012" t="n">
        <v>18</v>
      </c>
      <c r="AL2012" t="n">
        <v>5</v>
      </c>
      <c r="AM2012" t="n">
        <v>5</v>
      </c>
      <c r="AN2012" t="n">
        <v>0</v>
      </c>
      <c r="AO2012" t="n">
        <v>1</v>
      </c>
      <c r="AP2012" t="inlineStr">
        <is>
          <t>No</t>
        </is>
      </c>
      <c r="AQ2012" t="inlineStr">
        <is>
          <t>No</t>
        </is>
      </c>
      <c r="AS2012">
        <f>HYPERLINK("https://creighton-primo.hosted.exlibrisgroup.com/primo-explore/search?tab=default_tab&amp;search_scope=EVERYTHING&amp;vid=01CRU&amp;lang=en_US&amp;offset=0&amp;query=any,contains,991002995069702656","Catalog Record")</f>
        <v/>
      </c>
      <c r="AT2012">
        <f>HYPERLINK("http://www.worldcat.org/oclc/40473788","WorldCat Record")</f>
        <v/>
      </c>
      <c r="AU2012" t="inlineStr">
        <is>
          <t>6083588:eng</t>
        </is>
      </c>
      <c r="AV2012" t="inlineStr">
        <is>
          <t>40473788</t>
        </is>
      </c>
      <c r="AW2012" t="inlineStr">
        <is>
          <t>991002995069702656</t>
        </is>
      </c>
      <c r="AX2012" t="inlineStr">
        <is>
          <t>991002995069702656</t>
        </is>
      </c>
      <c r="AY2012" t="inlineStr">
        <is>
          <t>2264221020002656</t>
        </is>
      </c>
      <c r="AZ2012" t="inlineStr">
        <is>
          <t>BOOK</t>
        </is>
      </c>
      <c r="BB2012" t="inlineStr">
        <is>
          <t>9780805056594</t>
        </is>
      </c>
      <c r="BC2012" t="inlineStr">
        <is>
          <t>32285003580536</t>
        </is>
      </c>
      <c r="BD2012" t="inlineStr">
        <is>
          <t>893428318</t>
        </is>
      </c>
    </row>
    <row r="2013">
      <c r="A2013" t="inlineStr">
        <is>
          <t>No</t>
        </is>
      </c>
      <c r="B2013" t="inlineStr">
        <is>
          <t>E840.8.A37 L57 2000</t>
        </is>
      </c>
      <c r="C2013" t="inlineStr">
        <is>
          <t>0                      E  0840800A  37                 L  57          2000</t>
        </is>
      </c>
      <c r="D2013" t="inlineStr">
        <is>
          <t>Madeleine Albright and the new American diplomacy / Thomas W. Lippman.</t>
        </is>
      </c>
      <c r="F2013" t="inlineStr">
        <is>
          <t>No</t>
        </is>
      </c>
      <c r="G2013" t="inlineStr">
        <is>
          <t>1</t>
        </is>
      </c>
      <c r="H2013" t="inlineStr">
        <is>
          <t>No</t>
        </is>
      </c>
      <c r="I2013" t="inlineStr">
        <is>
          <t>No</t>
        </is>
      </c>
      <c r="J2013" t="inlineStr">
        <is>
          <t>0</t>
        </is>
      </c>
      <c r="K2013" t="inlineStr">
        <is>
          <t>Lippman, Thomas W.</t>
        </is>
      </c>
      <c r="L2013" t="inlineStr">
        <is>
          <t>Boulder, CO : Westview Press, c2000.</t>
        </is>
      </c>
      <c r="M2013" t="inlineStr">
        <is>
          <t>2000</t>
        </is>
      </c>
      <c r="O2013" t="inlineStr">
        <is>
          <t>eng</t>
        </is>
      </c>
      <c r="P2013" t="inlineStr">
        <is>
          <t>cou</t>
        </is>
      </c>
      <c r="R2013" t="inlineStr">
        <is>
          <t xml:space="preserve">E  </t>
        </is>
      </c>
      <c r="S2013" t="n">
        <v>2</v>
      </c>
      <c r="T2013" t="n">
        <v>2</v>
      </c>
      <c r="U2013" t="inlineStr">
        <is>
          <t>2001-03-15</t>
        </is>
      </c>
      <c r="V2013" t="inlineStr">
        <is>
          <t>2001-03-15</t>
        </is>
      </c>
      <c r="W2013" t="inlineStr">
        <is>
          <t>2000-11-06</t>
        </is>
      </c>
      <c r="X2013" t="inlineStr">
        <is>
          <t>2000-11-06</t>
        </is>
      </c>
      <c r="Y2013" t="n">
        <v>641</v>
      </c>
      <c r="Z2013" t="n">
        <v>591</v>
      </c>
      <c r="AA2013" t="n">
        <v>608</v>
      </c>
      <c r="AB2013" t="n">
        <v>4</v>
      </c>
      <c r="AC2013" t="n">
        <v>4</v>
      </c>
      <c r="AD2013" t="n">
        <v>28</v>
      </c>
      <c r="AE2013" t="n">
        <v>29</v>
      </c>
      <c r="AF2013" t="n">
        <v>11</v>
      </c>
      <c r="AG2013" t="n">
        <v>11</v>
      </c>
      <c r="AH2013" t="n">
        <v>7</v>
      </c>
      <c r="AI2013" t="n">
        <v>7</v>
      </c>
      <c r="AJ2013" t="n">
        <v>13</v>
      </c>
      <c r="AK2013" t="n">
        <v>14</v>
      </c>
      <c r="AL2013" t="n">
        <v>3</v>
      </c>
      <c r="AM2013" t="n">
        <v>3</v>
      </c>
      <c r="AN2013" t="n">
        <v>0</v>
      </c>
      <c r="AO2013" t="n">
        <v>0</v>
      </c>
      <c r="AP2013" t="inlineStr">
        <is>
          <t>No</t>
        </is>
      </c>
      <c r="AQ2013" t="inlineStr">
        <is>
          <t>Yes</t>
        </is>
      </c>
      <c r="AR2013">
        <f>HYPERLINK("http://catalog.hathitrust.org/Record/004106585","HathiTrust Record")</f>
        <v/>
      </c>
      <c r="AS2013">
        <f>HYPERLINK("https://creighton-primo.hosted.exlibrisgroup.com/primo-explore/search?tab=default_tab&amp;search_scope=EVERYTHING&amp;vid=01CRU&amp;lang=en_US&amp;offset=0&amp;query=any,contains,991003302339702656","Catalog Record")</f>
        <v/>
      </c>
      <c r="AT2013">
        <f>HYPERLINK("http://www.worldcat.org/oclc/43656992","WorldCat Record")</f>
        <v/>
      </c>
      <c r="AU2013" t="inlineStr">
        <is>
          <t>17920907:eng</t>
        </is>
      </c>
      <c r="AV2013" t="inlineStr">
        <is>
          <t>43656992</t>
        </is>
      </c>
      <c r="AW2013" t="inlineStr">
        <is>
          <t>991003302339702656</t>
        </is>
      </c>
      <c r="AX2013" t="inlineStr">
        <is>
          <t>991003302339702656</t>
        </is>
      </c>
      <c r="AY2013" t="inlineStr">
        <is>
          <t>2267753010002656</t>
        </is>
      </c>
      <c r="AZ2013" t="inlineStr">
        <is>
          <t>BOOK</t>
        </is>
      </c>
      <c r="BB2013" t="inlineStr">
        <is>
          <t>9780813397672</t>
        </is>
      </c>
      <c r="BC2013" t="inlineStr">
        <is>
          <t>32285004263033</t>
        </is>
      </c>
      <c r="BD2013" t="inlineStr">
        <is>
          <t>893330184</t>
        </is>
      </c>
    </row>
    <row r="2014">
      <c r="A2014" t="inlineStr">
        <is>
          <t>No</t>
        </is>
      </c>
      <c r="B2014" t="inlineStr">
        <is>
          <t>E840.8.B725 A3 2004</t>
        </is>
      </c>
      <c r="C2014" t="inlineStr">
        <is>
          <t>0                      E  0840800B  725                A  3           2004</t>
        </is>
      </c>
      <c r="D2014" t="inlineStr">
        <is>
          <t>Cooking with grease : stirring the pots in American politics / Donna Brazile.</t>
        </is>
      </c>
      <c r="F2014" t="inlineStr">
        <is>
          <t>No</t>
        </is>
      </c>
      <c r="G2014" t="inlineStr">
        <is>
          <t>1</t>
        </is>
      </c>
      <c r="H2014" t="inlineStr">
        <is>
          <t>No</t>
        </is>
      </c>
      <c r="I2014" t="inlineStr">
        <is>
          <t>No</t>
        </is>
      </c>
      <c r="J2014" t="inlineStr">
        <is>
          <t>0</t>
        </is>
      </c>
      <c r="K2014" t="inlineStr">
        <is>
          <t>Brazile, Donna, 1959-</t>
        </is>
      </c>
      <c r="L2014" t="inlineStr">
        <is>
          <t>New York : Simon &amp; Schuster, c2004.</t>
        </is>
      </c>
      <c r="M2014" t="inlineStr">
        <is>
          <t>2004</t>
        </is>
      </c>
      <c r="O2014" t="inlineStr">
        <is>
          <t>eng</t>
        </is>
      </c>
      <c r="P2014" t="inlineStr">
        <is>
          <t>nyu</t>
        </is>
      </c>
      <c r="R2014" t="inlineStr">
        <is>
          <t xml:space="preserve">E  </t>
        </is>
      </c>
      <c r="S2014" t="n">
        <v>1</v>
      </c>
      <c r="T2014" t="n">
        <v>1</v>
      </c>
      <c r="U2014" t="inlineStr">
        <is>
          <t>2005-01-27</t>
        </is>
      </c>
      <c r="V2014" t="inlineStr">
        <is>
          <t>2005-01-27</t>
        </is>
      </c>
      <c r="W2014" t="inlineStr">
        <is>
          <t>2005-01-27</t>
        </is>
      </c>
      <c r="X2014" t="inlineStr">
        <is>
          <t>2005-01-27</t>
        </is>
      </c>
      <c r="Y2014" t="n">
        <v>700</v>
      </c>
      <c r="Z2014" t="n">
        <v>688</v>
      </c>
      <c r="AA2014" t="n">
        <v>786</v>
      </c>
      <c r="AB2014" t="n">
        <v>5</v>
      </c>
      <c r="AC2014" t="n">
        <v>5</v>
      </c>
      <c r="AD2014" t="n">
        <v>19</v>
      </c>
      <c r="AE2014" t="n">
        <v>21</v>
      </c>
      <c r="AF2014" t="n">
        <v>7</v>
      </c>
      <c r="AG2014" t="n">
        <v>9</v>
      </c>
      <c r="AH2014" t="n">
        <v>4</v>
      </c>
      <c r="AI2014" t="n">
        <v>4</v>
      </c>
      <c r="AJ2014" t="n">
        <v>9</v>
      </c>
      <c r="AK2014" t="n">
        <v>10</v>
      </c>
      <c r="AL2014" t="n">
        <v>3</v>
      </c>
      <c r="AM2014" t="n">
        <v>3</v>
      </c>
      <c r="AN2014" t="n">
        <v>0</v>
      </c>
      <c r="AO2014" t="n">
        <v>0</v>
      </c>
      <c r="AP2014" t="inlineStr">
        <is>
          <t>No</t>
        </is>
      </c>
      <c r="AQ2014" t="inlineStr">
        <is>
          <t>Yes</t>
        </is>
      </c>
      <c r="AR2014">
        <f>HYPERLINK("http://catalog.hathitrust.org/Record/004722122","HathiTrust Record")</f>
        <v/>
      </c>
      <c r="AS2014">
        <f>HYPERLINK("https://creighton-primo.hosted.exlibrisgroup.com/primo-explore/search?tab=default_tab&amp;search_scope=EVERYTHING&amp;vid=01CRU&amp;lang=en_US&amp;offset=0&amp;query=any,contains,991004304999702656","Catalog Record")</f>
        <v/>
      </c>
      <c r="AT2014">
        <f>HYPERLINK("http://www.worldcat.org/oclc/54960558","WorldCat Record")</f>
        <v/>
      </c>
      <c r="AU2014" t="inlineStr">
        <is>
          <t>196101996:eng</t>
        </is>
      </c>
      <c r="AV2014" t="inlineStr">
        <is>
          <t>54960558</t>
        </is>
      </c>
      <c r="AW2014" t="inlineStr">
        <is>
          <t>991004304999702656</t>
        </is>
      </c>
      <c r="AX2014" t="inlineStr">
        <is>
          <t>991004304999702656</t>
        </is>
      </c>
      <c r="AY2014" t="inlineStr">
        <is>
          <t>2263601030002656</t>
        </is>
      </c>
      <c r="AZ2014" t="inlineStr">
        <is>
          <t>BOOK</t>
        </is>
      </c>
      <c r="BB2014" t="inlineStr">
        <is>
          <t>9780743253987</t>
        </is>
      </c>
      <c r="BC2014" t="inlineStr">
        <is>
          <t>32285005023600</t>
        </is>
      </c>
      <c r="BD2014" t="inlineStr">
        <is>
          <t>893442464</t>
        </is>
      </c>
    </row>
    <row r="2015">
      <c r="A2015" t="inlineStr">
        <is>
          <t>No</t>
        </is>
      </c>
      <c r="B2015" t="inlineStr">
        <is>
          <t>E840.8.B83 A3 1988</t>
        </is>
      </c>
      <c r="C2015" t="inlineStr">
        <is>
          <t>0                      E  0840800B  83                 A  3           1988</t>
        </is>
      </c>
      <c r="D2015" t="inlineStr">
        <is>
          <t>Right from the beginning / by Patrick J. Buchanan.</t>
        </is>
      </c>
      <c r="F2015" t="inlineStr">
        <is>
          <t>No</t>
        </is>
      </c>
      <c r="G2015" t="inlineStr">
        <is>
          <t>1</t>
        </is>
      </c>
      <c r="H2015" t="inlineStr">
        <is>
          <t>No</t>
        </is>
      </c>
      <c r="I2015" t="inlineStr">
        <is>
          <t>No</t>
        </is>
      </c>
      <c r="J2015" t="inlineStr">
        <is>
          <t>0</t>
        </is>
      </c>
      <c r="K2015" t="inlineStr">
        <is>
          <t>Buchanan, Patrick J. (Patrick Joseph), 1938-</t>
        </is>
      </c>
      <c r="L2015" t="inlineStr">
        <is>
          <t>Boston : Little, Brown, c1988.</t>
        </is>
      </c>
      <c r="M2015" t="inlineStr">
        <is>
          <t>1988</t>
        </is>
      </c>
      <c r="N2015" t="inlineStr">
        <is>
          <t>1st ed.</t>
        </is>
      </c>
      <c r="O2015" t="inlineStr">
        <is>
          <t>eng</t>
        </is>
      </c>
      <c r="P2015" t="inlineStr">
        <is>
          <t>mau</t>
        </is>
      </c>
      <c r="R2015" t="inlineStr">
        <is>
          <t xml:space="preserve">E  </t>
        </is>
      </c>
      <c r="S2015" t="n">
        <v>4</v>
      </c>
      <c r="T2015" t="n">
        <v>4</v>
      </c>
      <c r="U2015" t="inlineStr">
        <is>
          <t>1994-08-26</t>
        </is>
      </c>
      <c r="V2015" t="inlineStr">
        <is>
          <t>1994-08-26</t>
        </is>
      </c>
      <c r="W2015" t="inlineStr">
        <is>
          <t>1991-06-19</t>
        </is>
      </c>
      <c r="X2015" t="inlineStr">
        <is>
          <t>1991-06-19</t>
        </is>
      </c>
      <c r="Y2015" t="n">
        <v>870</v>
      </c>
      <c r="Z2015" t="n">
        <v>838</v>
      </c>
      <c r="AA2015" t="n">
        <v>946</v>
      </c>
      <c r="AB2015" t="n">
        <v>7</v>
      </c>
      <c r="AC2015" t="n">
        <v>8</v>
      </c>
      <c r="AD2015" t="n">
        <v>21</v>
      </c>
      <c r="AE2015" t="n">
        <v>22</v>
      </c>
      <c r="AF2015" t="n">
        <v>10</v>
      </c>
      <c r="AG2015" t="n">
        <v>10</v>
      </c>
      <c r="AH2015" t="n">
        <v>5</v>
      </c>
      <c r="AI2015" t="n">
        <v>5</v>
      </c>
      <c r="AJ2015" t="n">
        <v>10</v>
      </c>
      <c r="AK2015" t="n">
        <v>11</v>
      </c>
      <c r="AL2015" t="n">
        <v>2</v>
      </c>
      <c r="AM2015" t="n">
        <v>2</v>
      </c>
      <c r="AN2015" t="n">
        <v>0</v>
      </c>
      <c r="AO2015" t="n">
        <v>0</v>
      </c>
      <c r="AP2015" t="inlineStr">
        <is>
          <t>No</t>
        </is>
      </c>
      <c r="AQ2015" t="inlineStr">
        <is>
          <t>No</t>
        </is>
      </c>
      <c r="AS2015">
        <f>HYPERLINK("https://creighton-primo.hosted.exlibrisgroup.com/primo-explore/search?tab=default_tab&amp;search_scope=EVERYTHING&amp;vid=01CRU&amp;lang=en_US&amp;offset=0&amp;query=any,contains,991001203519702656","Catalog Record")</f>
        <v/>
      </c>
      <c r="AT2015">
        <f>HYPERLINK("http://www.worldcat.org/oclc/17327899","WorldCat Record")</f>
        <v/>
      </c>
      <c r="AU2015" t="inlineStr">
        <is>
          <t>15875634:eng</t>
        </is>
      </c>
      <c r="AV2015" t="inlineStr">
        <is>
          <t>17327899</t>
        </is>
      </c>
      <c r="AW2015" t="inlineStr">
        <is>
          <t>991001203519702656</t>
        </is>
      </c>
      <c r="AX2015" t="inlineStr">
        <is>
          <t>991001203519702656</t>
        </is>
      </c>
      <c r="AY2015" t="inlineStr">
        <is>
          <t>2264030820002656</t>
        </is>
      </c>
      <c r="AZ2015" t="inlineStr">
        <is>
          <t>BOOK</t>
        </is>
      </c>
      <c r="BB2015" t="inlineStr">
        <is>
          <t>9780316114080</t>
        </is>
      </c>
      <c r="BC2015" t="inlineStr">
        <is>
          <t>32285000670538</t>
        </is>
      </c>
      <c r="BD2015" t="inlineStr">
        <is>
          <t>893327950</t>
        </is>
      </c>
    </row>
    <row r="2016">
      <c r="A2016" t="inlineStr">
        <is>
          <t>No</t>
        </is>
      </c>
      <c r="B2016" t="inlineStr">
        <is>
          <t>E840.8.B87 M55 1990</t>
        </is>
      </c>
      <c r="C2016" t="inlineStr">
        <is>
          <t>0                      E  0840800B  87                 M  55          1990</t>
        </is>
      </c>
      <c r="D2016" t="inlineStr">
        <is>
          <t>Millie's book / as dictated to Barbara Bush.</t>
        </is>
      </c>
      <c r="F2016" t="inlineStr">
        <is>
          <t>No</t>
        </is>
      </c>
      <c r="G2016" t="inlineStr">
        <is>
          <t>1</t>
        </is>
      </c>
      <c r="H2016" t="inlineStr">
        <is>
          <t>No</t>
        </is>
      </c>
      <c r="I2016" t="inlineStr">
        <is>
          <t>No</t>
        </is>
      </c>
      <c r="J2016" t="inlineStr">
        <is>
          <t>0</t>
        </is>
      </c>
      <c r="L2016" t="inlineStr">
        <is>
          <t>New York : William Morrow, 1990.</t>
        </is>
      </c>
      <c r="M2016" t="inlineStr">
        <is>
          <t>1990</t>
        </is>
      </c>
      <c r="N2016" t="inlineStr">
        <is>
          <t>1st ed.</t>
        </is>
      </c>
      <c r="O2016" t="inlineStr">
        <is>
          <t>eng</t>
        </is>
      </c>
      <c r="P2016" t="inlineStr">
        <is>
          <t>nyu</t>
        </is>
      </c>
      <c r="R2016" t="inlineStr">
        <is>
          <t xml:space="preserve">E  </t>
        </is>
      </c>
      <c r="S2016" t="n">
        <v>2</v>
      </c>
      <c r="T2016" t="n">
        <v>2</v>
      </c>
      <c r="U2016" t="inlineStr">
        <is>
          <t>1993-04-23</t>
        </is>
      </c>
      <c r="V2016" t="inlineStr">
        <is>
          <t>1993-04-23</t>
        </is>
      </c>
      <c r="W2016" t="inlineStr">
        <is>
          <t>1990-12-19</t>
        </is>
      </c>
      <c r="X2016" t="inlineStr">
        <is>
          <t>1990-12-19</t>
        </is>
      </c>
      <c r="Y2016" t="n">
        <v>1374</v>
      </c>
      <c r="Z2016" t="n">
        <v>1363</v>
      </c>
      <c r="AA2016" t="n">
        <v>1430</v>
      </c>
      <c r="AB2016" t="n">
        <v>17</v>
      </c>
      <c r="AC2016" t="n">
        <v>19</v>
      </c>
      <c r="AD2016" t="n">
        <v>6</v>
      </c>
      <c r="AE2016" t="n">
        <v>8</v>
      </c>
      <c r="AF2016" t="n">
        <v>3</v>
      </c>
      <c r="AG2016" t="n">
        <v>3</v>
      </c>
      <c r="AH2016" t="n">
        <v>0</v>
      </c>
      <c r="AI2016" t="n">
        <v>0</v>
      </c>
      <c r="AJ2016" t="n">
        <v>2</v>
      </c>
      <c r="AK2016" t="n">
        <v>2</v>
      </c>
      <c r="AL2016" t="n">
        <v>1</v>
      </c>
      <c r="AM2016" t="n">
        <v>3</v>
      </c>
      <c r="AN2016" t="n">
        <v>0</v>
      </c>
      <c r="AO2016" t="n">
        <v>0</v>
      </c>
      <c r="AP2016" t="inlineStr">
        <is>
          <t>No</t>
        </is>
      </c>
      <c r="AQ2016" t="inlineStr">
        <is>
          <t>No</t>
        </is>
      </c>
      <c r="AS2016">
        <f>HYPERLINK("https://creighton-primo.hosted.exlibrisgroup.com/primo-explore/search?tab=default_tab&amp;search_scope=EVERYTHING&amp;vid=01CRU&amp;lang=en_US&amp;offset=0&amp;query=any,contains,991001770759702656","Catalog Record")</f>
        <v/>
      </c>
      <c r="AT2016">
        <f>HYPERLINK("http://www.worldcat.org/oclc/20994018","WorldCat Record")</f>
        <v/>
      </c>
      <c r="AU2016" t="inlineStr">
        <is>
          <t>354206294:eng</t>
        </is>
      </c>
      <c r="AV2016" t="inlineStr">
        <is>
          <t>20994018</t>
        </is>
      </c>
      <c r="AW2016" t="inlineStr">
        <is>
          <t>991001770759702656</t>
        </is>
      </c>
      <c r="AX2016" t="inlineStr">
        <is>
          <t>991001770759702656</t>
        </is>
      </c>
      <c r="AY2016" t="inlineStr">
        <is>
          <t>2260328380002656</t>
        </is>
      </c>
      <c r="AZ2016" t="inlineStr">
        <is>
          <t>BOOK</t>
        </is>
      </c>
      <c r="BB2016" t="inlineStr">
        <is>
          <t>9780688040338</t>
        </is>
      </c>
      <c r="BC2016" t="inlineStr">
        <is>
          <t>32285000359876</t>
        </is>
      </c>
      <c r="BD2016" t="inlineStr">
        <is>
          <t>893690899</t>
        </is>
      </c>
    </row>
    <row r="2017">
      <c r="A2017" t="inlineStr">
        <is>
          <t>No</t>
        </is>
      </c>
      <c r="B2017" t="inlineStr">
        <is>
          <t>E840.8.C57 A44 1992</t>
        </is>
      </c>
      <c r="C2017" t="inlineStr">
        <is>
          <t>0                      E  0840800C  57                 A  44          1992</t>
        </is>
      </c>
      <c r="D2017" t="inlineStr">
        <is>
          <t>The comeback kid : the life and career of Bill Clinton / by Charles F. Allen and Jonathan Portis.</t>
        </is>
      </c>
      <c r="F2017" t="inlineStr">
        <is>
          <t>No</t>
        </is>
      </c>
      <c r="G2017" t="inlineStr">
        <is>
          <t>1</t>
        </is>
      </c>
      <c r="H2017" t="inlineStr">
        <is>
          <t>No</t>
        </is>
      </c>
      <c r="I2017" t="inlineStr">
        <is>
          <t>No</t>
        </is>
      </c>
      <c r="J2017" t="inlineStr">
        <is>
          <t>0</t>
        </is>
      </c>
      <c r="K2017" t="inlineStr">
        <is>
          <t>Allen, Charles F. (Charles Flynn)</t>
        </is>
      </c>
      <c r="L2017" t="inlineStr">
        <is>
          <t>New York : Birch Lane Press, c1992.</t>
        </is>
      </c>
      <c r="M2017" t="inlineStr">
        <is>
          <t>1992</t>
        </is>
      </c>
      <c r="O2017" t="inlineStr">
        <is>
          <t>eng</t>
        </is>
      </c>
      <c r="P2017" t="inlineStr">
        <is>
          <t>nyu</t>
        </is>
      </c>
      <c r="R2017" t="inlineStr">
        <is>
          <t xml:space="preserve">E  </t>
        </is>
      </c>
      <c r="S2017" t="n">
        <v>8</v>
      </c>
      <c r="T2017" t="n">
        <v>8</v>
      </c>
      <c r="U2017" t="inlineStr">
        <is>
          <t>2001-11-28</t>
        </is>
      </c>
      <c r="V2017" t="inlineStr">
        <is>
          <t>2001-11-28</t>
        </is>
      </c>
      <c r="W2017" t="inlineStr">
        <is>
          <t>1992-10-15</t>
        </is>
      </c>
      <c r="X2017" t="inlineStr">
        <is>
          <t>1992-10-15</t>
        </is>
      </c>
      <c r="Y2017" t="n">
        <v>1247</v>
      </c>
      <c r="Z2017" t="n">
        <v>1193</v>
      </c>
      <c r="AA2017" t="n">
        <v>1266</v>
      </c>
      <c r="AB2017" t="n">
        <v>10</v>
      </c>
      <c r="AC2017" t="n">
        <v>10</v>
      </c>
      <c r="AD2017" t="n">
        <v>20</v>
      </c>
      <c r="AE2017" t="n">
        <v>20</v>
      </c>
      <c r="AF2017" t="n">
        <v>8</v>
      </c>
      <c r="AG2017" t="n">
        <v>8</v>
      </c>
      <c r="AH2017" t="n">
        <v>3</v>
      </c>
      <c r="AI2017" t="n">
        <v>3</v>
      </c>
      <c r="AJ2017" t="n">
        <v>8</v>
      </c>
      <c r="AK2017" t="n">
        <v>8</v>
      </c>
      <c r="AL2017" t="n">
        <v>2</v>
      </c>
      <c r="AM2017" t="n">
        <v>2</v>
      </c>
      <c r="AN2017" t="n">
        <v>2</v>
      </c>
      <c r="AO2017" t="n">
        <v>2</v>
      </c>
      <c r="AP2017" t="inlineStr">
        <is>
          <t>No</t>
        </is>
      </c>
      <c r="AQ2017" t="inlineStr">
        <is>
          <t>Yes</t>
        </is>
      </c>
      <c r="AR2017">
        <f>HYPERLINK("http://catalog.hathitrust.org/Record/002588228","HathiTrust Record")</f>
        <v/>
      </c>
      <c r="AS2017">
        <f>HYPERLINK("https://creighton-primo.hosted.exlibrisgroup.com/primo-explore/search?tab=default_tab&amp;search_scope=EVERYTHING&amp;vid=01CRU&amp;lang=en_US&amp;offset=0&amp;query=any,contains,991002039939702656","Catalog Record")</f>
        <v/>
      </c>
      <c r="AT2017">
        <f>HYPERLINK("http://www.worldcat.org/oclc/26014579","WorldCat Record")</f>
        <v/>
      </c>
      <c r="AU2017" t="inlineStr">
        <is>
          <t>196068130:eng</t>
        </is>
      </c>
      <c r="AV2017" t="inlineStr">
        <is>
          <t>26014579</t>
        </is>
      </c>
      <c r="AW2017" t="inlineStr">
        <is>
          <t>991002039939702656</t>
        </is>
      </c>
      <c r="AX2017" t="inlineStr">
        <is>
          <t>991002039939702656</t>
        </is>
      </c>
      <c r="AY2017" t="inlineStr">
        <is>
          <t>2261321490002656</t>
        </is>
      </c>
      <c r="AZ2017" t="inlineStr">
        <is>
          <t>BOOK</t>
        </is>
      </c>
      <c r="BB2017" t="inlineStr">
        <is>
          <t>9781559721547</t>
        </is>
      </c>
      <c r="BC2017" t="inlineStr">
        <is>
          <t>32285001317923</t>
        </is>
      </c>
      <c r="BD2017" t="inlineStr">
        <is>
          <t>893898309</t>
        </is>
      </c>
    </row>
    <row r="2018">
      <c r="A2018" t="inlineStr">
        <is>
          <t>No</t>
        </is>
      </c>
      <c r="B2018" t="inlineStr">
        <is>
          <t>E840.8.C66 A3 1993</t>
        </is>
      </c>
      <c r="C2018" t="inlineStr">
        <is>
          <t>0                      E  0840800C  66                 A  3           1993</t>
        </is>
      </c>
      <c r="D2018" t="inlineStr">
        <is>
          <t>In history's shadow : an American odyssey / by John Connally, with Mickey Herskowitz.</t>
        </is>
      </c>
      <c r="F2018" t="inlineStr">
        <is>
          <t>No</t>
        </is>
      </c>
      <c r="G2018" t="inlineStr">
        <is>
          <t>1</t>
        </is>
      </c>
      <c r="H2018" t="inlineStr">
        <is>
          <t>No</t>
        </is>
      </c>
      <c r="I2018" t="inlineStr">
        <is>
          <t>No</t>
        </is>
      </c>
      <c r="J2018" t="inlineStr">
        <is>
          <t>0</t>
        </is>
      </c>
      <c r="K2018" t="inlineStr">
        <is>
          <t>Connally, John Bowden, 1917-1993.</t>
        </is>
      </c>
      <c r="L2018" t="inlineStr">
        <is>
          <t>New York : Hyperion, 1993.</t>
        </is>
      </c>
      <c r="M2018" t="inlineStr">
        <is>
          <t>1993</t>
        </is>
      </c>
      <c r="N2018" t="inlineStr">
        <is>
          <t>1st ed.</t>
        </is>
      </c>
      <c r="O2018" t="inlineStr">
        <is>
          <t>eng</t>
        </is>
      </c>
      <c r="P2018" t="inlineStr">
        <is>
          <t>nyu</t>
        </is>
      </c>
      <c r="R2018" t="inlineStr">
        <is>
          <t xml:space="preserve">E  </t>
        </is>
      </c>
      <c r="S2018" t="n">
        <v>3</v>
      </c>
      <c r="T2018" t="n">
        <v>3</v>
      </c>
      <c r="U2018" t="inlineStr">
        <is>
          <t>2000-02-01</t>
        </is>
      </c>
      <c r="V2018" t="inlineStr">
        <is>
          <t>2000-02-01</t>
        </is>
      </c>
      <c r="W2018" t="inlineStr">
        <is>
          <t>1994-01-26</t>
        </is>
      </c>
      <c r="X2018" t="inlineStr">
        <is>
          <t>1994-01-26</t>
        </is>
      </c>
      <c r="Y2018" t="n">
        <v>1065</v>
      </c>
      <c r="Z2018" t="n">
        <v>1042</v>
      </c>
      <c r="AA2018" t="n">
        <v>1049</v>
      </c>
      <c r="AB2018" t="n">
        <v>4</v>
      </c>
      <c r="AC2018" t="n">
        <v>4</v>
      </c>
      <c r="AD2018" t="n">
        <v>24</v>
      </c>
      <c r="AE2018" t="n">
        <v>24</v>
      </c>
      <c r="AF2018" t="n">
        <v>8</v>
      </c>
      <c r="AG2018" t="n">
        <v>8</v>
      </c>
      <c r="AH2018" t="n">
        <v>8</v>
      </c>
      <c r="AI2018" t="n">
        <v>8</v>
      </c>
      <c r="AJ2018" t="n">
        <v>11</v>
      </c>
      <c r="AK2018" t="n">
        <v>11</v>
      </c>
      <c r="AL2018" t="n">
        <v>2</v>
      </c>
      <c r="AM2018" t="n">
        <v>2</v>
      </c>
      <c r="AN2018" t="n">
        <v>1</v>
      </c>
      <c r="AO2018" t="n">
        <v>1</v>
      </c>
      <c r="AP2018" t="inlineStr">
        <is>
          <t>No</t>
        </is>
      </c>
      <c r="AQ2018" t="inlineStr">
        <is>
          <t>Yes</t>
        </is>
      </c>
      <c r="AR2018">
        <f>HYPERLINK("http://catalog.hathitrust.org/Record/002782261","HathiTrust Record")</f>
        <v/>
      </c>
      <c r="AS2018">
        <f>HYPERLINK("https://creighton-primo.hosted.exlibrisgroup.com/primo-explore/search?tab=default_tab&amp;search_scope=EVERYTHING&amp;vid=01CRU&amp;lang=en_US&amp;offset=0&amp;query=any,contains,991002166639702656","Catalog Record")</f>
        <v/>
      </c>
      <c r="AT2018">
        <f>HYPERLINK("http://www.worldcat.org/oclc/27896419","WorldCat Record")</f>
        <v/>
      </c>
      <c r="AU2018" t="inlineStr">
        <is>
          <t>389133:eng</t>
        </is>
      </c>
      <c r="AV2018" t="inlineStr">
        <is>
          <t>27896419</t>
        </is>
      </c>
      <c r="AW2018" t="inlineStr">
        <is>
          <t>991002166639702656</t>
        </is>
      </c>
      <c r="AX2018" t="inlineStr">
        <is>
          <t>991002166639702656</t>
        </is>
      </c>
      <c r="AY2018" t="inlineStr">
        <is>
          <t>2260461780002656</t>
        </is>
      </c>
      <c r="AZ2018" t="inlineStr">
        <is>
          <t>BOOK</t>
        </is>
      </c>
      <c r="BB2018" t="inlineStr">
        <is>
          <t>9781562827915</t>
        </is>
      </c>
      <c r="BC2018" t="inlineStr">
        <is>
          <t>32285001833838</t>
        </is>
      </c>
      <c r="BD2018" t="inlineStr">
        <is>
          <t>893903734</t>
        </is>
      </c>
    </row>
    <row r="2019">
      <c r="A2019" t="inlineStr">
        <is>
          <t>No</t>
        </is>
      </c>
      <c r="B2019" t="inlineStr">
        <is>
          <t>E840.8.C66 R47 1989</t>
        </is>
      </c>
      <c r="C2019" t="inlineStr">
        <is>
          <t>0                      E  0840800C  66                 R  47          1989</t>
        </is>
      </c>
      <c r="D2019" t="inlineStr">
        <is>
          <t>The lone star : the life of John Connally / James Reston, Jr.</t>
        </is>
      </c>
      <c r="F2019" t="inlineStr">
        <is>
          <t>No</t>
        </is>
      </c>
      <c r="G2019" t="inlineStr">
        <is>
          <t>1</t>
        </is>
      </c>
      <c r="H2019" t="inlineStr">
        <is>
          <t>No</t>
        </is>
      </c>
      <c r="I2019" t="inlineStr">
        <is>
          <t>No</t>
        </is>
      </c>
      <c r="J2019" t="inlineStr">
        <is>
          <t>0</t>
        </is>
      </c>
      <c r="K2019" t="inlineStr">
        <is>
          <t>Reston, James, Jr., 1941-</t>
        </is>
      </c>
      <c r="L2019" t="inlineStr">
        <is>
          <t>New York, N.Y. : Harper &amp; Row, 1989.</t>
        </is>
      </c>
      <c r="M2019" t="inlineStr">
        <is>
          <t>1989</t>
        </is>
      </c>
      <c r="N2019" t="inlineStr">
        <is>
          <t>1st ed.</t>
        </is>
      </c>
      <c r="O2019" t="inlineStr">
        <is>
          <t>eng</t>
        </is>
      </c>
      <c r="P2019" t="inlineStr">
        <is>
          <t>nyu</t>
        </is>
      </c>
      <c r="R2019" t="inlineStr">
        <is>
          <t xml:space="preserve">E  </t>
        </is>
      </c>
      <c r="S2019" t="n">
        <v>1</v>
      </c>
      <c r="T2019" t="n">
        <v>1</v>
      </c>
      <c r="U2019" t="inlineStr">
        <is>
          <t>1992-11-17</t>
        </is>
      </c>
      <c r="V2019" t="inlineStr">
        <is>
          <t>1992-11-17</t>
        </is>
      </c>
      <c r="W2019" t="inlineStr">
        <is>
          <t>1989-12-29</t>
        </is>
      </c>
      <c r="X2019" t="inlineStr">
        <is>
          <t>1989-12-29</t>
        </is>
      </c>
      <c r="Y2019" t="n">
        <v>977</v>
      </c>
      <c r="Z2019" t="n">
        <v>947</v>
      </c>
      <c r="AA2019" t="n">
        <v>956</v>
      </c>
      <c r="AB2019" t="n">
        <v>4</v>
      </c>
      <c r="AC2019" t="n">
        <v>4</v>
      </c>
      <c r="AD2019" t="n">
        <v>20</v>
      </c>
      <c r="AE2019" t="n">
        <v>20</v>
      </c>
      <c r="AF2019" t="n">
        <v>10</v>
      </c>
      <c r="AG2019" t="n">
        <v>10</v>
      </c>
      <c r="AH2019" t="n">
        <v>5</v>
      </c>
      <c r="AI2019" t="n">
        <v>5</v>
      </c>
      <c r="AJ2019" t="n">
        <v>13</v>
      </c>
      <c r="AK2019" t="n">
        <v>13</v>
      </c>
      <c r="AL2019" t="n">
        <v>1</v>
      </c>
      <c r="AM2019" t="n">
        <v>1</v>
      </c>
      <c r="AN2019" t="n">
        <v>0</v>
      </c>
      <c r="AO2019" t="n">
        <v>0</v>
      </c>
      <c r="AP2019" t="inlineStr">
        <is>
          <t>No</t>
        </is>
      </c>
      <c r="AQ2019" t="inlineStr">
        <is>
          <t>Yes</t>
        </is>
      </c>
      <c r="AR2019">
        <f>HYPERLINK("http://catalog.hathitrust.org/Record/001815110","HathiTrust Record")</f>
        <v/>
      </c>
      <c r="AS2019">
        <f>HYPERLINK("https://creighton-primo.hosted.exlibrisgroup.com/primo-explore/search?tab=default_tab&amp;search_scope=EVERYTHING&amp;vid=01CRU&amp;lang=en_US&amp;offset=0&amp;query=any,contains,991001484309702656","Catalog Record")</f>
        <v/>
      </c>
      <c r="AT2019">
        <f>HYPERLINK("http://www.worldcat.org/oclc/19630116","WorldCat Record")</f>
        <v/>
      </c>
      <c r="AU2019" t="inlineStr">
        <is>
          <t>21612742:eng</t>
        </is>
      </c>
      <c r="AV2019" t="inlineStr">
        <is>
          <t>19630116</t>
        </is>
      </c>
      <c r="AW2019" t="inlineStr">
        <is>
          <t>991001484309702656</t>
        </is>
      </c>
      <c r="AX2019" t="inlineStr">
        <is>
          <t>991001484309702656</t>
        </is>
      </c>
      <c r="AY2019" t="inlineStr">
        <is>
          <t>2258011540002656</t>
        </is>
      </c>
      <c r="AZ2019" t="inlineStr">
        <is>
          <t>BOOK</t>
        </is>
      </c>
      <c r="BB2019" t="inlineStr">
        <is>
          <t>9780060161965</t>
        </is>
      </c>
      <c r="BC2019" t="inlineStr">
        <is>
          <t>32285000025071</t>
        </is>
      </c>
      <c r="BD2019" t="inlineStr">
        <is>
          <t>893703060</t>
        </is>
      </c>
    </row>
    <row r="2020">
      <c r="A2020" t="inlineStr">
        <is>
          <t>No</t>
        </is>
      </c>
      <c r="B2020" t="inlineStr">
        <is>
          <t>E840.8.D64 C73 1995</t>
        </is>
      </c>
      <c r="C2020" t="inlineStr">
        <is>
          <t>0                      E  0840800D  64                 C  73          1995</t>
        </is>
      </c>
      <c r="D2020" t="inlineStr">
        <is>
          <t>Bob Dole / by Richard Ben Cramer.</t>
        </is>
      </c>
      <c r="F2020" t="inlineStr">
        <is>
          <t>No</t>
        </is>
      </c>
      <c r="G2020" t="inlineStr">
        <is>
          <t>1</t>
        </is>
      </c>
      <c r="H2020" t="inlineStr">
        <is>
          <t>No</t>
        </is>
      </c>
      <c r="I2020" t="inlineStr">
        <is>
          <t>No</t>
        </is>
      </c>
      <c r="J2020" t="inlineStr">
        <is>
          <t>0</t>
        </is>
      </c>
      <c r="K2020" t="inlineStr">
        <is>
          <t>Cramer, Richard Ben.</t>
        </is>
      </c>
      <c r="L2020" t="inlineStr">
        <is>
          <t>New York : Vintage Books, 1995.</t>
        </is>
      </c>
      <c r="M2020" t="inlineStr">
        <is>
          <t>1995</t>
        </is>
      </c>
      <c r="N2020" t="inlineStr">
        <is>
          <t>1st Vintage Books ed.</t>
        </is>
      </c>
      <c r="O2020" t="inlineStr">
        <is>
          <t>eng</t>
        </is>
      </c>
      <c r="P2020" t="inlineStr">
        <is>
          <t>nyu</t>
        </is>
      </c>
      <c r="R2020" t="inlineStr">
        <is>
          <t xml:space="preserve">E  </t>
        </is>
      </c>
      <c r="S2020" t="n">
        <v>2</v>
      </c>
      <c r="T2020" t="n">
        <v>2</v>
      </c>
      <c r="U2020" t="inlineStr">
        <is>
          <t>1999-02-25</t>
        </is>
      </c>
      <c r="V2020" t="inlineStr">
        <is>
          <t>1999-02-25</t>
        </is>
      </c>
      <c r="W2020" t="inlineStr">
        <is>
          <t>1996-04-15</t>
        </is>
      </c>
      <c r="X2020" t="inlineStr">
        <is>
          <t>1996-04-15</t>
        </is>
      </c>
      <c r="Y2020" t="n">
        <v>294</v>
      </c>
      <c r="Z2020" t="n">
        <v>277</v>
      </c>
      <c r="AA2020" t="n">
        <v>284</v>
      </c>
      <c r="AB2020" t="n">
        <v>1</v>
      </c>
      <c r="AC2020" t="n">
        <v>1</v>
      </c>
      <c r="AD2020" t="n">
        <v>6</v>
      </c>
      <c r="AE2020" t="n">
        <v>6</v>
      </c>
      <c r="AF2020" t="n">
        <v>2</v>
      </c>
      <c r="AG2020" t="n">
        <v>2</v>
      </c>
      <c r="AH2020" t="n">
        <v>1</v>
      </c>
      <c r="AI2020" t="n">
        <v>1</v>
      </c>
      <c r="AJ2020" t="n">
        <v>4</v>
      </c>
      <c r="AK2020" t="n">
        <v>4</v>
      </c>
      <c r="AL2020" t="n">
        <v>0</v>
      </c>
      <c r="AM2020" t="n">
        <v>0</v>
      </c>
      <c r="AN2020" t="n">
        <v>0</v>
      </c>
      <c r="AO2020" t="n">
        <v>0</v>
      </c>
      <c r="AP2020" t="inlineStr">
        <is>
          <t>No</t>
        </is>
      </c>
      <c r="AQ2020" t="inlineStr">
        <is>
          <t>Yes</t>
        </is>
      </c>
      <c r="AR2020">
        <f>HYPERLINK("http://catalog.hathitrust.org/Record/003039906","HathiTrust Record")</f>
        <v/>
      </c>
      <c r="AS2020">
        <f>HYPERLINK("https://creighton-primo.hosted.exlibrisgroup.com/primo-explore/search?tab=default_tab&amp;search_scope=EVERYTHING&amp;vid=01CRU&amp;lang=en_US&amp;offset=0&amp;query=any,contains,991002496929702656","Catalog Record")</f>
        <v/>
      </c>
      <c r="AT2020">
        <f>HYPERLINK("http://www.worldcat.org/oclc/32469313","WorldCat Record")</f>
        <v/>
      </c>
      <c r="AU2020" t="inlineStr">
        <is>
          <t>34444982:eng</t>
        </is>
      </c>
      <c r="AV2020" t="inlineStr">
        <is>
          <t>32469313</t>
        </is>
      </c>
      <c r="AW2020" t="inlineStr">
        <is>
          <t>991002496929702656</t>
        </is>
      </c>
      <c r="AX2020" t="inlineStr">
        <is>
          <t>991002496929702656</t>
        </is>
      </c>
      <c r="AY2020" t="inlineStr">
        <is>
          <t>2264498390002656</t>
        </is>
      </c>
      <c r="AZ2020" t="inlineStr">
        <is>
          <t>BOOK</t>
        </is>
      </c>
      <c r="BB2020" t="inlineStr">
        <is>
          <t>9780679766476</t>
        </is>
      </c>
      <c r="BC2020" t="inlineStr">
        <is>
          <t>32285002152824</t>
        </is>
      </c>
      <c r="BD2020" t="inlineStr">
        <is>
          <t>893616205</t>
        </is>
      </c>
    </row>
    <row r="2021">
      <c r="A2021" t="inlineStr">
        <is>
          <t>No</t>
        </is>
      </c>
      <c r="B2021" t="inlineStr">
        <is>
          <t>E840.8.H283 O36 1994</t>
        </is>
      </c>
      <c r="C2021" t="inlineStr">
        <is>
          <t>0                      E  0840800H  283                O  36          1994</t>
        </is>
      </c>
      <c r="D2021" t="inlineStr">
        <is>
          <t>Life of the party : the biography of Pamela Digby Churchill Hayward Harriman / Christopher Ogden.</t>
        </is>
      </c>
      <c r="F2021" t="inlineStr">
        <is>
          <t>No</t>
        </is>
      </c>
      <c r="G2021" t="inlineStr">
        <is>
          <t>1</t>
        </is>
      </c>
      <c r="H2021" t="inlineStr">
        <is>
          <t>No</t>
        </is>
      </c>
      <c r="I2021" t="inlineStr">
        <is>
          <t>No</t>
        </is>
      </c>
      <c r="J2021" t="inlineStr">
        <is>
          <t>0</t>
        </is>
      </c>
      <c r="K2021" t="inlineStr">
        <is>
          <t>Ogden, Chris.</t>
        </is>
      </c>
      <c r="L2021" t="inlineStr">
        <is>
          <t>Boston : Little, Brown and Co., c1994.</t>
        </is>
      </c>
      <c r="M2021" t="inlineStr">
        <is>
          <t>1994</t>
        </is>
      </c>
      <c r="N2021" t="inlineStr">
        <is>
          <t>1st ed.</t>
        </is>
      </c>
      <c r="O2021" t="inlineStr">
        <is>
          <t>eng</t>
        </is>
      </c>
      <c r="P2021" t="inlineStr">
        <is>
          <t>mau</t>
        </is>
      </c>
      <c r="R2021" t="inlineStr">
        <is>
          <t xml:space="preserve">E  </t>
        </is>
      </c>
      <c r="S2021" t="n">
        <v>2</v>
      </c>
      <c r="T2021" t="n">
        <v>2</v>
      </c>
      <c r="U2021" t="inlineStr">
        <is>
          <t>1995-06-28</t>
        </is>
      </c>
      <c r="V2021" t="inlineStr">
        <is>
          <t>1995-06-28</t>
        </is>
      </c>
      <c r="W2021" t="inlineStr">
        <is>
          <t>1994-08-02</t>
        </is>
      </c>
      <c r="X2021" t="inlineStr">
        <is>
          <t>1994-08-02</t>
        </is>
      </c>
      <c r="Y2021" t="n">
        <v>1039</v>
      </c>
      <c r="Z2021" t="n">
        <v>982</v>
      </c>
      <c r="AA2021" t="n">
        <v>1019</v>
      </c>
      <c r="AB2021" t="n">
        <v>6</v>
      </c>
      <c r="AC2021" t="n">
        <v>7</v>
      </c>
      <c r="AD2021" t="n">
        <v>15</v>
      </c>
      <c r="AE2021" t="n">
        <v>16</v>
      </c>
      <c r="AF2021" t="n">
        <v>5</v>
      </c>
      <c r="AG2021" t="n">
        <v>6</v>
      </c>
      <c r="AH2021" t="n">
        <v>3</v>
      </c>
      <c r="AI2021" t="n">
        <v>3</v>
      </c>
      <c r="AJ2021" t="n">
        <v>9</v>
      </c>
      <c r="AK2021" t="n">
        <v>10</v>
      </c>
      <c r="AL2021" t="n">
        <v>2</v>
      </c>
      <c r="AM2021" t="n">
        <v>2</v>
      </c>
      <c r="AN2021" t="n">
        <v>0</v>
      </c>
      <c r="AO2021" t="n">
        <v>0</v>
      </c>
      <c r="AP2021" t="inlineStr">
        <is>
          <t>No</t>
        </is>
      </c>
      <c r="AQ2021" t="inlineStr">
        <is>
          <t>No</t>
        </is>
      </c>
      <c r="AS2021">
        <f>HYPERLINK("https://creighton-primo.hosted.exlibrisgroup.com/primo-explore/search?tab=default_tab&amp;search_scope=EVERYTHING&amp;vid=01CRU&amp;lang=en_US&amp;offset=0&amp;query=any,contains,991002268439702656","Catalog Record")</f>
        <v/>
      </c>
      <c r="AT2021">
        <f>HYPERLINK("http://www.worldcat.org/oclc/29429135","WorldCat Record")</f>
        <v/>
      </c>
      <c r="AU2021" t="inlineStr">
        <is>
          <t>31571359:eng</t>
        </is>
      </c>
      <c r="AV2021" t="inlineStr">
        <is>
          <t>29429135</t>
        </is>
      </c>
      <c r="AW2021" t="inlineStr">
        <is>
          <t>991002268439702656</t>
        </is>
      </c>
      <c r="AX2021" t="inlineStr">
        <is>
          <t>991002268439702656</t>
        </is>
      </c>
      <c r="AY2021" t="inlineStr">
        <is>
          <t>2271073700002656</t>
        </is>
      </c>
      <c r="AZ2021" t="inlineStr">
        <is>
          <t>BOOK</t>
        </is>
      </c>
      <c r="BB2021" t="inlineStr">
        <is>
          <t>9780316633765</t>
        </is>
      </c>
      <c r="BC2021" t="inlineStr">
        <is>
          <t>32285001940211</t>
        </is>
      </c>
      <c r="BD2021" t="inlineStr">
        <is>
          <t>893809395</t>
        </is>
      </c>
    </row>
    <row r="2022">
      <c r="A2022" t="inlineStr">
        <is>
          <t>No</t>
        </is>
      </c>
      <c r="B2022" t="inlineStr">
        <is>
          <t>E840.8.H47 A33</t>
        </is>
      </c>
      <c r="C2022" t="inlineStr">
        <is>
          <t>0                      E  0840800H  47                 A  33</t>
        </is>
      </c>
      <c r="D2022" t="inlineStr">
        <is>
          <t>215 days in the life of an American ambassador / by Martin F. Herz ; foreword by Peter F. Krogh.</t>
        </is>
      </c>
      <c r="F2022" t="inlineStr">
        <is>
          <t>No</t>
        </is>
      </c>
      <c r="G2022" t="inlineStr">
        <is>
          <t>1</t>
        </is>
      </c>
      <c r="H2022" t="inlineStr">
        <is>
          <t>No</t>
        </is>
      </c>
      <c r="I2022" t="inlineStr">
        <is>
          <t>No</t>
        </is>
      </c>
      <c r="J2022" t="inlineStr">
        <is>
          <t>0</t>
        </is>
      </c>
      <c r="K2022" t="inlineStr">
        <is>
          <t>Herz, Martin F. (Martin Florian), 1917-1983.</t>
        </is>
      </c>
      <c r="L2022" t="inlineStr">
        <is>
          <t>Washington, D.C. : School of Foreign Service, Georgetown University, [1981]</t>
        </is>
      </c>
      <c r="M2022" t="inlineStr">
        <is>
          <t>1981</t>
        </is>
      </c>
      <c r="O2022" t="inlineStr">
        <is>
          <t>eng</t>
        </is>
      </c>
      <c r="P2022" t="inlineStr">
        <is>
          <t>dcu</t>
        </is>
      </c>
      <c r="R2022" t="inlineStr">
        <is>
          <t xml:space="preserve">E  </t>
        </is>
      </c>
      <c r="S2022" t="n">
        <v>1</v>
      </c>
      <c r="T2022" t="n">
        <v>1</v>
      </c>
      <c r="U2022" t="inlineStr">
        <is>
          <t>1992-12-14</t>
        </is>
      </c>
      <c r="V2022" t="inlineStr">
        <is>
          <t>1992-12-14</t>
        </is>
      </c>
      <c r="W2022" t="inlineStr">
        <is>
          <t>1991-06-19</t>
        </is>
      </c>
      <c r="X2022" t="inlineStr">
        <is>
          <t>1991-06-19</t>
        </is>
      </c>
      <c r="Y2022" t="n">
        <v>169</v>
      </c>
      <c r="Z2022" t="n">
        <v>158</v>
      </c>
      <c r="AA2022" t="n">
        <v>188</v>
      </c>
      <c r="AB2022" t="n">
        <v>1</v>
      </c>
      <c r="AC2022" t="n">
        <v>1</v>
      </c>
      <c r="AD2022" t="n">
        <v>7</v>
      </c>
      <c r="AE2022" t="n">
        <v>9</v>
      </c>
      <c r="AF2022" t="n">
        <v>1</v>
      </c>
      <c r="AG2022" t="n">
        <v>2</v>
      </c>
      <c r="AH2022" t="n">
        <v>1</v>
      </c>
      <c r="AI2022" t="n">
        <v>1</v>
      </c>
      <c r="AJ2022" t="n">
        <v>7</v>
      </c>
      <c r="AK2022" t="n">
        <v>9</v>
      </c>
      <c r="AL2022" t="n">
        <v>0</v>
      </c>
      <c r="AM2022" t="n">
        <v>0</v>
      </c>
      <c r="AN2022" t="n">
        <v>0</v>
      </c>
      <c r="AO2022" t="n">
        <v>0</v>
      </c>
      <c r="AP2022" t="inlineStr">
        <is>
          <t>No</t>
        </is>
      </c>
      <c r="AQ2022" t="inlineStr">
        <is>
          <t>No</t>
        </is>
      </c>
      <c r="AS2022">
        <f>HYPERLINK("https://creighton-primo.hosted.exlibrisgroup.com/primo-explore/search?tab=default_tab&amp;search_scope=EVERYTHING&amp;vid=01CRU&amp;lang=en_US&amp;offset=0&amp;query=any,contains,991005176989702656","Catalog Record")</f>
        <v/>
      </c>
      <c r="AT2022">
        <f>HYPERLINK("http://www.worldcat.org/oclc/7924303","WorldCat Record")</f>
        <v/>
      </c>
      <c r="AU2022" t="inlineStr">
        <is>
          <t>23750636:eng</t>
        </is>
      </c>
      <c r="AV2022" t="inlineStr">
        <is>
          <t>7924303</t>
        </is>
      </c>
      <c r="AW2022" t="inlineStr">
        <is>
          <t>991005176989702656</t>
        </is>
      </c>
      <c r="AX2022" t="inlineStr">
        <is>
          <t>991005176989702656</t>
        </is>
      </c>
      <c r="AY2022" t="inlineStr">
        <is>
          <t>2270744620002656</t>
        </is>
      </c>
      <c r="AZ2022" t="inlineStr">
        <is>
          <t>BOOK</t>
        </is>
      </c>
      <c r="BB2022" t="inlineStr">
        <is>
          <t>9780934742122</t>
        </is>
      </c>
      <c r="BC2022" t="inlineStr">
        <is>
          <t>32285000670579</t>
        </is>
      </c>
      <c r="BD2022" t="inlineStr">
        <is>
          <t>893810902</t>
        </is>
      </c>
    </row>
    <row r="2023">
      <c r="A2023" t="inlineStr">
        <is>
          <t>No</t>
        </is>
      </c>
      <c r="B2023" t="inlineStr">
        <is>
          <t>E840.8.H835 A3 2004</t>
        </is>
      </c>
      <c r="C2023" t="inlineStr">
        <is>
          <t>0                      E  0840800H  835                A  3           2004</t>
        </is>
      </c>
      <c r="D2023" t="inlineStr">
        <is>
          <t>Ten minutes from normal / Karen Hughes.</t>
        </is>
      </c>
      <c r="F2023" t="inlineStr">
        <is>
          <t>No</t>
        </is>
      </c>
      <c r="G2023" t="inlineStr">
        <is>
          <t>1</t>
        </is>
      </c>
      <c r="H2023" t="inlineStr">
        <is>
          <t>No</t>
        </is>
      </c>
      <c r="I2023" t="inlineStr">
        <is>
          <t>No</t>
        </is>
      </c>
      <c r="J2023" t="inlineStr">
        <is>
          <t>0</t>
        </is>
      </c>
      <c r="K2023" t="inlineStr">
        <is>
          <t>Hughes, Karen, 1957-</t>
        </is>
      </c>
      <c r="L2023" t="inlineStr">
        <is>
          <t>New York : Viking, 2004.</t>
        </is>
      </c>
      <c r="M2023" t="inlineStr">
        <is>
          <t>2004</t>
        </is>
      </c>
      <c r="O2023" t="inlineStr">
        <is>
          <t>eng</t>
        </is>
      </c>
      <c r="P2023" t="inlineStr">
        <is>
          <t>nyu</t>
        </is>
      </c>
      <c r="R2023" t="inlineStr">
        <is>
          <t xml:space="preserve">E  </t>
        </is>
      </c>
      <c r="S2023" t="n">
        <v>1</v>
      </c>
      <c r="T2023" t="n">
        <v>1</v>
      </c>
      <c r="U2023" t="inlineStr">
        <is>
          <t>2005-10-07</t>
        </is>
      </c>
      <c r="V2023" t="inlineStr">
        <is>
          <t>2005-10-07</t>
        </is>
      </c>
      <c r="W2023" t="inlineStr">
        <is>
          <t>2004-05-10</t>
        </is>
      </c>
      <c r="X2023" t="inlineStr">
        <is>
          <t>2004-05-10</t>
        </is>
      </c>
      <c r="Y2023" t="n">
        <v>1464</v>
      </c>
      <c r="Z2023" t="n">
        <v>1434</v>
      </c>
      <c r="AA2023" t="n">
        <v>1622</v>
      </c>
      <c r="AB2023" t="n">
        <v>10</v>
      </c>
      <c r="AC2023" t="n">
        <v>11</v>
      </c>
      <c r="AD2023" t="n">
        <v>19</v>
      </c>
      <c r="AE2023" t="n">
        <v>21</v>
      </c>
      <c r="AF2023" t="n">
        <v>7</v>
      </c>
      <c r="AG2023" t="n">
        <v>7</v>
      </c>
      <c r="AH2023" t="n">
        <v>3</v>
      </c>
      <c r="AI2023" t="n">
        <v>4</v>
      </c>
      <c r="AJ2023" t="n">
        <v>10</v>
      </c>
      <c r="AK2023" t="n">
        <v>11</v>
      </c>
      <c r="AL2023" t="n">
        <v>2</v>
      </c>
      <c r="AM2023" t="n">
        <v>2</v>
      </c>
      <c r="AN2023" t="n">
        <v>1</v>
      </c>
      <c r="AO2023" t="n">
        <v>2</v>
      </c>
      <c r="AP2023" t="inlineStr">
        <is>
          <t>No</t>
        </is>
      </c>
      <c r="AQ2023" t="inlineStr">
        <is>
          <t>Yes</t>
        </is>
      </c>
      <c r="AR2023">
        <f>HYPERLINK("http://catalog.hathitrust.org/Record/004372516","HathiTrust Record")</f>
        <v/>
      </c>
      <c r="AS2023">
        <f>HYPERLINK("https://creighton-primo.hosted.exlibrisgroup.com/primo-explore/search?tab=default_tab&amp;search_scope=EVERYTHING&amp;vid=01CRU&amp;lang=en_US&amp;offset=0&amp;query=any,contains,991004289699702656","Catalog Record")</f>
        <v/>
      </c>
      <c r="AT2023">
        <f>HYPERLINK("http://www.worldcat.org/oclc/53987045","WorldCat Record")</f>
        <v/>
      </c>
      <c r="AU2023" t="inlineStr">
        <is>
          <t>811552:eng</t>
        </is>
      </c>
      <c r="AV2023" t="inlineStr">
        <is>
          <t>53987045</t>
        </is>
      </c>
      <c r="AW2023" t="inlineStr">
        <is>
          <t>991004289699702656</t>
        </is>
      </c>
      <c r="AX2023" t="inlineStr">
        <is>
          <t>991004289699702656</t>
        </is>
      </c>
      <c r="AY2023" t="inlineStr">
        <is>
          <t>2268255020002656</t>
        </is>
      </c>
      <c r="AZ2023" t="inlineStr">
        <is>
          <t>BOOK</t>
        </is>
      </c>
      <c r="BB2023" t="inlineStr">
        <is>
          <t>9780670033058</t>
        </is>
      </c>
      <c r="BC2023" t="inlineStr">
        <is>
          <t>32285004904289</t>
        </is>
      </c>
      <c r="BD2023" t="inlineStr">
        <is>
          <t>893506667</t>
        </is>
      </c>
    </row>
    <row r="2024">
      <c r="A2024" t="inlineStr">
        <is>
          <t>No</t>
        </is>
      </c>
      <c r="B2024" t="inlineStr">
        <is>
          <t>E840.8.J35 H68 1988</t>
        </is>
      </c>
      <c r="C2024" t="inlineStr">
        <is>
          <t>0                      E  0840800J  35                 H  68          1988</t>
        </is>
      </c>
      <c r="D2024" t="inlineStr">
        <is>
          <t>Jesse Jackson &amp; the politics of charisma : the rise and fall of the PUSH/Excel program / Ernest R. House.</t>
        </is>
      </c>
      <c r="F2024" t="inlineStr">
        <is>
          <t>No</t>
        </is>
      </c>
      <c r="G2024" t="inlineStr">
        <is>
          <t>1</t>
        </is>
      </c>
      <c r="H2024" t="inlineStr">
        <is>
          <t>No</t>
        </is>
      </c>
      <c r="I2024" t="inlineStr">
        <is>
          <t>No</t>
        </is>
      </c>
      <c r="J2024" t="inlineStr">
        <is>
          <t>0</t>
        </is>
      </c>
      <c r="K2024" t="inlineStr">
        <is>
          <t>House, Ernest R.</t>
        </is>
      </c>
      <c r="L2024" t="inlineStr">
        <is>
          <t>Boulder : Westview Press, 1988.</t>
        </is>
      </c>
      <c r="M2024" t="inlineStr">
        <is>
          <t>1988</t>
        </is>
      </c>
      <c r="O2024" t="inlineStr">
        <is>
          <t>eng</t>
        </is>
      </c>
      <c r="P2024" t="inlineStr">
        <is>
          <t>cou</t>
        </is>
      </c>
      <c r="R2024" t="inlineStr">
        <is>
          <t xml:space="preserve">E  </t>
        </is>
      </c>
      <c r="S2024" t="n">
        <v>4</v>
      </c>
      <c r="T2024" t="n">
        <v>4</v>
      </c>
      <c r="U2024" t="inlineStr">
        <is>
          <t>1993-11-02</t>
        </is>
      </c>
      <c r="V2024" t="inlineStr">
        <is>
          <t>1993-11-02</t>
        </is>
      </c>
      <c r="W2024" t="inlineStr">
        <is>
          <t>1991-06-19</t>
        </is>
      </c>
      <c r="X2024" t="inlineStr">
        <is>
          <t>1991-06-19</t>
        </is>
      </c>
      <c r="Y2024" t="n">
        <v>583</v>
      </c>
      <c r="Z2024" t="n">
        <v>537</v>
      </c>
      <c r="AA2024" t="n">
        <v>560</v>
      </c>
      <c r="AB2024" t="n">
        <v>3</v>
      </c>
      <c r="AC2024" t="n">
        <v>3</v>
      </c>
      <c r="AD2024" t="n">
        <v>19</v>
      </c>
      <c r="AE2024" t="n">
        <v>19</v>
      </c>
      <c r="AF2024" t="n">
        <v>6</v>
      </c>
      <c r="AG2024" t="n">
        <v>6</v>
      </c>
      <c r="AH2024" t="n">
        <v>6</v>
      </c>
      <c r="AI2024" t="n">
        <v>6</v>
      </c>
      <c r="AJ2024" t="n">
        <v>9</v>
      </c>
      <c r="AK2024" t="n">
        <v>9</v>
      </c>
      <c r="AL2024" t="n">
        <v>2</v>
      </c>
      <c r="AM2024" t="n">
        <v>2</v>
      </c>
      <c r="AN2024" t="n">
        <v>1</v>
      </c>
      <c r="AO2024" t="n">
        <v>1</v>
      </c>
      <c r="AP2024" t="inlineStr">
        <is>
          <t>No</t>
        </is>
      </c>
      <c r="AQ2024" t="inlineStr">
        <is>
          <t>Yes</t>
        </is>
      </c>
      <c r="AR2024">
        <f>HYPERLINK("http://catalog.hathitrust.org/Record/000921951","HathiTrust Record")</f>
        <v/>
      </c>
      <c r="AS2024">
        <f>HYPERLINK("https://creighton-primo.hosted.exlibrisgroup.com/primo-explore/search?tab=default_tab&amp;search_scope=EVERYTHING&amp;vid=01CRU&amp;lang=en_US&amp;offset=0&amp;query=any,contains,991001281139702656","Catalog Record")</f>
        <v/>
      </c>
      <c r="AT2024">
        <f>HYPERLINK("http://www.worldcat.org/oclc/17917834","WorldCat Record")</f>
        <v/>
      </c>
      <c r="AU2024" t="inlineStr">
        <is>
          <t>232525859:eng</t>
        </is>
      </c>
      <c r="AV2024" t="inlineStr">
        <is>
          <t>17917834</t>
        </is>
      </c>
      <c r="AW2024" t="inlineStr">
        <is>
          <t>991001281139702656</t>
        </is>
      </c>
      <c r="AX2024" t="inlineStr">
        <is>
          <t>991001281139702656</t>
        </is>
      </c>
      <c r="AY2024" t="inlineStr">
        <is>
          <t>2268963800002656</t>
        </is>
      </c>
      <c r="AZ2024" t="inlineStr">
        <is>
          <t>BOOK</t>
        </is>
      </c>
      <c r="BB2024" t="inlineStr">
        <is>
          <t>9780813307671</t>
        </is>
      </c>
      <c r="BC2024" t="inlineStr">
        <is>
          <t>32285000670595</t>
        </is>
      </c>
      <c r="BD2024" t="inlineStr">
        <is>
          <t>893503275</t>
        </is>
      </c>
    </row>
    <row r="2025">
      <c r="A2025" t="inlineStr">
        <is>
          <t>No</t>
        </is>
      </c>
      <c r="B2025" t="inlineStr">
        <is>
          <t>E840.8.K35 B87 1976</t>
        </is>
      </c>
      <c r="C2025" t="inlineStr">
        <is>
          <t>0                      E  0840800K  35                 B  87          1976</t>
        </is>
      </c>
      <c r="D2025" t="inlineStr">
        <is>
          <t>Edward Kennedy and the Camelot legacy / James MacGregor Burns.</t>
        </is>
      </c>
      <c r="F2025" t="inlineStr">
        <is>
          <t>No</t>
        </is>
      </c>
      <c r="G2025" t="inlineStr">
        <is>
          <t>1</t>
        </is>
      </c>
      <c r="H2025" t="inlineStr">
        <is>
          <t>No</t>
        </is>
      </c>
      <c r="I2025" t="inlineStr">
        <is>
          <t>No</t>
        </is>
      </c>
      <c r="J2025" t="inlineStr">
        <is>
          <t>0</t>
        </is>
      </c>
      <c r="K2025" t="inlineStr">
        <is>
          <t>Burns, James MacGregor.</t>
        </is>
      </c>
      <c r="L2025" t="inlineStr">
        <is>
          <t>New York : Norton, c1976.</t>
        </is>
      </c>
      <c r="M2025" t="inlineStr">
        <is>
          <t>1976</t>
        </is>
      </c>
      <c r="N2025" t="inlineStr">
        <is>
          <t>1st ed.</t>
        </is>
      </c>
      <c r="O2025" t="inlineStr">
        <is>
          <t>eng</t>
        </is>
      </c>
      <c r="P2025" t="inlineStr">
        <is>
          <t>nyu</t>
        </is>
      </c>
      <c r="R2025" t="inlineStr">
        <is>
          <t xml:space="preserve">E  </t>
        </is>
      </c>
      <c r="S2025" t="n">
        <v>1</v>
      </c>
      <c r="T2025" t="n">
        <v>1</v>
      </c>
      <c r="U2025" t="inlineStr">
        <is>
          <t>2003-03-28</t>
        </is>
      </c>
      <c r="V2025" t="inlineStr">
        <is>
          <t>2003-03-28</t>
        </is>
      </c>
      <c r="W2025" t="inlineStr">
        <is>
          <t>1997-04-29</t>
        </is>
      </c>
      <c r="X2025" t="inlineStr">
        <is>
          <t>1997-04-29</t>
        </is>
      </c>
      <c r="Y2025" t="n">
        <v>1087</v>
      </c>
      <c r="Z2025" t="n">
        <v>1020</v>
      </c>
      <c r="AA2025" t="n">
        <v>1033</v>
      </c>
      <c r="AB2025" t="n">
        <v>8</v>
      </c>
      <c r="AC2025" t="n">
        <v>8</v>
      </c>
      <c r="AD2025" t="n">
        <v>32</v>
      </c>
      <c r="AE2025" t="n">
        <v>32</v>
      </c>
      <c r="AF2025" t="n">
        <v>15</v>
      </c>
      <c r="AG2025" t="n">
        <v>15</v>
      </c>
      <c r="AH2025" t="n">
        <v>6</v>
      </c>
      <c r="AI2025" t="n">
        <v>6</v>
      </c>
      <c r="AJ2025" t="n">
        <v>12</v>
      </c>
      <c r="AK2025" t="n">
        <v>12</v>
      </c>
      <c r="AL2025" t="n">
        <v>6</v>
      </c>
      <c r="AM2025" t="n">
        <v>6</v>
      </c>
      <c r="AN2025" t="n">
        <v>0</v>
      </c>
      <c r="AO2025" t="n">
        <v>0</v>
      </c>
      <c r="AP2025" t="inlineStr">
        <is>
          <t>No</t>
        </is>
      </c>
      <c r="AQ2025" t="inlineStr">
        <is>
          <t>Yes</t>
        </is>
      </c>
      <c r="AR2025">
        <f>HYPERLINK("http://catalog.hathitrust.org/Record/006242037","HathiTrust Record")</f>
        <v/>
      </c>
      <c r="AS2025">
        <f>HYPERLINK("https://creighton-primo.hosted.exlibrisgroup.com/primo-explore/search?tab=default_tab&amp;search_scope=EVERYTHING&amp;vid=01CRU&amp;lang=en_US&amp;offset=0&amp;query=any,contains,991004001769702656","Catalog Record")</f>
        <v/>
      </c>
      <c r="AT2025">
        <f>HYPERLINK("http://www.worldcat.org/oclc/2074285","WorldCat Record")</f>
        <v/>
      </c>
      <c r="AU2025" t="inlineStr">
        <is>
          <t>3998633:eng</t>
        </is>
      </c>
      <c r="AV2025" t="inlineStr">
        <is>
          <t>2074285</t>
        </is>
      </c>
      <c r="AW2025" t="inlineStr">
        <is>
          <t>991004001769702656</t>
        </is>
      </c>
      <c r="AX2025" t="inlineStr">
        <is>
          <t>991004001769702656</t>
        </is>
      </c>
      <c r="AY2025" t="inlineStr">
        <is>
          <t>2264081940002656</t>
        </is>
      </c>
      <c r="AZ2025" t="inlineStr">
        <is>
          <t>BOOK</t>
        </is>
      </c>
      <c r="BB2025" t="inlineStr">
        <is>
          <t>9780393075014</t>
        </is>
      </c>
      <c r="BC2025" t="inlineStr">
        <is>
          <t>32285002568060</t>
        </is>
      </c>
      <c r="BD2025" t="inlineStr">
        <is>
          <t>893519141</t>
        </is>
      </c>
    </row>
    <row r="2026">
      <c r="A2026" t="inlineStr">
        <is>
          <t>No</t>
        </is>
      </c>
      <c r="B2026" t="inlineStr">
        <is>
          <t>E840.8.K35 D27 1988</t>
        </is>
      </c>
      <c r="C2026" t="inlineStr">
        <is>
          <t>0                      E  0840800K  35                 D  27          1988</t>
        </is>
      </c>
      <c r="D2026" t="inlineStr">
        <is>
          <t>Senatorial privilege : the Chappaquiddick cover-up / Leo Damore.</t>
        </is>
      </c>
      <c r="F2026" t="inlineStr">
        <is>
          <t>No</t>
        </is>
      </c>
      <c r="G2026" t="inlineStr">
        <is>
          <t>1</t>
        </is>
      </c>
      <c r="H2026" t="inlineStr">
        <is>
          <t>No</t>
        </is>
      </c>
      <c r="I2026" t="inlineStr">
        <is>
          <t>No</t>
        </is>
      </c>
      <c r="J2026" t="inlineStr">
        <is>
          <t>0</t>
        </is>
      </c>
      <c r="K2026" t="inlineStr">
        <is>
          <t>Damore, Leo.</t>
        </is>
      </c>
      <c r="L2026" t="inlineStr">
        <is>
          <t>Washington, D.C. : Regnery Gateway ; New York, NY : Distributed by Kampmann, c1988.</t>
        </is>
      </c>
      <c r="M2026" t="inlineStr">
        <is>
          <t>1988</t>
        </is>
      </c>
      <c r="O2026" t="inlineStr">
        <is>
          <t>eng</t>
        </is>
      </c>
      <c r="P2026" t="inlineStr">
        <is>
          <t>dcu</t>
        </is>
      </c>
      <c r="R2026" t="inlineStr">
        <is>
          <t xml:space="preserve">E  </t>
        </is>
      </c>
      <c r="S2026" t="n">
        <v>3</v>
      </c>
      <c r="T2026" t="n">
        <v>3</v>
      </c>
      <c r="U2026" t="inlineStr">
        <is>
          <t>1995-09-10</t>
        </is>
      </c>
      <c r="V2026" t="inlineStr">
        <is>
          <t>1995-09-10</t>
        </is>
      </c>
      <c r="W2026" t="inlineStr">
        <is>
          <t>1991-06-19</t>
        </is>
      </c>
      <c r="X2026" t="inlineStr">
        <is>
          <t>1991-06-19</t>
        </is>
      </c>
      <c r="Y2026" t="n">
        <v>1687</v>
      </c>
      <c r="Z2026" t="n">
        <v>1633</v>
      </c>
      <c r="AA2026" t="n">
        <v>1824</v>
      </c>
      <c r="AB2026" t="n">
        <v>12</v>
      </c>
      <c r="AC2026" t="n">
        <v>13</v>
      </c>
      <c r="AD2026" t="n">
        <v>27</v>
      </c>
      <c r="AE2026" t="n">
        <v>28</v>
      </c>
      <c r="AF2026" t="n">
        <v>12</v>
      </c>
      <c r="AG2026" t="n">
        <v>12</v>
      </c>
      <c r="AH2026" t="n">
        <v>5</v>
      </c>
      <c r="AI2026" t="n">
        <v>5</v>
      </c>
      <c r="AJ2026" t="n">
        <v>14</v>
      </c>
      <c r="AK2026" t="n">
        <v>14</v>
      </c>
      <c r="AL2026" t="n">
        <v>1</v>
      </c>
      <c r="AM2026" t="n">
        <v>2</v>
      </c>
      <c r="AN2026" t="n">
        <v>2</v>
      </c>
      <c r="AO2026" t="n">
        <v>2</v>
      </c>
      <c r="AP2026" t="inlineStr">
        <is>
          <t>No</t>
        </is>
      </c>
      <c r="AQ2026" t="inlineStr">
        <is>
          <t>Yes</t>
        </is>
      </c>
      <c r="AR2026">
        <f>HYPERLINK("http://catalog.hathitrust.org/Record/000947147","HathiTrust Record")</f>
        <v/>
      </c>
      <c r="AS2026">
        <f>HYPERLINK("https://creighton-primo.hosted.exlibrisgroup.com/primo-explore/search?tab=default_tab&amp;search_scope=EVERYTHING&amp;vid=01CRU&amp;lang=en_US&amp;offset=0&amp;query=any,contains,991001284869702656","Catalog Record")</f>
        <v/>
      </c>
      <c r="AT2026">
        <f>HYPERLINK("http://www.worldcat.org/oclc/17953392","WorldCat Record")</f>
        <v/>
      </c>
      <c r="AU2026" t="inlineStr">
        <is>
          <t>16313672:eng</t>
        </is>
      </c>
      <c r="AV2026" t="inlineStr">
        <is>
          <t>17953392</t>
        </is>
      </c>
      <c r="AW2026" t="inlineStr">
        <is>
          <t>991001284869702656</t>
        </is>
      </c>
      <c r="AX2026" t="inlineStr">
        <is>
          <t>991001284869702656</t>
        </is>
      </c>
      <c r="AY2026" t="inlineStr">
        <is>
          <t>2271987620002656</t>
        </is>
      </c>
      <c r="AZ2026" t="inlineStr">
        <is>
          <t>BOOK</t>
        </is>
      </c>
      <c r="BB2026" t="inlineStr">
        <is>
          <t>9780895265647</t>
        </is>
      </c>
      <c r="BC2026" t="inlineStr">
        <is>
          <t>32285000670611</t>
        </is>
      </c>
      <c r="BD2026" t="inlineStr">
        <is>
          <t>893791356</t>
        </is>
      </c>
    </row>
    <row r="2027">
      <c r="A2027" t="inlineStr">
        <is>
          <t>No</t>
        </is>
      </c>
      <c r="B2027" t="inlineStr">
        <is>
          <t>E840.8.K35 L47</t>
        </is>
      </c>
      <c r="C2027" t="inlineStr">
        <is>
          <t>0                      E  0840800K  35                 L  47</t>
        </is>
      </c>
      <c r="D2027" t="inlineStr">
        <is>
          <t>Ted and the Kennedy legend : a study in character and destiny / by Max Lerner.</t>
        </is>
      </c>
      <c r="F2027" t="inlineStr">
        <is>
          <t>No</t>
        </is>
      </c>
      <c r="G2027" t="inlineStr">
        <is>
          <t>1</t>
        </is>
      </c>
      <c r="H2027" t="inlineStr">
        <is>
          <t>No</t>
        </is>
      </c>
      <c r="I2027" t="inlineStr">
        <is>
          <t>No</t>
        </is>
      </c>
      <c r="J2027" t="inlineStr">
        <is>
          <t>0</t>
        </is>
      </c>
      <c r="K2027" t="inlineStr">
        <is>
          <t>Lerner, Max, 1902-1992.</t>
        </is>
      </c>
      <c r="L2027" t="inlineStr">
        <is>
          <t>New York : St. Martin's Press, c1980.</t>
        </is>
      </c>
      <c r="M2027" t="inlineStr">
        <is>
          <t>1980</t>
        </is>
      </c>
      <c r="O2027" t="inlineStr">
        <is>
          <t>eng</t>
        </is>
      </c>
      <c r="P2027" t="inlineStr">
        <is>
          <t>nyu</t>
        </is>
      </c>
      <c r="R2027" t="inlineStr">
        <is>
          <t xml:space="preserve">E  </t>
        </is>
      </c>
      <c r="S2027" t="n">
        <v>2</v>
      </c>
      <c r="T2027" t="n">
        <v>2</v>
      </c>
      <c r="U2027" t="inlineStr">
        <is>
          <t>1992-01-12</t>
        </is>
      </c>
      <c r="V2027" t="inlineStr">
        <is>
          <t>1992-01-12</t>
        </is>
      </c>
      <c r="W2027" t="inlineStr">
        <is>
          <t>1991-06-19</t>
        </is>
      </c>
      <c r="X2027" t="inlineStr">
        <is>
          <t>1991-06-19</t>
        </is>
      </c>
      <c r="Y2027" t="n">
        <v>623</v>
      </c>
      <c r="Z2027" t="n">
        <v>590</v>
      </c>
      <c r="AA2027" t="n">
        <v>595</v>
      </c>
      <c r="AB2027" t="n">
        <v>4</v>
      </c>
      <c r="AC2027" t="n">
        <v>4</v>
      </c>
      <c r="AD2027" t="n">
        <v>10</v>
      </c>
      <c r="AE2027" t="n">
        <v>10</v>
      </c>
      <c r="AF2027" t="n">
        <v>5</v>
      </c>
      <c r="AG2027" t="n">
        <v>5</v>
      </c>
      <c r="AH2027" t="n">
        <v>2</v>
      </c>
      <c r="AI2027" t="n">
        <v>2</v>
      </c>
      <c r="AJ2027" t="n">
        <v>3</v>
      </c>
      <c r="AK2027" t="n">
        <v>3</v>
      </c>
      <c r="AL2027" t="n">
        <v>2</v>
      </c>
      <c r="AM2027" t="n">
        <v>2</v>
      </c>
      <c r="AN2027" t="n">
        <v>1</v>
      </c>
      <c r="AO2027" t="n">
        <v>1</v>
      </c>
      <c r="AP2027" t="inlineStr">
        <is>
          <t>No</t>
        </is>
      </c>
      <c r="AQ2027" t="inlineStr">
        <is>
          <t>No</t>
        </is>
      </c>
      <c r="AS2027">
        <f>HYPERLINK("https://creighton-primo.hosted.exlibrisgroup.com/primo-explore/search?tab=default_tab&amp;search_scope=EVERYTHING&amp;vid=01CRU&amp;lang=en_US&amp;offset=0&amp;query=any,contains,991004895579702656","Catalog Record")</f>
        <v/>
      </c>
      <c r="AT2027">
        <f>HYPERLINK("http://www.worldcat.org/oclc/5893368","WorldCat Record")</f>
        <v/>
      </c>
      <c r="AU2027" t="inlineStr">
        <is>
          <t>444314:eng</t>
        </is>
      </c>
      <c r="AV2027" t="inlineStr">
        <is>
          <t>5893368</t>
        </is>
      </c>
      <c r="AW2027" t="inlineStr">
        <is>
          <t>991004895579702656</t>
        </is>
      </c>
      <c r="AX2027" t="inlineStr">
        <is>
          <t>991004895579702656</t>
        </is>
      </c>
      <c r="AY2027" t="inlineStr">
        <is>
          <t>2265140050002656</t>
        </is>
      </c>
      <c r="AZ2027" t="inlineStr">
        <is>
          <t>BOOK</t>
        </is>
      </c>
      <c r="BB2027" t="inlineStr">
        <is>
          <t>9780312790431</t>
        </is>
      </c>
      <c r="BC2027" t="inlineStr">
        <is>
          <t>32285000670629</t>
        </is>
      </c>
      <c r="BD2027" t="inlineStr">
        <is>
          <t>893895607</t>
        </is>
      </c>
    </row>
    <row r="2028">
      <c r="A2028" t="inlineStr">
        <is>
          <t>No</t>
        </is>
      </c>
      <c r="B2028" t="inlineStr">
        <is>
          <t>E840.8.K4 A25</t>
        </is>
      </c>
      <c r="C2028" t="inlineStr">
        <is>
          <t>0                      E  0840800K  4                  A  25</t>
        </is>
      </c>
      <c r="D2028" t="inlineStr">
        <is>
          <t>The quotable Robert F. Kennedy / compiled and edited by Sue G. Hall and the staff of Quote.</t>
        </is>
      </c>
      <c r="F2028" t="inlineStr">
        <is>
          <t>No</t>
        </is>
      </c>
      <c r="G2028" t="inlineStr">
        <is>
          <t>1</t>
        </is>
      </c>
      <c r="H2028" t="inlineStr">
        <is>
          <t>No</t>
        </is>
      </c>
      <c r="I2028" t="inlineStr">
        <is>
          <t>No</t>
        </is>
      </c>
      <c r="J2028" t="inlineStr">
        <is>
          <t>0</t>
        </is>
      </c>
      <c r="K2028" t="inlineStr">
        <is>
          <t>Kennedy, Robert F., 1925-1968.</t>
        </is>
      </c>
      <c r="L2028" t="inlineStr">
        <is>
          <t>Anderson, S.C. : Droke House ; distributed by Grosset and Dunlap, New York, [1967]</t>
        </is>
      </c>
      <c r="M2028" t="inlineStr">
        <is>
          <t>1967</t>
        </is>
      </c>
      <c r="N2028" t="inlineStr">
        <is>
          <t>[1st ed.]</t>
        </is>
      </c>
      <c r="O2028" t="inlineStr">
        <is>
          <t>eng</t>
        </is>
      </c>
      <c r="P2028" t="inlineStr">
        <is>
          <t>scu</t>
        </is>
      </c>
      <c r="R2028" t="inlineStr">
        <is>
          <t xml:space="preserve">E  </t>
        </is>
      </c>
      <c r="S2028" t="n">
        <v>8</v>
      </c>
      <c r="T2028" t="n">
        <v>8</v>
      </c>
      <c r="U2028" t="inlineStr">
        <is>
          <t>1995-04-30</t>
        </is>
      </c>
      <c r="V2028" t="inlineStr">
        <is>
          <t>1995-04-30</t>
        </is>
      </c>
      <c r="W2028" t="inlineStr">
        <is>
          <t>1993-07-01</t>
        </is>
      </c>
      <c r="X2028" t="inlineStr">
        <is>
          <t>1993-07-01</t>
        </is>
      </c>
      <c r="Y2028" t="n">
        <v>216</v>
      </c>
      <c r="Z2028" t="n">
        <v>212</v>
      </c>
      <c r="AA2028" t="n">
        <v>214</v>
      </c>
      <c r="AB2028" t="n">
        <v>4</v>
      </c>
      <c r="AC2028" t="n">
        <v>4</v>
      </c>
      <c r="AD2028" t="n">
        <v>8</v>
      </c>
      <c r="AE2028" t="n">
        <v>8</v>
      </c>
      <c r="AF2028" t="n">
        <v>2</v>
      </c>
      <c r="AG2028" t="n">
        <v>2</v>
      </c>
      <c r="AH2028" t="n">
        <v>1</v>
      </c>
      <c r="AI2028" t="n">
        <v>1</v>
      </c>
      <c r="AJ2028" t="n">
        <v>3</v>
      </c>
      <c r="AK2028" t="n">
        <v>3</v>
      </c>
      <c r="AL2028" t="n">
        <v>2</v>
      </c>
      <c r="AM2028" t="n">
        <v>2</v>
      </c>
      <c r="AN2028" t="n">
        <v>0</v>
      </c>
      <c r="AO2028" t="n">
        <v>0</v>
      </c>
      <c r="AP2028" t="inlineStr">
        <is>
          <t>No</t>
        </is>
      </c>
      <c r="AQ2028" t="inlineStr">
        <is>
          <t>Yes</t>
        </is>
      </c>
      <c r="AR2028">
        <f>HYPERLINK("http://catalog.hathitrust.org/Record/000575192","HathiTrust Record")</f>
        <v/>
      </c>
      <c r="AS2028">
        <f>HYPERLINK("https://creighton-primo.hosted.exlibrisgroup.com/primo-explore/search?tab=default_tab&amp;search_scope=EVERYTHING&amp;vid=01CRU&amp;lang=en_US&amp;offset=0&amp;query=any,contains,991002258119702656","Catalog Record")</f>
        <v/>
      </c>
      <c r="AT2028">
        <f>HYPERLINK("http://www.worldcat.org/oclc/302642","WorldCat Record")</f>
        <v/>
      </c>
      <c r="AU2028" t="inlineStr">
        <is>
          <t>1347592:eng</t>
        </is>
      </c>
      <c r="AV2028" t="inlineStr">
        <is>
          <t>302642</t>
        </is>
      </c>
      <c r="AW2028" t="inlineStr">
        <is>
          <t>991002258119702656</t>
        </is>
      </c>
      <c r="AX2028" t="inlineStr">
        <is>
          <t>991002258119702656</t>
        </is>
      </c>
      <c r="AY2028" t="inlineStr">
        <is>
          <t>2272189710002656</t>
        </is>
      </c>
      <c r="AZ2028" t="inlineStr">
        <is>
          <t>BOOK</t>
        </is>
      </c>
      <c r="BC2028" t="inlineStr">
        <is>
          <t>32285001699684</t>
        </is>
      </c>
      <c r="BD2028" t="inlineStr">
        <is>
          <t>893445059</t>
        </is>
      </c>
    </row>
    <row r="2029">
      <c r="A2029" t="inlineStr">
        <is>
          <t>No</t>
        </is>
      </c>
      <c r="B2029" t="inlineStr">
        <is>
          <t>E840.8.K4 A49</t>
        </is>
      </c>
      <c r="C2029" t="inlineStr">
        <is>
          <t>0                      E  0840800K  4                  A  49</t>
        </is>
      </c>
      <c r="D2029" t="inlineStr">
        <is>
          <t>America the beautiful / in the words of Robert F. Kennedy.</t>
        </is>
      </c>
      <c r="F2029" t="inlineStr">
        <is>
          <t>No</t>
        </is>
      </c>
      <c r="G2029" t="inlineStr">
        <is>
          <t>1</t>
        </is>
      </c>
      <c r="H2029" t="inlineStr">
        <is>
          <t>No</t>
        </is>
      </c>
      <c r="I2029" t="inlineStr">
        <is>
          <t>No</t>
        </is>
      </c>
      <c r="J2029" t="inlineStr">
        <is>
          <t>0</t>
        </is>
      </c>
      <c r="K2029" t="inlineStr">
        <is>
          <t>Kennedy, Robert F., 1925-1968.</t>
        </is>
      </c>
      <c r="L2029" t="inlineStr">
        <is>
          <t>New York : Putnam, [1969, c1968]</t>
        </is>
      </c>
      <c r="M2029" t="inlineStr">
        <is>
          <t>1969</t>
        </is>
      </c>
      <c r="O2029" t="inlineStr">
        <is>
          <t>eng</t>
        </is>
      </c>
      <c r="P2029" t="inlineStr">
        <is>
          <t>nyu</t>
        </is>
      </c>
      <c r="R2029" t="inlineStr">
        <is>
          <t xml:space="preserve">E  </t>
        </is>
      </c>
      <c r="S2029" t="n">
        <v>6</v>
      </c>
      <c r="T2029" t="n">
        <v>6</v>
      </c>
      <c r="U2029" t="inlineStr">
        <is>
          <t>1997-03-27</t>
        </is>
      </c>
      <c r="V2029" t="inlineStr">
        <is>
          <t>1997-03-27</t>
        </is>
      </c>
      <c r="W2029" t="inlineStr">
        <is>
          <t>1992-09-09</t>
        </is>
      </c>
      <c r="X2029" t="inlineStr">
        <is>
          <t>1992-09-09</t>
        </is>
      </c>
      <c r="Y2029" t="n">
        <v>292</v>
      </c>
      <c r="Z2029" t="n">
        <v>290</v>
      </c>
      <c r="AA2029" t="n">
        <v>351</v>
      </c>
      <c r="AB2029" t="n">
        <v>3</v>
      </c>
      <c r="AC2029" t="n">
        <v>5</v>
      </c>
      <c r="AD2029" t="n">
        <v>4</v>
      </c>
      <c r="AE2029" t="n">
        <v>6</v>
      </c>
      <c r="AF2029" t="n">
        <v>0</v>
      </c>
      <c r="AG2029" t="n">
        <v>1</v>
      </c>
      <c r="AH2029" t="n">
        <v>1</v>
      </c>
      <c r="AI2029" t="n">
        <v>1</v>
      </c>
      <c r="AJ2029" t="n">
        <v>3</v>
      </c>
      <c r="AK2029" t="n">
        <v>4</v>
      </c>
      <c r="AL2029" t="n">
        <v>1</v>
      </c>
      <c r="AM2029" t="n">
        <v>2</v>
      </c>
      <c r="AN2029" t="n">
        <v>0</v>
      </c>
      <c r="AO2029" t="n">
        <v>0</v>
      </c>
      <c r="AP2029" t="inlineStr">
        <is>
          <t>No</t>
        </is>
      </c>
      <c r="AQ2029" t="inlineStr">
        <is>
          <t>No</t>
        </is>
      </c>
      <c r="AS2029">
        <f>HYPERLINK("https://creighton-primo.hosted.exlibrisgroup.com/primo-explore/search?tab=default_tab&amp;search_scope=EVERYTHING&amp;vid=01CRU&amp;lang=en_US&amp;offset=0&amp;query=any,contains,991003726959702656","Catalog Record")</f>
        <v/>
      </c>
      <c r="AT2029">
        <f>HYPERLINK("http://www.worldcat.org/oclc/1375146","WorldCat Record")</f>
        <v/>
      </c>
      <c r="AU2029" t="inlineStr">
        <is>
          <t>3768542512:eng</t>
        </is>
      </c>
      <c r="AV2029" t="inlineStr">
        <is>
          <t>1375146</t>
        </is>
      </c>
      <c r="AW2029" t="inlineStr">
        <is>
          <t>991003726959702656</t>
        </is>
      </c>
      <c r="AX2029" t="inlineStr">
        <is>
          <t>991003726959702656</t>
        </is>
      </c>
      <c r="AY2029" t="inlineStr">
        <is>
          <t>2259140000002656</t>
        </is>
      </c>
      <c r="AZ2029" t="inlineStr">
        <is>
          <t>BOOK</t>
        </is>
      </c>
      <c r="BC2029" t="inlineStr">
        <is>
          <t>32285001297216</t>
        </is>
      </c>
      <c r="BD2029" t="inlineStr">
        <is>
          <t>893894038</t>
        </is>
      </c>
    </row>
    <row r="2030">
      <c r="A2030" t="inlineStr">
        <is>
          <t>No</t>
        </is>
      </c>
      <c r="B2030" t="inlineStr">
        <is>
          <t>E840.8.K4 A498 1998</t>
        </is>
      </c>
      <c r="C2030" t="inlineStr">
        <is>
          <t>0                      E  0840800K  4                  A  498         1998</t>
        </is>
      </c>
      <c r="D2030" t="inlineStr">
        <is>
          <t>Make gentle the life of this world : the vision of Robert F. Kennedy / edited and with an introduction by Maxwell Taylor Kennedy.</t>
        </is>
      </c>
      <c r="F2030" t="inlineStr">
        <is>
          <t>No</t>
        </is>
      </c>
      <c r="G2030" t="inlineStr">
        <is>
          <t>1</t>
        </is>
      </c>
      <c r="H2030" t="inlineStr">
        <is>
          <t>No</t>
        </is>
      </c>
      <c r="I2030" t="inlineStr">
        <is>
          <t>No</t>
        </is>
      </c>
      <c r="J2030" t="inlineStr">
        <is>
          <t>0</t>
        </is>
      </c>
      <c r="K2030" t="inlineStr">
        <is>
          <t>Kennedy, Robert F., 1925-1968.</t>
        </is>
      </c>
      <c r="L2030" t="inlineStr">
        <is>
          <t>New York : Harcourt Brace, c1998.</t>
        </is>
      </c>
      <c r="M2030" t="inlineStr">
        <is>
          <t>1998</t>
        </is>
      </c>
      <c r="N2030" t="inlineStr">
        <is>
          <t>1st ed.</t>
        </is>
      </c>
      <c r="O2030" t="inlineStr">
        <is>
          <t>eng</t>
        </is>
      </c>
      <c r="P2030" t="inlineStr">
        <is>
          <t>nyu</t>
        </is>
      </c>
      <c r="R2030" t="inlineStr">
        <is>
          <t xml:space="preserve">E  </t>
        </is>
      </c>
      <c r="S2030" t="n">
        <v>3</v>
      </c>
      <c r="T2030" t="n">
        <v>3</v>
      </c>
      <c r="U2030" t="inlineStr">
        <is>
          <t>1999-10-05</t>
        </is>
      </c>
      <c r="V2030" t="inlineStr">
        <is>
          <t>1999-10-05</t>
        </is>
      </c>
      <c r="W2030" t="inlineStr">
        <is>
          <t>1998-08-04</t>
        </is>
      </c>
      <c r="X2030" t="inlineStr">
        <is>
          <t>1998-08-04</t>
        </is>
      </c>
      <c r="Y2030" t="n">
        <v>595</v>
      </c>
      <c r="Z2030" t="n">
        <v>580</v>
      </c>
      <c r="AA2030" t="n">
        <v>666</v>
      </c>
      <c r="AB2030" t="n">
        <v>6</v>
      </c>
      <c r="AC2030" t="n">
        <v>7</v>
      </c>
      <c r="AD2030" t="n">
        <v>11</v>
      </c>
      <c r="AE2030" t="n">
        <v>12</v>
      </c>
      <c r="AF2030" t="n">
        <v>4</v>
      </c>
      <c r="AG2030" t="n">
        <v>4</v>
      </c>
      <c r="AH2030" t="n">
        <v>1</v>
      </c>
      <c r="AI2030" t="n">
        <v>1</v>
      </c>
      <c r="AJ2030" t="n">
        <v>6</v>
      </c>
      <c r="AK2030" t="n">
        <v>7</v>
      </c>
      <c r="AL2030" t="n">
        <v>2</v>
      </c>
      <c r="AM2030" t="n">
        <v>2</v>
      </c>
      <c r="AN2030" t="n">
        <v>1</v>
      </c>
      <c r="AO2030" t="n">
        <v>1</v>
      </c>
      <c r="AP2030" t="inlineStr">
        <is>
          <t>No</t>
        </is>
      </c>
      <c r="AQ2030" t="inlineStr">
        <is>
          <t>No</t>
        </is>
      </c>
      <c r="AS2030">
        <f>HYPERLINK("https://creighton-primo.hosted.exlibrisgroup.com/primo-explore/search?tab=default_tab&amp;search_scope=EVERYTHING&amp;vid=01CRU&amp;lang=en_US&amp;offset=0&amp;query=any,contains,991002875059702656","Catalog Record")</f>
        <v/>
      </c>
      <c r="AT2030">
        <f>HYPERLINK("http://www.worldcat.org/oclc/37884883","WorldCat Record")</f>
        <v/>
      </c>
      <c r="AU2030" t="inlineStr">
        <is>
          <t>595465:eng</t>
        </is>
      </c>
      <c r="AV2030" t="inlineStr">
        <is>
          <t>37884883</t>
        </is>
      </c>
      <c r="AW2030" t="inlineStr">
        <is>
          <t>991002875059702656</t>
        </is>
      </c>
      <c r="AX2030" t="inlineStr">
        <is>
          <t>991002875059702656</t>
        </is>
      </c>
      <c r="AY2030" t="inlineStr">
        <is>
          <t>2267000040002656</t>
        </is>
      </c>
      <c r="AZ2030" t="inlineStr">
        <is>
          <t>BOOK</t>
        </is>
      </c>
      <c r="BB2030" t="inlineStr">
        <is>
          <t>9780151003563</t>
        </is>
      </c>
      <c r="BC2030" t="inlineStr">
        <is>
          <t>32285003448726</t>
        </is>
      </c>
      <c r="BD2030" t="inlineStr">
        <is>
          <t>893348034</t>
        </is>
      </c>
    </row>
    <row r="2031">
      <c r="A2031" t="inlineStr">
        <is>
          <t>No</t>
        </is>
      </c>
      <c r="B2031" t="inlineStr">
        <is>
          <t>E840.8.K4 A5</t>
        </is>
      </c>
      <c r="C2031" t="inlineStr">
        <is>
          <t>0                      E  0840800K  4                  A  5</t>
        </is>
      </c>
      <c r="D2031" t="inlineStr">
        <is>
          <t>A new day : Robert F. Kennedy / edited by Bill Adler ; picture editor: Michael O'Keefe.</t>
        </is>
      </c>
      <c r="F2031" t="inlineStr">
        <is>
          <t>No</t>
        </is>
      </c>
      <c r="G2031" t="inlineStr">
        <is>
          <t>1</t>
        </is>
      </c>
      <c r="H2031" t="inlineStr">
        <is>
          <t>No</t>
        </is>
      </c>
      <c r="I2031" t="inlineStr">
        <is>
          <t>No</t>
        </is>
      </c>
      <c r="J2031" t="inlineStr">
        <is>
          <t>0</t>
        </is>
      </c>
      <c r="K2031" t="inlineStr">
        <is>
          <t>Kennedy, Robert F., 1925-1968.</t>
        </is>
      </c>
      <c r="L2031" t="inlineStr">
        <is>
          <t>[New York] : New American Library, [1968]</t>
        </is>
      </c>
      <c r="M2031" t="inlineStr">
        <is>
          <t>1968</t>
        </is>
      </c>
      <c r="O2031" t="inlineStr">
        <is>
          <t>eng</t>
        </is>
      </c>
      <c r="P2031" t="inlineStr">
        <is>
          <t>nyu</t>
        </is>
      </c>
      <c r="Q2031" t="inlineStr">
        <is>
          <t>A Signet book</t>
        </is>
      </c>
      <c r="R2031" t="inlineStr">
        <is>
          <t xml:space="preserve">E  </t>
        </is>
      </c>
      <c r="S2031" t="n">
        <v>4</v>
      </c>
      <c r="T2031" t="n">
        <v>4</v>
      </c>
      <c r="U2031" t="inlineStr">
        <is>
          <t>1999-04-16</t>
        </is>
      </c>
      <c r="V2031" t="inlineStr">
        <is>
          <t>1999-04-16</t>
        </is>
      </c>
      <c r="W2031" t="inlineStr">
        <is>
          <t>1992-07-08</t>
        </is>
      </c>
      <c r="X2031" t="inlineStr">
        <is>
          <t>1992-07-08</t>
        </is>
      </c>
      <c r="Y2031" t="n">
        <v>90</v>
      </c>
      <c r="Z2031" t="n">
        <v>84</v>
      </c>
      <c r="AA2031" t="n">
        <v>101</v>
      </c>
      <c r="AB2031" t="n">
        <v>1</v>
      </c>
      <c r="AC2031" t="n">
        <v>1</v>
      </c>
      <c r="AD2031" t="n">
        <v>1</v>
      </c>
      <c r="AE2031" t="n">
        <v>3</v>
      </c>
      <c r="AF2031" t="n">
        <v>1</v>
      </c>
      <c r="AG2031" t="n">
        <v>2</v>
      </c>
      <c r="AH2031" t="n">
        <v>0</v>
      </c>
      <c r="AI2031" t="n">
        <v>1</v>
      </c>
      <c r="AJ2031" t="n">
        <v>1</v>
      </c>
      <c r="AK2031" t="n">
        <v>1</v>
      </c>
      <c r="AL2031" t="n">
        <v>0</v>
      </c>
      <c r="AM2031" t="n">
        <v>0</v>
      </c>
      <c r="AN2031" t="n">
        <v>0</v>
      </c>
      <c r="AO2031" t="n">
        <v>0</v>
      </c>
      <c r="AP2031" t="inlineStr">
        <is>
          <t>No</t>
        </is>
      </c>
      <c r="AQ2031" t="inlineStr">
        <is>
          <t>Yes</t>
        </is>
      </c>
      <c r="AR2031">
        <f>HYPERLINK("http://catalog.hathitrust.org/Record/009700693","HathiTrust Record")</f>
        <v/>
      </c>
      <c r="AS2031">
        <f>HYPERLINK("https://creighton-primo.hosted.exlibrisgroup.com/primo-explore/search?tab=default_tab&amp;search_scope=EVERYTHING&amp;vid=01CRU&amp;lang=en_US&amp;offset=0&amp;query=any,contains,991001291719702656","Catalog Record")</f>
        <v/>
      </c>
      <c r="AT2031">
        <f>HYPERLINK("http://www.worldcat.org/oclc/218097","WorldCat Record")</f>
        <v/>
      </c>
      <c r="AU2031" t="inlineStr">
        <is>
          <t>1313001:eng</t>
        </is>
      </c>
      <c r="AV2031" t="inlineStr">
        <is>
          <t>218097</t>
        </is>
      </c>
      <c r="AW2031" t="inlineStr">
        <is>
          <t>991001291719702656</t>
        </is>
      </c>
      <c r="AX2031" t="inlineStr">
        <is>
          <t>991001291719702656</t>
        </is>
      </c>
      <c r="AY2031" t="inlineStr">
        <is>
          <t>2258628730002656</t>
        </is>
      </c>
      <c r="AZ2031" t="inlineStr">
        <is>
          <t>BOOK</t>
        </is>
      </c>
      <c r="BC2031" t="inlineStr">
        <is>
          <t>32285001149631</t>
        </is>
      </c>
      <c r="BD2031" t="inlineStr">
        <is>
          <t>893351850</t>
        </is>
      </c>
    </row>
    <row r="2032">
      <c r="A2032" t="inlineStr">
        <is>
          <t>No</t>
        </is>
      </c>
      <c r="B2032" t="inlineStr">
        <is>
          <t>E840.8.K4 M44 1991</t>
        </is>
      </c>
      <c r="C2032" t="inlineStr">
        <is>
          <t>0                      E  0840800K  4                  M  44          1991</t>
        </is>
      </c>
      <c r="D2032" t="inlineStr">
        <is>
          <t>The Robert F. Kennedy assassination : new revelations on the conspiracy and cover-up, 1968-1991 / Philip H. Melanson ; foreword by Anthony Summers ; introduction by John H. Davis.</t>
        </is>
      </c>
      <c r="F2032" t="inlineStr">
        <is>
          <t>No</t>
        </is>
      </c>
      <c r="G2032" t="inlineStr">
        <is>
          <t>1</t>
        </is>
      </c>
      <c r="H2032" t="inlineStr">
        <is>
          <t>No</t>
        </is>
      </c>
      <c r="I2032" t="inlineStr">
        <is>
          <t>No</t>
        </is>
      </c>
      <c r="J2032" t="inlineStr">
        <is>
          <t>0</t>
        </is>
      </c>
      <c r="K2032" t="inlineStr">
        <is>
          <t>Melanson, Philip H.</t>
        </is>
      </c>
      <c r="L2032" t="inlineStr">
        <is>
          <t>New York : Shapolsky Publishers, 1991.</t>
        </is>
      </c>
      <c r="M2032" t="inlineStr">
        <is>
          <t>1991</t>
        </is>
      </c>
      <c r="O2032" t="inlineStr">
        <is>
          <t>eng</t>
        </is>
      </c>
      <c r="P2032" t="inlineStr">
        <is>
          <t>nyu</t>
        </is>
      </c>
      <c r="R2032" t="inlineStr">
        <is>
          <t xml:space="preserve">E  </t>
        </is>
      </c>
      <c r="S2032" t="n">
        <v>1</v>
      </c>
      <c r="T2032" t="n">
        <v>1</v>
      </c>
      <c r="U2032" t="inlineStr">
        <is>
          <t>1992-10-27</t>
        </is>
      </c>
      <c r="V2032" t="inlineStr">
        <is>
          <t>1992-10-27</t>
        </is>
      </c>
      <c r="W2032" t="inlineStr">
        <is>
          <t>1991-12-17</t>
        </is>
      </c>
      <c r="X2032" t="inlineStr">
        <is>
          <t>1991-12-17</t>
        </is>
      </c>
      <c r="Y2032" t="n">
        <v>408</v>
      </c>
      <c r="Z2032" t="n">
        <v>365</v>
      </c>
      <c r="AA2032" t="n">
        <v>383</v>
      </c>
      <c r="AB2032" t="n">
        <v>4</v>
      </c>
      <c r="AC2032" t="n">
        <v>4</v>
      </c>
      <c r="AD2032" t="n">
        <v>9</v>
      </c>
      <c r="AE2032" t="n">
        <v>9</v>
      </c>
      <c r="AF2032" t="n">
        <v>4</v>
      </c>
      <c r="AG2032" t="n">
        <v>4</v>
      </c>
      <c r="AH2032" t="n">
        <v>1</v>
      </c>
      <c r="AI2032" t="n">
        <v>1</v>
      </c>
      <c r="AJ2032" t="n">
        <v>3</v>
      </c>
      <c r="AK2032" t="n">
        <v>3</v>
      </c>
      <c r="AL2032" t="n">
        <v>2</v>
      </c>
      <c r="AM2032" t="n">
        <v>2</v>
      </c>
      <c r="AN2032" t="n">
        <v>0</v>
      </c>
      <c r="AO2032" t="n">
        <v>0</v>
      </c>
      <c r="AP2032" t="inlineStr">
        <is>
          <t>No</t>
        </is>
      </c>
      <c r="AQ2032" t="inlineStr">
        <is>
          <t>No</t>
        </is>
      </c>
      <c r="AS2032">
        <f>HYPERLINK("https://creighton-primo.hosted.exlibrisgroup.com/primo-explore/search?tab=default_tab&amp;search_scope=EVERYTHING&amp;vid=01CRU&amp;lang=en_US&amp;offset=0&amp;query=any,contains,991001915979702656","Catalog Record")</f>
        <v/>
      </c>
      <c r="AT2032">
        <f>HYPERLINK("http://www.worldcat.org/oclc/24182030","WorldCat Record")</f>
        <v/>
      </c>
      <c r="AU2032" t="inlineStr">
        <is>
          <t>14988850:eng</t>
        </is>
      </c>
      <c r="AV2032" t="inlineStr">
        <is>
          <t>24182030</t>
        </is>
      </c>
      <c r="AW2032" t="inlineStr">
        <is>
          <t>991001915979702656</t>
        </is>
      </c>
      <c r="AX2032" t="inlineStr">
        <is>
          <t>991001915979702656</t>
        </is>
      </c>
      <c r="AY2032" t="inlineStr">
        <is>
          <t>2271613190002656</t>
        </is>
      </c>
      <c r="AZ2032" t="inlineStr">
        <is>
          <t>BOOK</t>
        </is>
      </c>
      <c r="BB2032" t="inlineStr">
        <is>
          <t>9781561710362</t>
        </is>
      </c>
      <c r="BC2032" t="inlineStr">
        <is>
          <t>32285000860964</t>
        </is>
      </c>
      <c r="BD2032" t="inlineStr">
        <is>
          <t>893420742</t>
        </is>
      </c>
    </row>
    <row r="2033">
      <c r="A2033" t="inlineStr">
        <is>
          <t>No</t>
        </is>
      </c>
      <c r="B2033" t="inlineStr">
        <is>
          <t>E840.8.K4 P26 2001</t>
        </is>
      </c>
      <c r="C2033" t="inlineStr">
        <is>
          <t>0                      E  0840800K  4                  P  26          2001</t>
        </is>
      </c>
      <c r="D2033" t="inlineStr">
        <is>
          <t>In his own right : the political odyssey of Senator Robert F. Kennedy / Joseph A. Palermo.</t>
        </is>
      </c>
      <c r="F2033" t="inlineStr">
        <is>
          <t>No</t>
        </is>
      </c>
      <c r="G2033" t="inlineStr">
        <is>
          <t>1</t>
        </is>
      </c>
      <c r="H2033" t="inlineStr">
        <is>
          <t>No</t>
        </is>
      </c>
      <c r="I2033" t="inlineStr">
        <is>
          <t>No</t>
        </is>
      </c>
      <c r="J2033" t="inlineStr">
        <is>
          <t>0</t>
        </is>
      </c>
      <c r="K2033" t="inlineStr">
        <is>
          <t>Palermo, Joseph A.</t>
        </is>
      </c>
      <c r="L2033" t="inlineStr">
        <is>
          <t>New York : Columbia University Press, c2001.</t>
        </is>
      </c>
      <c r="M2033" t="inlineStr">
        <is>
          <t>2001</t>
        </is>
      </c>
      <c r="O2033" t="inlineStr">
        <is>
          <t>eng</t>
        </is>
      </c>
      <c r="P2033" t="inlineStr">
        <is>
          <t>nyu</t>
        </is>
      </c>
      <c r="Q2033" t="inlineStr">
        <is>
          <t>Columbia studies in contemporary American history</t>
        </is>
      </c>
      <c r="R2033" t="inlineStr">
        <is>
          <t xml:space="preserve">E  </t>
        </is>
      </c>
      <c r="S2033" t="n">
        <v>1</v>
      </c>
      <c r="T2033" t="n">
        <v>1</v>
      </c>
      <c r="U2033" t="inlineStr">
        <is>
          <t>2004-04-15</t>
        </is>
      </c>
      <c r="V2033" t="inlineStr">
        <is>
          <t>2004-04-15</t>
        </is>
      </c>
      <c r="W2033" t="inlineStr">
        <is>
          <t>2004-04-15</t>
        </is>
      </c>
      <c r="X2033" t="inlineStr">
        <is>
          <t>2004-04-15</t>
        </is>
      </c>
      <c r="Y2033" t="n">
        <v>625</v>
      </c>
      <c r="Z2033" t="n">
        <v>562</v>
      </c>
      <c r="AA2033" t="n">
        <v>1639</v>
      </c>
      <c r="AB2033" t="n">
        <v>8</v>
      </c>
      <c r="AC2033" t="n">
        <v>34</v>
      </c>
      <c r="AD2033" t="n">
        <v>29</v>
      </c>
      <c r="AE2033" t="n">
        <v>50</v>
      </c>
      <c r="AF2033" t="n">
        <v>10</v>
      </c>
      <c r="AG2033" t="n">
        <v>18</v>
      </c>
      <c r="AH2033" t="n">
        <v>6</v>
      </c>
      <c r="AI2033" t="n">
        <v>10</v>
      </c>
      <c r="AJ2033" t="n">
        <v>15</v>
      </c>
      <c r="AK2033" t="n">
        <v>18</v>
      </c>
      <c r="AL2033" t="n">
        <v>7</v>
      </c>
      <c r="AM2033" t="n">
        <v>15</v>
      </c>
      <c r="AN2033" t="n">
        <v>0</v>
      </c>
      <c r="AO2033" t="n">
        <v>0</v>
      </c>
      <c r="AP2033" t="inlineStr">
        <is>
          <t>No</t>
        </is>
      </c>
      <c r="AQ2033" t="inlineStr">
        <is>
          <t>No</t>
        </is>
      </c>
      <c r="AS2033">
        <f>HYPERLINK("https://creighton-primo.hosted.exlibrisgroup.com/primo-explore/search?tab=default_tab&amp;search_scope=EVERYTHING&amp;vid=01CRU&amp;lang=en_US&amp;offset=0&amp;query=any,contains,991004274749702656","Catalog Record")</f>
        <v/>
      </c>
      <c r="AT2033">
        <f>HYPERLINK("http://www.worldcat.org/oclc/45630571","WorldCat Record")</f>
        <v/>
      </c>
      <c r="AU2033" t="inlineStr">
        <is>
          <t>795338504:eng</t>
        </is>
      </c>
      <c r="AV2033" t="inlineStr">
        <is>
          <t>45630571</t>
        </is>
      </c>
      <c r="AW2033" t="inlineStr">
        <is>
          <t>991004274749702656</t>
        </is>
      </c>
      <c r="AX2033" t="inlineStr">
        <is>
          <t>991004274749702656</t>
        </is>
      </c>
      <c r="AY2033" t="inlineStr">
        <is>
          <t>2265735770002656</t>
        </is>
      </c>
      <c r="AZ2033" t="inlineStr">
        <is>
          <t>BOOK</t>
        </is>
      </c>
      <c r="BB2033" t="inlineStr">
        <is>
          <t>9780231120685</t>
        </is>
      </c>
      <c r="BC2033" t="inlineStr">
        <is>
          <t>32285004899596</t>
        </is>
      </c>
      <c r="BD2033" t="inlineStr">
        <is>
          <t>893500364</t>
        </is>
      </c>
    </row>
    <row r="2034">
      <c r="A2034" t="inlineStr">
        <is>
          <t>No</t>
        </is>
      </c>
      <c r="B2034" t="inlineStr">
        <is>
          <t>E840.8.K4 R6</t>
        </is>
      </c>
      <c r="C2034" t="inlineStr">
        <is>
          <t>0                      E  0840800K  4                  R  6</t>
        </is>
      </c>
      <c r="D2034" t="inlineStr">
        <is>
          <t>Robert F. Kennedy, apostle of change : a review of his public record with analysis / by Douglas Ross.</t>
        </is>
      </c>
      <c r="F2034" t="inlineStr">
        <is>
          <t>No</t>
        </is>
      </c>
      <c r="G2034" t="inlineStr">
        <is>
          <t>1</t>
        </is>
      </c>
      <c r="H2034" t="inlineStr">
        <is>
          <t>No</t>
        </is>
      </c>
      <c r="I2034" t="inlineStr">
        <is>
          <t>No</t>
        </is>
      </c>
      <c r="J2034" t="inlineStr">
        <is>
          <t>0</t>
        </is>
      </c>
      <c r="K2034" t="inlineStr">
        <is>
          <t>Ross, Douglas.</t>
        </is>
      </c>
      <c r="L2034" t="inlineStr">
        <is>
          <t>New York : Pocket Books, [1968]</t>
        </is>
      </c>
      <c r="M2034" t="inlineStr">
        <is>
          <t>1968</t>
        </is>
      </c>
      <c r="O2034" t="inlineStr">
        <is>
          <t>eng</t>
        </is>
      </c>
      <c r="P2034" t="inlineStr">
        <is>
          <t>nyu</t>
        </is>
      </c>
      <c r="R2034" t="inlineStr">
        <is>
          <t xml:space="preserve">E  </t>
        </is>
      </c>
      <c r="S2034" t="n">
        <v>4</v>
      </c>
      <c r="T2034" t="n">
        <v>4</v>
      </c>
      <c r="U2034" t="inlineStr">
        <is>
          <t>1997-03-27</t>
        </is>
      </c>
      <c r="V2034" t="inlineStr">
        <is>
          <t>1997-03-27</t>
        </is>
      </c>
      <c r="W2034" t="inlineStr">
        <is>
          <t>1991-06-19</t>
        </is>
      </c>
      <c r="X2034" t="inlineStr">
        <is>
          <t>1991-06-19</t>
        </is>
      </c>
      <c r="Y2034" t="n">
        <v>105</v>
      </c>
      <c r="Z2034" t="n">
        <v>98</v>
      </c>
      <c r="AA2034" t="n">
        <v>560</v>
      </c>
      <c r="AB2034" t="n">
        <v>2</v>
      </c>
      <c r="AC2034" t="n">
        <v>5</v>
      </c>
      <c r="AD2034" t="n">
        <v>5</v>
      </c>
      <c r="AE2034" t="n">
        <v>21</v>
      </c>
      <c r="AF2034" t="n">
        <v>2</v>
      </c>
      <c r="AG2034" t="n">
        <v>9</v>
      </c>
      <c r="AH2034" t="n">
        <v>2</v>
      </c>
      <c r="AI2034" t="n">
        <v>4</v>
      </c>
      <c r="AJ2034" t="n">
        <v>3</v>
      </c>
      <c r="AK2034" t="n">
        <v>9</v>
      </c>
      <c r="AL2034" t="n">
        <v>1</v>
      </c>
      <c r="AM2034" t="n">
        <v>4</v>
      </c>
      <c r="AN2034" t="n">
        <v>0</v>
      </c>
      <c r="AO2034" t="n">
        <v>0</v>
      </c>
      <c r="AP2034" t="inlineStr">
        <is>
          <t>No</t>
        </is>
      </c>
      <c r="AQ2034" t="inlineStr">
        <is>
          <t>No</t>
        </is>
      </c>
      <c r="AS2034">
        <f>HYPERLINK("https://creighton-primo.hosted.exlibrisgroup.com/primo-explore/search?tab=default_tab&amp;search_scope=EVERYTHING&amp;vid=01CRU&amp;lang=en_US&amp;offset=0&amp;query=any,contains,991002766219702656","Catalog Record")</f>
        <v/>
      </c>
      <c r="AT2034">
        <f>HYPERLINK("http://www.worldcat.org/oclc/434380","WorldCat Record")</f>
        <v/>
      </c>
      <c r="AU2034" t="inlineStr">
        <is>
          <t>503434279:eng</t>
        </is>
      </c>
      <c r="AV2034" t="inlineStr">
        <is>
          <t>434380</t>
        </is>
      </c>
      <c r="AW2034" t="inlineStr">
        <is>
          <t>991002766219702656</t>
        </is>
      </c>
      <c r="AX2034" t="inlineStr">
        <is>
          <t>991002766219702656</t>
        </is>
      </c>
      <c r="AY2034" t="inlineStr">
        <is>
          <t>2267120840002656</t>
        </is>
      </c>
      <c r="AZ2034" t="inlineStr">
        <is>
          <t>BOOK</t>
        </is>
      </c>
      <c r="BC2034" t="inlineStr">
        <is>
          <t>32285000670645</t>
        </is>
      </c>
      <c r="BD2034" t="inlineStr">
        <is>
          <t>893786526</t>
        </is>
      </c>
    </row>
    <row r="2035">
      <c r="A2035" t="inlineStr">
        <is>
          <t>No</t>
        </is>
      </c>
      <c r="B2035" t="inlineStr">
        <is>
          <t>E840.8.K4 S3</t>
        </is>
      </c>
      <c r="C2035" t="inlineStr">
        <is>
          <t>0                      E  0840800K  4                  S  3</t>
        </is>
      </c>
      <c r="D2035" t="inlineStr">
        <is>
          <t>R.F.K. / picture editor: Michael O'Keefe.</t>
        </is>
      </c>
      <c r="F2035" t="inlineStr">
        <is>
          <t>No</t>
        </is>
      </c>
      <c r="G2035" t="inlineStr">
        <is>
          <t>1</t>
        </is>
      </c>
      <c r="H2035" t="inlineStr">
        <is>
          <t>No</t>
        </is>
      </c>
      <c r="I2035" t="inlineStr">
        <is>
          <t>No</t>
        </is>
      </c>
      <c r="J2035" t="inlineStr">
        <is>
          <t>0</t>
        </is>
      </c>
      <c r="K2035" t="inlineStr">
        <is>
          <t>Schaap, Dick, 1934-2001.</t>
        </is>
      </c>
      <c r="L2035" t="inlineStr">
        <is>
          <t>[New York] : The New American Library, [1967]</t>
        </is>
      </c>
      <c r="M2035" t="inlineStr">
        <is>
          <t>1967</t>
        </is>
      </c>
      <c r="O2035" t="inlineStr">
        <is>
          <t>eng</t>
        </is>
      </c>
      <c r="P2035" t="inlineStr">
        <is>
          <t>nyu</t>
        </is>
      </c>
      <c r="R2035" t="inlineStr">
        <is>
          <t xml:space="preserve">E  </t>
        </is>
      </c>
      <c r="S2035" t="n">
        <v>10</v>
      </c>
      <c r="T2035" t="n">
        <v>10</v>
      </c>
      <c r="U2035" t="inlineStr">
        <is>
          <t>2001-01-13</t>
        </is>
      </c>
      <c r="V2035" t="inlineStr">
        <is>
          <t>2001-01-13</t>
        </is>
      </c>
      <c r="W2035" t="inlineStr">
        <is>
          <t>1992-09-09</t>
        </is>
      </c>
      <c r="X2035" t="inlineStr">
        <is>
          <t>1992-09-09</t>
        </is>
      </c>
      <c r="Y2035" t="n">
        <v>295</v>
      </c>
      <c r="Z2035" t="n">
        <v>285</v>
      </c>
      <c r="AA2035" t="n">
        <v>327</v>
      </c>
      <c r="AB2035" t="n">
        <v>2</v>
      </c>
      <c r="AC2035" t="n">
        <v>2</v>
      </c>
      <c r="AD2035" t="n">
        <v>7</v>
      </c>
      <c r="AE2035" t="n">
        <v>10</v>
      </c>
      <c r="AF2035" t="n">
        <v>1</v>
      </c>
      <c r="AG2035" t="n">
        <v>3</v>
      </c>
      <c r="AH2035" t="n">
        <v>2</v>
      </c>
      <c r="AI2035" t="n">
        <v>2</v>
      </c>
      <c r="AJ2035" t="n">
        <v>5</v>
      </c>
      <c r="AK2035" t="n">
        <v>7</v>
      </c>
      <c r="AL2035" t="n">
        <v>1</v>
      </c>
      <c r="AM2035" t="n">
        <v>1</v>
      </c>
      <c r="AN2035" t="n">
        <v>0</v>
      </c>
      <c r="AO2035" t="n">
        <v>0</v>
      </c>
      <c r="AP2035" t="inlineStr">
        <is>
          <t>No</t>
        </is>
      </c>
      <c r="AQ2035" t="inlineStr">
        <is>
          <t>No</t>
        </is>
      </c>
      <c r="AS2035">
        <f>HYPERLINK("https://creighton-primo.hosted.exlibrisgroup.com/primo-explore/search?tab=default_tab&amp;search_scope=EVERYTHING&amp;vid=01CRU&amp;lang=en_US&amp;offset=0&amp;query=any,contains,991003430889702656","Catalog Record")</f>
        <v/>
      </c>
      <c r="AT2035">
        <f>HYPERLINK("http://www.worldcat.org/oclc/965501","WorldCat Record")</f>
        <v/>
      </c>
      <c r="AU2035" t="inlineStr">
        <is>
          <t>112810725:eng</t>
        </is>
      </c>
      <c r="AV2035" t="inlineStr">
        <is>
          <t>965501</t>
        </is>
      </c>
      <c r="AW2035" t="inlineStr">
        <is>
          <t>991003430889702656</t>
        </is>
      </c>
      <c r="AX2035" t="inlineStr">
        <is>
          <t>991003430889702656</t>
        </is>
      </c>
      <c r="AY2035" t="inlineStr">
        <is>
          <t>2258239400002656</t>
        </is>
      </c>
      <c r="AZ2035" t="inlineStr">
        <is>
          <t>BOOK</t>
        </is>
      </c>
      <c r="BC2035" t="inlineStr">
        <is>
          <t>32285001297190</t>
        </is>
      </c>
      <c r="BD2035" t="inlineStr">
        <is>
          <t>893441283</t>
        </is>
      </c>
    </row>
    <row r="2036">
      <c r="A2036" t="inlineStr">
        <is>
          <t>No</t>
        </is>
      </c>
      <c r="B2036" t="inlineStr">
        <is>
          <t>E840.8.K4 S33</t>
        </is>
      </c>
      <c r="C2036" t="inlineStr">
        <is>
          <t>0                      E  0840800K  4                  S  33</t>
        </is>
      </c>
      <c r="D2036" t="inlineStr">
        <is>
          <t>Robert Kennedy and his times / Arthur M. Schlesinger, Jr. --</t>
        </is>
      </c>
      <c r="E2036" t="inlineStr">
        <is>
          <t>V.2</t>
        </is>
      </c>
      <c r="F2036" t="inlineStr">
        <is>
          <t>Yes</t>
        </is>
      </c>
      <c r="G2036" t="inlineStr">
        <is>
          <t>1</t>
        </is>
      </c>
      <c r="H2036" t="inlineStr">
        <is>
          <t>No</t>
        </is>
      </c>
      <c r="I2036" t="inlineStr">
        <is>
          <t>No</t>
        </is>
      </c>
      <c r="J2036" t="inlineStr">
        <is>
          <t>0</t>
        </is>
      </c>
      <c r="K2036" t="inlineStr">
        <is>
          <t>Schlesinger, Arthur M., Jr. (Arthur Meier), 1917-2007.</t>
        </is>
      </c>
      <c r="L2036" t="inlineStr">
        <is>
          <t>Boston : Houghton Mifflin, 1978.</t>
        </is>
      </c>
      <c r="M2036" t="inlineStr">
        <is>
          <t>1978</t>
        </is>
      </c>
      <c r="O2036" t="inlineStr">
        <is>
          <t>eng</t>
        </is>
      </c>
      <c r="P2036" t="inlineStr">
        <is>
          <t>mau</t>
        </is>
      </c>
      <c r="R2036" t="inlineStr">
        <is>
          <t xml:space="preserve">E  </t>
        </is>
      </c>
      <c r="S2036" t="n">
        <v>0</v>
      </c>
      <c r="T2036" t="n">
        <v>3</v>
      </c>
      <c r="V2036" t="inlineStr">
        <is>
          <t>2001-03-13</t>
        </is>
      </c>
      <c r="W2036" t="inlineStr">
        <is>
          <t>1991-06-19</t>
        </is>
      </c>
      <c r="X2036" t="inlineStr">
        <is>
          <t>1991-06-19</t>
        </is>
      </c>
      <c r="Y2036" t="n">
        <v>2680</v>
      </c>
      <c r="Z2036" t="n">
        <v>2505</v>
      </c>
      <c r="AA2036" t="n">
        <v>3242</v>
      </c>
      <c r="AB2036" t="n">
        <v>29</v>
      </c>
      <c r="AC2036" t="n">
        <v>30</v>
      </c>
      <c r="AD2036" t="n">
        <v>59</v>
      </c>
      <c r="AE2036" t="n">
        <v>70</v>
      </c>
      <c r="AF2036" t="n">
        <v>24</v>
      </c>
      <c r="AG2036" t="n">
        <v>29</v>
      </c>
      <c r="AH2036" t="n">
        <v>9</v>
      </c>
      <c r="AI2036" t="n">
        <v>11</v>
      </c>
      <c r="AJ2036" t="n">
        <v>21</v>
      </c>
      <c r="AK2036" t="n">
        <v>26</v>
      </c>
      <c r="AL2036" t="n">
        <v>12</v>
      </c>
      <c r="AM2036" t="n">
        <v>12</v>
      </c>
      <c r="AN2036" t="n">
        <v>4</v>
      </c>
      <c r="AO2036" t="n">
        <v>6</v>
      </c>
      <c r="AP2036" t="inlineStr">
        <is>
          <t>No</t>
        </is>
      </c>
      <c r="AQ2036" t="inlineStr">
        <is>
          <t>Yes</t>
        </is>
      </c>
      <c r="AR2036">
        <f>HYPERLINK("http://catalog.hathitrust.org/Record/000136461","HathiTrust Record")</f>
        <v/>
      </c>
      <c r="AS2036">
        <f>HYPERLINK("https://creighton-primo.hosted.exlibrisgroup.com/primo-explore/search?tab=default_tab&amp;search_scope=EVERYTHING&amp;vid=01CRU&amp;lang=en_US&amp;offset=0&amp;query=any,contains,991004534889702656","Catalog Record")</f>
        <v/>
      </c>
      <c r="AT2036">
        <f>HYPERLINK("http://www.worldcat.org/oclc/3869043","WorldCat Record")</f>
        <v/>
      </c>
      <c r="AU2036" t="inlineStr">
        <is>
          <t>69527308:eng</t>
        </is>
      </c>
      <c r="AV2036" t="inlineStr">
        <is>
          <t>3869043</t>
        </is>
      </c>
      <c r="AW2036" t="inlineStr">
        <is>
          <t>991004534889702656</t>
        </is>
      </c>
      <c r="AX2036" t="inlineStr">
        <is>
          <t>991004534889702656</t>
        </is>
      </c>
      <c r="AY2036" t="inlineStr">
        <is>
          <t>2263025610002656</t>
        </is>
      </c>
      <c r="AZ2036" t="inlineStr">
        <is>
          <t>BOOK</t>
        </is>
      </c>
      <c r="BB2036" t="inlineStr">
        <is>
          <t>9780395248973</t>
        </is>
      </c>
      <c r="BC2036" t="inlineStr">
        <is>
          <t>32285000670660</t>
        </is>
      </c>
      <c r="BD2036" t="inlineStr">
        <is>
          <t>893687840</t>
        </is>
      </c>
    </row>
    <row r="2037">
      <c r="A2037" t="inlineStr">
        <is>
          <t>No</t>
        </is>
      </c>
      <c r="B2037" t="inlineStr">
        <is>
          <t>E840.8.K4 S33</t>
        </is>
      </c>
      <c r="C2037" t="inlineStr">
        <is>
          <t>0                      E  0840800K  4                  S  33</t>
        </is>
      </c>
      <c r="D2037" t="inlineStr">
        <is>
          <t>Robert Kennedy and his times / Arthur M. Schlesinger, Jr. --</t>
        </is>
      </c>
      <c r="E2037" t="inlineStr">
        <is>
          <t>V.1</t>
        </is>
      </c>
      <c r="F2037" t="inlineStr">
        <is>
          <t>Yes</t>
        </is>
      </c>
      <c r="G2037" t="inlineStr">
        <is>
          <t>1</t>
        </is>
      </c>
      <c r="H2037" t="inlineStr">
        <is>
          <t>No</t>
        </is>
      </c>
      <c r="I2037" t="inlineStr">
        <is>
          <t>No</t>
        </is>
      </c>
      <c r="J2037" t="inlineStr">
        <is>
          <t>0</t>
        </is>
      </c>
      <c r="K2037" t="inlineStr">
        <is>
          <t>Schlesinger, Arthur M., Jr. (Arthur Meier), 1917-2007.</t>
        </is>
      </c>
      <c r="L2037" t="inlineStr">
        <is>
          <t>Boston : Houghton Mifflin, 1978.</t>
        </is>
      </c>
      <c r="M2037" t="inlineStr">
        <is>
          <t>1978</t>
        </is>
      </c>
      <c r="O2037" t="inlineStr">
        <is>
          <t>eng</t>
        </is>
      </c>
      <c r="P2037" t="inlineStr">
        <is>
          <t>mau</t>
        </is>
      </c>
      <c r="R2037" t="inlineStr">
        <is>
          <t xml:space="preserve">E  </t>
        </is>
      </c>
      <c r="S2037" t="n">
        <v>3</v>
      </c>
      <c r="T2037" t="n">
        <v>3</v>
      </c>
      <c r="U2037" t="inlineStr">
        <is>
          <t>2001-03-13</t>
        </is>
      </c>
      <c r="V2037" t="inlineStr">
        <is>
          <t>2001-03-13</t>
        </is>
      </c>
      <c r="W2037" t="inlineStr">
        <is>
          <t>1991-06-19</t>
        </is>
      </c>
      <c r="X2037" t="inlineStr">
        <is>
          <t>1991-06-19</t>
        </is>
      </c>
      <c r="Y2037" t="n">
        <v>2680</v>
      </c>
      <c r="Z2037" t="n">
        <v>2505</v>
      </c>
      <c r="AA2037" t="n">
        <v>3242</v>
      </c>
      <c r="AB2037" t="n">
        <v>29</v>
      </c>
      <c r="AC2037" t="n">
        <v>30</v>
      </c>
      <c r="AD2037" t="n">
        <v>59</v>
      </c>
      <c r="AE2037" t="n">
        <v>70</v>
      </c>
      <c r="AF2037" t="n">
        <v>24</v>
      </c>
      <c r="AG2037" t="n">
        <v>29</v>
      </c>
      <c r="AH2037" t="n">
        <v>9</v>
      </c>
      <c r="AI2037" t="n">
        <v>11</v>
      </c>
      <c r="AJ2037" t="n">
        <v>21</v>
      </c>
      <c r="AK2037" t="n">
        <v>26</v>
      </c>
      <c r="AL2037" t="n">
        <v>12</v>
      </c>
      <c r="AM2037" t="n">
        <v>12</v>
      </c>
      <c r="AN2037" t="n">
        <v>4</v>
      </c>
      <c r="AO2037" t="n">
        <v>6</v>
      </c>
      <c r="AP2037" t="inlineStr">
        <is>
          <t>No</t>
        </is>
      </c>
      <c r="AQ2037" t="inlineStr">
        <is>
          <t>Yes</t>
        </is>
      </c>
      <c r="AR2037">
        <f>HYPERLINK("http://catalog.hathitrust.org/Record/000136461","HathiTrust Record")</f>
        <v/>
      </c>
      <c r="AS2037">
        <f>HYPERLINK("https://creighton-primo.hosted.exlibrisgroup.com/primo-explore/search?tab=default_tab&amp;search_scope=EVERYTHING&amp;vid=01CRU&amp;lang=en_US&amp;offset=0&amp;query=any,contains,991004534889702656","Catalog Record")</f>
        <v/>
      </c>
      <c r="AT2037">
        <f>HYPERLINK("http://www.worldcat.org/oclc/3869043","WorldCat Record")</f>
        <v/>
      </c>
      <c r="AU2037" t="inlineStr">
        <is>
          <t>69527308:eng</t>
        </is>
      </c>
      <c r="AV2037" t="inlineStr">
        <is>
          <t>3869043</t>
        </is>
      </c>
      <c r="AW2037" t="inlineStr">
        <is>
          <t>991004534889702656</t>
        </is>
      </c>
      <c r="AX2037" t="inlineStr">
        <is>
          <t>991004534889702656</t>
        </is>
      </c>
      <c r="AY2037" t="inlineStr">
        <is>
          <t>2263025610002656</t>
        </is>
      </c>
      <c r="AZ2037" t="inlineStr">
        <is>
          <t>BOOK</t>
        </is>
      </c>
      <c r="BB2037" t="inlineStr">
        <is>
          <t>9780395248973</t>
        </is>
      </c>
      <c r="BC2037" t="inlineStr">
        <is>
          <t>32285000670652</t>
        </is>
      </c>
      <c r="BD2037" t="inlineStr">
        <is>
          <t>893694048</t>
        </is>
      </c>
    </row>
    <row r="2038">
      <c r="A2038" t="inlineStr">
        <is>
          <t>No</t>
        </is>
      </c>
      <c r="B2038" t="inlineStr">
        <is>
          <t>E840.8.K4 U5</t>
        </is>
      </c>
      <c r="C2038" t="inlineStr">
        <is>
          <t>0                      E  0840800K  4                  U  5</t>
        </is>
      </c>
      <c r="D2038" t="inlineStr">
        <is>
          <t>Assassination : Robert F. Kennedy, 1925-1968 / by the editors of United Press International and Cowles. Edited by Francine Klagsbrun and David C. Whitney.</t>
        </is>
      </c>
      <c r="F2038" t="inlineStr">
        <is>
          <t>No</t>
        </is>
      </c>
      <c r="G2038" t="inlineStr">
        <is>
          <t>1</t>
        </is>
      </c>
      <c r="H2038" t="inlineStr">
        <is>
          <t>No</t>
        </is>
      </c>
      <c r="I2038" t="inlineStr">
        <is>
          <t>No</t>
        </is>
      </c>
      <c r="J2038" t="inlineStr">
        <is>
          <t>0</t>
        </is>
      </c>
      <c r="K2038" t="inlineStr">
        <is>
          <t>United Press International.</t>
        </is>
      </c>
      <c r="L2038" t="inlineStr">
        <is>
          <t>[New York] : Cowles, [1968]</t>
        </is>
      </c>
      <c r="M2038" t="inlineStr">
        <is>
          <t>1968</t>
        </is>
      </c>
      <c r="O2038" t="inlineStr">
        <is>
          <t>eng</t>
        </is>
      </c>
      <c r="P2038" t="inlineStr">
        <is>
          <t>nyu</t>
        </is>
      </c>
      <c r="R2038" t="inlineStr">
        <is>
          <t xml:space="preserve">E  </t>
        </is>
      </c>
      <c r="S2038" t="n">
        <v>8</v>
      </c>
      <c r="T2038" t="n">
        <v>8</v>
      </c>
      <c r="U2038" t="inlineStr">
        <is>
          <t>2000-08-03</t>
        </is>
      </c>
      <c r="V2038" t="inlineStr">
        <is>
          <t>2000-08-03</t>
        </is>
      </c>
      <c r="W2038" t="inlineStr">
        <is>
          <t>1992-09-09</t>
        </is>
      </c>
      <c r="X2038" t="inlineStr">
        <is>
          <t>1992-09-09</t>
        </is>
      </c>
      <c r="Y2038" t="n">
        <v>783</v>
      </c>
      <c r="Z2038" t="n">
        <v>749</v>
      </c>
      <c r="AA2038" t="n">
        <v>758</v>
      </c>
      <c r="AB2038" t="n">
        <v>10</v>
      </c>
      <c r="AC2038" t="n">
        <v>10</v>
      </c>
      <c r="AD2038" t="n">
        <v>15</v>
      </c>
      <c r="AE2038" t="n">
        <v>15</v>
      </c>
      <c r="AF2038" t="n">
        <v>5</v>
      </c>
      <c r="AG2038" t="n">
        <v>5</v>
      </c>
      <c r="AH2038" t="n">
        <v>2</v>
      </c>
      <c r="AI2038" t="n">
        <v>2</v>
      </c>
      <c r="AJ2038" t="n">
        <v>7</v>
      </c>
      <c r="AK2038" t="n">
        <v>7</v>
      </c>
      <c r="AL2038" t="n">
        <v>3</v>
      </c>
      <c r="AM2038" t="n">
        <v>3</v>
      </c>
      <c r="AN2038" t="n">
        <v>0</v>
      </c>
      <c r="AO2038" t="n">
        <v>0</v>
      </c>
      <c r="AP2038" t="inlineStr">
        <is>
          <t>No</t>
        </is>
      </c>
      <c r="AQ2038" t="inlineStr">
        <is>
          <t>Yes</t>
        </is>
      </c>
      <c r="AR2038">
        <f>HYPERLINK("http://catalog.hathitrust.org/Record/000575231","HathiTrust Record")</f>
        <v/>
      </c>
      <c r="AS2038">
        <f>HYPERLINK("https://creighton-primo.hosted.exlibrisgroup.com/primo-explore/search?tab=default_tab&amp;search_scope=EVERYTHING&amp;vid=01CRU&amp;lang=en_US&amp;offset=0&amp;query=any,contains,991002767569702656","Catalog Record")</f>
        <v/>
      </c>
      <c r="AT2038">
        <f>HYPERLINK("http://www.worldcat.org/oclc/435548","WorldCat Record")</f>
        <v/>
      </c>
      <c r="AU2038" t="inlineStr">
        <is>
          <t>1553274:eng</t>
        </is>
      </c>
      <c r="AV2038" t="inlineStr">
        <is>
          <t>435548</t>
        </is>
      </c>
      <c r="AW2038" t="inlineStr">
        <is>
          <t>991002767569702656</t>
        </is>
      </c>
      <c r="AX2038" t="inlineStr">
        <is>
          <t>991002767569702656</t>
        </is>
      </c>
      <c r="AY2038" t="inlineStr">
        <is>
          <t>2269306210002656</t>
        </is>
      </c>
      <c r="AZ2038" t="inlineStr">
        <is>
          <t>BOOK</t>
        </is>
      </c>
      <c r="BC2038" t="inlineStr">
        <is>
          <t>32285001297182</t>
        </is>
      </c>
      <c r="BD2038" t="inlineStr">
        <is>
          <t>893415622</t>
        </is>
      </c>
    </row>
    <row r="2039">
      <c r="A2039" t="inlineStr">
        <is>
          <t>No</t>
        </is>
      </c>
      <c r="B2039" t="inlineStr">
        <is>
          <t>E840.8.K4 Z4</t>
        </is>
      </c>
      <c r="C2039" t="inlineStr">
        <is>
          <t>0                      E  0840800K  4                  Z  4</t>
        </is>
      </c>
      <c r="D2039" t="inlineStr">
        <is>
          <t>Robert F. Kennedy; a biography, by Henry A. Zeiger</t>
        </is>
      </c>
      <c r="F2039" t="inlineStr">
        <is>
          <t>No</t>
        </is>
      </c>
      <c r="G2039" t="inlineStr">
        <is>
          <t>1</t>
        </is>
      </c>
      <c r="H2039" t="inlineStr">
        <is>
          <t>No</t>
        </is>
      </c>
      <c r="I2039" t="inlineStr">
        <is>
          <t>No</t>
        </is>
      </c>
      <c r="J2039" t="inlineStr">
        <is>
          <t>0</t>
        </is>
      </c>
      <c r="K2039" t="inlineStr">
        <is>
          <t>Zeiger, Henry A.</t>
        </is>
      </c>
      <c r="L2039" t="inlineStr">
        <is>
          <t>New York, Meredith Press [1969, c1968]</t>
        </is>
      </c>
      <c r="M2039" t="inlineStr">
        <is>
          <t>1969</t>
        </is>
      </c>
      <c r="N2039" t="inlineStr">
        <is>
          <t>[1st ed.]</t>
        </is>
      </c>
      <c r="O2039" t="inlineStr">
        <is>
          <t>eng</t>
        </is>
      </c>
      <c r="P2039" t="inlineStr">
        <is>
          <t>nyu</t>
        </is>
      </c>
      <c r="R2039" t="inlineStr">
        <is>
          <t xml:space="preserve">E  </t>
        </is>
      </c>
      <c r="S2039" t="n">
        <v>3</v>
      </c>
      <c r="T2039" t="n">
        <v>3</v>
      </c>
      <c r="U2039" t="inlineStr">
        <is>
          <t>1997-05-02</t>
        </is>
      </c>
      <c r="V2039" t="inlineStr">
        <is>
          <t>1997-05-02</t>
        </is>
      </c>
      <c r="W2039" t="inlineStr">
        <is>
          <t>1997-04-29</t>
        </is>
      </c>
      <c r="X2039" t="inlineStr">
        <is>
          <t>1997-04-29</t>
        </is>
      </c>
      <c r="Y2039" t="n">
        <v>169</v>
      </c>
      <c r="Z2039" t="n">
        <v>166</v>
      </c>
      <c r="AA2039" t="n">
        <v>167</v>
      </c>
      <c r="AB2039" t="n">
        <v>4</v>
      </c>
      <c r="AC2039" t="n">
        <v>4</v>
      </c>
      <c r="AD2039" t="n">
        <v>3</v>
      </c>
      <c r="AE2039" t="n">
        <v>3</v>
      </c>
      <c r="AF2039" t="n">
        <v>0</v>
      </c>
      <c r="AG2039" t="n">
        <v>0</v>
      </c>
      <c r="AH2039" t="n">
        <v>1</v>
      </c>
      <c r="AI2039" t="n">
        <v>1</v>
      </c>
      <c r="AJ2039" t="n">
        <v>1</v>
      </c>
      <c r="AK2039" t="n">
        <v>1</v>
      </c>
      <c r="AL2039" t="n">
        <v>1</v>
      </c>
      <c r="AM2039" t="n">
        <v>1</v>
      </c>
      <c r="AN2039" t="n">
        <v>0</v>
      </c>
      <c r="AO2039" t="n">
        <v>0</v>
      </c>
      <c r="AP2039" t="inlineStr">
        <is>
          <t>No</t>
        </is>
      </c>
      <c r="AQ2039" t="inlineStr">
        <is>
          <t>No</t>
        </is>
      </c>
      <c r="AS2039">
        <f>HYPERLINK("https://creighton-primo.hosted.exlibrisgroup.com/primo-explore/search?tab=default_tab&amp;search_scope=EVERYTHING&amp;vid=01CRU&amp;lang=en_US&amp;offset=0&amp;query=any,contains,991002767999702656","Catalog Record")</f>
        <v/>
      </c>
      <c r="AT2039">
        <f>HYPERLINK("http://www.worldcat.org/oclc/435721","WorldCat Record")</f>
        <v/>
      </c>
      <c r="AU2039" t="inlineStr">
        <is>
          <t>1863039598:eng</t>
        </is>
      </c>
      <c r="AV2039" t="inlineStr">
        <is>
          <t>435721</t>
        </is>
      </c>
      <c r="AW2039" t="inlineStr">
        <is>
          <t>991002767999702656</t>
        </is>
      </c>
      <c r="AX2039" t="inlineStr">
        <is>
          <t>991002767999702656</t>
        </is>
      </c>
      <c r="AY2039" t="inlineStr">
        <is>
          <t>2269276580002656</t>
        </is>
      </c>
      <c r="AZ2039" t="inlineStr">
        <is>
          <t>BOOK</t>
        </is>
      </c>
      <c r="BC2039" t="inlineStr">
        <is>
          <t>32285002568169</t>
        </is>
      </c>
      <c r="BD2039" t="inlineStr">
        <is>
          <t>893799000</t>
        </is>
      </c>
    </row>
    <row r="2040">
      <c r="A2040" t="inlineStr">
        <is>
          <t>No</t>
        </is>
      </c>
      <c r="B2040" t="inlineStr">
        <is>
          <t>E840.8.K58 A77</t>
        </is>
      </c>
      <c r="C2040" t="inlineStr">
        <is>
          <t>0                      E  0840800K  58                 A  77</t>
        </is>
      </c>
      <c r="D2040" t="inlineStr">
        <is>
          <t>Kissinger : the secret side of the Secretary of State / by Gary Allen.</t>
        </is>
      </c>
      <c r="F2040" t="inlineStr">
        <is>
          <t>No</t>
        </is>
      </c>
      <c r="G2040" t="inlineStr">
        <is>
          <t>1</t>
        </is>
      </c>
      <c r="H2040" t="inlineStr">
        <is>
          <t>No</t>
        </is>
      </c>
      <c r="I2040" t="inlineStr">
        <is>
          <t>No</t>
        </is>
      </c>
      <c r="J2040" t="inlineStr">
        <is>
          <t>0</t>
        </is>
      </c>
      <c r="K2040" t="inlineStr">
        <is>
          <t>Allen, Gary.</t>
        </is>
      </c>
      <c r="L2040" t="inlineStr">
        <is>
          <t>Seal Beach, Calif. : '76 Press, c1976.</t>
        </is>
      </c>
      <c r="M2040" t="inlineStr">
        <is>
          <t>1976</t>
        </is>
      </c>
      <c r="O2040" t="inlineStr">
        <is>
          <t>eng</t>
        </is>
      </c>
      <c r="P2040" t="inlineStr">
        <is>
          <t>cau</t>
        </is>
      </c>
      <c r="R2040" t="inlineStr">
        <is>
          <t xml:space="preserve">E  </t>
        </is>
      </c>
      <c r="S2040" t="n">
        <v>1</v>
      </c>
      <c r="T2040" t="n">
        <v>1</v>
      </c>
      <c r="U2040" t="inlineStr">
        <is>
          <t>2002-12-20</t>
        </is>
      </c>
      <c r="V2040" t="inlineStr">
        <is>
          <t>2002-12-20</t>
        </is>
      </c>
      <c r="W2040" t="inlineStr">
        <is>
          <t>1990-04-10</t>
        </is>
      </c>
      <c r="X2040" t="inlineStr">
        <is>
          <t>1990-04-10</t>
        </is>
      </c>
      <c r="Y2040" t="n">
        <v>142</v>
      </c>
      <c r="Z2040" t="n">
        <v>116</v>
      </c>
      <c r="AA2040" t="n">
        <v>149</v>
      </c>
      <c r="AB2040" t="n">
        <v>3</v>
      </c>
      <c r="AC2040" t="n">
        <v>4</v>
      </c>
      <c r="AD2040" t="n">
        <v>4</v>
      </c>
      <c r="AE2040" t="n">
        <v>5</v>
      </c>
      <c r="AF2040" t="n">
        <v>2</v>
      </c>
      <c r="AG2040" t="n">
        <v>2</v>
      </c>
      <c r="AH2040" t="n">
        <v>0</v>
      </c>
      <c r="AI2040" t="n">
        <v>0</v>
      </c>
      <c r="AJ2040" t="n">
        <v>1</v>
      </c>
      <c r="AK2040" t="n">
        <v>1</v>
      </c>
      <c r="AL2040" t="n">
        <v>1</v>
      </c>
      <c r="AM2040" t="n">
        <v>2</v>
      </c>
      <c r="AN2040" t="n">
        <v>0</v>
      </c>
      <c r="AO2040" t="n">
        <v>0</v>
      </c>
      <c r="AP2040" t="inlineStr">
        <is>
          <t>No</t>
        </is>
      </c>
      <c r="AQ2040" t="inlineStr">
        <is>
          <t>No</t>
        </is>
      </c>
      <c r="AS2040">
        <f>HYPERLINK("https://creighton-primo.hosted.exlibrisgroup.com/primo-explore/search?tab=default_tab&amp;search_scope=EVERYTHING&amp;vid=01CRU&amp;lang=en_US&amp;offset=0&amp;query=any,contains,991004320579702656","Catalog Record")</f>
        <v/>
      </c>
      <c r="AT2040">
        <f>HYPERLINK("http://www.worldcat.org/oclc/3017684","WorldCat Record")</f>
        <v/>
      </c>
      <c r="AU2040" t="inlineStr">
        <is>
          <t>196170394:eng</t>
        </is>
      </c>
      <c r="AV2040" t="inlineStr">
        <is>
          <t>3017684</t>
        </is>
      </c>
      <c r="AW2040" t="inlineStr">
        <is>
          <t>991004320579702656</t>
        </is>
      </c>
      <c r="AX2040" t="inlineStr">
        <is>
          <t>991004320579702656</t>
        </is>
      </c>
      <c r="AY2040" t="inlineStr">
        <is>
          <t>2269998860002656</t>
        </is>
      </c>
      <c r="AZ2040" t="inlineStr">
        <is>
          <t>BOOK</t>
        </is>
      </c>
      <c r="BB2040" t="inlineStr">
        <is>
          <t>9780892450022</t>
        </is>
      </c>
      <c r="BC2040" t="inlineStr">
        <is>
          <t>32285000114958</t>
        </is>
      </c>
      <c r="BD2040" t="inlineStr">
        <is>
          <t>893888557</t>
        </is>
      </c>
    </row>
    <row r="2041">
      <c r="A2041" t="inlineStr">
        <is>
          <t>No</t>
        </is>
      </c>
      <c r="B2041" t="inlineStr">
        <is>
          <t>E840.8.K58 C56 1989</t>
        </is>
      </c>
      <c r="C2041" t="inlineStr">
        <is>
          <t>0                      E  0840800K  58                 C  56          1989</t>
        </is>
      </c>
      <c r="D2041" t="inlineStr">
        <is>
          <t>Henry Kissinger and the American approach to foreign policy / Gregory D. Cleva.</t>
        </is>
      </c>
      <c r="F2041" t="inlineStr">
        <is>
          <t>No</t>
        </is>
      </c>
      <c r="G2041" t="inlineStr">
        <is>
          <t>1</t>
        </is>
      </c>
      <c r="H2041" t="inlineStr">
        <is>
          <t>No</t>
        </is>
      </c>
      <c r="I2041" t="inlineStr">
        <is>
          <t>No</t>
        </is>
      </c>
      <c r="J2041" t="inlineStr">
        <is>
          <t>0</t>
        </is>
      </c>
      <c r="K2041" t="inlineStr">
        <is>
          <t>Cleva, Gregory D., 1947-</t>
        </is>
      </c>
      <c r="L2041" t="inlineStr">
        <is>
          <t>Lewisburg : Bucknell University Press ; London : Associated University Presses, c1989.</t>
        </is>
      </c>
      <c r="M2041" t="inlineStr">
        <is>
          <t>1989</t>
        </is>
      </c>
      <c r="O2041" t="inlineStr">
        <is>
          <t>eng</t>
        </is>
      </c>
      <c r="P2041" t="inlineStr">
        <is>
          <t>pau</t>
        </is>
      </c>
      <c r="R2041" t="inlineStr">
        <is>
          <t xml:space="preserve">E  </t>
        </is>
      </c>
      <c r="S2041" t="n">
        <v>4</v>
      </c>
      <c r="T2041" t="n">
        <v>4</v>
      </c>
      <c r="U2041" t="inlineStr">
        <is>
          <t>1993-09-16</t>
        </is>
      </c>
      <c r="V2041" t="inlineStr">
        <is>
          <t>1993-09-16</t>
        </is>
      </c>
      <c r="W2041" t="inlineStr">
        <is>
          <t>1989-12-18</t>
        </is>
      </c>
      <c r="X2041" t="inlineStr">
        <is>
          <t>1989-12-18</t>
        </is>
      </c>
      <c r="Y2041" t="n">
        <v>440</v>
      </c>
      <c r="Z2041" t="n">
        <v>354</v>
      </c>
      <c r="AA2041" t="n">
        <v>364</v>
      </c>
      <c r="AB2041" t="n">
        <v>5</v>
      </c>
      <c r="AC2041" t="n">
        <v>5</v>
      </c>
      <c r="AD2041" t="n">
        <v>20</v>
      </c>
      <c r="AE2041" t="n">
        <v>21</v>
      </c>
      <c r="AF2041" t="n">
        <v>5</v>
      </c>
      <c r="AG2041" t="n">
        <v>5</v>
      </c>
      <c r="AH2041" t="n">
        <v>5</v>
      </c>
      <c r="AI2041" t="n">
        <v>6</v>
      </c>
      <c r="AJ2041" t="n">
        <v>12</v>
      </c>
      <c r="AK2041" t="n">
        <v>13</v>
      </c>
      <c r="AL2041" t="n">
        <v>4</v>
      </c>
      <c r="AM2041" t="n">
        <v>4</v>
      </c>
      <c r="AN2041" t="n">
        <v>0</v>
      </c>
      <c r="AO2041" t="n">
        <v>0</v>
      </c>
      <c r="AP2041" t="inlineStr">
        <is>
          <t>No</t>
        </is>
      </c>
      <c r="AQ2041" t="inlineStr">
        <is>
          <t>Yes</t>
        </is>
      </c>
      <c r="AR2041">
        <f>HYPERLINK("http://catalog.hathitrust.org/Record/001291019","HathiTrust Record")</f>
        <v/>
      </c>
      <c r="AS2041">
        <f>HYPERLINK("https://creighton-primo.hosted.exlibrisgroup.com/primo-explore/search?tab=default_tab&amp;search_scope=EVERYTHING&amp;vid=01CRU&amp;lang=en_US&amp;offset=0&amp;query=any,contains,991001313249702656","Catalog Record")</f>
        <v/>
      </c>
      <c r="AT2041">
        <f>HYPERLINK("http://www.worldcat.org/oclc/18164108","WorldCat Record")</f>
        <v/>
      </c>
      <c r="AU2041" t="inlineStr">
        <is>
          <t>16546205:eng</t>
        </is>
      </c>
      <c r="AV2041" t="inlineStr">
        <is>
          <t>18164108</t>
        </is>
      </c>
      <c r="AW2041" t="inlineStr">
        <is>
          <t>991001313249702656</t>
        </is>
      </c>
      <c r="AX2041" t="inlineStr">
        <is>
          <t>991001313249702656</t>
        </is>
      </c>
      <c r="AY2041" t="inlineStr">
        <is>
          <t>2261326590002656</t>
        </is>
      </c>
      <c r="AZ2041" t="inlineStr">
        <is>
          <t>BOOK</t>
        </is>
      </c>
      <c r="BB2041" t="inlineStr">
        <is>
          <t>9780838751473</t>
        </is>
      </c>
      <c r="BC2041" t="inlineStr">
        <is>
          <t>32285000018571</t>
        </is>
      </c>
      <c r="BD2041" t="inlineStr">
        <is>
          <t>893897700</t>
        </is>
      </c>
    </row>
    <row r="2042">
      <c r="A2042" t="inlineStr">
        <is>
          <t>No</t>
        </is>
      </c>
      <c r="B2042" t="inlineStr">
        <is>
          <t>E840.8.K58 D53</t>
        </is>
      </c>
      <c r="C2042" t="inlineStr">
        <is>
          <t>0                      E  0840800K  58                 D  53</t>
        </is>
      </c>
      <c r="D2042" t="inlineStr">
        <is>
          <t>Kissinger and the meaning of history / Peter W. Dickson.</t>
        </is>
      </c>
      <c r="F2042" t="inlineStr">
        <is>
          <t>No</t>
        </is>
      </c>
      <c r="G2042" t="inlineStr">
        <is>
          <t>1</t>
        </is>
      </c>
      <c r="H2042" t="inlineStr">
        <is>
          <t>No</t>
        </is>
      </c>
      <c r="I2042" t="inlineStr">
        <is>
          <t>No</t>
        </is>
      </c>
      <c r="J2042" t="inlineStr">
        <is>
          <t>0</t>
        </is>
      </c>
      <c r="K2042" t="inlineStr">
        <is>
          <t>Dickson, Peter W., 1947-</t>
        </is>
      </c>
      <c r="L2042" t="inlineStr">
        <is>
          <t>Cambridge [Eng.] ; New York : Cambridge University Press, 1978.</t>
        </is>
      </c>
      <c r="M2042" t="inlineStr">
        <is>
          <t>1978</t>
        </is>
      </c>
      <c r="O2042" t="inlineStr">
        <is>
          <t>eng</t>
        </is>
      </c>
      <c r="P2042" t="inlineStr">
        <is>
          <t>enk</t>
        </is>
      </c>
      <c r="R2042" t="inlineStr">
        <is>
          <t xml:space="preserve">E  </t>
        </is>
      </c>
      <c r="S2042" t="n">
        <v>2</v>
      </c>
      <c r="T2042" t="n">
        <v>2</v>
      </c>
      <c r="U2042" t="inlineStr">
        <is>
          <t>1993-03-30</t>
        </is>
      </c>
      <c r="V2042" t="inlineStr">
        <is>
          <t>1993-03-30</t>
        </is>
      </c>
      <c r="W2042" t="inlineStr">
        <is>
          <t>1990-04-17</t>
        </is>
      </c>
      <c r="X2042" t="inlineStr">
        <is>
          <t>1990-04-17</t>
        </is>
      </c>
      <c r="Y2042" t="n">
        <v>654</v>
      </c>
      <c r="Z2042" t="n">
        <v>483</v>
      </c>
      <c r="AA2042" t="n">
        <v>484</v>
      </c>
      <c r="AB2042" t="n">
        <v>4</v>
      </c>
      <c r="AC2042" t="n">
        <v>4</v>
      </c>
      <c r="AD2042" t="n">
        <v>21</v>
      </c>
      <c r="AE2042" t="n">
        <v>21</v>
      </c>
      <c r="AF2042" t="n">
        <v>5</v>
      </c>
      <c r="AG2042" t="n">
        <v>5</v>
      </c>
      <c r="AH2042" t="n">
        <v>6</v>
      </c>
      <c r="AI2042" t="n">
        <v>6</v>
      </c>
      <c r="AJ2042" t="n">
        <v>13</v>
      </c>
      <c r="AK2042" t="n">
        <v>13</v>
      </c>
      <c r="AL2042" t="n">
        <v>3</v>
      </c>
      <c r="AM2042" t="n">
        <v>3</v>
      </c>
      <c r="AN2042" t="n">
        <v>0</v>
      </c>
      <c r="AO2042" t="n">
        <v>0</v>
      </c>
      <c r="AP2042" t="inlineStr">
        <is>
          <t>No</t>
        </is>
      </c>
      <c r="AQ2042" t="inlineStr">
        <is>
          <t>No</t>
        </is>
      </c>
      <c r="AS2042">
        <f>HYPERLINK("https://creighton-primo.hosted.exlibrisgroup.com/primo-explore/search?tab=default_tab&amp;search_scope=EVERYTHING&amp;vid=01CRU&amp;lang=en_US&amp;offset=0&amp;query=any,contains,991004528969702656","Catalog Record")</f>
        <v/>
      </c>
      <c r="AT2042">
        <f>HYPERLINK("http://www.worldcat.org/oclc/3844492","WorldCat Record")</f>
        <v/>
      </c>
      <c r="AU2042" t="inlineStr">
        <is>
          <t>503940:eng</t>
        </is>
      </c>
      <c r="AV2042" t="inlineStr">
        <is>
          <t>3844492</t>
        </is>
      </c>
      <c r="AW2042" t="inlineStr">
        <is>
          <t>991004528969702656</t>
        </is>
      </c>
      <c r="AX2042" t="inlineStr">
        <is>
          <t>991004528969702656</t>
        </is>
      </c>
      <c r="AY2042" t="inlineStr">
        <is>
          <t>2264764250002656</t>
        </is>
      </c>
      <c r="AZ2042" t="inlineStr">
        <is>
          <t>BOOK</t>
        </is>
      </c>
      <c r="BB2042" t="inlineStr">
        <is>
          <t>9780521221139</t>
        </is>
      </c>
      <c r="BC2042" t="inlineStr">
        <is>
          <t>32285000122357</t>
        </is>
      </c>
      <c r="BD2042" t="inlineStr">
        <is>
          <t>893526209</t>
        </is>
      </c>
    </row>
    <row r="2043">
      <c r="A2043" t="inlineStr">
        <is>
          <t>No</t>
        </is>
      </c>
      <c r="B2043" t="inlineStr">
        <is>
          <t>E840.8.K58 G72</t>
        </is>
      </c>
      <c r="C2043" t="inlineStr">
        <is>
          <t>0                      E  0840800K  58                 G  72</t>
        </is>
      </c>
      <c r="D2043" t="inlineStr">
        <is>
          <t>Kissinger, portrait of a mind / [by] Stephen R. Graubard.</t>
        </is>
      </c>
      <c r="F2043" t="inlineStr">
        <is>
          <t>No</t>
        </is>
      </c>
      <c r="G2043" t="inlineStr">
        <is>
          <t>1</t>
        </is>
      </c>
      <c r="H2043" t="inlineStr">
        <is>
          <t>No</t>
        </is>
      </c>
      <c r="I2043" t="inlineStr">
        <is>
          <t>No</t>
        </is>
      </c>
      <c r="J2043" t="inlineStr">
        <is>
          <t>0</t>
        </is>
      </c>
      <c r="K2043" t="inlineStr">
        <is>
          <t>Graubard, Stephen Richards.</t>
        </is>
      </c>
      <c r="L2043" t="inlineStr">
        <is>
          <t>New York : Norton, [1973]</t>
        </is>
      </c>
      <c r="M2043" t="inlineStr">
        <is>
          <t>1973</t>
        </is>
      </c>
      <c r="N2043" t="inlineStr">
        <is>
          <t>[1st ed.]</t>
        </is>
      </c>
      <c r="O2043" t="inlineStr">
        <is>
          <t>eng</t>
        </is>
      </c>
      <c r="P2043" t="inlineStr">
        <is>
          <t>nyu</t>
        </is>
      </c>
      <c r="R2043" t="inlineStr">
        <is>
          <t xml:space="preserve">E  </t>
        </is>
      </c>
      <c r="S2043" t="n">
        <v>2</v>
      </c>
      <c r="T2043" t="n">
        <v>2</v>
      </c>
      <c r="U2043" t="inlineStr">
        <is>
          <t>1993-03-04</t>
        </is>
      </c>
      <c r="V2043" t="inlineStr">
        <is>
          <t>1993-03-04</t>
        </is>
      </c>
      <c r="W2043" t="inlineStr">
        <is>
          <t>1990-04-18</t>
        </is>
      </c>
      <c r="X2043" t="inlineStr">
        <is>
          <t>1990-04-18</t>
        </is>
      </c>
      <c r="Y2043" t="n">
        <v>1114</v>
      </c>
      <c r="Z2043" t="n">
        <v>986</v>
      </c>
      <c r="AA2043" t="n">
        <v>1193</v>
      </c>
      <c r="AB2043" t="n">
        <v>8</v>
      </c>
      <c r="AC2043" t="n">
        <v>8</v>
      </c>
      <c r="AD2043" t="n">
        <v>31</v>
      </c>
      <c r="AE2043" t="n">
        <v>37</v>
      </c>
      <c r="AF2043" t="n">
        <v>15</v>
      </c>
      <c r="AG2043" t="n">
        <v>16</v>
      </c>
      <c r="AH2043" t="n">
        <v>4</v>
      </c>
      <c r="AI2043" t="n">
        <v>6</v>
      </c>
      <c r="AJ2043" t="n">
        <v>11</v>
      </c>
      <c r="AK2043" t="n">
        <v>14</v>
      </c>
      <c r="AL2043" t="n">
        <v>7</v>
      </c>
      <c r="AM2043" t="n">
        <v>7</v>
      </c>
      <c r="AN2043" t="n">
        <v>0</v>
      </c>
      <c r="AO2043" t="n">
        <v>0</v>
      </c>
      <c r="AP2043" t="inlineStr">
        <is>
          <t>No</t>
        </is>
      </c>
      <c r="AQ2043" t="inlineStr">
        <is>
          <t>No</t>
        </is>
      </c>
      <c r="AS2043">
        <f>HYPERLINK("https://creighton-primo.hosted.exlibrisgroup.com/primo-explore/search?tab=default_tab&amp;search_scope=EVERYTHING&amp;vid=01CRU&amp;lang=en_US&amp;offset=0&amp;query=any,contains,991003013939702656","Catalog Record")</f>
        <v/>
      </c>
      <c r="AT2043">
        <f>HYPERLINK("http://www.worldcat.org/oclc/579631","WorldCat Record")</f>
        <v/>
      </c>
      <c r="AU2043" t="inlineStr">
        <is>
          <t>3943730961:eng</t>
        </is>
      </c>
      <c r="AV2043" t="inlineStr">
        <is>
          <t>579631</t>
        </is>
      </c>
      <c r="AW2043" t="inlineStr">
        <is>
          <t>991003013939702656</t>
        </is>
      </c>
      <c r="AX2043" t="inlineStr">
        <is>
          <t>991003013939702656</t>
        </is>
      </c>
      <c r="AY2043" t="inlineStr">
        <is>
          <t>2256093750002656</t>
        </is>
      </c>
      <c r="AZ2043" t="inlineStr">
        <is>
          <t>BOOK</t>
        </is>
      </c>
      <c r="BB2043" t="inlineStr">
        <is>
          <t>9780393054811</t>
        </is>
      </c>
      <c r="BC2043" t="inlineStr">
        <is>
          <t>32285000116375</t>
        </is>
      </c>
      <c r="BD2043" t="inlineStr">
        <is>
          <t>893329851</t>
        </is>
      </c>
    </row>
    <row r="2044">
      <c r="A2044" t="inlineStr">
        <is>
          <t>No</t>
        </is>
      </c>
      <c r="B2044" t="inlineStr">
        <is>
          <t>E840.8.K58 H47 1983</t>
        </is>
      </c>
      <c r="C2044" t="inlineStr">
        <is>
          <t>0                      E  0840800K  58                 H  47          1983</t>
        </is>
      </c>
      <c r="D2044" t="inlineStr">
        <is>
          <t>The price of power : Kissinger in the Nixon White House / Seymour M. Hersh.</t>
        </is>
      </c>
      <c r="F2044" t="inlineStr">
        <is>
          <t>No</t>
        </is>
      </c>
      <c r="G2044" t="inlineStr">
        <is>
          <t>1</t>
        </is>
      </c>
      <c r="H2044" t="inlineStr">
        <is>
          <t>No</t>
        </is>
      </c>
      <c r="I2044" t="inlineStr">
        <is>
          <t>No</t>
        </is>
      </c>
      <c r="J2044" t="inlineStr">
        <is>
          <t>0</t>
        </is>
      </c>
      <c r="K2044" t="inlineStr">
        <is>
          <t>Hersh, Seymour M.</t>
        </is>
      </c>
      <c r="L2044" t="inlineStr">
        <is>
          <t>New York : Summit Books, c1983.</t>
        </is>
      </c>
      <c r="M2044" t="inlineStr">
        <is>
          <t>1983</t>
        </is>
      </c>
      <c r="N2044" t="inlineStr">
        <is>
          <t>1st ed.</t>
        </is>
      </c>
      <c r="O2044" t="inlineStr">
        <is>
          <t>eng</t>
        </is>
      </c>
      <c r="P2044" t="inlineStr">
        <is>
          <t>nyu</t>
        </is>
      </c>
      <c r="R2044" t="inlineStr">
        <is>
          <t xml:space="preserve">E  </t>
        </is>
      </c>
      <c r="S2044" t="n">
        <v>4</v>
      </c>
      <c r="T2044" t="n">
        <v>4</v>
      </c>
      <c r="U2044" t="inlineStr">
        <is>
          <t>1993-08-04</t>
        </is>
      </c>
      <c r="V2044" t="inlineStr">
        <is>
          <t>1993-08-04</t>
        </is>
      </c>
      <c r="W2044" t="inlineStr">
        <is>
          <t>1990-04-17</t>
        </is>
      </c>
      <c r="X2044" t="inlineStr">
        <is>
          <t>1990-04-17</t>
        </is>
      </c>
      <c r="Y2044" t="n">
        <v>2283</v>
      </c>
      <c r="Z2044" t="n">
        <v>2047</v>
      </c>
      <c r="AA2044" t="n">
        <v>2072</v>
      </c>
      <c r="AB2044" t="n">
        <v>14</v>
      </c>
      <c r="AC2044" t="n">
        <v>14</v>
      </c>
      <c r="AD2044" t="n">
        <v>57</v>
      </c>
      <c r="AE2044" t="n">
        <v>57</v>
      </c>
      <c r="AF2044" t="n">
        <v>19</v>
      </c>
      <c r="AG2044" t="n">
        <v>19</v>
      </c>
      <c r="AH2044" t="n">
        <v>9</v>
      </c>
      <c r="AI2044" t="n">
        <v>9</v>
      </c>
      <c r="AJ2044" t="n">
        <v>24</v>
      </c>
      <c r="AK2044" t="n">
        <v>24</v>
      </c>
      <c r="AL2044" t="n">
        <v>11</v>
      </c>
      <c r="AM2044" t="n">
        <v>11</v>
      </c>
      <c r="AN2044" t="n">
        <v>4</v>
      </c>
      <c r="AO2044" t="n">
        <v>4</v>
      </c>
      <c r="AP2044" t="inlineStr">
        <is>
          <t>No</t>
        </is>
      </c>
      <c r="AQ2044" t="inlineStr">
        <is>
          <t>Yes</t>
        </is>
      </c>
      <c r="AR2044">
        <f>HYPERLINK("http://catalog.hathitrust.org/Record/000237932","HathiTrust Record")</f>
        <v/>
      </c>
      <c r="AS2044">
        <f>HYPERLINK("https://creighton-primo.hosted.exlibrisgroup.com/primo-explore/search?tab=default_tab&amp;search_scope=EVERYTHING&amp;vid=01CRU&amp;lang=en_US&amp;offset=0&amp;query=any,contains,991000196849702656","Catalog Record")</f>
        <v/>
      </c>
      <c r="AT2044">
        <f>HYPERLINK("http://www.worldcat.org/oclc/9441933","WorldCat Record")</f>
        <v/>
      </c>
      <c r="AU2044" t="inlineStr">
        <is>
          <t>42979500:eng</t>
        </is>
      </c>
      <c r="AV2044" t="inlineStr">
        <is>
          <t>9441933</t>
        </is>
      </c>
      <c r="AW2044" t="inlineStr">
        <is>
          <t>991000196849702656</t>
        </is>
      </c>
      <c r="AX2044" t="inlineStr">
        <is>
          <t>991000196849702656</t>
        </is>
      </c>
      <c r="AY2044" t="inlineStr">
        <is>
          <t>2265039660002656</t>
        </is>
      </c>
      <c r="AZ2044" t="inlineStr">
        <is>
          <t>BOOK</t>
        </is>
      </c>
      <c r="BB2044" t="inlineStr">
        <is>
          <t>9780671447601</t>
        </is>
      </c>
      <c r="BC2044" t="inlineStr">
        <is>
          <t>32285000122365</t>
        </is>
      </c>
      <c r="BD2044" t="inlineStr">
        <is>
          <t>893865184</t>
        </is>
      </c>
    </row>
    <row r="2045">
      <c r="A2045" t="inlineStr">
        <is>
          <t>No</t>
        </is>
      </c>
      <c r="B2045" t="inlineStr">
        <is>
          <t>E840.8.K58 I78 1992</t>
        </is>
      </c>
      <c r="C2045" t="inlineStr">
        <is>
          <t>0                      E  0840800K  58                 I  78          1992</t>
        </is>
      </c>
      <c r="D2045" t="inlineStr">
        <is>
          <t>Kissinger : a biography / Walter Isaacson.</t>
        </is>
      </c>
      <c r="F2045" t="inlineStr">
        <is>
          <t>No</t>
        </is>
      </c>
      <c r="G2045" t="inlineStr">
        <is>
          <t>1</t>
        </is>
      </c>
      <c r="H2045" t="inlineStr">
        <is>
          <t>No</t>
        </is>
      </c>
      <c r="I2045" t="inlineStr">
        <is>
          <t>No</t>
        </is>
      </c>
      <c r="J2045" t="inlineStr">
        <is>
          <t>0</t>
        </is>
      </c>
      <c r="K2045" t="inlineStr">
        <is>
          <t>Isaacson, Walter.</t>
        </is>
      </c>
      <c r="L2045" t="inlineStr">
        <is>
          <t>New York : Simon &amp; Schuster, c1992.</t>
        </is>
      </c>
      <c r="M2045" t="inlineStr">
        <is>
          <t>1992</t>
        </is>
      </c>
      <c r="O2045" t="inlineStr">
        <is>
          <t>eng</t>
        </is>
      </c>
      <c r="P2045" t="inlineStr">
        <is>
          <t>nyu</t>
        </is>
      </c>
      <c r="R2045" t="inlineStr">
        <is>
          <t xml:space="preserve">E  </t>
        </is>
      </c>
      <c r="S2045" t="n">
        <v>7</v>
      </c>
      <c r="T2045" t="n">
        <v>7</v>
      </c>
      <c r="U2045" t="inlineStr">
        <is>
          <t>2002-12-20</t>
        </is>
      </c>
      <c r="V2045" t="inlineStr">
        <is>
          <t>2002-12-20</t>
        </is>
      </c>
      <c r="W2045" t="inlineStr">
        <is>
          <t>1992-09-28</t>
        </is>
      </c>
      <c r="X2045" t="inlineStr">
        <is>
          <t>1992-09-28</t>
        </is>
      </c>
      <c r="Y2045" t="n">
        <v>2492</v>
      </c>
      <c r="Z2045" t="n">
        <v>2325</v>
      </c>
      <c r="AA2045" t="n">
        <v>2441</v>
      </c>
      <c r="AB2045" t="n">
        <v>22</v>
      </c>
      <c r="AC2045" t="n">
        <v>22</v>
      </c>
      <c r="AD2045" t="n">
        <v>53</v>
      </c>
      <c r="AE2045" t="n">
        <v>54</v>
      </c>
      <c r="AF2045" t="n">
        <v>22</v>
      </c>
      <c r="AG2045" t="n">
        <v>23</v>
      </c>
      <c r="AH2045" t="n">
        <v>10</v>
      </c>
      <c r="AI2045" t="n">
        <v>10</v>
      </c>
      <c r="AJ2045" t="n">
        <v>21</v>
      </c>
      <c r="AK2045" t="n">
        <v>21</v>
      </c>
      <c r="AL2045" t="n">
        <v>11</v>
      </c>
      <c r="AM2045" t="n">
        <v>11</v>
      </c>
      <c r="AN2045" t="n">
        <v>2</v>
      </c>
      <c r="AO2045" t="n">
        <v>2</v>
      </c>
      <c r="AP2045" t="inlineStr">
        <is>
          <t>No</t>
        </is>
      </c>
      <c r="AQ2045" t="inlineStr">
        <is>
          <t>Yes</t>
        </is>
      </c>
      <c r="AR2045">
        <f>HYPERLINK("http://catalog.hathitrust.org/Record/002586179","HathiTrust Record")</f>
        <v/>
      </c>
      <c r="AS2045">
        <f>HYPERLINK("https://creighton-primo.hosted.exlibrisgroup.com/primo-explore/search?tab=default_tab&amp;search_scope=EVERYTHING&amp;vid=01CRU&amp;lang=en_US&amp;offset=0&amp;query=any,contains,991002026239702656","Catalog Record")</f>
        <v/>
      </c>
      <c r="AT2045">
        <f>HYPERLINK("http://www.worldcat.org/oclc/25787497","WorldCat Record")</f>
        <v/>
      </c>
      <c r="AU2045" t="inlineStr">
        <is>
          <t>368114319:eng</t>
        </is>
      </c>
      <c r="AV2045" t="inlineStr">
        <is>
          <t>25787497</t>
        </is>
      </c>
      <c r="AW2045" t="inlineStr">
        <is>
          <t>991002026239702656</t>
        </is>
      </c>
      <c r="AX2045" t="inlineStr">
        <is>
          <t>991002026239702656</t>
        </is>
      </c>
      <c r="AY2045" t="inlineStr">
        <is>
          <t>2255729830002656</t>
        </is>
      </c>
      <c r="AZ2045" t="inlineStr">
        <is>
          <t>BOOK</t>
        </is>
      </c>
      <c r="BB2045" t="inlineStr">
        <is>
          <t>9780671663230</t>
        </is>
      </c>
      <c r="BC2045" t="inlineStr">
        <is>
          <t>32285001289361</t>
        </is>
      </c>
      <c r="BD2045" t="inlineStr">
        <is>
          <t>893703585</t>
        </is>
      </c>
    </row>
    <row r="2046">
      <c r="A2046" t="inlineStr">
        <is>
          <t>No</t>
        </is>
      </c>
      <c r="B2046" t="inlineStr">
        <is>
          <t>E840.8.K58 K34</t>
        </is>
      </c>
      <c r="C2046" t="inlineStr">
        <is>
          <t>0                      E  0840800K  58                 K  34</t>
        </is>
      </c>
      <c r="D2046" t="inlineStr">
        <is>
          <t>Kissinger / by Marvin Kalb and Bernard Kalb.</t>
        </is>
      </c>
      <c r="F2046" t="inlineStr">
        <is>
          <t>No</t>
        </is>
      </c>
      <c r="G2046" t="inlineStr">
        <is>
          <t>1</t>
        </is>
      </c>
      <c r="H2046" t="inlineStr">
        <is>
          <t>No</t>
        </is>
      </c>
      <c r="I2046" t="inlineStr">
        <is>
          <t>No</t>
        </is>
      </c>
      <c r="J2046" t="inlineStr">
        <is>
          <t>0</t>
        </is>
      </c>
      <c r="K2046" t="inlineStr">
        <is>
          <t>Kalb, Marvin L.</t>
        </is>
      </c>
      <c r="L2046" t="inlineStr">
        <is>
          <t>Boston : Little, Brown, 1974.</t>
        </is>
      </c>
      <c r="M2046" t="inlineStr">
        <is>
          <t>1974</t>
        </is>
      </c>
      <c r="N2046" t="inlineStr">
        <is>
          <t>[1st ed.]</t>
        </is>
      </c>
      <c r="O2046" t="inlineStr">
        <is>
          <t>eng</t>
        </is>
      </c>
      <c r="P2046" t="inlineStr">
        <is>
          <t>mau</t>
        </is>
      </c>
      <c r="R2046" t="inlineStr">
        <is>
          <t xml:space="preserve">E  </t>
        </is>
      </c>
      <c r="S2046" t="n">
        <v>3</v>
      </c>
      <c r="T2046" t="n">
        <v>3</v>
      </c>
      <c r="U2046" t="inlineStr">
        <is>
          <t>1993-08-04</t>
        </is>
      </c>
      <c r="V2046" t="inlineStr">
        <is>
          <t>1993-08-04</t>
        </is>
      </c>
      <c r="W2046" t="inlineStr">
        <is>
          <t>1990-04-17</t>
        </is>
      </c>
      <c r="X2046" t="inlineStr">
        <is>
          <t>1990-04-17</t>
        </is>
      </c>
      <c r="Y2046" t="n">
        <v>2502</v>
      </c>
      <c r="Z2046" t="n">
        <v>2337</v>
      </c>
      <c r="AA2046" t="n">
        <v>2383</v>
      </c>
      <c r="AB2046" t="n">
        <v>26</v>
      </c>
      <c r="AC2046" t="n">
        <v>26</v>
      </c>
      <c r="AD2046" t="n">
        <v>60</v>
      </c>
      <c r="AE2046" t="n">
        <v>60</v>
      </c>
      <c r="AF2046" t="n">
        <v>25</v>
      </c>
      <c r="AG2046" t="n">
        <v>25</v>
      </c>
      <c r="AH2046" t="n">
        <v>10</v>
      </c>
      <c r="AI2046" t="n">
        <v>10</v>
      </c>
      <c r="AJ2046" t="n">
        <v>24</v>
      </c>
      <c r="AK2046" t="n">
        <v>24</v>
      </c>
      <c r="AL2046" t="n">
        <v>12</v>
      </c>
      <c r="AM2046" t="n">
        <v>12</v>
      </c>
      <c r="AN2046" t="n">
        <v>1</v>
      </c>
      <c r="AO2046" t="n">
        <v>1</v>
      </c>
      <c r="AP2046" t="inlineStr">
        <is>
          <t>No</t>
        </is>
      </c>
      <c r="AQ2046" t="inlineStr">
        <is>
          <t>No</t>
        </is>
      </c>
      <c r="AS2046">
        <f>HYPERLINK("https://creighton-primo.hosted.exlibrisgroup.com/primo-explore/search?tab=default_tab&amp;search_scope=EVERYTHING&amp;vid=01CRU&amp;lang=en_US&amp;offset=0&amp;query=any,contains,991003417649702656","Catalog Record")</f>
        <v/>
      </c>
      <c r="AT2046">
        <f>HYPERLINK("http://www.worldcat.org/oclc/959049","WorldCat Record")</f>
        <v/>
      </c>
      <c r="AU2046" t="inlineStr">
        <is>
          <t>1908959:eng</t>
        </is>
      </c>
      <c r="AV2046" t="inlineStr">
        <is>
          <t>959049</t>
        </is>
      </c>
      <c r="AW2046" t="inlineStr">
        <is>
          <t>991003417649702656</t>
        </is>
      </c>
      <c r="AX2046" t="inlineStr">
        <is>
          <t>991003417649702656</t>
        </is>
      </c>
      <c r="AY2046" t="inlineStr">
        <is>
          <t>2268649800002656</t>
        </is>
      </c>
      <c r="AZ2046" t="inlineStr">
        <is>
          <t>BOOK</t>
        </is>
      </c>
      <c r="BC2046" t="inlineStr">
        <is>
          <t>32285000122373</t>
        </is>
      </c>
      <c r="BD2046" t="inlineStr">
        <is>
          <t>893717633</t>
        </is>
      </c>
    </row>
    <row r="2047">
      <c r="A2047" t="inlineStr">
        <is>
          <t>No</t>
        </is>
      </c>
      <c r="B2047" t="inlineStr">
        <is>
          <t>E840.8.K58 M38</t>
        </is>
      </c>
      <c r="C2047" t="inlineStr">
        <is>
          <t>0                      E  0840800K  58                 M  38</t>
        </is>
      </c>
      <c r="D2047" t="inlineStr">
        <is>
          <t>Kissinger : the European mind in American policy / Bruce Mazlish.</t>
        </is>
      </c>
      <c r="F2047" t="inlineStr">
        <is>
          <t>No</t>
        </is>
      </c>
      <c r="G2047" t="inlineStr">
        <is>
          <t>1</t>
        </is>
      </c>
      <c r="H2047" t="inlineStr">
        <is>
          <t>No</t>
        </is>
      </c>
      <c r="I2047" t="inlineStr">
        <is>
          <t>No</t>
        </is>
      </c>
      <c r="J2047" t="inlineStr">
        <is>
          <t>0</t>
        </is>
      </c>
      <c r="K2047" t="inlineStr">
        <is>
          <t>Mazlish, Bruce, 1923-2016.</t>
        </is>
      </c>
      <c r="L2047" t="inlineStr">
        <is>
          <t>New York : Basic Books, c1976.</t>
        </is>
      </c>
      <c r="M2047" t="inlineStr">
        <is>
          <t>1976</t>
        </is>
      </c>
      <c r="O2047" t="inlineStr">
        <is>
          <t>eng</t>
        </is>
      </c>
      <c r="P2047" t="inlineStr">
        <is>
          <t>nyu</t>
        </is>
      </c>
      <c r="R2047" t="inlineStr">
        <is>
          <t xml:space="preserve">E  </t>
        </is>
      </c>
      <c r="S2047" t="n">
        <v>3</v>
      </c>
      <c r="T2047" t="n">
        <v>3</v>
      </c>
      <c r="U2047" t="inlineStr">
        <is>
          <t>1994-10-09</t>
        </is>
      </c>
      <c r="V2047" t="inlineStr">
        <is>
          <t>1994-10-09</t>
        </is>
      </c>
      <c r="W2047" t="inlineStr">
        <is>
          <t>1990-04-18</t>
        </is>
      </c>
      <c r="X2047" t="inlineStr">
        <is>
          <t>1990-04-18</t>
        </is>
      </c>
      <c r="Y2047" t="n">
        <v>998</v>
      </c>
      <c r="Z2047" t="n">
        <v>859</v>
      </c>
      <c r="AA2047" t="n">
        <v>861</v>
      </c>
      <c r="AB2047" t="n">
        <v>9</v>
      </c>
      <c r="AC2047" t="n">
        <v>9</v>
      </c>
      <c r="AD2047" t="n">
        <v>30</v>
      </c>
      <c r="AE2047" t="n">
        <v>30</v>
      </c>
      <c r="AF2047" t="n">
        <v>7</v>
      </c>
      <c r="AG2047" t="n">
        <v>7</v>
      </c>
      <c r="AH2047" t="n">
        <v>8</v>
      </c>
      <c r="AI2047" t="n">
        <v>8</v>
      </c>
      <c r="AJ2047" t="n">
        <v>16</v>
      </c>
      <c r="AK2047" t="n">
        <v>16</v>
      </c>
      <c r="AL2047" t="n">
        <v>6</v>
      </c>
      <c r="AM2047" t="n">
        <v>6</v>
      </c>
      <c r="AN2047" t="n">
        <v>0</v>
      </c>
      <c r="AO2047" t="n">
        <v>0</v>
      </c>
      <c r="AP2047" t="inlineStr">
        <is>
          <t>No</t>
        </is>
      </c>
      <c r="AQ2047" t="inlineStr">
        <is>
          <t>Yes</t>
        </is>
      </c>
      <c r="AR2047">
        <f>HYPERLINK("http://catalog.hathitrust.org/Record/000714190","HathiTrust Record")</f>
        <v/>
      </c>
      <c r="AS2047">
        <f>HYPERLINK("https://creighton-primo.hosted.exlibrisgroup.com/primo-explore/search?tab=default_tab&amp;search_scope=EVERYTHING&amp;vid=01CRU&amp;lang=en_US&amp;offset=0&amp;query=any,contains,991004060459702656","Catalog Record")</f>
        <v/>
      </c>
      <c r="AT2047">
        <f>HYPERLINK("http://www.worldcat.org/oclc/2238355","WorldCat Record")</f>
        <v/>
      </c>
      <c r="AU2047" t="inlineStr">
        <is>
          <t>3768995963:eng</t>
        </is>
      </c>
      <c r="AV2047" t="inlineStr">
        <is>
          <t>2238355</t>
        </is>
      </c>
      <c r="AW2047" t="inlineStr">
        <is>
          <t>991004060459702656</t>
        </is>
      </c>
      <c r="AX2047" t="inlineStr">
        <is>
          <t>991004060459702656</t>
        </is>
      </c>
      <c r="AY2047" t="inlineStr">
        <is>
          <t>2257490190002656</t>
        </is>
      </c>
      <c r="AZ2047" t="inlineStr">
        <is>
          <t>BOOK</t>
        </is>
      </c>
      <c r="BB2047" t="inlineStr">
        <is>
          <t>9780465037278</t>
        </is>
      </c>
      <c r="BC2047" t="inlineStr">
        <is>
          <t>32285000118546</t>
        </is>
      </c>
      <c r="BD2047" t="inlineStr">
        <is>
          <t>893228879</t>
        </is>
      </c>
    </row>
    <row r="2048">
      <c r="A2048" t="inlineStr">
        <is>
          <t>No</t>
        </is>
      </c>
      <c r="B2048" t="inlineStr">
        <is>
          <t>E840.8.K58 V34</t>
        </is>
      </c>
      <c r="C2048" t="inlineStr">
        <is>
          <t>0                      E  0840800K  58                 V  34</t>
        </is>
      </c>
      <c r="D2048" t="inlineStr">
        <is>
          <t>Travels with Henry / Richard Valeriani.</t>
        </is>
      </c>
      <c r="F2048" t="inlineStr">
        <is>
          <t>No</t>
        </is>
      </c>
      <c r="G2048" t="inlineStr">
        <is>
          <t>1</t>
        </is>
      </c>
      <c r="H2048" t="inlineStr">
        <is>
          <t>No</t>
        </is>
      </c>
      <c r="I2048" t="inlineStr">
        <is>
          <t>No</t>
        </is>
      </c>
      <c r="J2048" t="inlineStr">
        <is>
          <t>0</t>
        </is>
      </c>
      <c r="K2048" t="inlineStr">
        <is>
          <t>Valeriani, Richard.</t>
        </is>
      </c>
      <c r="L2048" t="inlineStr">
        <is>
          <t>Boston : Hougton Mifflin, 1979.</t>
        </is>
      </c>
      <c r="M2048" t="inlineStr">
        <is>
          <t>1979</t>
        </is>
      </c>
      <c r="O2048" t="inlineStr">
        <is>
          <t>eng</t>
        </is>
      </c>
      <c r="P2048" t="inlineStr">
        <is>
          <t>mau</t>
        </is>
      </c>
      <c r="R2048" t="inlineStr">
        <is>
          <t xml:space="preserve">E  </t>
        </is>
      </c>
      <c r="S2048" t="n">
        <v>1</v>
      </c>
      <c r="T2048" t="n">
        <v>1</v>
      </c>
      <c r="U2048" t="inlineStr">
        <is>
          <t>1993-03-04</t>
        </is>
      </c>
      <c r="V2048" t="inlineStr">
        <is>
          <t>1993-03-04</t>
        </is>
      </c>
      <c r="W2048" t="inlineStr">
        <is>
          <t>1990-04-17</t>
        </is>
      </c>
      <c r="X2048" t="inlineStr">
        <is>
          <t>1990-04-17</t>
        </is>
      </c>
      <c r="Y2048" t="n">
        <v>760</v>
      </c>
      <c r="Z2048" t="n">
        <v>732</v>
      </c>
      <c r="AA2048" t="n">
        <v>762</v>
      </c>
      <c r="AB2048" t="n">
        <v>4</v>
      </c>
      <c r="AC2048" t="n">
        <v>4</v>
      </c>
      <c r="AD2048" t="n">
        <v>17</v>
      </c>
      <c r="AE2048" t="n">
        <v>18</v>
      </c>
      <c r="AF2048" t="n">
        <v>8</v>
      </c>
      <c r="AG2048" t="n">
        <v>8</v>
      </c>
      <c r="AH2048" t="n">
        <v>5</v>
      </c>
      <c r="AI2048" t="n">
        <v>6</v>
      </c>
      <c r="AJ2048" t="n">
        <v>9</v>
      </c>
      <c r="AK2048" t="n">
        <v>9</v>
      </c>
      <c r="AL2048" t="n">
        <v>1</v>
      </c>
      <c r="AM2048" t="n">
        <v>1</v>
      </c>
      <c r="AN2048" t="n">
        <v>0</v>
      </c>
      <c r="AO2048" t="n">
        <v>0</v>
      </c>
      <c r="AP2048" t="inlineStr">
        <is>
          <t>No</t>
        </is>
      </c>
      <c r="AQ2048" t="inlineStr">
        <is>
          <t>Yes</t>
        </is>
      </c>
      <c r="AR2048">
        <f>HYPERLINK("http://catalog.hathitrust.org/Record/000258330","HathiTrust Record")</f>
        <v/>
      </c>
      <c r="AS2048">
        <f>HYPERLINK("https://creighton-primo.hosted.exlibrisgroup.com/primo-explore/search?tab=default_tab&amp;search_scope=EVERYTHING&amp;vid=01CRU&amp;lang=en_US&amp;offset=0&amp;query=any,contains,991004678989702656","Catalog Record")</f>
        <v/>
      </c>
      <c r="AT2048">
        <f>HYPERLINK("http://www.worldcat.org/oclc/4549958","WorldCat Record")</f>
        <v/>
      </c>
      <c r="AU2048" t="inlineStr">
        <is>
          <t>479128:eng</t>
        </is>
      </c>
      <c r="AV2048" t="inlineStr">
        <is>
          <t>4549958</t>
        </is>
      </c>
      <c r="AW2048" t="inlineStr">
        <is>
          <t>991004678989702656</t>
        </is>
      </c>
      <c r="AX2048" t="inlineStr">
        <is>
          <t>991004678989702656</t>
        </is>
      </c>
      <c r="AY2048" t="inlineStr">
        <is>
          <t>2272476220002656</t>
        </is>
      </c>
      <c r="AZ2048" t="inlineStr">
        <is>
          <t>BOOK</t>
        </is>
      </c>
      <c r="BB2048" t="inlineStr">
        <is>
          <t>9780395270912</t>
        </is>
      </c>
      <c r="BC2048" t="inlineStr">
        <is>
          <t>32285000122381</t>
        </is>
      </c>
      <c r="BD2048" t="inlineStr">
        <is>
          <t>893260035</t>
        </is>
      </c>
    </row>
    <row r="2049">
      <c r="A2049" t="inlineStr">
        <is>
          <t>No</t>
        </is>
      </c>
      <c r="B2049" t="inlineStr">
        <is>
          <t>E840.8.L33 K55 1989</t>
        </is>
      </c>
      <c r="C2049" t="inlineStr">
        <is>
          <t>0                      E  0840800L  33                 K  55          1989</t>
        </is>
      </c>
      <c r="D2049" t="inlineStr">
        <is>
          <t>Lyndon LaRouche and the new American fascism / Dennis King.</t>
        </is>
      </c>
      <c r="F2049" t="inlineStr">
        <is>
          <t>No</t>
        </is>
      </c>
      <c r="G2049" t="inlineStr">
        <is>
          <t>1</t>
        </is>
      </c>
      <c r="H2049" t="inlineStr">
        <is>
          <t>No</t>
        </is>
      </c>
      <c r="I2049" t="inlineStr">
        <is>
          <t>No</t>
        </is>
      </c>
      <c r="J2049" t="inlineStr">
        <is>
          <t>0</t>
        </is>
      </c>
      <c r="K2049" t="inlineStr">
        <is>
          <t>King, Dennis.</t>
        </is>
      </c>
      <c r="L2049" t="inlineStr">
        <is>
          <t>New York : Doubleday, 1989.</t>
        </is>
      </c>
      <c r="M2049" t="inlineStr">
        <is>
          <t>1989</t>
        </is>
      </c>
      <c r="N2049" t="inlineStr">
        <is>
          <t>1st ed.</t>
        </is>
      </c>
      <c r="O2049" t="inlineStr">
        <is>
          <t>eng</t>
        </is>
      </c>
      <c r="P2049" t="inlineStr">
        <is>
          <t>nyu</t>
        </is>
      </c>
      <c r="R2049" t="inlineStr">
        <is>
          <t xml:space="preserve">E  </t>
        </is>
      </c>
      <c r="S2049" t="n">
        <v>1</v>
      </c>
      <c r="T2049" t="n">
        <v>1</v>
      </c>
      <c r="U2049" t="inlineStr">
        <is>
          <t>1992-08-13</t>
        </is>
      </c>
      <c r="V2049" t="inlineStr">
        <is>
          <t>1992-08-13</t>
        </is>
      </c>
      <c r="W2049" t="inlineStr">
        <is>
          <t>1991-06-21</t>
        </is>
      </c>
      <c r="X2049" t="inlineStr">
        <is>
          <t>1991-06-21</t>
        </is>
      </c>
      <c r="Y2049" t="n">
        <v>977</v>
      </c>
      <c r="Z2049" t="n">
        <v>923</v>
      </c>
      <c r="AA2049" t="n">
        <v>932</v>
      </c>
      <c r="AB2049" t="n">
        <v>4</v>
      </c>
      <c r="AC2049" t="n">
        <v>4</v>
      </c>
      <c r="AD2049" t="n">
        <v>27</v>
      </c>
      <c r="AE2049" t="n">
        <v>27</v>
      </c>
      <c r="AF2049" t="n">
        <v>10</v>
      </c>
      <c r="AG2049" t="n">
        <v>10</v>
      </c>
      <c r="AH2049" t="n">
        <v>8</v>
      </c>
      <c r="AI2049" t="n">
        <v>8</v>
      </c>
      <c r="AJ2049" t="n">
        <v>14</v>
      </c>
      <c r="AK2049" t="n">
        <v>14</v>
      </c>
      <c r="AL2049" t="n">
        <v>2</v>
      </c>
      <c r="AM2049" t="n">
        <v>2</v>
      </c>
      <c r="AN2049" t="n">
        <v>0</v>
      </c>
      <c r="AO2049" t="n">
        <v>0</v>
      </c>
      <c r="AP2049" t="inlineStr">
        <is>
          <t>No</t>
        </is>
      </c>
      <c r="AQ2049" t="inlineStr">
        <is>
          <t>Yes</t>
        </is>
      </c>
      <c r="AR2049">
        <f>HYPERLINK("http://catalog.hathitrust.org/Record/001105373","HathiTrust Record")</f>
        <v/>
      </c>
      <c r="AS2049">
        <f>HYPERLINK("https://creighton-primo.hosted.exlibrisgroup.com/primo-explore/search?tab=default_tab&amp;search_scope=EVERYTHING&amp;vid=01CRU&amp;lang=en_US&amp;offset=0&amp;query=any,contains,991001382059702656","Catalog Record")</f>
        <v/>
      </c>
      <c r="AT2049">
        <f>HYPERLINK("http://www.worldcat.org/oclc/18684318","WorldCat Record")</f>
        <v/>
      </c>
      <c r="AU2049" t="inlineStr">
        <is>
          <t>17953508:eng</t>
        </is>
      </c>
      <c r="AV2049" t="inlineStr">
        <is>
          <t>18684318</t>
        </is>
      </c>
      <c r="AW2049" t="inlineStr">
        <is>
          <t>991001382059702656</t>
        </is>
      </c>
      <c r="AX2049" t="inlineStr">
        <is>
          <t>991001382059702656</t>
        </is>
      </c>
      <c r="AY2049" t="inlineStr">
        <is>
          <t>2264711070002656</t>
        </is>
      </c>
      <c r="AZ2049" t="inlineStr">
        <is>
          <t>BOOK</t>
        </is>
      </c>
      <c r="BB2049" t="inlineStr">
        <is>
          <t>9780385238809</t>
        </is>
      </c>
      <c r="BC2049" t="inlineStr">
        <is>
          <t>32285000670678</t>
        </is>
      </c>
      <c r="BD2049" t="inlineStr">
        <is>
          <t>893315737</t>
        </is>
      </c>
    </row>
    <row r="2050">
      <c r="A2050" t="inlineStr">
        <is>
          <t>No</t>
        </is>
      </c>
      <c r="B2050" t="inlineStr">
        <is>
          <t>E840.8.M26 D74 2002</t>
        </is>
      </c>
      <c r="C2050" t="inlineStr">
        <is>
          <t>0                      E  0840800M  26                 D  74          2002</t>
        </is>
      </c>
      <c r="D2050" t="inlineStr">
        <is>
          <t>Citizen McCain / Elizabeth Drew.</t>
        </is>
      </c>
      <c r="F2050" t="inlineStr">
        <is>
          <t>No</t>
        </is>
      </c>
      <c r="G2050" t="inlineStr">
        <is>
          <t>1</t>
        </is>
      </c>
      <c r="H2050" t="inlineStr">
        <is>
          <t>No</t>
        </is>
      </c>
      <c r="I2050" t="inlineStr">
        <is>
          <t>No</t>
        </is>
      </c>
      <c r="J2050" t="inlineStr">
        <is>
          <t>0</t>
        </is>
      </c>
      <c r="K2050" t="inlineStr">
        <is>
          <t>Drew, Elizabeth.</t>
        </is>
      </c>
      <c r="L2050" t="inlineStr">
        <is>
          <t>New York : Simon &amp; Schuster, c2002.</t>
        </is>
      </c>
      <c r="M2050" t="inlineStr">
        <is>
          <t>2002</t>
        </is>
      </c>
      <c r="O2050" t="inlineStr">
        <is>
          <t>eng</t>
        </is>
      </c>
      <c r="P2050" t="inlineStr">
        <is>
          <t>nyu</t>
        </is>
      </c>
      <c r="R2050" t="inlineStr">
        <is>
          <t xml:space="preserve">E  </t>
        </is>
      </c>
      <c r="S2050" t="n">
        <v>1</v>
      </c>
      <c r="T2050" t="n">
        <v>1</v>
      </c>
      <c r="U2050" t="inlineStr">
        <is>
          <t>2002-06-19</t>
        </is>
      </c>
      <c r="V2050" t="inlineStr">
        <is>
          <t>2002-06-19</t>
        </is>
      </c>
      <c r="W2050" t="inlineStr">
        <is>
          <t>2002-06-04</t>
        </is>
      </c>
      <c r="X2050" t="inlineStr">
        <is>
          <t>2002-06-04</t>
        </is>
      </c>
      <c r="Y2050" t="n">
        <v>1139</v>
      </c>
      <c r="Z2050" t="n">
        <v>1117</v>
      </c>
      <c r="AA2050" t="n">
        <v>1238</v>
      </c>
      <c r="AB2050" t="n">
        <v>9</v>
      </c>
      <c r="AC2050" t="n">
        <v>11</v>
      </c>
      <c r="AD2050" t="n">
        <v>23</v>
      </c>
      <c r="AE2050" t="n">
        <v>23</v>
      </c>
      <c r="AF2050" t="n">
        <v>9</v>
      </c>
      <c r="AG2050" t="n">
        <v>9</v>
      </c>
      <c r="AH2050" t="n">
        <v>5</v>
      </c>
      <c r="AI2050" t="n">
        <v>5</v>
      </c>
      <c r="AJ2050" t="n">
        <v>9</v>
      </c>
      <c r="AK2050" t="n">
        <v>9</v>
      </c>
      <c r="AL2050" t="n">
        <v>5</v>
      </c>
      <c r="AM2050" t="n">
        <v>5</v>
      </c>
      <c r="AN2050" t="n">
        <v>0</v>
      </c>
      <c r="AO2050" t="n">
        <v>0</v>
      </c>
      <c r="AP2050" t="inlineStr">
        <is>
          <t>No</t>
        </is>
      </c>
      <c r="AQ2050" t="inlineStr">
        <is>
          <t>Yes</t>
        </is>
      </c>
      <c r="AR2050">
        <f>HYPERLINK("http://catalog.hathitrust.org/Record/004249467","HathiTrust Record")</f>
        <v/>
      </c>
      <c r="AS2050">
        <f>HYPERLINK("https://creighton-primo.hosted.exlibrisgroup.com/primo-explore/search?tab=default_tab&amp;search_scope=EVERYTHING&amp;vid=01CRU&amp;lang=en_US&amp;offset=0&amp;query=any,contains,991003800189702656","Catalog Record")</f>
        <v/>
      </c>
      <c r="AT2050">
        <f>HYPERLINK("http://www.worldcat.org/oclc/48958369","WorldCat Record")</f>
        <v/>
      </c>
      <c r="AU2050" t="inlineStr">
        <is>
          <t>5974985:eng</t>
        </is>
      </c>
      <c r="AV2050" t="inlineStr">
        <is>
          <t>48958369</t>
        </is>
      </c>
      <c r="AW2050" t="inlineStr">
        <is>
          <t>991003800189702656</t>
        </is>
      </c>
      <c r="AX2050" t="inlineStr">
        <is>
          <t>991003800189702656</t>
        </is>
      </c>
      <c r="AY2050" t="inlineStr">
        <is>
          <t>2271909250002656</t>
        </is>
      </c>
      <c r="AZ2050" t="inlineStr">
        <is>
          <t>BOOK</t>
        </is>
      </c>
      <c r="BB2050" t="inlineStr">
        <is>
          <t>9780743230025</t>
        </is>
      </c>
      <c r="BC2050" t="inlineStr">
        <is>
          <t>32285004490669</t>
        </is>
      </c>
      <c r="BD2050" t="inlineStr">
        <is>
          <t>893686989</t>
        </is>
      </c>
    </row>
    <row r="2051">
      <c r="A2051" t="inlineStr">
        <is>
          <t>No</t>
        </is>
      </c>
      <c r="B2051" t="inlineStr">
        <is>
          <t>E840.8.M3 H4</t>
        </is>
      </c>
      <c r="C2051" t="inlineStr">
        <is>
          <t>0                      E  0840800M  3                  H  4</t>
        </is>
      </c>
      <c r="D2051" t="inlineStr">
        <is>
          <t>McCarthy for President.</t>
        </is>
      </c>
      <c r="F2051" t="inlineStr">
        <is>
          <t>No</t>
        </is>
      </c>
      <c r="G2051" t="inlineStr">
        <is>
          <t>1</t>
        </is>
      </c>
      <c r="H2051" t="inlineStr">
        <is>
          <t>No</t>
        </is>
      </c>
      <c r="I2051" t="inlineStr">
        <is>
          <t>No</t>
        </is>
      </c>
      <c r="J2051" t="inlineStr">
        <is>
          <t>0</t>
        </is>
      </c>
      <c r="K2051" t="inlineStr">
        <is>
          <t>Herzog, Arthur.</t>
        </is>
      </c>
      <c r="L2051" t="inlineStr">
        <is>
          <t>New York : Viking Press, [1969]</t>
        </is>
      </c>
      <c r="M2051" t="inlineStr">
        <is>
          <t>1969</t>
        </is>
      </c>
      <c r="O2051" t="inlineStr">
        <is>
          <t>eng</t>
        </is>
      </c>
      <c r="P2051" t="inlineStr">
        <is>
          <t>nyu</t>
        </is>
      </c>
      <c r="R2051" t="inlineStr">
        <is>
          <t xml:space="preserve">E  </t>
        </is>
      </c>
      <c r="S2051" t="n">
        <v>2</v>
      </c>
      <c r="T2051" t="n">
        <v>2</v>
      </c>
      <c r="U2051" t="inlineStr">
        <is>
          <t>1994-03-02</t>
        </is>
      </c>
      <c r="V2051" t="inlineStr">
        <is>
          <t>1994-03-02</t>
        </is>
      </c>
      <c r="W2051" t="inlineStr">
        <is>
          <t>1991-02-25</t>
        </is>
      </c>
      <c r="X2051" t="inlineStr">
        <is>
          <t>1991-02-25</t>
        </is>
      </c>
      <c r="Y2051" t="n">
        <v>604</v>
      </c>
      <c r="Z2051" t="n">
        <v>561</v>
      </c>
      <c r="AA2051" t="n">
        <v>578</v>
      </c>
      <c r="AB2051" t="n">
        <v>5</v>
      </c>
      <c r="AC2051" t="n">
        <v>5</v>
      </c>
      <c r="AD2051" t="n">
        <v>25</v>
      </c>
      <c r="AE2051" t="n">
        <v>25</v>
      </c>
      <c r="AF2051" t="n">
        <v>10</v>
      </c>
      <c r="AG2051" t="n">
        <v>10</v>
      </c>
      <c r="AH2051" t="n">
        <v>6</v>
      </c>
      <c r="AI2051" t="n">
        <v>6</v>
      </c>
      <c r="AJ2051" t="n">
        <v>10</v>
      </c>
      <c r="AK2051" t="n">
        <v>10</v>
      </c>
      <c r="AL2051" t="n">
        <v>4</v>
      </c>
      <c r="AM2051" t="n">
        <v>4</v>
      </c>
      <c r="AN2051" t="n">
        <v>0</v>
      </c>
      <c r="AO2051" t="n">
        <v>0</v>
      </c>
      <c r="AP2051" t="inlineStr">
        <is>
          <t>No</t>
        </is>
      </c>
      <c r="AQ2051" t="inlineStr">
        <is>
          <t>No</t>
        </is>
      </c>
      <c r="AS2051">
        <f>HYPERLINK("https://creighton-primo.hosted.exlibrisgroup.com/primo-explore/search?tab=default_tab&amp;search_scope=EVERYTHING&amp;vid=01CRU&amp;lang=en_US&amp;offset=0&amp;query=any,contains,991000058409702656","Catalog Record")</f>
        <v/>
      </c>
      <c r="AT2051">
        <f>HYPERLINK("http://www.worldcat.org/oclc/24097","WorldCat Record")</f>
        <v/>
      </c>
      <c r="AU2051" t="inlineStr">
        <is>
          <t>1146277:eng</t>
        </is>
      </c>
      <c r="AV2051" t="inlineStr">
        <is>
          <t>24097</t>
        </is>
      </c>
      <c r="AW2051" t="inlineStr">
        <is>
          <t>991000058409702656</t>
        </is>
      </c>
      <c r="AX2051" t="inlineStr">
        <is>
          <t>991000058409702656</t>
        </is>
      </c>
      <c r="AY2051" t="inlineStr">
        <is>
          <t>2266695060002656</t>
        </is>
      </c>
      <c r="AZ2051" t="inlineStr">
        <is>
          <t>BOOK</t>
        </is>
      </c>
      <c r="BB2051" t="inlineStr">
        <is>
          <t>9780670464265</t>
        </is>
      </c>
      <c r="BC2051" t="inlineStr">
        <is>
          <t>32285000515766</t>
        </is>
      </c>
      <c r="BD2051" t="inlineStr">
        <is>
          <t>893896577</t>
        </is>
      </c>
    </row>
    <row r="2052">
      <c r="A2052" t="inlineStr">
        <is>
          <t>No</t>
        </is>
      </c>
      <c r="B2052" t="inlineStr">
        <is>
          <t>E840.8.M345 A32</t>
        </is>
      </c>
      <c r="C2052" t="inlineStr">
        <is>
          <t>0                      E  0840800M  345                A  32</t>
        </is>
      </c>
      <c r="D2052" t="inlineStr">
        <is>
          <t>An American life; one man's road to Watergate.</t>
        </is>
      </c>
      <c r="F2052" t="inlineStr">
        <is>
          <t>No</t>
        </is>
      </c>
      <c r="G2052" t="inlineStr">
        <is>
          <t>1</t>
        </is>
      </c>
      <c r="H2052" t="inlineStr">
        <is>
          <t>No</t>
        </is>
      </c>
      <c r="I2052" t="inlineStr">
        <is>
          <t>No</t>
        </is>
      </c>
      <c r="J2052" t="inlineStr">
        <is>
          <t>0</t>
        </is>
      </c>
      <c r="K2052" t="inlineStr">
        <is>
          <t>Magruder, Jeb Stuart, 1934-2014.</t>
        </is>
      </c>
      <c r="L2052" t="inlineStr">
        <is>
          <t>New York, Atheneum, 1974.</t>
        </is>
      </c>
      <c r="M2052" t="inlineStr">
        <is>
          <t>1974</t>
        </is>
      </c>
      <c r="N2052" t="inlineStr">
        <is>
          <t>[1st ed.]</t>
        </is>
      </c>
      <c r="O2052" t="inlineStr">
        <is>
          <t>eng</t>
        </is>
      </c>
      <c r="P2052" t="inlineStr">
        <is>
          <t>nyu</t>
        </is>
      </c>
      <c r="R2052" t="inlineStr">
        <is>
          <t xml:space="preserve">E  </t>
        </is>
      </c>
      <c r="S2052" t="n">
        <v>2</v>
      </c>
      <c r="T2052" t="n">
        <v>2</v>
      </c>
      <c r="U2052" t="inlineStr">
        <is>
          <t>1999-12-02</t>
        </is>
      </c>
      <c r="V2052" t="inlineStr">
        <is>
          <t>1999-12-02</t>
        </is>
      </c>
      <c r="W2052" t="inlineStr">
        <is>
          <t>1997-04-29</t>
        </is>
      </c>
      <c r="X2052" t="inlineStr">
        <is>
          <t>1997-04-29</t>
        </is>
      </c>
      <c r="Y2052" t="n">
        <v>1683</v>
      </c>
      <c r="Z2052" t="n">
        <v>1608</v>
      </c>
      <c r="AA2052" t="n">
        <v>1834</v>
      </c>
      <c r="AB2052" t="n">
        <v>12</v>
      </c>
      <c r="AC2052" t="n">
        <v>13</v>
      </c>
      <c r="AD2052" t="n">
        <v>49</v>
      </c>
      <c r="AE2052" t="n">
        <v>56</v>
      </c>
      <c r="AF2052" t="n">
        <v>19</v>
      </c>
      <c r="AG2052" t="n">
        <v>21</v>
      </c>
      <c r="AH2052" t="n">
        <v>5</v>
      </c>
      <c r="AI2052" t="n">
        <v>8</v>
      </c>
      <c r="AJ2052" t="n">
        <v>21</v>
      </c>
      <c r="AK2052" t="n">
        <v>23</v>
      </c>
      <c r="AL2052" t="n">
        <v>10</v>
      </c>
      <c r="AM2052" t="n">
        <v>11</v>
      </c>
      <c r="AN2052" t="n">
        <v>4</v>
      </c>
      <c r="AO2052" t="n">
        <v>5</v>
      </c>
      <c r="AP2052" t="inlineStr">
        <is>
          <t>No</t>
        </is>
      </c>
      <c r="AQ2052" t="inlineStr">
        <is>
          <t>Yes</t>
        </is>
      </c>
      <c r="AR2052">
        <f>HYPERLINK("http://catalog.hathitrust.org/Record/000575273","HathiTrust Record")</f>
        <v/>
      </c>
      <c r="AS2052">
        <f>HYPERLINK("https://creighton-primo.hosted.exlibrisgroup.com/primo-explore/search?tab=default_tab&amp;search_scope=EVERYTHING&amp;vid=01CRU&amp;lang=en_US&amp;offset=0&amp;query=any,contains,991003384689702656","Catalog Record")</f>
        <v/>
      </c>
      <c r="AT2052">
        <f>HYPERLINK("http://www.worldcat.org/oclc/921940","WorldCat Record")</f>
        <v/>
      </c>
      <c r="AU2052" t="inlineStr">
        <is>
          <t>839859768:eng</t>
        </is>
      </c>
      <c r="AV2052" t="inlineStr">
        <is>
          <t>921940</t>
        </is>
      </c>
      <c r="AW2052" t="inlineStr">
        <is>
          <t>991003384689702656</t>
        </is>
      </c>
      <c r="AX2052" t="inlineStr">
        <is>
          <t>991003384689702656</t>
        </is>
      </c>
      <c r="AY2052" t="inlineStr">
        <is>
          <t>2269893870002656</t>
        </is>
      </c>
      <c r="AZ2052" t="inlineStr">
        <is>
          <t>BOOK</t>
        </is>
      </c>
      <c r="BB2052" t="inlineStr">
        <is>
          <t>9780689106033</t>
        </is>
      </c>
      <c r="BC2052" t="inlineStr">
        <is>
          <t>32285002568227</t>
        </is>
      </c>
      <c r="BD2052" t="inlineStr">
        <is>
          <t>893868373</t>
        </is>
      </c>
    </row>
    <row r="2053">
      <c r="A2053" t="inlineStr">
        <is>
          <t>No</t>
        </is>
      </c>
      <c r="B2053" t="inlineStr">
        <is>
          <t>E840.8.M46 S47 1993</t>
        </is>
      </c>
      <c r="C2053" t="inlineStr">
        <is>
          <t>0                      E  0840800M  46                 S  47          1993</t>
        </is>
      </c>
      <c r="D2053" t="inlineStr">
        <is>
          <t>Promise and power : the life and times of Robert McNamara / by Deborah Shapley.</t>
        </is>
      </c>
      <c r="F2053" t="inlineStr">
        <is>
          <t>No</t>
        </is>
      </c>
      <c r="G2053" t="inlineStr">
        <is>
          <t>1</t>
        </is>
      </c>
      <c r="H2053" t="inlineStr">
        <is>
          <t>No</t>
        </is>
      </c>
      <c r="I2053" t="inlineStr">
        <is>
          <t>No</t>
        </is>
      </c>
      <c r="J2053" t="inlineStr">
        <is>
          <t>0</t>
        </is>
      </c>
      <c r="K2053" t="inlineStr">
        <is>
          <t>Shapley, Deborah, 1945-</t>
        </is>
      </c>
      <c r="L2053" t="inlineStr">
        <is>
          <t>Boston : Little, Brown, c1993.</t>
        </is>
      </c>
      <c r="M2053" t="inlineStr">
        <is>
          <t>1993</t>
        </is>
      </c>
      <c r="N2053" t="inlineStr">
        <is>
          <t>1st ed.</t>
        </is>
      </c>
      <c r="O2053" t="inlineStr">
        <is>
          <t>eng</t>
        </is>
      </c>
      <c r="P2053" t="inlineStr">
        <is>
          <t>mau</t>
        </is>
      </c>
      <c r="R2053" t="inlineStr">
        <is>
          <t xml:space="preserve">E  </t>
        </is>
      </c>
      <c r="S2053" t="n">
        <v>3</v>
      </c>
      <c r="T2053" t="n">
        <v>3</v>
      </c>
      <c r="U2053" t="inlineStr">
        <is>
          <t>2002-12-13</t>
        </is>
      </c>
      <c r="V2053" t="inlineStr">
        <is>
          <t>2002-12-13</t>
        </is>
      </c>
      <c r="W2053" t="inlineStr">
        <is>
          <t>1993-10-04</t>
        </is>
      </c>
      <c r="X2053" t="inlineStr">
        <is>
          <t>1993-10-04</t>
        </is>
      </c>
      <c r="Y2053" t="n">
        <v>1291</v>
      </c>
      <c r="Z2053" t="n">
        <v>1194</v>
      </c>
      <c r="AA2053" t="n">
        <v>1255</v>
      </c>
      <c r="AB2053" t="n">
        <v>9</v>
      </c>
      <c r="AC2053" t="n">
        <v>9</v>
      </c>
      <c r="AD2053" t="n">
        <v>38</v>
      </c>
      <c r="AE2053" t="n">
        <v>39</v>
      </c>
      <c r="AF2053" t="n">
        <v>13</v>
      </c>
      <c r="AG2053" t="n">
        <v>14</v>
      </c>
      <c r="AH2053" t="n">
        <v>10</v>
      </c>
      <c r="AI2053" t="n">
        <v>10</v>
      </c>
      <c r="AJ2053" t="n">
        <v>20</v>
      </c>
      <c r="AK2053" t="n">
        <v>20</v>
      </c>
      <c r="AL2053" t="n">
        <v>6</v>
      </c>
      <c r="AM2053" t="n">
        <v>6</v>
      </c>
      <c r="AN2053" t="n">
        <v>0</v>
      </c>
      <c r="AO2053" t="n">
        <v>0</v>
      </c>
      <c r="AP2053" t="inlineStr">
        <is>
          <t>No</t>
        </is>
      </c>
      <c r="AQ2053" t="inlineStr">
        <is>
          <t>No</t>
        </is>
      </c>
      <c r="AS2053">
        <f>HYPERLINK("https://creighton-primo.hosted.exlibrisgroup.com/primo-explore/search?tab=default_tab&amp;search_scope=EVERYTHING&amp;vid=01CRU&amp;lang=en_US&amp;offset=0&amp;query=any,contains,991002029309702656","Catalog Record")</f>
        <v/>
      </c>
      <c r="AT2053">
        <f>HYPERLINK("http://www.worldcat.org/oclc/25832904","WorldCat Record")</f>
        <v/>
      </c>
      <c r="AU2053" t="inlineStr">
        <is>
          <t>28845440:eng</t>
        </is>
      </c>
      <c r="AV2053" t="inlineStr">
        <is>
          <t>25832904</t>
        </is>
      </c>
      <c r="AW2053" t="inlineStr">
        <is>
          <t>991002029309702656</t>
        </is>
      </c>
      <c r="AX2053" t="inlineStr">
        <is>
          <t>991002029309702656</t>
        </is>
      </c>
      <c r="AY2053" t="inlineStr">
        <is>
          <t>2264224090002656</t>
        </is>
      </c>
      <c r="AZ2053" t="inlineStr">
        <is>
          <t>BOOK</t>
        </is>
      </c>
      <c r="BB2053" t="inlineStr">
        <is>
          <t>9780316782807</t>
        </is>
      </c>
      <c r="BC2053" t="inlineStr">
        <is>
          <t>32285001769917</t>
        </is>
      </c>
      <c r="BD2053" t="inlineStr">
        <is>
          <t>893316292</t>
        </is>
      </c>
    </row>
    <row r="2054">
      <c r="A2054" t="inlineStr">
        <is>
          <t>No</t>
        </is>
      </c>
      <c r="B2054" t="inlineStr">
        <is>
          <t>E840.8.M5 A3 1996</t>
        </is>
      </c>
      <c r="C2054" t="inlineStr">
        <is>
          <t>0                      E  0840800M  5                  A  3           1996</t>
        </is>
      </c>
      <c r="D2054" t="inlineStr">
        <is>
          <t>No free ride : from the mean streets to the mainstream / Kweisi Mfume with Ron Stodghill II.</t>
        </is>
      </c>
      <c r="F2054" t="inlineStr">
        <is>
          <t>No</t>
        </is>
      </c>
      <c r="G2054" t="inlineStr">
        <is>
          <t>1</t>
        </is>
      </c>
      <c r="H2054" t="inlineStr">
        <is>
          <t>No</t>
        </is>
      </c>
      <c r="I2054" t="inlineStr">
        <is>
          <t>No</t>
        </is>
      </c>
      <c r="J2054" t="inlineStr">
        <is>
          <t>0</t>
        </is>
      </c>
      <c r="K2054" t="inlineStr">
        <is>
          <t>Mfume, Kweisi.</t>
        </is>
      </c>
      <c r="L2054" t="inlineStr">
        <is>
          <t>New York : One World, c1996.</t>
        </is>
      </c>
      <c r="M2054" t="inlineStr">
        <is>
          <t>1996</t>
        </is>
      </c>
      <c r="N2054" t="inlineStr">
        <is>
          <t>1st ed.</t>
        </is>
      </c>
      <c r="O2054" t="inlineStr">
        <is>
          <t>eng</t>
        </is>
      </c>
      <c r="P2054" t="inlineStr">
        <is>
          <t>nyu</t>
        </is>
      </c>
      <c r="R2054" t="inlineStr">
        <is>
          <t xml:space="preserve">E  </t>
        </is>
      </c>
      <c r="S2054" t="n">
        <v>1</v>
      </c>
      <c r="T2054" t="n">
        <v>1</v>
      </c>
      <c r="U2054" t="inlineStr">
        <is>
          <t>1997-02-07</t>
        </is>
      </c>
      <c r="V2054" t="inlineStr">
        <is>
          <t>1997-02-07</t>
        </is>
      </c>
      <c r="W2054" t="inlineStr">
        <is>
          <t>1997-01-08</t>
        </is>
      </c>
      <c r="X2054" t="inlineStr">
        <is>
          <t>1997-01-08</t>
        </is>
      </c>
      <c r="Y2054" t="n">
        <v>689</v>
      </c>
      <c r="Z2054" t="n">
        <v>674</v>
      </c>
      <c r="AA2054" t="n">
        <v>770</v>
      </c>
      <c r="AB2054" t="n">
        <v>3</v>
      </c>
      <c r="AC2054" t="n">
        <v>3</v>
      </c>
      <c r="AD2054" t="n">
        <v>22</v>
      </c>
      <c r="AE2054" t="n">
        <v>24</v>
      </c>
      <c r="AF2054" t="n">
        <v>5</v>
      </c>
      <c r="AG2054" t="n">
        <v>6</v>
      </c>
      <c r="AH2054" t="n">
        <v>6</v>
      </c>
      <c r="AI2054" t="n">
        <v>7</v>
      </c>
      <c r="AJ2054" t="n">
        <v>12</v>
      </c>
      <c r="AK2054" t="n">
        <v>14</v>
      </c>
      <c r="AL2054" t="n">
        <v>2</v>
      </c>
      <c r="AM2054" t="n">
        <v>2</v>
      </c>
      <c r="AN2054" t="n">
        <v>0</v>
      </c>
      <c r="AO2054" t="n">
        <v>0</v>
      </c>
      <c r="AP2054" t="inlineStr">
        <is>
          <t>No</t>
        </is>
      </c>
      <c r="AQ2054" t="inlineStr">
        <is>
          <t>Yes</t>
        </is>
      </c>
      <c r="AR2054">
        <f>HYPERLINK("http://catalog.hathitrust.org/Record/003089365","HathiTrust Record")</f>
        <v/>
      </c>
      <c r="AS2054">
        <f>HYPERLINK("https://creighton-primo.hosted.exlibrisgroup.com/primo-explore/search?tab=default_tab&amp;search_scope=EVERYTHING&amp;vid=01CRU&amp;lang=en_US&amp;offset=0&amp;query=any,contains,991002701639702656","Catalog Record")</f>
        <v/>
      </c>
      <c r="AT2054">
        <f>HYPERLINK("http://www.worldcat.org/oclc/35273207","WorldCat Record")</f>
        <v/>
      </c>
      <c r="AU2054" t="inlineStr">
        <is>
          <t>614130:eng</t>
        </is>
      </c>
      <c r="AV2054" t="inlineStr">
        <is>
          <t>35273207</t>
        </is>
      </c>
      <c r="AW2054" t="inlineStr">
        <is>
          <t>991002701639702656</t>
        </is>
      </c>
      <c r="AX2054" t="inlineStr">
        <is>
          <t>991002701639702656</t>
        </is>
      </c>
      <c r="AY2054" t="inlineStr">
        <is>
          <t>2259321780002656</t>
        </is>
      </c>
      <c r="AZ2054" t="inlineStr">
        <is>
          <t>BOOK</t>
        </is>
      </c>
      <c r="BB2054" t="inlineStr">
        <is>
          <t>9780345392206</t>
        </is>
      </c>
      <c r="BC2054" t="inlineStr">
        <is>
          <t>32285002405420</t>
        </is>
      </c>
      <c r="BD2054" t="inlineStr">
        <is>
          <t>893792801</t>
        </is>
      </c>
    </row>
    <row r="2055">
      <c r="A2055" t="inlineStr">
        <is>
          <t>No</t>
        </is>
      </c>
      <c r="B2055" t="inlineStr">
        <is>
          <t>E840.8.O54 A3 1987</t>
        </is>
      </c>
      <c r="C2055" t="inlineStr">
        <is>
          <t>0                      E  0840800O  54                 A  3           1987</t>
        </is>
      </c>
      <c r="D2055" t="inlineStr">
        <is>
          <t>Man of the House : the life and political memoirs of Speaker Tip O'Neill / with William Novak.</t>
        </is>
      </c>
      <c r="F2055" t="inlineStr">
        <is>
          <t>No</t>
        </is>
      </c>
      <c r="G2055" t="inlineStr">
        <is>
          <t>1</t>
        </is>
      </c>
      <c r="H2055" t="inlineStr">
        <is>
          <t>Yes</t>
        </is>
      </c>
      <c r="I2055" t="inlineStr">
        <is>
          <t>No</t>
        </is>
      </c>
      <c r="J2055" t="inlineStr">
        <is>
          <t>0</t>
        </is>
      </c>
      <c r="K2055" t="inlineStr">
        <is>
          <t>O'Neill, Tip.</t>
        </is>
      </c>
      <c r="L2055" t="inlineStr">
        <is>
          <t>New York : Random House, c1987.</t>
        </is>
      </c>
      <c r="M2055" t="inlineStr">
        <is>
          <t>1987</t>
        </is>
      </c>
      <c r="N2055" t="inlineStr">
        <is>
          <t>1st ed.</t>
        </is>
      </c>
      <c r="O2055" t="inlineStr">
        <is>
          <t>eng</t>
        </is>
      </c>
      <c r="P2055" t="inlineStr">
        <is>
          <t>nyu</t>
        </is>
      </c>
      <c r="R2055" t="inlineStr">
        <is>
          <t xml:space="preserve">E  </t>
        </is>
      </c>
      <c r="S2055" t="n">
        <v>3</v>
      </c>
      <c r="T2055" t="n">
        <v>3</v>
      </c>
      <c r="U2055" t="inlineStr">
        <is>
          <t>1996-02-21</t>
        </is>
      </c>
      <c r="V2055" t="inlineStr">
        <is>
          <t>1996-02-21</t>
        </is>
      </c>
      <c r="W2055" t="inlineStr">
        <is>
          <t>1991-06-21</t>
        </is>
      </c>
      <c r="X2055" t="inlineStr">
        <is>
          <t>2006-02-01</t>
        </is>
      </c>
      <c r="Y2055" t="n">
        <v>2680</v>
      </c>
      <c r="Z2055" t="n">
        <v>2585</v>
      </c>
      <c r="AA2055" t="n">
        <v>2726</v>
      </c>
      <c r="AB2055" t="n">
        <v>26</v>
      </c>
      <c r="AC2055" t="n">
        <v>26</v>
      </c>
      <c r="AD2055" t="n">
        <v>59</v>
      </c>
      <c r="AE2055" t="n">
        <v>60</v>
      </c>
      <c r="AF2055" t="n">
        <v>21</v>
      </c>
      <c r="AG2055" t="n">
        <v>22</v>
      </c>
      <c r="AH2055" t="n">
        <v>9</v>
      </c>
      <c r="AI2055" t="n">
        <v>9</v>
      </c>
      <c r="AJ2055" t="n">
        <v>22</v>
      </c>
      <c r="AK2055" t="n">
        <v>22</v>
      </c>
      <c r="AL2055" t="n">
        <v>12</v>
      </c>
      <c r="AM2055" t="n">
        <v>12</v>
      </c>
      <c r="AN2055" t="n">
        <v>6</v>
      </c>
      <c r="AO2055" t="n">
        <v>6</v>
      </c>
      <c r="AP2055" t="inlineStr">
        <is>
          <t>No</t>
        </is>
      </c>
      <c r="AQ2055" t="inlineStr">
        <is>
          <t>Yes</t>
        </is>
      </c>
      <c r="AR2055">
        <f>HYPERLINK("http://catalog.hathitrust.org/Record/000841434","HathiTrust Record")</f>
        <v/>
      </c>
      <c r="AS2055">
        <f>HYPERLINK("https://creighton-primo.hosted.exlibrisgroup.com/primo-explore/search?tab=default_tab&amp;search_scope=EVERYTHING&amp;vid=01CRU&amp;lang=en_US&amp;offset=0&amp;query=any,contains,991001685069702656","Catalog Record")</f>
        <v/>
      </c>
      <c r="AT2055">
        <f>HYPERLINK("http://www.worldcat.org/oclc/15366726","WorldCat Record")</f>
        <v/>
      </c>
      <c r="AU2055" t="inlineStr">
        <is>
          <t>3943296932:eng</t>
        </is>
      </c>
      <c r="AV2055" t="inlineStr">
        <is>
          <t>15366726</t>
        </is>
      </c>
      <c r="AW2055" t="inlineStr">
        <is>
          <t>991001685069702656</t>
        </is>
      </c>
      <c r="AX2055" t="inlineStr">
        <is>
          <t>991001685069702656</t>
        </is>
      </c>
      <c r="AY2055" t="inlineStr">
        <is>
          <t>2259761640002656</t>
        </is>
      </c>
      <c r="AZ2055" t="inlineStr">
        <is>
          <t>BOOK</t>
        </is>
      </c>
      <c r="BB2055" t="inlineStr">
        <is>
          <t>9780394552019</t>
        </is>
      </c>
      <c r="BC2055" t="inlineStr">
        <is>
          <t>32285000670686</t>
        </is>
      </c>
      <c r="BD2055" t="inlineStr">
        <is>
          <t>893891737</t>
        </is>
      </c>
    </row>
    <row r="2056">
      <c r="A2056" t="inlineStr">
        <is>
          <t>No</t>
        </is>
      </c>
      <c r="B2056" t="inlineStr">
        <is>
          <t>E840.8.O54 F37 2001</t>
        </is>
      </c>
      <c r="C2056" t="inlineStr">
        <is>
          <t>0                      E  0840800O  54                 F  37          2001</t>
        </is>
      </c>
      <c r="D2056" t="inlineStr">
        <is>
          <t>Tip O'Neill and the Democratic century / John Aloysius Farrell.</t>
        </is>
      </c>
      <c r="F2056" t="inlineStr">
        <is>
          <t>No</t>
        </is>
      </c>
      <c r="G2056" t="inlineStr">
        <is>
          <t>1</t>
        </is>
      </c>
      <c r="H2056" t="inlineStr">
        <is>
          <t>No</t>
        </is>
      </c>
      <c r="I2056" t="inlineStr">
        <is>
          <t>No</t>
        </is>
      </c>
      <c r="J2056" t="inlineStr">
        <is>
          <t>0</t>
        </is>
      </c>
      <c r="K2056" t="inlineStr">
        <is>
          <t>Farrell, John A. (John Aloysius)</t>
        </is>
      </c>
      <c r="L2056" t="inlineStr">
        <is>
          <t>Boston : Little, Brown, c2001.</t>
        </is>
      </c>
      <c r="M2056" t="inlineStr">
        <is>
          <t>2001</t>
        </is>
      </c>
      <c r="N2056" t="inlineStr">
        <is>
          <t>1st ed.</t>
        </is>
      </c>
      <c r="O2056" t="inlineStr">
        <is>
          <t>eng</t>
        </is>
      </c>
      <c r="P2056" t="inlineStr">
        <is>
          <t>mau</t>
        </is>
      </c>
      <c r="R2056" t="inlineStr">
        <is>
          <t xml:space="preserve">E  </t>
        </is>
      </c>
      <c r="S2056" t="n">
        <v>2</v>
      </c>
      <c r="T2056" t="n">
        <v>2</v>
      </c>
      <c r="U2056" t="inlineStr">
        <is>
          <t>2001-04-26</t>
        </is>
      </c>
      <c r="V2056" t="inlineStr">
        <is>
          <t>2001-04-26</t>
        </is>
      </c>
      <c r="W2056" t="inlineStr">
        <is>
          <t>2001-04-10</t>
        </is>
      </c>
      <c r="X2056" t="inlineStr">
        <is>
          <t>2001-04-10</t>
        </is>
      </c>
      <c r="Y2056" t="n">
        <v>1199</v>
      </c>
      <c r="Z2056" t="n">
        <v>1148</v>
      </c>
      <c r="AA2056" t="n">
        <v>1188</v>
      </c>
      <c r="AB2056" t="n">
        <v>9</v>
      </c>
      <c r="AC2056" t="n">
        <v>9</v>
      </c>
      <c r="AD2056" t="n">
        <v>40</v>
      </c>
      <c r="AE2056" t="n">
        <v>40</v>
      </c>
      <c r="AF2056" t="n">
        <v>19</v>
      </c>
      <c r="AG2056" t="n">
        <v>19</v>
      </c>
      <c r="AH2056" t="n">
        <v>9</v>
      </c>
      <c r="AI2056" t="n">
        <v>9</v>
      </c>
      <c r="AJ2056" t="n">
        <v>19</v>
      </c>
      <c r="AK2056" t="n">
        <v>19</v>
      </c>
      <c r="AL2056" t="n">
        <v>5</v>
      </c>
      <c r="AM2056" t="n">
        <v>5</v>
      </c>
      <c r="AN2056" t="n">
        <v>1</v>
      </c>
      <c r="AO2056" t="n">
        <v>1</v>
      </c>
      <c r="AP2056" t="inlineStr">
        <is>
          <t>No</t>
        </is>
      </c>
      <c r="AQ2056" t="inlineStr">
        <is>
          <t>No</t>
        </is>
      </c>
      <c r="AS2056">
        <f>HYPERLINK("https://creighton-primo.hosted.exlibrisgroup.com/primo-explore/search?tab=default_tab&amp;search_scope=EVERYTHING&amp;vid=01CRU&amp;lang=en_US&amp;offset=0&amp;query=any,contains,991003524459702656","Catalog Record")</f>
        <v/>
      </c>
      <c r="AT2056">
        <f>HYPERLINK("http://www.worldcat.org/oclc/44579015","WorldCat Record")</f>
        <v/>
      </c>
      <c r="AU2056" t="inlineStr">
        <is>
          <t>44481:eng</t>
        </is>
      </c>
      <c r="AV2056" t="inlineStr">
        <is>
          <t>44579015</t>
        </is>
      </c>
      <c r="AW2056" t="inlineStr">
        <is>
          <t>991003524459702656</t>
        </is>
      </c>
      <c r="AX2056" t="inlineStr">
        <is>
          <t>991003524459702656</t>
        </is>
      </c>
      <c r="AY2056" t="inlineStr">
        <is>
          <t>2270352430002656</t>
        </is>
      </c>
      <c r="AZ2056" t="inlineStr">
        <is>
          <t>BOOK</t>
        </is>
      </c>
      <c r="BB2056" t="inlineStr">
        <is>
          <t>9780316260497</t>
        </is>
      </c>
      <c r="BC2056" t="inlineStr">
        <is>
          <t>32285004311048</t>
        </is>
      </c>
      <c r="BD2056" t="inlineStr">
        <is>
          <t>893441379</t>
        </is>
      </c>
    </row>
    <row r="2057">
      <c r="A2057" t="inlineStr">
        <is>
          <t>No</t>
        </is>
      </c>
      <c r="B2057" t="inlineStr">
        <is>
          <t>E840.8.P427 G76 1992</t>
        </is>
      </c>
      <c r="C2057" t="inlineStr">
        <is>
          <t>0                      E  0840800P  427                G  76          1992</t>
        </is>
      </c>
      <c r="D2057" t="inlineStr">
        <is>
          <t>Ross Perot : the man behind the myth / Ken Gross.</t>
        </is>
      </c>
      <c r="F2057" t="inlineStr">
        <is>
          <t>No</t>
        </is>
      </c>
      <c r="G2057" t="inlineStr">
        <is>
          <t>1</t>
        </is>
      </c>
      <c r="H2057" t="inlineStr">
        <is>
          <t>No</t>
        </is>
      </c>
      <c r="I2057" t="inlineStr">
        <is>
          <t>No</t>
        </is>
      </c>
      <c r="J2057" t="inlineStr">
        <is>
          <t>0</t>
        </is>
      </c>
      <c r="K2057" t="inlineStr">
        <is>
          <t>Gross, Ken, 1938-</t>
        </is>
      </c>
      <c r="L2057" t="inlineStr">
        <is>
          <t>New York : Random House, c1992.</t>
        </is>
      </c>
      <c r="M2057" t="inlineStr">
        <is>
          <t>1992</t>
        </is>
      </c>
      <c r="O2057" t="inlineStr">
        <is>
          <t>eng</t>
        </is>
      </c>
      <c r="P2057" t="inlineStr">
        <is>
          <t>nyu</t>
        </is>
      </c>
      <c r="R2057" t="inlineStr">
        <is>
          <t xml:space="preserve">E  </t>
        </is>
      </c>
      <c r="S2057" t="n">
        <v>3</v>
      </c>
      <c r="T2057" t="n">
        <v>3</v>
      </c>
      <c r="U2057" t="inlineStr">
        <is>
          <t>1995-10-09</t>
        </is>
      </c>
      <c r="V2057" t="inlineStr">
        <is>
          <t>1995-10-09</t>
        </is>
      </c>
      <c r="W2057" t="inlineStr">
        <is>
          <t>1993-01-28</t>
        </is>
      </c>
      <c r="X2057" t="inlineStr">
        <is>
          <t>1993-01-28</t>
        </is>
      </c>
      <c r="Y2057" t="n">
        <v>254</v>
      </c>
      <c r="Z2057" t="n">
        <v>231</v>
      </c>
      <c r="AA2057" t="n">
        <v>253</v>
      </c>
      <c r="AB2057" t="n">
        <v>4</v>
      </c>
      <c r="AC2057" t="n">
        <v>4</v>
      </c>
      <c r="AD2057" t="n">
        <v>6</v>
      </c>
      <c r="AE2057" t="n">
        <v>6</v>
      </c>
      <c r="AF2057" t="n">
        <v>2</v>
      </c>
      <c r="AG2057" t="n">
        <v>2</v>
      </c>
      <c r="AH2057" t="n">
        <v>1</v>
      </c>
      <c r="AI2057" t="n">
        <v>1</v>
      </c>
      <c r="AJ2057" t="n">
        <v>2</v>
      </c>
      <c r="AK2057" t="n">
        <v>2</v>
      </c>
      <c r="AL2057" t="n">
        <v>0</v>
      </c>
      <c r="AM2057" t="n">
        <v>0</v>
      </c>
      <c r="AN2057" t="n">
        <v>1</v>
      </c>
      <c r="AO2057" t="n">
        <v>1</v>
      </c>
      <c r="AP2057" t="inlineStr">
        <is>
          <t>No</t>
        </is>
      </c>
      <c r="AQ2057" t="inlineStr">
        <is>
          <t>No</t>
        </is>
      </c>
      <c r="AS2057">
        <f>HYPERLINK("https://creighton-primo.hosted.exlibrisgroup.com/primo-explore/search?tab=default_tab&amp;search_scope=EVERYTHING&amp;vid=01CRU&amp;lang=en_US&amp;offset=0&amp;query=any,contains,991002041569702656","Catalog Record")</f>
        <v/>
      </c>
      <c r="AT2057">
        <f>HYPERLINK("http://www.worldcat.org/oclc/26054310","WorldCat Record")</f>
        <v/>
      </c>
      <c r="AU2057" t="inlineStr">
        <is>
          <t>836910537:eng</t>
        </is>
      </c>
      <c r="AV2057" t="inlineStr">
        <is>
          <t>26054310</t>
        </is>
      </c>
      <c r="AW2057" t="inlineStr">
        <is>
          <t>991002041569702656</t>
        </is>
      </c>
      <c r="AX2057" t="inlineStr">
        <is>
          <t>991002041569702656</t>
        </is>
      </c>
      <c r="AY2057" t="inlineStr">
        <is>
          <t>2258514290002656</t>
        </is>
      </c>
      <c r="AZ2057" t="inlineStr">
        <is>
          <t>BOOK</t>
        </is>
      </c>
      <c r="BB2057" t="inlineStr">
        <is>
          <t>9780679744177</t>
        </is>
      </c>
      <c r="BC2057" t="inlineStr">
        <is>
          <t>32285001448629</t>
        </is>
      </c>
      <c r="BD2057" t="inlineStr">
        <is>
          <t>893898312</t>
        </is>
      </c>
    </row>
    <row r="2058">
      <c r="A2058" t="inlineStr">
        <is>
          <t>No</t>
        </is>
      </c>
      <c r="B2058" t="inlineStr">
        <is>
          <t>E840.8.P427 P68 1996</t>
        </is>
      </c>
      <c r="C2058" t="inlineStr">
        <is>
          <t>0                      E  0840800P  427                P  68          1996</t>
        </is>
      </c>
      <c r="D2058" t="inlineStr">
        <is>
          <t>Citizen Perot : his life and times / Gerald Posner.</t>
        </is>
      </c>
      <c r="F2058" t="inlineStr">
        <is>
          <t>No</t>
        </is>
      </c>
      <c r="G2058" t="inlineStr">
        <is>
          <t>1</t>
        </is>
      </c>
      <c r="H2058" t="inlineStr">
        <is>
          <t>No</t>
        </is>
      </c>
      <c r="I2058" t="inlineStr">
        <is>
          <t>No</t>
        </is>
      </c>
      <c r="J2058" t="inlineStr">
        <is>
          <t>0</t>
        </is>
      </c>
      <c r="K2058" t="inlineStr">
        <is>
          <t>Posner, Gerald L.</t>
        </is>
      </c>
      <c r="L2058" t="inlineStr">
        <is>
          <t>New York : Random House, c1996.</t>
        </is>
      </c>
      <c r="M2058" t="inlineStr">
        <is>
          <t>1996</t>
        </is>
      </c>
      <c r="N2058" t="inlineStr">
        <is>
          <t>1st ed.</t>
        </is>
      </c>
      <c r="O2058" t="inlineStr">
        <is>
          <t>eng</t>
        </is>
      </c>
      <c r="P2058" t="inlineStr">
        <is>
          <t>nyu</t>
        </is>
      </c>
      <c r="R2058" t="inlineStr">
        <is>
          <t xml:space="preserve">E  </t>
        </is>
      </c>
      <c r="S2058" t="n">
        <v>2</v>
      </c>
      <c r="T2058" t="n">
        <v>2</v>
      </c>
      <c r="U2058" t="inlineStr">
        <is>
          <t>1999-04-20</t>
        </is>
      </c>
      <c r="V2058" t="inlineStr">
        <is>
          <t>1999-04-20</t>
        </is>
      </c>
      <c r="W2058" t="inlineStr">
        <is>
          <t>1996-09-12</t>
        </is>
      </c>
      <c r="X2058" t="inlineStr">
        <is>
          <t>1996-09-12</t>
        </is>
      </c>
      <c r="Y2058" t="n">
        <v>846</v>
      </c>
      <c r="Z2058" t="n">
        <v>821</v>
      </c>
      <c r="AA2058" t="n">
        <v>828</v>
      </c>
      <c r="AB2058" t="n">
        <v>7</v>
      </c>
      <c r="AC2058" t="n">
        <v>7</v>
      </c>
      <c r="AD2058" t="n">
        <v>22</v>
      </c>
      <c r="AE2058" t="n">
        <v>22</v>
      </c>
      <c r="AF2058" t="n">
        <v>7</v>
      </c>
      <c r="AG2058" t="n">
        <v>7</v>
      </c>
      <c r="AH2058" t="n">
        <v>6</v>
      </c>
      <c r="AI2058" t="n">
        <v>6</v>
      </c>
      <c r="AJ2058" t="n">
        <v>10</v>
      </c>
      <c r="AK2058" t="n">
        <v>10</v>
      </c>
      <c r="AL2058" t="n">
        <v>4</v>
      </c>
      <c r="AM2058" t="n">
        <v>4</v>
      </c>
      <c r="AN2058" t="n">
        <v>0</v>
      </c>
      <c r="AO2058" t="n">
        <v>0</v>
      </c>
      <c r="AP2058" t="inlineStr">
        <is>
          <t>No</t>
        </is>
      </c>
      <c r="AQ2058" t="inlineStr">
        <is>
          <t>Yes</t>
        </is>
      </c>
      <c r="AR2058">
        <f>HYPERLINK("http://catalog.hathitrust.org/Record/003094869","HathiTrust Record")</f>
        <v/>
      </c>
      <c r="AS2058">
        <f>HYPERLINK("https://creighton-primo.hosted.exlibrisgroup.com/primo-explore/search?tab=default_tab&amp;search_scope=EVERYTHING&amp;vid=01CRU&amp;lang=en_US&amp;offset=0&amp;query=any,contains,991002693849702656","Catalog Record")</f>
        <v/>
      </c>
      <c r="AT2058">
        <f>HYPERLINK("http://www.worldcat.org/oclc/35177515","WorldCat Record")</f>
        <v/>
      </c>
      <c r="AU2058" t="inlineStr">
        <is>
          <t>600580:eng</t>
        </is>
      </c>
      <c r="AV2058" t="inlineStr">
        <is>
          <t>35177515</t>
        </is>
      </c>
      <c r="AW2058" t="inlineStr">
        <is>
          <t>991002693849702656</t>
        </is>
      </c>
      <c r="AX2058" t="inlineStr">
        <is>
          <t>991002693849702656</t>
        </is>
      </c>
      <c r="AY2058" t="inlineStr">
        <is>
          <t>2255141740002656</t>
        </is>
      </c>
      <c r="AZ2058" t="inlineStr">
        <is>
          <t>BOOK</t>
        </is>
      </c>
      <c r="BB2058" t="inlineStr">
        <is>
          <t>9780679447313</t>
        </is>
      </c>
      <c r="BC2058" t="inlineStr">
        <is>
          <t>32285002317476</t>
        </is>
      </c>
      <c r="BD2058" t="inlineStr">
        <is>
          <t>893698120</t>
        </is>
      </c>
    </row>
    <row r="2059">
      <c r="A2059" t="inlineStr">
        <is>
          <t>No</t>
        </is>
      </c>
      <c r="B2059" t="inlineStr">
        <is>
          <t>E840.8.Q28 A3 1994</t>
        </is>
      </c>
      <c r="C2059" t="inlineStr">
        <is>
          <t>0                      E  0840800Q  28                 A  3           1994</t>
        </is>
      </c>
      <c r="D2059" t="inlineStr">
        <is>
          <t>Standing firm : a vice-presidential memoir / Dan Quayle.</t>
        </is>
      </c>
      <c r="F2059" t="inlineStr">
        <is>
          <t>No</t>
        </is>
      </c>
      <c r="G2059" t="inlineStr">
        <is>
          <t>1</t>
        </is>
      </c>
      <c r="H2059" t="inlineStr">
        <is>
          <t>No</t>
        </is>
      </c>
      <c r="I2059" t="inlineStr">
        <is>
          <t>No</t>
        </is>
      </c>
      <c r="J2059" t="inlineStr">
        <is>
          <t>0</t>
        </is>
      </c>
      <c r="K2059" t="inlineStr">
        <is>
          <t>Quayle, Dan, 1947-</t>
        </is>
      </c>
      <c r="L2059" t="inlineStr">
        <is>
          <t>New York : HarperCollins Publishers, c1994.</t>
        </is>
      </c>
      <c r="M2059" t="inlineStr">
        <is>
          <t>1994</t>
        </is>
      </c>
      <c r="N2059" t="inlineStr">
        <is>
          <t>1st ed.</t>
        </is>
      </c>
      <c r="O2059" t="inlineStr">
        <is>
          <t>eng</t>
        </is>
      </c>
      <c r="P2059" t="inlineStr">
        <is>
          <t>nyu</t>
        </is>
      </c>
      <c r="R2059" t="inlineStr">
        <is>
          <t xml:space="preserve">E  </t>
        </is>
      </c>
      <c r="S2059" t="n">
        <v>11</v>
      </c>
      <c r="T2059" t="n">
        <v>11</v>
      </c>
      <c r="U2059" t="inlineStr">
        <is>
          <t>1998-03-16</t>
        </is>
      </c>
      <c r="V2059" t="inlineStr">
        <is>
          <t>1998-03-16</t>
        </is>
      </c>
      <c r="W2059" t="inlineStr">
        <is>
          <t>1994-07-25</t>
        </is>
      </c>
      <c r="X2059" t="inlineStr">
        <is>
          <t>1994-07-25</t>
        </is>
      </c>
      <c r="Y2059" t="n">
        <v>1900</v>
      </c>
      <c r="Z2059" t="n">
        <v>1834</v>
      </c>
      <c r="AA2059" t="n">
        <v>1870</v>
      </c>
      <c r="AB2059" t="n">
        <v>19</v>
      </c>
      <c r="AC2059" t="n">
        <v>21</v>
      </c>
      <c r="AD2059" t="n">
        <v>46</v>
      </c>
      <c r="AE2059" t="n">
        <v>47</v>
      </c>
      <c r="AF2059" t="n">
        <v>20</v>
      </c>
      <c r="AG2059" t="n">
        <v>20</v>
      </c>
      <c r="AH2059" t="n">
        <v>9</v>
      </c>
      <c r="AI2059" t="n">
        <v>9</v>
      </c>
      <c r="AJ2059" t="n">
        <v>18</v>
      </c>
      <c r="AK2059" t="n">
        <v>18</v>
      </c>
      <c r="AL2059" t="n">
        <v>8</v>
      </c>
      <c r="AM2059" t="n">
        <v>9</v>
      </c>
      <c r="AN2059" t="n">
        <v>1</v>
      </c>
      <c r="AO2059" t="n">
        <v>1</v>
      </c>
      <c r="AP2059" t="inlineStr">
        <is>
          <t>No</t>
        </is>
      </c>
      <c r="AQ2059" t="inlineStr">
        <is>
          <t>Yes</t>
        </is>
      </c>
      <c r="AR2059">
        <f>HYPERLINK("http://catalog.hathitrust.org/Record/002871609","HathiTrust Record")</f>
        <v/>
      </c>
      <c r="AS2059">
        <f>HYPERLINK("https://creighton-primo.hosted.exlibrisgroup.com/primo-explore/search?tab=default_tab&amp;search_scope=EVERYTHING&amp;vid=01CRU&amp;lang=en_US&amp;offset=0&amp;query=any,contains,991002302679702656","Catalog Record")</f>
        <v/>
      </c>
      <c r="AT2059">
        <f>HYPERLINK("http://www.worldcat.org/oclc/29877014","WorldCat Record")</f>
        <v/>
      </c>
      <c r="AU2059" t="inlineStr">
        <is>
          <t>32123772:eng</t>
        </is>
      </c>
      <c r="AV2059" t="inlineStr">
        <is>
          <t>29877014</t>
        </is>
      </c>
      <c r="AW2059" t="inlineStr">
        <is>
          <t>991002302679702656</t>
        </is>
      </c>
      <c r="AX2059" t="inlineStr">
        <is>
          <t>991002302679702656</t>
        </is>
      </c>
      <c r="AY2059" t="inlineStr">
        <is>
          <t>2257875380002656</t>
        </is>
      </c>
      <c r="AZ2059" t="inlineStr">
        <is>
          <t>BOOK</t>
        </is>
      </c>
      <c r="BB2059" t="inlineStr">
        <is>
          <t>9780060177584</t>
        </is>
      </c>
      <c r="BC2059" t="inlineStr">
        <is>
          <t>32285001933497</t>
        </is>
      </c>
      <c r="BD2059" t="inlineStr">
        <is>
          <t>893691470</t>
        </is>
      </c>
    </row>
    <row r="2060">
      <c r="A2060" t="inlineStr">
        <is>
          <t>No</t>
        </is>
      </c>
      <c r="B2060" t="inlineStr">
        <is>
          <t>E840.8.Q28 B76 1992</t>
        </is>
      </c>
      <c r="C2060" t="inlineStr">
        <is>
          <t>0                      E  0840800Q  28                 B  76          1992</t>
        </is>
      </c>
      <c r="D2060" t="inlineStr">
        <is>
          <t>The man who would be president : Dan Quayle / by David S. Broder, Bob Woodward.</t>
        </is>
      </c>
      <c r="F2060" t="inlineStr">
        <is>
          <t>No</t>
        </is>
      </c>
      <c r="G2060" t="inlineStr">
        <is>
          <t>1</t>
        </is>
      </c>
      <c r="H2060" t="inlineStr">
        <is>
          <t>No</t>
        </is>
      </c>
      <c r="I2060" t="inlineStr">
        <is>
          <t>No</t>
        </is>
      </c>
      <c r="J2060" t="inlineStr">
        <is>
          <t>0</t>
        </is>
      </c>
      <c r="K2060" t="inlineStr">
        <is>
          <t>Broder, David S.</t>
        </is>
      </c>
      <c r="L2060" t="inlineStr">
        <is>
          <t>New York : Simon &amp; Schuster, c1992.</t>
        </is>
      </c>
      <c r="M2060" t="inlineStr">
        <is>
          <t>1992</t>
        </is>
      </c>
      <c r="O2060" t="inlineStr">
        <is>
          <t>eng</t>
        </is>
      </c>
      <c r="P2060" t="inlineStr">
        <is>
          <t>nyu</t>
        </is>
      </c>
      <c r="R2060" t="inlineStr">
        <is>
          <t xml:space="preserve">E  </t>
        </is>
      </c>
      <c r="S2060" t="n">
        <v>9</v>
      </c>
      <c r="T2060" t="n">
        <v>9</v>
      </c>
      <c r="U2060" t="inlineStr">
        <is>
          <t>1998-03-16</t>
        </is>
      </c>
      <c r="V2060" t="inlineStr">
        <is>
          <t>1998-03-16</t>
        </is>
      </c>
      <c r="W2060" t="inlineStr">
        <is>
          <t>1992-10-07</t>
        </is>
      </c>
      <c r="X2060" t="inlineStr">
        <is>
          <t>1992-10-07</t>
        </is>
      </c>
      <c r="Y2060" t="n">
        <v>865</v>
      </c>
      <c r="Z2060" t="n">
        <v>836</v>
      </c>
      <c r="AA2060" t="n">
        <v>845</v>
      </c>
      <c r="AB2060" t="n">
        <v>2</v>
      </c>
      <c r="AC2060" t="n">
        <v>2</v>
      </c>
      <c r="AD2060" t="n">
        <v>17</v>
      </c>
      <c r="AE2060" t="n">
        <v>17</v>
      </c>
      <c r="AF2060" t="n">
        <v>11</v>
      </c>
      <c r="AG2060" t="n">
        <v>11</v>
      </c>
      <c r="AH2060" t="n">
        <v>3</v>
      </c>
      <c r="AI2060" t="n">
        <v>3</v>
      </c>
      <c r="AJ2060" t="n">
        <v>8</v>
      </c>
      <c r="AK2060" t="n">
        <v>8</v>
      </c>
      <c r="AL2060" t="n">
        <v>0</v>
      </c>
      <c r="AM2060" t="n">
        <v>0</v>
      </c>
      <c r="AN2060" t="n">
        <v>1</v>
      </c>
      <c r="AO2060" t="n">
        <v>1</v>
      </c>
      <c r="AP2060" t="inlineStr">
        <is>
          <t>No</t>
        </is>
      </c>
      <c r="AQ2060" t="inlineStr">
        <is>
          <t>Yes</t>
        </is>
      </c>
      <c r="AR2060">
        <f>HYPERLINK("http://catalog.hathitrust.org/Record/002553291","HathiTrust Record")</f>
        <v/>
      </c>
      <c r="AS2060">
        <f>HYPERLINK("https://creighton-primo.hosted.exlibrisgroup.com/primo-explore/search?tab=default_tab&amp;search_scope=EVERYTHING&amp;vid=01CRU&amp;lang=en_US&amp;offset=0&amp;query=any,contains,991001998509702656","Catalog Record")</f>
        <v/>
      </c>
      <c r="AT2060">
        <f>HYPERLINK("http://www.worldcat.org/oclc/25409424","WorldCat Record")</f>
        <v/>
      </c>
      <c r="AU2060" t="inlineStr">
        <is>
          <t>27817100:eng</t>
        </is>
      </c>
      <c r="AV2060" t="inlineStr">
        <is>
          <t>25409424</t>
        </is>
      </c>
      <c r="AW2060" t="inlineStr">
        <is>
          <t>991001998509702656</t>
        </is>
      </c>
      <c r="AX2060" t="inlineStr">
        <is>
          <t>991001998509702656</t>
        </is>
      </c>
      <c r="AY2060" t="inlineStr">
        <is>
          <t>2266731020002656</t>
        </is>
      </c>
      <c r="AZ2060" t="inlineStr">
        <is>
          <t>BOOK</t>
        </is>
      </c>
      <c r="BB2060" t="inlineStr">
        <is>
          <t>9780671791834</t>
        </is>
      </c>
      <c r="BC2060" t="inlineStr">
        <is>
          <t>32285001315414</t>
        </is>
      </c>
      <c r="BD2060" t="inlineStr">
        <is>
          <t>893879391</t>
        </is>
      </c>
    </row>
    <row r="2061">
      <c r="A2061" t="inlineStr">
        <is>
          <t>No</t>
        </is>
      </c>
      <c r="B2061" t="inlineStr">
        <is>
          <t>E840.8.Q28 F46 1989</t>
        </is>
      </c>
      <c r="C2061" t="inlineStr">
        <is>
          <t>0                      E  0840800Q  28                 F  46          1989</t>
        </is>
      </c>
      <c r="D2061" t="inlineStr">
        <is>
          <t>The making of a senator : Dan Quayle / Richard F. Fenno, Jr.</t>
        </is>
      </c>
      <c r="F2061" t="inlineStr">
        <is>
          <t>No</t>
        </is>
      </c>
      <c r="G2061" t="inlineStr">
        <is>
          <t>1</t>
        </is>
      </c>
      <c r="H2061" t="inlineStr">
        <is>
          <t>No</t>
        </is>
      </c>
      <c r="I2061" t="inlineStr">
        <is>
          <t>No</t>
        </is>
      </c>
      <c r="J2061" t="inlineStr">
        <is>
          <t>0</t>
        </is>
      </c>
      <c r="K2061" t="inlineStr">
        <is>
          <t>Fenno, Richard F., 1926-2020.</t>
        </is>
      </c>
      <c r="L2061" t="inlineStr">
        <is>
          <t>Washington, D.C. : CQ Press, c1989.</t>
        </is>
      </c>
      <c r="M2061" t="inlineStr">
        <is>
          <t>1989</t>
        </is>
      </c>
      <c r="O2061" t="inlineStr">
        <is>
          <t>eng</t>
        </is>
      </c>
      <c r="P2061" t="inlineStr">
        <is>
          <t>dcu</t>
        </is>
      </c>
      <c r="R2061" t="inlineStr">
        <is>
          <t xml:space="preserve">E  </t>
        </is>
      </c>
      <c r="S2061" t="n">
        <v>4</v>
      </c>
      <c r="T2061" t="n">
        <v>4</v>
      </c>
      <c r="U2061" t="inlineStr">
        <is>
          <t>1996-04-11</t>
        </is>
      </c>
      <c r="V2061" t="inlineStr">
        <is>
          <t>1996-04-11</t>
        </is>
      </c>
      <c r="W2061" t="inlineStr">
        <is>
          <t>1991-06-21</t>
        </is>
      </c>
      <c r="X2061" t="inlineStr">
        <is>
          <t>1991-06-21</t>
        </is>
      </c>
      <c r="Y2061" t="n">
        <v>1080</v>
      </c>
      <c r="Z2061" t="n">
        <v>1029</v>
      </c>
      <c r="AA2061" t="n">
        <v>1045</v>
      </c>
      <c r="AB2061" t="n">
        <v>6</v>
      </c>
      <c r="AC2061" t="n">
        <v>6</v>
      </c>
      <c r="AD2061" t="n">
        <v>38</v>
      </c>
      <c r="AE2061" t="n">
        <v>39</v>
      </c>
      <c r="AF2061" t="n">
        <v>13</v>
      </c>
      <c r="AG2061" t="n">
        <v>14</v>
      </c>
      <c r="AH2061" t="n">
        <v>9</v>
      </c>
      <c r="AI2061" t="n">
        <v>9</v>
      </c>
      <c r="AJ2061" t="n">
        <v>16</v>
      </c>
      <c r="AK2061" t="n">
        <v>16</v>
      </c>
      <c r="AL2061" t="n">
        <v>4</v>
      </c>
      <c r="AM2061" t="n">
        <v>4</v>
      </c>
      <c r="AN2061" t="n">
        <v>5</v>
      </c>
      <c r="AO2061" t="n">
        <v>5</v>
      </c>
      <c r="AP2061" t="inlineStr">
        <is>
          <t>No</t>
        </is>
      </c>
      <c r="AQ2061" t="inlineStr">
        <is>
          <t>Yes</t>
        </is>
      </c>
      <c r="AR2061">
        <f>HYPERLINK("http://catalog.hathitrust.org/Record/001097251","HathiTrust Record")</f>
        <v/>
      </c>
      <c r="AS2061">
        <f>HYPERLINK("https://creighton-primo.hosted.exlibrisgroup.com/primo-explore/search?tab=default_tab&amp;search_scope=EVERYTHING&amp;vid=01CRU&amp;lang=en_US&amp;offset=0&amp;query=any,contains,991001389629702656","Catalog Record")</f>
        <v/>
      </c>
      <c r="AT2061">
        <f>HYPERLINK("http://www.worldcat.org/oclc/18745725","WorldCat Record")</f>
        <v/>
      </c>
      <c r="AU2061" t="inlineStr">
        <is>
          <t>19178964:eng</t>
        </is>
      </c>
      <c r="AV2061" t="inlineStr">
        <is>
          <t>18745725</t>
        </is>
      </c>
      <c r="AW2061" t="inlineStr">
        <is>
          <t>991001389629702656</t>
        </is>
      </c>
      <c r="AX2061" t="inlineStr">
        <is>
          <t>991001389629702656</t>
        </is>
      </c>
      <c r="AY2061" t="inlineStr">
        <is>
          <t>2256109310002656</t>
        </is>
      </c>
      <c r="AZ2061" t="inlineStr">
        <is>
          <t>BOOK</t>
        </is>
      </c>
      <c r="BB2061" t="inlineStr">
        <is>
          <t>9780871875068</t>
        </is>
      </c>
      <c r="BC2061" t="inlineStr">
        <is>
          <t>32285000670694</t>
        </is>
      </c>
      <c r="BD2061" t="inlineStr">
        <is>
          <t>893321890</t>
        </is>
      </c>
    </row>
    <row r="2062">
      <c r="A2062" t="inlineStr">
        <is>
          <t>No</t>
        </is>
      </c>
      <c r="B2062" t="inlineStr">
        <is>
          <t>E840.8.R445 A3 1997</t>
        </is>
      </c>
      <c r="C2062" t="inlineStr">
        <is>
          <t>0                      E  0840800R  445                A  3           1997</t>
        </is>
      </c>
      <c r="D2062" t="inlineStr">
        <is>
          <t>Locked in the cabinet / Robert B. Reich.</t>
        </is>
      </c>
      <c r="F2062" t="inlineStr">
        <is>
          <t>No</t>
        </is>
      </c>
      <c r="G2062" t="inlineStr">
        <is>
          <t>1</t>
        </is>
      </c>
      <c r="H2062" t="inlineStr">
        <is>
          <t>No</t>
        </is>
      </c>
      <c r="I2062" t="inlineStr">
        <is>
          <t>No</t>
        </is>
      </c>
      <c r="J2062" t="inlineStr">
        <is>
          <t>0</t>
        </is>
      </c>
      <c r="K2062" t="inlineStr">
        <is>
          <t>Reich, Robert B.</t>
        </is>
      </c>
      <c r="L2062" t="inlineStr">
        <is>
          <t>New York : Knopf, 1997.</t>
        </is>
      </c>
      <c r="M2062" t="inlineStr">
        <is>
          <t>1997</t>
        </is>
      </c>
      <c r="O2062" t="inlineStr">
        <is>
          <t>eng</t>
        </is>
      </c>
      <c r="P2062" t="inlineStr">
        <is>
          <t>nyu</t>
        </is>
      </c>
      <c r="R2062" t="inlineStr">
        <is>
          <t xml:space="preserve">E  </t>
        </is>
      </c>
      <c r="S2062" t="n">
        <v>2</v>
      </c>
      <c r="T2062" t="n">
        <v>2</v>
      </c>
      <c r="U2062" t="inlineStr">
        <is>
          <t>2001-08-28</t>
        </is>
      </c>
      <c r="V2062" t="inlineStr">
        <is>
          <t>2001-08-28</t>
        </is>
      </c>
      <c r="W2062" t="inlineStr">
        <is>
          <t>1997-06-23</t>
        </is>
      </c>
      <c r="X2062" t="inlineStr">
        <is>
          <t>1997-06-23</t>
        </is>
      </c>
      <c r="Y2062" t="n">
        <v>1353</v>
      </c>
      <c r="Z2062" t="n">
        <v>1285</v>
      </c>
      <c r="AA2062" t="n">
        <v>1483</v>
      </c>
      <c r="AB2062" t="n">
        <v>10</v>
      </c>
      <c r="AC2062" t="n">
        <v>10</v>
      </c>
      <c r="AD2062" t="n">
        <v>39</v>
      </c>
      <c r="AE2062" t="n">
        <v>44</v>
      </c>
      <c r="AF2062" t="n">
        <v>14</v>
      </c>
      <c r="AG2062" t="n">
        <v>17</v>
      </c>
      <c r="AH2062" t="n">
        <v>7</v>
      </c>
      <c r="AI2062" t="n">
        <v>8</v>
      </c>
      <c r="AJ2062" t="n">
        <v>16</v>
      </c>
      <c r="AK2062" t="n">
        <v>20</v>
      </c>
      <c r="AL2062" t="n">
        <v>6</v>
      </c>
      <c r="AM2062" t="n">
        <v>6</v>
      </c>
      <c r="AN2062" t="n">
        <v>3</v>
      </c>
      <c r="AO2062" t="n">
        <v>3</v>
      </c>
      <c r="AP2062" t="inlineStr">
        <is>
          <t>No</t>
        </is>
      </c>
      <c r="AQ2062" t="inlineStr">
        <is>
          <t>Yes</t>
        </is>
      </c>
      <c r="AR2062">
        <f>HYPERLINK("http://catalog.hathitrust.org/Record/003168756","HathiTrust Record")</f>
        <v/>
      </c>
      <c r="AS2062">
        <f>HYPERLINK("https://creighton-primo.hosted.exlibrisgroup.com/primo-explore/search?tab=default_tab&amp;search_scope=EVERYTHING&amp;vid=01CRU&amp;lang=en_US&amp;offset=0&amp;query=any,contains,991002795519702656","Catalog Record")</f>
        <v/>
      </c>
      <c r="AT2062">
        <f>HYPERLINK("http://www.worldcat.org/oclc/36716980","WorldCat Record")</f>
        <v/>
      </c>
      <c r="AU2062" t="inlineStr">
        <is>
          <t>533226:eng</t>
        </is>
      </c>
      <c r="AV2062" t="inlineStr">
        <is>
          <t>36716980</t>
        </is>
      </c>
      <c r="AW2062" t="inlineStr">
        <is>
          <t>991002795519702656</t>
        </is>
      </c>
      <c r="AX2062" t="inlineStr">
        <is>
          <t>991002795519702656</t>
        </is>
      </c>
      <c r="AY2062" t="inlineStr">
        <is>
          <t>2259981450002656</t>
        </is>
      </c>
      <c r="AZ2062" t="inlineStr">
        <is>
          <t>BOOK</t>
        </is>
      </c>
      <c r="BB2062" t="inlineStr">
        <is>
          <t>9780375400643</t>
        </is>
      </c>
      <c r="BC2062" t="inlineStr">
        <is>
          <t>32285002752938</t>
        </is>
      </c>
      <c r="BD2062" t="inlineStr">
        <is>
          <t>893716921</t>
        </is>
      </c>
    </row>
    <row r="2063">
      <c r="A2063" t="inlineStr">
        <is>
          <t>No</t>
        </is>
      </c>
      <c r="B2063" t="inlineStr">
        <is>
          <t>E840.8.S535 A3 1993</t>
        </is>
      </c>
      <c r="C2063" t="inlineStr">
        <is>
          <t>0                      E  0840800S  535                A  3           1993</t>
        </is>
      </c>
      <c r="D2063" t="inlineStr">
        <is>
          <t>Turmoil and triumph : my years as secretary of state / George P. Shultz.</t>
        </is>
      </c>
      <c r="F2063" t="inlineStr">
        <is>
          <t>No</t>
        </is>
      </c>
      <c r="G2063" t="inlineStr">
        <is>
          <t>1</t>
        </is>
      </c>
      <c r="H2063" t="inlineStr">
        <is>
          <t>No</t>
        </is>
      </c>
      <c r="I2063" t="inlineStr">
        <is>
          <t>No</t>
        </is>
      </c>
      <c r="J2063" t="inlineStr">
        <is>
          <t>0</t>
        </is>
      </c>
      <c r="K2063" t="inlineStr">
        <is>
          <t>Shultz, George Pratt, 1920-</t>
        </is>
      </c>
      <c r="L2063" t="inlineStr">
        <is>
          <t>New York : Scribner's ; Toronto : Maxwell Macmillan Canada ; New York : Maxwell Macmillan International, c1993.</t>
        </is>
      </c>
      <c r="M2063" t="inlineStr">
        <is>
          <t>1993</t>
        </is>
      </c>
      <c r="O2063" t="inlineStr">
        <is>
          <t>eng</t>
        </is>
      </c>
      <c r="P2063" t="inlineStr">
        <is>
          <t>nyu</t>
        </is>
      </c>
      <c r="R2063" t="inlineStr">
        <is>
          <t xml:space="preserve">E  </t>
        </is>
      </c>
      <c r="S2063" t="n">
        <v>4</v>
      </c>
      <c r="T2063" t="n">
        <v>4</v>
      </c>
      <c r="U2063" t="inlineStr">
        <is>
          <t>1999-12-13</t>
        </is>
      </c>
      <c r="V2063" t="inlineStr">
        <is>
          <t>1999-12-13</t>
        </is>
      </c>
      <c r="W2063" t="inlineStr">
        <is>
          <t>1994-08-08</t>
        </is>
      </c>
      <c r="X2063" t="inlineStr">
        <is>
          <t>1994-08-08</t>
        </is>
      </c>
      <c r="Y2063" t="n">
        <v>1707</v>
      </c>
      <c r="Z2063" t="n">
        <v>1520</v>
      </c>
      <c r="AA2063" t="n">
        <v>1536</v>
      </c>
      <c r="AB2063" t="n">
        <v>9</v>
      </c>
      <c r="AC2063" t="n">
        <v>9</v>
      </c>
      <c r="AD2063" t="n">
        <v>47</v>
      </c>
      <c r="AE2063" t="n">
        <v>48</v>
      </c>
      <c r="AF2063" t="n">
        <v>19</v>
      </c>
      <c r="AG2063" t="n">
        <v>20</v>
      </c>
      <c r="AH2063" t="n">
        <v>11</v>
      </c>
      <c r="AI2063" t="n">
        <v>11</v>
      </c>
      <c r="AJ2063" t="n">
        <v>18</v>
      </c>
      <c r="AK2063" t="n">
        <v>19</v>
      </c>
      <c r="AL2063" t="n">
        <v>6</v>
      </c>
      <c r="AM2063" t="n">
        <v>6</v>
      </c>
      <c r="AN2063" t="n">
        <v>3</v>
      </c>
      <c r="AO2063" t="n">
        <v>3</v>
      </c>
      <c r="AP2063" t="inlineStr">
        <is>
          <t>No</t>
        </is>
      </c>
      <c r="AQ2063" t="inlineStr">
        <is>
          <t>Yes</t>
        </is>
      </c>
      <c r="AR2063">
        <f>HYPERLINK("http://catalog.hathitrust.org/Record/002716259","HathiTrust Record")</f>
        <v/>
      </c>
      <c r="AS2063">
        <f>HYPERLINK("https://creighton-primo.hosted.exlibrisgroup.com/primo-explore/search?tab=default_tab&amp;search_scope=EVERYTHING&amp;vid=01CRU&amp;lang=en_US&amp;offset=0&amp;query=any,contains,991002092989702656","Catalog Record")</f>
        <v/>
      </c>
      <c r="AT2063">
        <f>HYPERLINK("http://www.worldcat.org/oclc/26853023","WorldCat Record")</f>
        <v/>
      </c>
      <c r="AU2063" t="inlineStr">
        <is>
          <t>29204986:eng</t>
        </is>
      </c>
      <c r="AV2063" t="inlineStr">
        <is>
          <t>26853023</t>
        </is>
      </c>
      <c r="AW2063" t="inlineStr">
        <is>
          <t>991002092989702656</t>
        </is>
      </c>
      <c r="AX2063" t="inlineStr">
        <is>
          <t>991002092989702656</t>
        </is>
      </c>
      <c r="AY2063" t="inlineStr">
        <is>
          <t>2264569770002656</t>
        </is>
      </c>
      <c r="AZ2063" t="inlineStr">
        <is>
          <t>BOOK</t>
        </is>
      </c>
      <c r="BB2063" t="inlineStr">
        <is>
          <t>9780684193250</t>
        </is>
      </c>
      <c r="BC2063" t="inlineStr">
        <is>
          <t>32285001942084</t>
        </is>
      </c>
      <c r="BD2063" t="inlineStr">
        <is>
          <t>893721274</t>
        </is>
      </c>
    </row>
    <row r="2064">
      <c r="A2064" t="inlineStr">
        <is>
          <t>No</t>
        </is>
      </c>
      <c r="B2064" t="inlineStr">
        <is>
          <t>E840.8.W75 B37 1989</t>
        </is>
      </c>
      <c r="C2064" t="inlineStr">
        <is>
          <t>0                      E  0840800W  75                 B  37          1989</t>
        </is>
      </c>
      <c r="D2064" t="inlineStr">
        <is>
          <t>The ambition and the power / John M. Barry.</t>
        </is>
      </c>
      <c r="F2064" t="inlineStr">
        <is>
          <t>No</t>
        </is>
      </c>
      <c r="G2064" t="inlineStr">
        <is>
          <t>1</t>
        </is>
      </c>
      <c r="H2064" t="inlineStr">
        <is>
          <t>No</t>
        </is>
      </c>
      <c r="I2064" t="inlineStr">
        <is>
          <t>No</t>
        </is>
      </c>
      <c r="J2064" t="inlineStr">
        <is>
          <t>0</t>
        </is>
      </c>
      <c r="K2064" t="inlineStr">
        <is>
          <t>Barry, John M., 1947-</t>
        </is>
      </c>
      <c r="L2064" t="inlineStr">
        <is>
          <t>New York : Viking, 1989.</t>
        </is>
      </c>
      <c r="M2064" t="inlineStr">
        <is>
          <t>1989</t>
        </is>
      </c>
      <c r="O2064" t="inlineStr">
        <is>
          <t>eng</t>
        </is>
      </c>
      <c r="P2064" t="inlineStr">
        <is>
          <t>nyu</t>
        </is>
      </c>
      <c r="R2064" t="inlineStr">
        <is>
          <t xml:space="preserve">E  </t>
        </is>
      </c>
      <c r="S2064" t="n">
        <v>1</v>
      </c>
      <c r="T2064" t="n">
        <v>1</v>
      </c>
      <c r="U2064" t="inlineStr">
        <is>
          <t>1992-04-20</t>
        </is>
      </c>
      <c r="V2064" t="inlineStr">
        <is>
          <t>1992-04-20</t>
        </is>
      </c>
      <c r="W2064" t="inlineStr">
        <is>
          <t>1990-02-16</t>
        </is>
      </c>
      <c r="X2064" t="inlineStr">
        <is>
          <t>1990-02-16</t>
        </is>
      </c>
      <c r="Y2064" t="n">
        <v>884</v>
      </c>
      <c r="Z2064" t="n">
        <v>845</v>
      </c>
      <c r="AA2064" t="n">
        <v>916</v>
      </c>
      <c r="AB2064" t="n">
        <v>2</v>
      </c>
      <c r="AC2064" t="n">
        <v>2</v>
      </c>
      <c r="AD2064" t="n">
        <v>17</v>
      </c>
      <c r="AE2064" t="n">
        <v>18</v>
      </c>
      <c r="AF2064" t="n">
        <v>6</v>
      </c>
      <c r="AG2064" t="n">
        <v>6</v>
      </c>
      <c r="AH2064" t="n">
        <v>7</v>
      </c>
      <c r="AI2064" t="n">
        <v>7</v>
      </c>
      <c r="AJ2064" t="n">
        <v>8</v>
      </c>
      <c r="AK2064" t="n">
        <v>9</v>
      </c>
      <c r="AL2064" t="n">
        <v>1</v>
      </c>
      <c r="AM2064" t="n">
        <v>1</v>
      </c>
      <c r="AN2064" t="n">
        <v>0</v>
      </c>
      <c r="AO2064" t="n">
        <v>0</v>
      </c>
      <c r="AP2064" t="inlineStr">
        <is>
          <t>No</t>
        </is>
      </c>
      <c r="AQ2064" t="inlineStr">
        <is>
          <t>Yes</t>
        </is>
      </c>
      <c r="AR2064">
        <f>HYPERLINK("http://catalog.hathitrust.org/Record/001831090","HathiTrust Record")</f>
        <v/>
      </c>
      <c r="AS2064">
        <f>HYPERLINK("https://creighton-primo.hosted.exlibrisgroup.com/primo-explore/search?tab=default_tab&amp;search_scope=EVERYTHING&amp;vid=01CRU&amp;lang=en_US&amp;offset=0&amp;query=any,contains,991001508319702656","Catalog Record")</f>
        <v/>
      </c>
      <c r="AT2064">
        <f>HYPERLINK("http://www.worldcat.org/oclc/19850045","WorldCat Record")</f>
        <v/>
      </c>
      <c r="AU2064" t="inlineStr">
        <is>
          <t>21082237:eng</t>
        </is>
      </c>
      <c r="AV2064" t="inlineStr">
        <is>
          <t>19850045</t>
        </is>
      </c>
      <c r="AW2064" t="inlineStr">
        <is>
          <t>991001508319702656</t>
        </is>
      </c>
      <c r="AX2064" t="inlineStr">
        <is>
          <t>991001508319702656</t>
        </is>
      </c>
      <c r="AY2064" t="inlineStr">
        <is>
          <t>2269786610002656</t>
        </is>
      </c>
      <c r="AZ2064" t="inlineStr">
        <is>
          <t>BOOK</t>
        </is>
      </c>
      <c r="BB2064" t="inlineStr">
        <is>
          <t>9780670819249</t>
        </is>
      </c>
      <c r="BC2064" t="inlineStr">
        <is>
          <t>32285000037852</t>
        </is>
      </c>
      <c r="BD2064" t="inlineStr">
        <is>
          <t>893432895</t>
        </is>
      </c>
    </row>
    <row r="2065">
      <c r="A2065" t="inlineStr">
        <is>
          <t>No</t>
        </is>
      </c>
      <c r="B2065" t="inlineStr">
        <is>
          <t>E840.8.Y64 A3 1996</t>
        </is>
      </c>
      <c r="C2065" t="inlineStr">
        <is>
          <t>0                      E  0840800Y  64                 A  3           1996</t>
        </is>
      </c>
      <c r="D2065" t="inlineStr">
        <is>
          <t>An easy burden : the civil rights movement and the transformation of America / Andrew Young.</t>
        </is>
      </c>
      <c r="F2065" t="inlineStr">
        <is>
          <t>No</t>
        </is>
      </c>
      <c r="G2065" t="inlineStr">
        <is>
          <t>1</t>
        </is>
      </c>
      <c r="H2065" t="inlineStr">
        <is>
          <t>No</t>
        </is>
      </c>
      <c r="I2065" t="inlineStr">
        <is>
          <t>No</t>
        </is>
      </c>
      <c r="J2065" t="inlineStr">
        <is>
          <t>0</t>
        </is>
      </c>
      <c r="K2065" t="inlineStr">
        <is>
          <t>Young, Andrew, 1932-</t>
        </is>
      </c>
      <c r="L2065" t="inlineStr">
        <is>
          <t>New York : HarperCollins Publishers, c1996.</t>
        </is>
      </c>
      <c r="M2065" t="inlineStr">
        <is>
          <t>1996</t>
        </is>
      </c>
      <c r="N2065" t="inlineStr">
        <is>
          <t>1st ed.</t>
        </is>
      </c>
      <c r="O2065" t="inlineStr">
        <is>
          <t>eng</t>
        </is>
      </c>
      <c r="P2065" t="inlineStr">
        <is>
          <t>nyu</t>
        </is>
      </c>
      <c r="R2065" t="inlineStr">
        <is>
          <t xml:space="preserve">E  </t>
        </is>
      </c>
      <c r="S2065" t="n">
        <v>2</v>
      </c>
      <c r="T2065" t="n">
        <v>2</v>
      </c>
      <c r="U2065" t="inlineStr">
        <is>
          <t>2004-11-06</t>
        </is>
      </c>
      <c r="V2065" t="inlineStr">
        <is>
          <t>2004-11-06</t>
        </is>
      </c>
      <c r="W2065" t="inlineStr">
        <is>
          <t>1996-11-08</t>
        </is>
      </c>
      <c r="X2065" t="inlineStr">
        <is>
          <t>1996-11-08</t>
        </is>
      </c>
      <c r="Y2065" t="n">
        <v>1886</v>
      </c>
      <c r="Z2065" t="n">
        <v>1772</v>
      </c>
      <c r="AA2065" t="n">
        <v>1780</v>
      </c>
      <c r="AB2065" t="n">
        <v>11</v>
      </c>
      <c r="AC2065" t="n">
        <v>11</v>
      </c>
      <c r="AD2065" t="n">
        <v>49</v>
      </c>
      <c r="AE2065" t="n">
        <v>49</v>
      </c>
      <c r="AF2065" t="n">
        <v>20</v>
      </c>
      <c r="AG2065" t="n">
        <v>20</v>
      </c>
      <c r="AH2065" t="n">
        <v>10</v>
      </c>
      <c r="AI2065" t="n">
        <v>10</v>
      </c>
      <c r="AJ2065" t="n">
        <v>19</v>
      </c>
      <c r="AK2065" t="n">
        <v>19</v>
      </c>
      <c r="AL2065" t="n">
        <v>6</v>
      </c>
      <c r="AM2065" t="n">
        <v>6</v>
      </c>
      <c r="AN2065" t="n">
        <v>5</v>
      </c>
      <c r="AO2065" t="n">
        <v>5</v>
      </c>
      <c r="AP2065" t="inlineStr">
        <is>
          <t>No</t>
        </is>
      </c>
      <c r="AQ2065" t="inlineStr">
        <is>
          <t>Yes</t>
        </is>
      </c>
      <c r="AR2065">
        <f>HYPERLINK("http://catalog.hathitrust.org/Record/003124579","HathiTrust Record")</f>
        <v/>
      </c>
      <c r="AS2065">
        <f>HYPERLINK("https://creighton-primo.hosted.exlibrisgroup.com/primo-explore/search?tab=default_tab&amp;search_scope=EVERYTHING&amp;vid=01CRU&amp;lang=en_US&amp;offset=0&amp;query=any,contains,991002661719702656","Catalog Record")</f>
        <v/>
      </c>
      <c r="AT2065">
        <f>HYPERLINK("http://www.worldcat.org/oclc/34782719","WorldCat Record")</f>
        <v/>
      </c>
      <c r="AU2065" t="inlineStr">
        <is>
          <t>34777722:eng</t>
        </is>
      </c>
      <c r="AV2065" t="inlineStr">
        <is>
          <t>34782719</t>
        </is>
      </c>
      <c r="AW2065" t="inlineStr">
        <is>
          <t>991002661719702656</t>
        </is>
      </c>
      <c r="AX2065" t="inlineStr">
        <is>
          <t>991002661719702656</t>
        </is>
      </c>
      <c r="AY2065" t="inlineStr">
        <is>
          <t>2255509450002656</t>
        </is>
      </c>
      <c r="AZ2065" t="inlineStr">
        <is>
          <t>BOOK</t>
        </is>
      </c>
      <c r="BB2065" t="inlineStr">
        <is>
          <t>9780060173623</t>
        </is>
      </c>
      <c r="BC2065" t="inlineStr">
        <is>
          <t>32285002199759</t>
        </is>
      </c>
      <c r="BD2065" t="inlineStr">
        <is>
          <t>893329379</t>
        </is>
      </c>
    </row>
    <row r="2066">
      <c r="A2066" t="inlineStr">
        <is>
          <t>No</t>
        </is>
      </c>
      <c r="B2066" t="inlineStr">
        <is>
          <t>E840.R66 C65 1999</t>
        </is>
      </c>
      <c r="C2066" t="inlineStr">
        <is>
          <t>0                      E  0840000R  66                 C  65          1999</t>
        </is>
      </c>
      <c r="D2066" t="inlineStr">
        <is>
          <t>Rostenkowski : the pursuit of power and the end of the old politics / Richard E. Cohen.</t>
        </is>
      </c>
      <c r="F2066" t="inlineStr">
        <is>
          <t>No</t>
        </is>
      </c>
      <c r="G2066" t="inlineStr">
        <is>
          <t>1</t>
        </is>
      </c>
      <c r="H2066" t="inlineStr">
        <is>
          <t>No</t>
        </is>
      </c>
      <c r="I2066" t="inlineStr">
        <is>
          <t>No</t>
        </is>
      </c>
      <c r="J2066" t="inlineStr">
        <is>
          <t>0</t>
        </is>
      </c>
      <c r="K2066" t="inlineStr">
        <is>
          <t>Cohen, Richard E.</t>
        </is>
      </c>
      <c r="L2066" t="inlineStr">
        <is>
          <t>Chicago, Ill. : Ivan R. Dee, c1999.</t>
        </is>
      </c>
      <c r="M2066" t="inlineStr">
        <is>
          <t>1999</t>
        </is>
      </c>
      <c r="O2066" t="inlineStr">
        <is>
          <t>eng</t>
        </is>
      </c>
      <c r="P2066" t="inlineStr">
        <is>
          <t>ilu</t>
        </is>
      </c>
      <c r="R2066" t="inlineStr">
        <is>
          <t xml:space="preserve">E  </t>
        </is>
      </c>
      <c r="S2066" t="n">
        <v>1</v>
      </c>
      <c r="T2066" t="n">
        <v>1</v>
      </c>
      <c r="U2066" t="inlineStr">
        <is>
          <t>2001-03-27</t>
        </is>
      </c>
      <c r="V2066" t="inlineStr">
        <is>
          <t>2001-03-27</t>
        </is>
      </c>
      <c r="W2066" t="inlineStr">
        <is>
          <t>2001-03-27</t>
        </is>
      </c>
      <c r="X2066" t="inlineStr">
        <is>
          <t>2001-03-27</t>
        </is>
      </c>
      <c r="Y2066" t="n">
        <v>461</v>
      </c>
      <c r="Z2066" t="n">
        <v>444</v>
      </c>
      <c r="AA2066" t="n">
        <v>491</v>
      </c>
      <c r="AB2066" t="n">
        <v>3</v>
      </c>
      <c r="AC2066" t="n">
        <v>3</v>
      </c>
      <c r="AD2066" t="n">
        <v>26</v>
      </c>
      <c r="AE2066" t="n">
        <v>28</v>
      </c>
      <c r="AF2066" t="n">
        <v>9</v>
      </c>
      <c r="AG2066" t="n">
        <v>11</v>
      </c>
      <c r="AH2066" t="n">
        <v>6</v>
      </c>
      <c r="AI2066" t="n">
        <v>7</v>
      </c>
      <c r="AJ2066" t="n">
        <v>13</v>
      </c>
      <c r="AK2066" t="n">
        <v>13</v>
      </c>
      <c r="AL2066" t="n">
        <v>2</v>
      </c>
      <c r="AM2066" t="n">
        <v>2</v>
      </c>
      <c r="AN2066" t="n">
        <v>5</v>
      </c>
      <c r="AO2066" t="n">
        <v>5</v>
      </c>
      <c r="AP2066" t="inlineStr">
        <is>
          <t>No</t>
        </is>
      </c>
      <c r="AQ2066" t="inlineStr">
        <is>
          <t>Yes</t>
        </is>
      </c>
      <c r="AR2066">
        <f>HYPERLINK("http://catalog.hathitrust.org/Record/004067809","HathiTrust Record")</f>
        <v/>
      </c>
      <c r="AS2066">
        <f>HYPERLINK("https://creighton-primo.hosted.exlibrisgroup.com/primo-explore/search?tab=default_tab&amp;search_scope=EVERYTHING&amp;vid=01CRU&amp;lang=en_US&amp;offset=0&amp;query=any,contains,991003499789702656","Catalog Record")</f>
        <v/>
      </c>
      <c r="AT2066">
        <f>HYPERLINK("http://www.worldcat.org/oclc/40996199","WorldCat Record")</f>
        <v/>
      </c>
      <c r="AU2066" t="inlineStr">
        <is>
          <t>1086226:eng</t>
        </is>
      </c>
      <c r="AV2066" t="inlineStr">
        <is>
          <t>40996199</t>
        </is>
      </c>
      <c r="AW2066" t="inlineStr">
        <is>
          <t>991003499789702656</t>
        </is>
      </c>
      <c r="AX2066" t="inlineStr">
        <is>
          <t>991003499789702656</t>
        </is>
      </c>
      <c r="AY2066" t="inlineStr">
        <is>
          <t>2265142810002656</t>
        </is>
      </c>
      <c r="AZ2066" t="inlineStr">
        <is>
          <t>BOOK</t>
        </is>
      </c>
      <c r="BB2066" t="inlineStr">
        <is>
          <t>9781566632546</t>
        </is>
      </c>
      <c r="BC2066" t="inlineStr">
        <is>
          <t>32285004307905</t>
        </is>
      </c>
      <c r="BD2066" t="inlineStr">
        <is>
          <t>893604852</t>
        </is>
      </c>
    </row>
    <row r="2067">
      <c r="A2067" t="inlineStr">
        <is>
          <t>No</t>
        </is>
      </c>
      <c r="B2067" t="inlineStr">
        <is>
          <t>E841 .B57 1989</t>
        </is>
      </c>
      <c r="C2067" t="inlineStr">
        <is>
          <t>0                      E  0841000B  57          1989</t>
        </is>
      </c>
      <c r="D2067" t="inlineStr">
        <is>
          <t>On the brink : Americans and Soviets reexamine the Cuban Missile Crisis / James G. Blight &amp; David A. Welch ; with a foreword by McGeorge Bundy.</t>
        </is>
      </c>
      <c r="F2067" t="inlineStr">
        <is>
          <t>No</t>
        </is>
      </c>
      <c r="G2067" t="inlineStr">
        <is>
          <t>1</t>
        </is>
      </c>
      <c r="H2067" t="inlineStr">
        <is>
          <t>No</t>
        </is>
      </c>
      <c r="I2067" t="inlineStr">
        <is>
          <t>No</t>
        </is>
      </c>
      <c r="J2067" t="inlineStr">
        <is>
          <t>0</t>
        </is>
      </c>
      <c r="K2067" t="inlineStr">
        <is>
          <t>Blight, James G.</t>
        </is>
      </c>
      <c r="L2067" t="inlineStr">
        <is>
          <t>New York : Hill &amp; Wang, 1989.</t>
        </is>
      </c>
      <c r="M2067" t="inlineStr">
        <is>
          <t>1989</t>
        </is>
      </c>
      <c r="N2067" t="inlineStr">
        <is>
          <t>1st ed.</t>
        </is>
      </c>
      <c r="O2067" t="inlineStr">
        <is>
          <t>eng</t>
        </is>
      </c>
      <c r="P2067" t="inlineStr">
        <is>
          <t>nyu</t>
        </is>
      </c>
      <c r="R2067" t="inlineStr">
        <is>
          <t xml:space="preserve">E  </t>
        </is>
      </c>
      <c r="S2067" t="n">
        <v>12</v>
      </c>
      <c r="T2067" t="n">
        <v>12</v>
      </c>
      <c r="U2067" t="inlineStr">
        <is>
          <t>2003-09-24</t>
        </is>
      </c>
      <c r="V2067" t="inlineStr">
        <is>
          <t>2003-09-24</t>
        </is>
      </c>
      <c r="W2067" t="inlineStr">
        <is>
          <t>1990-04-30</t>
        </is>
      </c>
      <c r="X2067" t="inlineStr">
        <is>
          <t>1990-04-30</t>
        </is>
      </c>
      <c r="Y2067" t="n">
        <v>1032</v>
      </c>
      <c r="Z2067" t="n">
        <v>941</v>
      </c>
      <c r="AA2067" t="n">
        <v>1022</v>
      </c>
      <c r="AB2067" t="n">
        <v>8</v>
      </c>
      <c r="AC2067" t="n">
        <v>8</v>
      </c>
      <c r="AD2067" t="n">
        <v>37</v>
      </c>
      <c r="AE2067" t="n">
        <v>39</v>
      </c>
      <c r="AF2067" t="n">
        <v>15</v>
      </c>
      <c r="AG2067" t="n">
        <v>16</v>
      </c>
      <c r="AH2067" t="n">
        <v>7</v>
      </c>
      <c r="AI2067" t="n">
        <v>7</v>
      </c>
      <c r="AJ2067" t="n">
        <v>18</v>
      </c>
      <c r="AK2067" t="n">
        <v>20</v>
      </c>
      <c r="AL2067" t="n">
        <v>6</v>
      </c>
      <c r="AM2067" t="n">
        <v>6</v>
      </c>
      <c r="AN2067" t="n">
        <v>1</v>
      </c>
      <c r="AO2067" t="n">
        <v>1</v>
      </c>
      <c r="AP2067" t="inlineStr">
        <is>
          <t>No</t>
        </is>
      </c>
      <c r="AQ2067" t="inlineStr">
        <is>
          <t>No</t>
        </is>
      </c>
      <c r="AS2067">
        <f>HYPERLINK("https://creighton-primo.hosted.exlibrisgroup.com/primo-explore/search?tab=default_tab&amp;search_scope=EVERYTHING&amp;vid=01CRU&amp;lang=en_US&amp;offset=0&amp;query=any,contains,991001343389702656","Catalog Record")</f>
        <v/>
      </c>
      <c r="AT2067">
        <f>HYPERLINK("http://www.worldcat.org/oclc/18410952","WorldCat Record")</f>
        <v/>
      </c>
      <c r="AU2067" t="inlineStr">
        <is>
          <t>17398927:eng</t>
        </is>
      </c>
      <c r="AV2067" t="inlineStr">
        <is>
          <t>18410952</t>
        </is>
      </c>
      <c r="AW2067" t="inlineStr">
        <is>
          <t>991001343389702656</t>
        </is>
      </c>
      <c r="AX2067" t="inlineStr">
        <is>
          <t>991001343389702656</t>
        </is>
      </c>
      <c r="AY2067" t="inlineStr">
        <is>
          <t>2270888130002656</t>
        </is>
      </c>
      <c r="AZ2067" t="inlineStr">
        <is>
          <t>BOOK</t>
        </is>
      </c>
      <c r="BB2067" t="inlineStr">
        <is>
          <t>9780374226343</t>
        </is>
      </c>
      <c r="BC2067" t="inlineStr">
        <is>
          <t>32285000128842</t>
        </is>
      </c>
      <c r="BD2067" t="inlineStr">
        <is>
          <t>893426527</t>
        </is>
      </c>
    </row>
    <row r="2068">
      <c r="A2068" t="inlineStr">
        <is>
          <t>No</t>
        </is>
      </c>
      <c r="B2068" t="inlineStr">
        <is>
          <t>E841 .B573 1990</t>
        </is>
      </c>
      <c r="C2068" t="inlineStr">
        <is>
          <t>0                      E  0841000B  573         1990</t>
        </is>
      </c>
      <c r="D2068" t="inlineStr">
        <is>
          <t>The shattered crystal ball : fear and learning in the Cuban missile crisis / by James G. Blight ; with a foreword by Joseph S. Nye, Jr.</t>
        </is>
      </c>
      <c r="F2068" t="inlineStr">
        <is>
          <t>No</t>
        </is>
      </c>
      <c r="G2068" t="inlineStr">
        <is>
          <t>1</t>
        </is>
      </c>
      <c r="H2068" t="inlineStr">
        <is>
          <t>No</t>
        </is>
      </c>
      <c r="I2068" t="inlineStr">
        <is>
          <t>No</t>
        </is>
      </c>
      <c r="J2068" t="inlineStr">
        <is>
          <t>0</t>
        </is>
      </c>
      <c r="K2068" t="inlineStr">
        <is>
          <t>Blight, James G.</t>
        </is>
      </c>
      <c r="L2068" t="inlineStr">
        <is>
          <t>Savage, Md. : Rowman &amp; Littlefield, c1990.</t>
        </is>
      </c>
      <c r="M2068" t="inlineStr">
        <is>
          <t>1989</t>
        </is>
      </c>
      <c r="O2068" t="inlineStr">
        <is>
          <t>eng</t>
        </is>
      </c>
      <c r="P2068" t="inlineStr">
        <is>
          <t>mdu</t>
        </is>
      </c>
      <c r="R2068" t="inlineStr">
        <is>
          <t xml:space="preserve">E  </t>
        </is>
      </c>
      <c r="S2068" t="n">
        <v>3</v>
      </c>
      <c r="T2068" t="n">
        <v>3</v>
      </c>
      <c r="U2068" t="inlineStr">
        <is>
          <t>1992-11-11</t>
        </is>
      </c>
      <c r="V2068" t="inlineStr">
        <is>
          <t>1992-11-11</t>
        </is>
      </c>
      <c r="W2068" t="inlineStr">
        <is>
          <t>1991-05-31</t>
        </is>
      </c>
      <c r="X2068" t="inlineStr">
        <is>
          <t>1991-05-31</t>
        </is>
      </c>
      <c r="Y2068" t="n">
        <v>620</v>
      </c>
      <c r="Z2068" t="n">
        <v>545</v>
      </c>
      <c r="AA2068" t="n">
        <v>578</v>
      </c>
      <c r="AB2068" t="n">
        <v>4</v>
      </c>
      <c r="AC2068" t="n">
        <v>4</v>
      </c>
      <c r="AD2068" t="n">
        <v>26</v>
      </c>
      <c r="AE2068" t="n">
        <v>28</v>
      </c>
      <c r="AF2068" t="n">
        <v>11</v>
      </c>
      <c r="AG2068" t="n">
        <v>11</v>
      </c>
      <c r="AH2068" t="n">
        <v>7</v>
      </c>
      <c r="AI2068" t="n">
        <v>7</v>
      </c>
      <c r="AJ2068" t="n">
        <v>13</v>
      </c>
      <c r="AK2068" t="n">
        <v>15</v>
      </c>
      <c r="AL2068" t="n">
        <v>3</v>
      </c>
      <c r="AM2068" t="n">
        <v>3</v>
      </c>
      <c r="AN2068" t="n">
        <v>0</v>
      </c>
      <c r="AO2068" t="n">
        <v>0</v>
      </c>
      <c r="AP2068" t="inlineStr">
        <is>
          <t>No</t>
        </is>
      </c>
      <c r="AQ2068" t="inlineStr">
        <is>
          <t>Yes</t>
        </is>
      </c>
      <c r="AR2068">
        <f>HYPERLINK("http://catalog.hathitrust.org/Record/002164402","HathiTrust Record")</f>
        <v/>
      </c>
      <c r="AS2068">
        <f>HYPERLINK("https://creighton-primo.hosted.exlibrisgroup.com/primo-explore/search?tab=default_tab&amp;search_scope=EVERYTHING&amp;vid=01CRU&amp;lang=en_US&amp;offset=0&amp;query=any,contains,991001589789702656","Catalog Record")</f>
        <v/>
      </c>
      <c r="AT2068">
        <f>HYPERLINK("http://www.worldcat.org/oclc/20564557","WorldCat Record")</f>
        <v/>
      </c>
      <c r="AU2068" t="inlineStr">
        <is>
          <t>22212051:eng</t>
        </is>
      </c>
      <c r="AV2068" t="inlineStr">
        <is>
          <t>20564557</t>
        </is>
      </c>
      <c r="AW2068" t="inlineStr">
        <is>
          <t>991001589789702656</t>
        </is>
      </c>
      <c r="AX2068" t="inlineStr">
        <is>
          <t>991001589789702656</t>
        </is>
      </c>
      <c r="AY2068" t="inlineStr">
        <is>
          <t>2261428760002656</t>
        </is>
      </c>
      <c r="AZ2068" t="inlineStr">
        <is>
          <t>BOOK</t>
        </is>
      </c>
      <c r="BB2068" t="inlineStr">
        <is>
          <t>9780847676095</t>
        </is>
      </c>
      <c r="BC2068" t="inlineStr">
        <is>
          <t>32285000591353</t>
        </is>
      </c>
      <c r="BD2068" t="inlineStr">
        <is>
          <t>893772676</t>
        </is>
      </c>
    </row>
    <row r="2069">
      <c r="A2069" t="inlineStr">
        <is>
          <t>No</t>
        </is>
      </c>
      <c r="B2069" t="inlineStr">
        <is>
          <t>E841 .B59 1991</t>
        </is>
      </c>
      <c r="C2069" t="inlineStr">
        <is>
          <t>0                      E  0841000B  59          1991</t>
        </is>
      </c>
      <c r="D2069" t="inlineStr">
        <is>
          <t>Years of discord : American politics and society, 1961-1974 / by John Morton Blum.</t>
        </is>
      </c>
      <c r="F2069" t="inlineStr">
        <is>
          <t>No</t>
        </is>
      </c>
      <c r="G2069" t="inlineStr">
        <is>
          <t>1</t>
        </is>
      </c>
      <c r="H2069" t="inlineStr">
        <is>
          <t>No</t>
        </is>
      </c>
      <c r="I2069" t="inlineStr">
        <is>
          <t>No</t>
        </is>
      </c>
      <c r="J2069" t="inlineStr">
        <is>
          <t>0</t>
        </is>
      </c>
      <c r="K2069" t="inlineStr">
        <is>
          <t>Blum, John Morton, 1921-2011.</t>
        </is>
      </c>
      <c r="L2069" t="inlineStr">
        <is>
          <t>New York : W.W. Norton, 1991.</t>
        </is>
      </c>
      <c r="M2069" t="inlineStr">
        <is>
          <t>1991</t>
        </is>
      </c>
      <c r="N2069" t="inlineStr">
        <is>
          <t>1st ed.</t>
        </is>
      </c>
      <c r="O2069" t="inlineStr">
        <is>
          <t>eng</t>
        </is>
      </c>
      <c r="P2069" t="inlineStr">
        <is>
          <t>nyu</t>
        </is>
      </c>
      <c r="R2069" t="inlineStr">
        <is>
          <t xml:space="preserve">E  </t>
        </is>
      </c>
      <c r="S2069" t="n">
        <v>7</v>
      </c>
      <c r="T2069" t="n">
        <v>7</v>
      </c>
      <c r="U2069" t="inlineStr">
        <is>
          <t>2003-03-21</t>
        </is>
      </c>
      <c r="V2069" t="inlineStr">
        <is>
          <t>2003-03-21</t>
        </is>
      </c>
      <c r="W2069" t="inlineStr">
        <is>
          <t>1992-05-05</t>
        </is>
      </c>
      <c r="X2069" t="inlineStr">
        <is>
          <t>1992-05-05</t>
        </is>
      </c>
      <c r="Y2069" t="n">
        <v>926</v>
      </c>
      <c r="Z2069" t="n">
        <v>775</v>
      </c>
      <c r="AA2069" t="n">
        <v>855</v>
      </c>
      <c r="AB2069" t="n">
        <v>4</v>
      </c>
      <c r="AC2069" t="n">
        <v>6</v>
      </c>
      <c r="AD2069" t="n">
        <v>30</v>
      </c>
      <c r="AE2069" t="n">
        <v>33</v>
      </c>
      <c r="AF2069" t="n">
        <v>14</v>
      </c>
      <c r="AG2069" t="n">
        <v>15</v>
      </c>
      <c r="AH2069" t="n">
        <v>7</v>
      </c>
      <c r="AI2069" t="n">
        <v>8</v>
      </c>
      <c r="AJ2069" t="n">
        <v>15</v>
      </c>
      <c r="AK2069" t="n">
        <v>16</v>
      </c>
      <c r="AL2069" t="n">
        <v>3</v>
      </c>
      <c r="AM2069" t="n">
        <v>4</v>
      </c>
      <c r="AN2069" t="n">
        <v>0</v>
      </c>
      <c r="AO2069" t="n">
        <v>0</v>
      </c>
      <c r="AP2069" t="inlineStr">
        <is>
          <t>No</t>
        </is>
      </c>
      <c r="AQ2069" t="inlineStr">
        <is>
          <t>No</t>
        </is>
      </c>
      <c r="AS2069">
        <f>HYPERLINK("https://creighton-primo.hosted.exlibrisgroup.com/primo-explore/search?tab=default_tab&amp;search_scope=EVERYTHING&amp;vid=01CRU&amp;lang=en_US&amp;offset=0&amp;query=any,contains,991001786229702656","Catalog Record")</f>
        <v/>
      </c>
      <c r="AT2069">
        <f>HYPERLINK("http://www.worldcat.org/oclc/22506751","WorldCat Record")</f>
        <v/>
      </c>
      <c r="AU2069" t="inlineStr">
        <is>
          <t>23978516:eng</t>
        </is>
      </c>
      <c r="AV2069" t="inlineStr">
        <is>
          <t>22506751</t>
        </is>
      </c>
      <c r="AW2069" t="inlineStr">
        <is>
          <t>991001786229702656</t>
        </is>
      </c>
      <c r="AX2069" t="inlineStr">
        <is>
          <t>991001786229702656</t>
        </is>
      </c>
      <c r="AY2069" t="inlineStr">
        <is>
          <t>2269971990002656</t>
        </is>
      </c>
      <c r="AZ2069" t="inlineStr">
        <is>
          <t>BOOK</t>
        </is>
      </c>
      <c r="BB2069" t="inlineStr">
        <is>
          <t>9780393029697</t>
        </is>
      </c>
      <c r="BC2069" t="inlineStr">
        <is>
          <t>32285001037836</t>
        </is>
      </c>
      <c r="BD2069" t="inlineStr">
        <is>
          <t>893250509</t>
        </is>
      </c>
    </row>
    <row r="2070">
      <c r="A2070" t="inlineStr">
        <is>
          <t>No</t>
        </is>
      </c>
      <c r="B2070" t="inlineStr">
        <is>
          <t>E841 .B76 1991</t>
        </is>
      </c>
      <c r="C2070" t="inlineStr">
        <is>
          <t>0                      E  0841000B  76          1991</t>
        </is>
      </c>
      <c r="D2070" t="inlineStr">
        <is>
          <t>Eyeball to eyeball : the inside story of the Cuban missile crisis / Dino A. Brugioni ; edited by Robert F. McCort.</t>
        </is>
      </c>
      <c r="F2070" t="inlineStr">
        <is>
          <t>No</t>
        </is>
      </c>
      <c r="G2070" t="inlineStr">
        <is>
          <t>1</t>
        </is>
      </c>
      <c r="H2070" t="inlineStr">
        <is>
          <t>No</t>
        </is>
      </c>
      <c r="I2070" t="inlineStr">
        <is>
          <t>No</t>
        </is>
      </c>
      <c r="J2070" t="inlineStr">
        <is>
          <t>0</t>
        </is>
      </c>
      <c r="K2070" t="inlineStr">
        <is>
          <t>Brugioni, Dino A.</t>
        </is>
      </c>
      <c r="L2070" t="inlineStr">
        <is>
          <t>New York : Random House, c1991.</t>
        </is>
      </c>
      <c r="M2070" t="inlineStr">
        <is>
          <t>1991</t>
        </is>
      </c>
      <c r="N2070" t="inlineStr">
        <is>
          <t>1st ed.</t>
        </is>
      </c>
      <c r="O2070" t="inlineStr">
        <is>
          <t>eng</t>
        </is>
      </c>
      <c r="P2070" t="inlineStr">
        <is>
          <t>nyu</t>
        </is>
      </c>
      <c r="R2070" t="inlineStr">
        <is>
          <t xml:space="preserve">E  </t>
        </is>
      </c>
      <c r="S2070" t="n">
        <v>10</v>
      </c>
      <c r="T2070" t="n">
        <v>10</v>
      </c>
      <c r="U2070" t="inlineStr">
        <is>
          <t>2000-03-06</t>
        </is>
      </c>
      <c r="V2070" t="inlineStr">
        <is>
          <t>2000-03-06</t>
        </is>
      </c>
      <c r="W2070" t="inlineStr">
        <is>
          <t>1992-02-21</t>
        </is>
      </c>
      <c r="X2070" t="inlineStr">
        <is>
          <t>1992-02-21</t>
        </is>
      </c>
      <c r="Y2070" t="n">
        <v>1209</v>
      </c>
      <c r="Z2070" t="n">
        <v>1110</v>
      </c>
      <c r="AA2070" t="n">
        <v>1160</v>
      </c>
      <c r="AB2070" t="n">
        <v>9</v>
      </c>
      <c r="AC2070" t="n">
        <v>10</v>
      </c>
      <c r="AD2070" t="n">
        <v>31</v>
      </c>
      <c r="AE2070" t="n">
        <v>31</v>
      </c>
      <c r="AF2070" t="n">
        <v>13</v>
      </c>
      <c r="AG2070" t="n">
        <v>13</v>
      </c>
      <c r="AH2070" t="n">
        <v>8</v>
      </c>
      <c r="AI2070" t="n">
        <v>8</v>
      </c>
      <c r="AJ2070" t="n">
        <v>16</v>
      </c>
      <c r="AK2070" t="n">
        <v>16</v>
      </c>
      <c r="AL2070" t="n">
        <v>4</v>
      </c>
      <c r="AM2070" t="n">
        <v>4</v>
      </c>
      <c r="AN2070" t="n">
        <v>0</v>
      </c>
      <c r="AO2070" t="n">
        <v>0</v>
      </c>
      <c r="AP2070" t="inlineStr">
        <is>
          <t>No</t>
        </is>
      </c>
      <c r="AQ2070" t="inlineStr">
        <is>
          <t>Yes</t>
        </is>
      </c>
      <c r="AR2070">
        <f>HYPERLINK("http://catalog.hathitrust.org/Record/002508671","HathiTrust Record")</f>
        <v/>
      </c>
      <c r="AS2070">
        <f>HYPERLINK("https://creighton-primo.hosted.exlibrisgroup.com/primo-explore/search?tab=default_tab&amp;search_scope=EVERYTHING&amp;vid=01CRU&amp;lang=en_US&amp;offset=0&amp;query=any,contains,991001869309702656","Catalog Record")</f>
        <v/>
      </c>
      <c r="AT2070">
        <f>HYPERLINK("http://www.worldcat.org/oclc/23583251","WorldCat Record")</f>
        <v/>
      </c>
      <c r="AU2070" t="inlineStr">
        <is>
          <t>25176516:eng</t>
        </is>
      </c>
      <c r="AV2070" t="inlineStr">
        <is>
          <t>23583251</t>
        </is>
      </c>
      <c r="AW2070" t="inlineStr">
        <is>
          <t>991001869309702656</t>
        </is>
      </c>
      <c r="AX2070" t="inlineStr">
        <is>
          <t>991001869309702656</t>
        </is>
      </c>
      <c r="AY2070" t="inlineStr">
        <is>
          <t>2256859440002656</t>
        </is>
      </c>
      <c r="AZ2070" t="inlineStr">
        <is>
          <t>BOOK</t>
        </is>
      </c>
      <c r="BB2070" t="inlineStr">
        <is>
          <t>9780679405238</t>
        </is>
      </c>
      <c r="BC2070" t="inlineStr">
        <is>
          <t>32285000936392</t>
        </is>
      </c>
      <c r="BD2070" t="inlineStr">
        <is>
          <t>893497499</t>
        </is>
      </c>
    </row>
    <row r="2071">
      <c r="A2071" t="inlineStr">
        <is>
          <t>No</t>
        </is>
      </c>
      <c r="B2071" t="inlineStr">
        <is>
          <t>E841 .C33 2001</t>
        </is>
      </c>
      <c r="C2071" t="inlineStr">
        <is>
          <t>0                      E  0841000C  33          2001</t>
        </is>
      </c>
      <c r="D2071" t="inlineStr">
        <is>
          <t>A fiction of the past : the sixties in American history / Dominick J. Cavallo.</t>
        </is>
      </c>
      <c r="F2071" t="inlineStr">
        <is>
          <t>No</t>
        </is>
      </c>
      <c r="G2071" t="inlineStr">
        <is>
          <t>1</t>
        </is>
      </c>
      <c r="H2071" t="inlineStr">
        <is>
          <t>No</t>
        </is>
      </c>
      <c r="I2071" t="inlineStr">
        <is>
          <t>No</t>
        </is>
      </c>
      <c r="J2071" t="inlineStr">
        <is>
          <t>0</t>
        </is>
      </c>
      <c r="K2071" t="inlineStr">
        <is>
          <t>Cavallo, Dominick J.</t>
        </is>
      </c>
      <c r="L2071" t="inlineStr">
        <is>
          <t>Basingstoke : Palgrave, 2001.</t>
        </is>
      </c>
      <c r="M2071" t="inlineStr">
        <is>
          <t>2001</t>
        </is>
      </c>
      <c r="O2071" t="inlineStr">
        <is>
          <t>eng</t>
        </is>
      </c>
      <c r="P2071" t="inlineStr">
        <is>
          <t>enk</t>
        </is>
      </c>
      <c r="R2071" t="inlineStr">
        <is>
          <t xml:space="preserve">E  </t>
        </is>
      </c>
      <c r="S2071" t="n">
        <v>8</v>
      </c>
      <c r="T2071" t="n">
        <v>8</v>
      </c>
      <c r="U2071" t="inlineStr">
        <is>
          <t>2003-11-02</t>
        </is>
      </c>
      <c r="V2071" t="inlineStr">
        <is>
          <t>2003-11-02</t>
        </is>
      </c>
      <c r="W2071" t="inlineStr">
        <is>
          <t>2001-08-21</t>
        </is>
      </c>
      <c r="X2071" t="inlineStr">
        <is>
          <t>2001-08-21</t>
        </is>
      </c>
      <c r="Y2071" t="n">
        <v>40</v>
      </c>
      <c r="Z2071" t="n">
        <v>30</v>
      </c>
      <c r="AA2071" t="n">
        <v>918</v>
      </c>
      <c r="AB2071" t="n">
        <v>1</v>
      </c>
      <c r="AC2071" t="n">
        <v>9</v>
      </c>
      <c r="AD2071" t="n">
        <v>1</v>
      </c>
      <c r="AE2071" t="n">
        <v>35</v>
      </c>
      <c r="AF2071" t="n">
        <v>0</v>
      </c>
      <c r="AG2071" t="n">
        <v>11</v>
      </c>
      <c r="AH2071" t="n">
        <v>1</v>
      </c>
      <c r="AI2071" t="n">
        <v>8</v>
      </c>
      <c r="AJ2071" t="n">
        <v>0</v>
      </c>
      <c r="AK2071" t="n">
        <v>15</v>
      </c>
      <c r="AL2071" t="n">
        <v>0</v>
      </c>
      <c r="AM2071" t="n">
        <v>8</v>
      </c>
      <c r="AN2071" t="n">
        <v>0</v>
      </c>
      <c r="AO2071" t="n">
        <v>0</v>
      </c>
      <c r="AP2071" t="inlineStr">
        <is>
          <t>No</t>
        </is>
      </c>
      <c r="AQ2071" t="inlineStr">
        <is>
          <t>No</t>
        </is>
      </c>
      <c r="AS2071">
        <f>HYPERLINK("https://creighton-primo.hosted.exlibrisgroup.com/primo-explore/search?tab=default_tab&amp;search_scope=EVERYTHING&amp;vid=01CRU&amp;lang=en_US&amp;offset=0&amp;query=any,contains,991003570619702656","Catalog Record")</f>
        <v/>
      </c>
      <c r="AT2071">
        <f>HYPERLINK("http://www.worldcat.org/oclc/48080819","WorldCat Record")</f>
        <v/>
      </c>
      <c r="AU2071" t="inlineStr">
        <is>
          <t>793897356:eng</t>
        </is>
      </c>
      <c r="AV2071" t="inlineStr">
        <is>
          <t>48080819</t>
        </is>
      </c>
      <c r="AW2071" t="inlineStr">
        <is>
          <t>991003570619702656</t>
        </is>
      </c>
      <c r="AX2071" t="inlineStr">
        <is>
          <t>991003570619702656</t>
        </is>
      </c>
      <c r="AY2071" t="inlineStr">
        <is>
          <t>2258447370002656</t>
        </is>
      </c>
      <c r="AZ2071" t="inlineStr">
        <is>
          <t>BOOK</t>
        </is>
      </c>
      <c r="BB2071" t="inlineStr">
        <is>
          <t>9780312235017</t>
        </is>
      </c>
      <c r="BC2071" t="inlineStr">
        <is>
          <t>32285004378799</t>
        </is>
      </c>
      <c r="BD2071" t="inlineStr">
        <is>
          <t>893512103</t>
        </is>
      </c>
    </row>
    <row r="2072">
      <c r="A2072" t="inlineStr">
        <is>
          <t>No</t>
        </is>
      </c>
      <c r="B2072" t="inlineStr">
        <is>
          <t>E841 .C48 1974b</t>
        </is>
      </c>
      <c r="C2072" t="inlineStr">
        <is>
          <t>0                      E  0841000C  48          1974b</t>
        </is>
      </c>
      <c r="D2072" t="inlineStr">
        <is>
          <t>The Cuban missile crisis.</t>
        </is>
      </c>
      <c r="F2072" t="inlineStr">
        <is>
          <t>No</t>
        </is>
      </c>
      <c r="G2072" t="inlineStr">
        <is>
          <t>1</t>
        </is>
      </c>
      <c r="H2072" t="inlineStr">
        <is>
          <t>No</t>
        </is>
      </c>
      <c r="I2072" t="inlineStr">
        <is>
          <t>No</t>
        </is>
      </c>
      <c r="J2072" t="inlineStr">
        <is>
          <t>0</t>
        </is>
      </c>
      <c r="K2072" t="inlineStr">
        <is>
          <t>Chayes, Abram, 1922-2000.</t>
        </is>
      </c>
      <c r="L2072" t="inlineStr">
        <is>
          <t>New York, Oxford University Press, 1974.</t>
        </is>
      </c>
      <c r="M2072" t="inlineStr">
        <is>
          <t>1974</t>
        </is>
      </c>
      <c r="O2072" t="inlineStr">
        <is>
          <t>eng</t>
        </is>
      </c>
      <c r="P2072" t="inlineStr">
        <is>
          <t>nyu</t>
        </is>
      </c>
      <c r="Q2072" t="inlineStr">
        <is>
          <t>International crises and the role of law</t>
        </is>
      </c>
      <c r="R2072" t="inlineStr">
        <is>
          <t xml:space="preserve">E  </t>
        </is>
      </c>
      <c r="S2072" t="n">
        <v>3</v>
      </c>
      <c r="T2072" t="n">
        <v>3</v>
      </c>
      <c r="U2072" t="inlineStr">
        <is>
          <t>1998-05-06</t>
        </is>
      </c>
      <c r="V2072" t="inlineStr">
        <is>
          <t>1998-05-06</t>
        </is>
      </c>
      <c r="W2072" t="inlineStr">
        <is>
          <t>1997-04-29</t>
        </is>
      </c>
      <c r="X2072" t="inlineStr">
        <is>
          <t>1997-04-29</t>
        </is>
      </c>
      <c r="Y2072" t="n">
        <v>738</v>
      </c>
      <c r="Z2072" t="n">
        <v>668</v>
      </c>
      <c r="AA2072" t="n">
        <v>757</v>
      </c>
      <c r="AB2072" t="n">
        <v>9</v>
      </c>
      <c r="AC2072" t="n">
        <v>9</v>
      </c>
      <c r="AD2072" t="n">
        <v>38</v>
      </c>
      <c r="AE2072" t="n">
        <v>43</v>
      </c>
      <c r="AF2072" t="n">
        <v>13</v>
      </c>
      <c r="AG2072" t="n">
        <v>15</v>
      </c>
      <c r="AH2072" t="n">
        <v>4</v>
      </c>
      <c r="AI2072" t="n">
        <v>6</v>
      </c>
      <c r="AJ2072" t="n">
        <v>14</v>
      </c>
      <c r="AK2072" t="n">
        <v>16</v>
      </c>
      <c r="AL2072" t="n">
        <v>8</v>
      </c>
      <c r="AM2072" t="n">
        <v>8</v>
      </c>
      <c r="AN2072" t="n">
        <v>7</v>
      </c>
      <c r="AO2072" t="n">
        <v>8</v>
      </c>
      <c r="AP2072" t="inlineStr">
        <is>
          <t>No</t>
        </is>
      </c>
      <c r="AQ2072" t="inlineStr">
        <is>
          <t>Yes</t>
        </is>
      </c>
      <c r="AR2072">
        <f>HYPERLINK("http://catalog.hathitrust.org/Record/000015139","HathiTrust Record")</f>
        <v/>
      </c>
      <c r="AS2072">
        <f>HYPERLINK("https://creighton-primo.hosted.exlibrisgroup.com/primo-explore/search?tab=default_tab&amp;search_scope=EVERYTHING&amp;vid=01CRU&amp;lang=en_US&amp;offset=0&amp;query=any,contains,991003402039702656","Catalog Record")</f>
        <v/>
      </c>
      <c r="AT2072">
        <f>HYPERLINK("http://www.worldcat.org/oclc/940849","WorldCat Record")</f>
        <v/>
      </c>
      <c r="AU2072" t="inlineStr">
        <is>
          <t>415329:eng</t>
        </is>
      </c>
      <c r="AV2072" t="inlineStr">
        <is>
          <t>940849</t>
        </is>
      </c>
      <c r="AW2072" t="inlineStr">
        <is>
          <t>991003402039702656</t>
        </is>
      </c>
      <c r="AX2072" t="inlineStr">
        <is>
          <t>991003402039702656</t>
        </is>
      </c>
      <c r="AY2072" t="inlineStr">
        <is>
          <t>2261391780002656</t>
        </is>
      </c>
      <c r="AZ2072" t="inlineStr">
        <is>
          <t>BOOK</t>
        </is>
      </c>
      <c r="BB2072" t="inlineStr">
        <is>
          <t>9780195197587</t>
        </is>
      </c>
      <c r="BC2072" t="inlineStr">
        <is>
          <t>32285002568276</t>
        </is>
      </c>
      <c r="BD2072" t="inlineStr">
        <is>
          <t>893511918</t>
        </is>
      </c>
    </row>
    <row r="2073">
      <c r="A2073" t="inlineStr">
        <is>
          <t>No</t>
        </is>
      </c>
      <c r="B2073" t="inlineStr">
        <is>
          <t>E841 .C8 1993</t>
        </is>
      </c>
      <c r="C2073" t="inlineStr">
        <is>
          <t>0                      E  0841000C  8           1993</t>
        </is>
      </c>
      <c r="D2073" t="inlineStr">
        <is>
          <t>Cuba on the brink : Castro, the missile crisis, and the Soviet collapse / James G. Blight, Bruce J. Allyn, and David A. Welch, with the assistance of David Lewis ; foreword by Jorge I. Domínguez.</t>
        </is>
      </c>
      <c r="F2073" t="inlineStr">
        <is>
          <t>No</t>
        </is>
      </c>
      <c r="G2073" t="inlineStr">
        <is>
          <t>1</t>
        </is>
      </c>
      <c r="H2073" t="inlineStr">
        <is>
          <t>No</t>
        </is>
      </c>
      <c r="I2073" t="inlineStr">
        <is>
          <t>No</t>
        </is>
      </c>
      <c r="J2073" t="inlineStr">
        <is>
          <t>0</t>
        </is>
      </c>
      <c r="K2073" t="inlineStr">
        <is>
          <t>Blight, James G.</t>
        </is>
      </c>
      <c r="L2073" t="inlineStr">
        <is>
          <t>New York : Pantheon Books, c1993.</t>
        </is>
      </c>
      <c r="M2073" t="inlineStr">
        <is>
          <t>1993</t>
        </is>
      </c>
      <c r="N2073" t="inlineStr">
        <is>
          <t>1st ed.</t>
        </is>
      </c>
      <c r="O2073" t="inlineStr">
        <is>
          <t>eng</t>
        </is>
      </c>
      <c r="P2073" t="inlineStr">
        <is>
          <t>nyu</t>
        </is>
      </c>
      <c r="R2073" t="inlineStr">
        <is>
          <t xml:space="preserve">E  </t>
        </is>
      </c>
      <c r="S2073" t="n">
        <v>14</v>
      </c>
      <c r="T2073" t="n">
        <v>14</v>
      </c>
      <c r="U2073" t="inlineStr">
        <is>
          <t>2000-12-13</t>
        </is>
      </c>
      <c r="V2073" t="inlineStr">
        <is>
          <t>2000-12-13</t>
        </is>
      </c>
      <c r="W2073" t="inlineStr">
        <is>
          <t>1993-12-30</t>
        </is>
      </c>
      <c r="X2073" t="inlineStr">
        <is>
          <t>1993-12-30</t>
        </is>
      </c>
      <c r="Y2073" t="n">
        <v>970</v>
      </c>
      <c r="Z2073" t="n">
        <v>881</v>
      </c>
      <c r="AA2073" t="n">
        <v>940</v>
      </c>
      <c r="AB2073" t="n">
        <v>8</v>
      </c>
      <c r="AC2073" t="n">
        <v>8</v>
      </c>
      <c r="AD2073" t="n">
        <v>32</v>
      </c>
      <c r="AE2073" t="n">
        <v>32</v>
      </c>
      <c r="AF2073" t="n">
        <v>12</v>
      </c>
      <c r="AG2073" t="n">
        <v>12</v>
      </c>
      <c r="AH2073" t="n">
        <v>9</v>
      </c>
      <c r="AI2073" t="n">
        <v>9</v>
      </c>
      <c r="AJ2073" t="n">
        <v>12</v>
      </c>
      <c r="AK2073" t="n">
        <v>12</v>
      </c>
      <c r="AL2073" t="n">
        <v>5</v>
      </c>
      <c r="AM2073" t="n">
        <v>5</v>
      </c>
      <c r="AN2073" t="n">
        <v>0</v>
      </c>
      <c r="AO2073" t="n">
        <v>0</v>
      </c>
      <c r="AP2073" t="inlineStr">
        <is>
          <t>No</t>
        </is>
      </c>
      <c r="AQ2073" t="inlineStr">
        <is>
          <t>Yes</t>
        </is>
      </c>
      <c r="AR2073">
        <f>HYPERLINK("http://catalog.hathitrust.org/Record/002738227","HathiTrust Record")</f>
        <v/>
      </c>
      <c r="AS2073">
        <f>HYPERLINK("https://creighton-primo.hosted.exlibrisgroup.com/primo-explore/search?tab=default_tab&amp;search_scope=EVERYTHING&amp;vid=01CRU&amp;lang=en_US&amp;offset=0&amp;query=any,contains,991002165169702656","Catalog Record")</f>
        <v/>
      </c>
      <c r="AT2073">
        <f>HYPERLINK("http://www.worldcat.org/oclc/27894814","WorldCat Record")</f>
        <v/>
      </c>
      <c r="AU2073" t="inlineStr">
        <is>
          <t>346699:eng</t>
        </is>
      </c>
      <c r="AV2073" t="inlineStr">
        <is>
          <t>27894814</t>
        </is>
      </c>
      <c r="AW2073" t="inlineStr">
        <is>
          <t>991002165169702656</t>
        </is>
      </c>
      <c r="AX2073" t="inlineStr">
        <is>
          <t>991002165169702656</t>
        </is>
      </c>
      <c r="AY2073" t="inlineStr">
        <is>
          <t>2261268200002656</t>
        </is>
      </c>
      <c r="AZ2073" t="inlineStr">
        <is>
          <t>BOOK</t>
        </is>
      </c>
      <c r="BB2073" t="inlineStr">
        <is>
          <t>9780679421498</t>
        </is>
      </c>
      <c r="BC2073" t="inlineStr">
        <is>
          <t>32285001818672</t>
        </is>
      </c>
      <c r="BD2073" t="inlineStr">
        <is>
          <t>893244839</t>
        </is>
      </c>
    </row>
    <row r="2074">
      <c r="A2074" t="inlineStr">
        <is>
          <t>No</t>
        </is>
      </c>
      <c r="B2074" t="inlineStr">
        <is>
          <t>E841 .D44 2002</t>
        </is>
      </c>
      <c r="C2074" t="inlineStr">
        <is>
          <t>0                      E  0841000D  44          2002</t>
        </is>
      </c>
      <c r="D2074" t="inlineStr">
        <is>
          <t>October 1962 : the "missile" crisis as seen from Cuba / Tomás Diez Acosta.</t>
        </is>
      </c>
      <c r="F2074" t="inlineStr">
        <is>
          <t>No</t>
        </is>
      </c>
      <c r="G2074" t="inlineStr">
        <is>
          <t>1</t>
        </is>
      </c>
      <c r="H2074" t="inlineStr">
        <is>
          <t>No</t>
        </is>
      </c>
      <c r="I2074" t="inlineStr">
        <is>
          <t>No</t>
        </is>
      </c>
      <c r="J2074" t="inlineStr">
        <is>
          <t>0</t>
        </is>
      </c>
      <c r="K2074" t="inlineStr">
        <is>
          <t>Diez Acosta, Tomás.</t>
        </is>
      </c>
      <c r="L2074" t="inlineStr">
        <is>
          <t>New York : Pathfinder, 2002.</t>
        </is>
      </c>
      <c r="M2074" t="inlineStr">
        <is>
          <t>2002</t>
        </is>
      </c>
      <c r="N2074" t="inlineStr">
        <is>
          <t>1st ed.</t>
        </is>
      </c>
      <c r="O2074" t="inlineStr">
        <is>
          <t>eng</t>
        </is>
      </c>
      <c r="P2074" t="inlineStr">
        <is>
          <t>nyu</t>
        </is>
      </c>
      <c r="R2074" t="inlineStr">
        <is>
          <t xml:space="preserve">E  </t>
        </is>
      </c>
      <c r="S2074" t="n">
        <v>2</v>
      </c>
      <c r="T2074" t="n">
        <v>2</v>
      </c>
      <c r="U2074" t="inlineStr">
        <is>
          <t>2005-02-03</t>
        </is>
      </c>
      <c r="V2074" t="inlineStr">
        <is>
          <t>2005-02-03</t>
        </is>
      </c>
      <c r="W2074" t="inlineStr">
        <is>
          <t>2005-02-03</t>
        </is>
      </c>
      <c r="X2074" t="inlineStr">
        <is>
          <t>2005-02-03</t>
        </is>
      </c>
      <c r="Y2074" t="n">
        <v>249</v>
      </c>
      <c r="Z2074" t="n">
        <v>214</v>
      </c>
      <c r="AA2074" t="n">
        <v>243</v>
      </c>
      <c r="AB2074" t="n">
        <v>1</v>
      </c>
      <c r="AC2074" t="n">
        <v>2</v>
      </c>
      <c r="AD2074" t="n">
        <v>12</v>
      </c>
      <c r="AE2074" t="n">
        <v>16</v>
      </c>
      <c r="AF2074" t="n">
        <v>6</v>
      </c>
      <c r="AG2074" t="n">
        <v>8</v>
      </c>
      <c r="AH2074" t="n">
        <v>5</v>
      </c>
      <c r="AI2074" t="n">
        <v>5</v>
      </c>
      <c r="AJ2074" t="n">
        <v>7</v>
      </c>
      <c r="AK2074" t="n">
        <v>9</v>
      </c>
      <c r="AL2074" t="n">
        <v>0</v>
      </c>
      <c r="AM2074" t="n">
        <v>1</v>
      </c>
      <c r="AN2074" t="n">
        <v>0</v>
      </c>
      <c r="AO2074" t="n">
        <v>0</v>
      </c>
      <c r="AP2074" t="inlineStr">
        <is>
          <t>No</t>
        </is>
      </c>
      <c r="AQ2074" t="inlineStr">
        <is>
          <t>Yes</t>
        </is>
      </c>
      <c r="AR2074">
        <f>HYPERLINK("http://catalog.hathitrust.org/Record/009927122","HathiTrust Record")</f>
        <v/>
      </c>
      <c r="AS2074">
        <f>HYPERLINK("https://creighton-primo.hosted.exlibrisgroup.com/primo-explore/search?tab=default_tab&amp;search_scope=EVERYTHING&amp;vid=01CRU&amp;lang=en_US&amp;offset=0&amp;query=any,contains,991004255819702656","Catalog Record")</f>
        <v/>
      </c>
      <c r="AT2074">
        <f>HYPERLINK("http://www.worldcat.org/oclc/52477528","WorldCat Record")</f>
        <v/>
      </c>
      <c r="AU2074" t="inlineStr">
        <is>
          <t>7187591:eng</t>
        </is>
      </c>
      <c r="AV2074" t="inlineStr">
        <is>
          <t>52477528</t>
        </is>
      </c>
      <c r="AW2074" t="inlineStr">
        <is>
          <t>991004255819702656</t>
        </is>
      </c>
      <c r="AX2074" t="inlineStr">
        <is>
          <t>991004255819702656</t>
        </is>
      </c>
      <c r="AY2074" t="inlineStr">
        <is>
          <t>2256494480002656</t>
        </is>
      </c>
      <c r="AZ2074" t="inlineStr">
        <is>
          <t>BOOK</t>
        </is>
      </c>
      <c r="BB2074" t="inlineStr">
        <is>
          <t>9780873489560</t>
        </is>
      </c>
      <c r="BC2074" t="inlineStr">
        <is>
          <t>32285005024491</t>
        </is>
      </c>
      <c r="BD2074" t="inlineStr">
        <is>
          <t>893904780</t>
        </is>
      </c>
    </row>
    <row r="2075">
      <c r="A2075" t="inlineStr">
        <is>
          <t>No</t>
        </is>
      </c>
      <c r="B2075" t="inlineStr">
        <is>
          <t>E841 .G57 1987</t>
        </is>
      </c>
      <c r="C2075" t="inlineStr">
        <is>
          <t>0                      E  0841000G  57          1987</t>
        </is>
      </c>
      <c r="D2075" t="inlineStr">
        <is>
          <t>The sixties : years of hope, days of rage / Todd Gitlin.</t>
        </is>
      </c>
      <c r="F2075" t="inlineStr">
        <is>
          <t>No</t>
        </is>
      </c>
      <c r="G2075" t="inlineStr">
        <is>
          <t>1</t>
        </is>
      </c>
      <c r="H2075" t="inlineStr">
        <is>
          <t>No</t>
        </is>
      </c>
      <c r="I2075" t="inlineStr">
        <is>
          <t>Yes</t>
        </is>
      </c>
      <c r="J2075" t="inlineStr">
        <is>
          <t>0</t>
        </is>
      </c>
      <c r="K2075" t="inlineStr">
        <is>
          <t>Gitlin, Todd.</t>
        </is>
      </c>
      <c r="L2075" t="inlineStr">
        <is>
          <t>Toronto ; New York : Bantam Books, 1987.</t>
        </is>
      </c>
      <c r="M2075" t="inlineStr">
        <is>
          <t>1987</t>
        </is>
      </c>
      <c r="O2075" t="inlineStr">
        <is>
          <t>eng</t>
        </is>
      </c>
      <c r="P2075" t="inlineStr">
        <is>
          <t>onc</t>
        </is>
      </c>
      <c r="R2075" t="inlineStr">
        <is>
          <t xml:space="preserve">E  </t>
        </is>
      </c>
      <c r="S2075" t="n">
        <v>7</v>
      </c>
      <c r="T2075" t="n">
        <v>7</v>
      </c>
      <c r="U2075" t="inlineStr">
        <is>
          <t>1995-04-17</t>
        </is>
      </c>
      <c r="V2075" t="inlineStr">
        <is>
          <t>1995-04-17</t>
        </is>
      </c>
      <c r="W2075" t="inlineStr">
        <is>
          <t>1991-06-21</t>
        </is>
      </c>
      <c r="X2075" t="inlineStr">
        <is>
          <t>1991-06-21</t>
        </is>
      </c>
      <c r="Y2075" t="n">
        <v>1863</v>
      </c>
      <c r="Z2075" t="n">
        <v>1728</v>
      </c>
      <c r="AA2075" t="n">
        <v>2323</v>
      </c>
      <c r="AB2075" t="n">
        <v>15</v>
      </c>
      <c r="AC2075" t="n">
        <v>16</v>
      </c>
      <c r="AD2075" t="n">
        <v>31</v>
      </c>
      <c r="AE2075" t="n">
        <v>51</v>
      </c>
      <c r="AF2075" t="n">
        <v>9</v>
      </c>
      <c r="AG2075" t="n">
        <v>23</v>
      </c>
      <c r="AH2075" t="n">
        <v>7</v>
      </c>
      <c r="AI2075" t="n">
        <v>7</v>
      </c>
      <c r="AJ2075" t="n">
        <v>15</v>
      </c>
      <c r="AK2075" t="n">
        <v>23</v>
      </c>
      <c r="AL2075" t="n">
        <v>7</v>
      </c>
      <c r="AM2075" t="n">
        <v>8</v>
      </c>
      <c r="AN2075" t="n">
        <v>0</v>
      </c>
      <c r="AO2075" t="n">
        <v>0</v>
      </c>
      <c r="AP2075" t="inlineStr">
        <is>
          <t>No</t>
        </is>
      </c>
      <c r="AQ2075" t="inlineStr">
        <is>
          <t>Yes</t>
        </is>
      </c>
      <c r="AR2075">
        <f>HYPERLINK("http://catalog.hathitrust.org/Record/000884785","HathiTrust Record")</f>
        <v/>
      </c>
      <c r="AS2075">
        <f>HYPERLINK("https://creighton-primo.hosted.exlibrisgroup.com/primo-explore/search?tab=default_tab&amp;search_scope=EVERYTHING&amp;vid=01CRU&amp;lang=en_US&amp;offset=0&amp;query=any,contains,991001062789702656","Catalog Record")</f>
        <v/>
      </c>
      <c r="AT2075">
        <f>HYPERLINK("http://www.worldcat.org/oclc/15791390","WorldCat Record")</f>
        <v/>
      </c>
      <c r="AU2075" t="inlineStr">
        <is>
          <t>800499668:eng</t>
        </is>
      </c>
      <c r="AV2075" t="inlineStr">
        <is>
          <t>15791390</t>
        </is>
      </c>
      <c r="AW2075" t="inlineStr">
        <is>
          <t>991001062789702656</t>
        </is>
      </c>
      <c r="AX2075" t="inlineStr">
        <is>
          <t>991001062789702656</t>
        </is>
      </c>
      <c r="AY2075" t="inlineStr">
        <is>
          <t>2259844020002656</t>
        </is>
      </c>
      <c r="AZ2075" t="inlineStr">
        <is>
          <t>BOOK</t>
        </is>
      </c>
      <c r="BB2075" t="inlineStr">
        <is>
          <t>9780553052336</t>
        </is>
      </c>
      <c r="BC2075" t="inlineStr">
        <is>
          <t>32285000670736</t>
        </is>
      </c>
      <c r="BD2075" t="inlineStr">
        <is>
          <t>893321596</t>
        </is>
      </c>
    </row>
    <row r="2076">
      <c r="A2076" t="inlineStr">
        <is>
          <t>No</t>
        </is>
      </c>
      <c r="B2076" t="inlineStr">
        <is>
          <t>E841 .K58 1989</t>
        </is>
      </c>
      <c r="C2076" t="inlineStr">
        <is>
          <t>0                      E  0841000K  58          1989</t>
        </is>
      </c>
      <c r="D2076" t="inlineStr">
        <is>
          <t>Street of dreams : the nature and legacy of the 1960s / Douglas M. Knight.</t>
        </is>
      </c>
      <c r="F2076" t="inlineStr">
        <is>
          <t>No</t>
        </is>
      </c>
      <c r="G2076" t="inlineStr">
        <is>
          <t>1</t>
        </is>
      </c>
      <c r="H2076" t="inlineStr">
        <is>
          <t>No</t>
        </is>
      </c>
      <c r="I2076" t="inlineStr">
        <is>
          <t>No</t>
        </is>
      </c>
      <c r="J2076" t="inlineStr">
        <is>
          <t>0</t>
        </is>
      </c>
      <c r="K2076" t="inlineStr">
        <is>
          <t>Knight, Douglas M., 1921-2005.</t>
        </is>
      </c>
      <c r="L2076" t="inlineStr">
        <is>
          <t>Durham : Duke University Press, 1989.</t>
        </is>
      </c>
      <c r="M2076" t="inlineStr">
        <is>
          <t>1989</t>
        </is>
      </c>
      <c r="O2076" t="inlineStr">
        <is>
          <t>eng</t>
        </is>
      </c>
      <c r="P2076" t="inlineStr">
        <is>
          <t>ncu</t>
        </is>
      </c>
      <c r="R2076" t="inlineStr">
        <is>
          <t xml:space="preserve">E  </t>
        </is>
      </c>
      <c r="S2076" t="n">
        <v>1</v>
      </c>
      <c r="T2076" t="n">
        <v>1</v>
      </c>
      <c r="U2076" t="inlineStr">
        <is>
          <t>2004-09-22</t>
        </is>
      </c>
      <c r="V2076" t="inlineStr">
        <is>
          <t>2004-09-22</t>
        </is>
      </c>
      <c r="W2076" t="inlineStr">
        <is>
          <t>1991-06-21</t>
        </is>
      </c>
      <c r="X2076" t="inlineStr">
        <is>
          <t>1991-06-21</t>
        </is>
      </c>
      <c r="Y2076" t="n">
        <v>322</v>
      </c>
      <c r="Z2076" t="n">
        <v>280</v>
      </c>
      <c r="AA2076" t="n">
        <v>287</v>
      </c>
      <c r="AB2076" t="n">
        <v>3</v>
      </c>
      <c r="AC2076" t="n">
        <v>3</v>
      </c>
      <c r="AD2076" t="n">
        <v>12</v>
      </c>
      <c r="AE2076" t="n">
        <v>12</v>
      </c>
      <c r="AF2076" t="n">
        <v>3</v>
      </c>
      <c r="AG2076" t="n">
        <v>3</v>
      </c>
      <c r="AH2076" t="n">
        <v>5</v>
      </c>
      <c r="AI2076" t="n">
        <v>5</v>
      </c>
      <c r="AJ2076" t="n">
        <v>7</v>
      </c>
      <c r="AK2076" t="n">
        <v>7</v>
      </c>
      <c r="AL2076" t="n">
        <v>2</v>
      </c>
      <c r="AM2076" t="n">
        <v>2</v>
      </c>
      <c r="AN2076" t="n">
        <v>0</v>
      </c>
      <c r="AO2076" t="n">
        <v>0</v>
      </c>
      <c r="AP2076" t="inlineStr">
        <is>
          <t>No</t>
        </is>
      </c>
      <c r="AQ2076" t="inlineStr">
        <is>
          <t>Yes</t>
        </is>
      </c>
      <c r="AR2076">
        <f>HYPERLINK("http://catalog.hathitrust.org/Record/001105146","HathiTrust Record")</f>
        <v/>
      </c>
      <c r="AS2076">
        <f>HYPERLINK("https://creighton-primo.hosted.exlibrisgroup.com/primo-explore/search?tab=default_tab&amp;search_scope=EVERYTHING&amp;vid=01CRU&amp;lang=en_US&amp;offset=0&amp;query=any,contains,991001427829702656","Catalog Record")</f>
        <v/>
      </c>
      <c r="AT2076">
        <f>HYPERLINK("http://www.worldcat.org/oclc/19064199","WorldCat Record")</f>
        <v/>
      </c>
      <c r="AU2076" t="inlineStr">
        <is>
          <t>18578338:eng</t>
        </is>
      </c>
      <c r="AV2076" t="inlineStr">
        <is>
          <t>19064199</t>
        </is>
      </c>
      <c r="AW2076" t="inlineStr">
        <is>
          <t>991001427829702656</t>
        </is>
      </c>
      <c r="AX2076" t="inlineStr">
        <is>
          <t>991001427829702656</t>
        </is>
      </c>
      <c r="AY2076" t="inlineStr">
        <is>
          <t>2260908170002656</t>
        </is>
      </c>
      <c r="AZ2076" t="inlineStr">
        <is>
          <t>BOOK</t>
        </is>
      </c>
      <c r="BB2076" t="inlineStr">
        <is>
          <t>9780822309024</t>
        </is>
      </c>
      <c r="BC2076" t="inlineStr">
        <is>
          <t>32285000670769</t>
        </is>
      </c>
      <c r="BD2076" t="inlineStr">
        <is>
          <t>893334336</t>
        </is>
      </c>
    </row>
    <row r="2077">
      <c r="A2077" t="inlineStr">
        <is>
          <t>No</t>
        </is>
      </c>
      <c r="B2077" t="inlineStr">
        <is>
          <t>E841 .L67</t>
        </is>
      </c>
      <c r="C2077" t="inlineStr">
        <is>
          <t>0                      E  0841000L  67</t>
        </is>
      </c>
      <c r="D2077" t="inlineStr">
        <is>
          <t>John F. Kennedy : the politics of confrontation and conciliation / by Donald C. Lord ; I. E. Cadenhead, Jr., editor.</t>
        </is>
      </c>
      <c r="F2077" t="inlineStr">
        <is>
          <t>No</t>
        </is>
      </c>
      <c r="G2077" t="inlineStr">
        <is>
          <t>1</t>
        </is>
      </c>
      <c r="H2077" t="inlineStr">
        <is>
          <t>No</t>
        </is>
      </c>
      <c r="I2077" t="inlineStr">
        <is>
          <t>No</t>
        </is>
      </c>
      <c r="J2077" t="inlineStr">
        <is>
          <t>0</t>
        </is>
      </c>
      <c r="K2077" t="inlineStr">
        <is>
          <t>Lord, Donald C. (Donald Charles)</t>
        </is>
      </c>
      <c r="L2077" t="inlineStr">
        <is>
          <t>Woodbury, N.Y. : Barron's, 1977.</t>
        </is>
      </c>
      <c r="M2077" t="inlineStr">
        <is>
          <t>1977</t>
        </is>
      </c>
      <c r="O2077" t="inlineStr">
        <is>
          <t>eng</t>
        </is>
      </c>
      <c r="P2077" t="inlineStr">
        <is>
          <t>nyu</t>
        </is>
      </c>
      <c r="R2077" t="inlineStr">
        <is>
          <t xml:space="preserve">E  </t>
        </is>
      </c>
      <c r="S2077" t="n">
        <v>6</v>
      </c>
      <c r="T2077" t="n">
        <v>6</v>
      </c>
      <c r="U2077" t="inlineStr">
        <is>
          <t>1993-11-10</t>
        </is>
      </c>
      <c r="V2077" t="inlineStr">
        <is>
          <t>1993-11-10</t>
        </is>
      </c>
      <c r="W2077" t="inlineStr">
        <is>
          <t>1991-12-02</t>
        </is>
      </c>
      <c r="X2077" t="inlineStr">
        <is>
          <t>1991-12-02</t>
        </is>
      </c>
      <c r="Y2077" t="n">
        <v>254</v>
      </c>
      <c r="Z2077" t="n">
        <v>236</v>
      </c>
      <c r="AA2077" t="n">
        <v>240</v>
      </c>
      <c r="AB2077" t="n">
        <v>2</v>
      </c>
      <c r="AC2077" t="n">
        <v>2</v>
      </c>
      <c r="AD2077" t="n">
        <v>6</v>
      </c>
      <c r="AE2077" t="n">
        <v>6</v>
      </c>
      <c r="AF2077" t="n">
        <v>0</v>
      </c>
      <c r="AG2077" t="n">
        <v>0</v>
      </c>
      <c r="AH2077" t="n">
        <v>2</v>
      </c>
      <c r="AI2077" t="n">
        <v>2</v>
      </c>
      <c r="AJ2077" t="n">
        <v>3</v>
      </c>
      <c r="AK2077" t="n">
        <v>3</v>
      </c>
      <c r="AL2077" t="n">
        <v>1</v>
      </c>
      <c r="AM2077" t="n">
        <v>1</v>
      </c>
      <c r="AN2077" t="n">
        <v>0</v>
      </c>
      <c r="AO2077" t="n">
        <v>0</v>
      </c>
      <c r="AP2077" t="inlineStr">
        <is>
          <t>No</t>
        </is>
      </c>
      <c r="AQ2077" t="inlineStr">
        <is>
          <t>Yes</t>
        </is>
      </c>
      <c r="AR2077">
        <f>HYPERLINK("http://catalog.hathitrust.org/Record/000020482","HathiTrust Record")</f>
        <v/>
      </c>
      <c r="AS2077">
        <f>HYPERLINK("https://creighton-primo.hosted.exlibrisgroup.com/primo-explore/search?tab=default_tab&amp;search_scope=EVERYTHING&amp;vid=01CRU&amp;lang=en_US&amp;offset=0&amp;query=any,contains,991003808259702656","Catalog Record")</f>
        <v/>
      </c>
      <c r="AT2077">
        <f>HYPERLINK("http://www.worldcat.org/oclc/1531924","WorldCat Record")</f>
        <v/>
      </c>
      <c r="AU2077" t="inlineStr">
        <is>
          <t>891811088:eng</t>
        </is>
      </c>
      <c r="AV2077" t="inlineStr">
        <is>
          <t>1531924</t>
        </is>
      </c>
      <c r="AW2077" t="inlineStr">
        <is>
          <t>991003808259702656</t>
        </is>
      </c>
      <c r="AX2077" t="inlineStr">
        <is>
          <t>991003808259702656</t>
        </is>
      </c>
      <c r="AY2077" t="inlineStr">
        <is>
          <t>2271853420002656</t>
        </is>
      </c>
      <c r="AZ2077" t="inlineStr">
        <is>
          <t>BOOK</t>
        </is>
      </c>
      <c r="BB2077" t="inlineStr">
        <is>
          <t>9780812051346</t>
        </is>
      </c>
      <c r="BC2077" t="inlineStr">
        <is>
          <t>32285000844810</t>
        </is>
      </c>
      <c r="BD2077" t="inlineStr">
        <is>
          <t>893525253</t>
        </is>
      </c>
    </row>
    <row r="2078">
      <c r="A2078" t="inlineStr">
        <is>
          <t>No</t>
        </is>
      </c>
      <c r="B2078" t="inlineStr">
        <is>
          <t>E841 .M33 1984</t>
        </is>
      </c>
      <c r="C2078" t="inlineStr">
        <is>
          <t>0                      E  0841000M  33          1984</t>
        </is>
      </c>
      <c r="D2078" t="inlineStr">
        <is>
          <t>The unravelling of America : a history of liberalism in the 1960s / Allen J. Matusow.</t>
        </is>
      </c>
      <c r="F2078" t="inlineStr">
        <is>
          <t>No</t>
        </is>
      </c>
      <c r="G2078" t="inlineStr">
        <is>
          <t>1</t>
        </is>
      </c>
      <c r="H2078" t="inlineStr">
        <is>
          <t>No</t>
        </is>
      </c>
      <c r="I2078" t="inlineStr">
        <is>
          <t>No</t>
        </is>
      </c>
      <c r="J2078" t="inlineStr">
        <is>
          <t>0</t>
        </is>
      </c>
      <c r="K2078" t="inlineStr">
        <is>
          <t>Matusow, Allen J.</t>
        </is>
      </c>
      <c r="L2078" t="inlineStr">
        <is>
          <t>New York : Harper &amp; Row, c1984.</t>
        </is>
      </c>
      <c r="M2078" t="inlineStr">
        <is>
          <t>1984</t>
        </is>
      </c>
      <c r="N2078" t="inlineStr">
        <is>
          <t>1st ed.</t>
        </is>
      </c>
      <c r="O2078" t="inlineStr">
        <is>
          <t>eng</t>
        </is>
      </c>
      <c r="P2078" t="inlineStr">
        <is>
          <t>nyu</t>
        </is>
      </c>
      <c r="Q2078" t="inlineStr">
        <is>
          <t>The New American Nation series</t>
        </is>
      </c>
      <c r="R2078" t="inlineStr">
        <is>
          <t xml:space="preserve">E  </t>
        </is>
      </c>
      <c r="S2078" t="n">
        <v>4</v>
      </c>
      <c r="T2078" t="n">
        <v>4</v>
      </c>
      <c r="U2078" t="inlineStr">
        <is>
          <t>1999-01-04</t>
        </is>
      </c>
      <c r="V2078" t="inlineStr">
        <is>
          <t>1999-01-04</t>
        </is>
      </c>
      <c r="W2078" t="inlineStr">
        <is>
          <t>1991-06-21</t>
        </is>
      </c>
      <c r="X2078" t="inlineStr">
        <is>
          <t>1991-06-21</t>
        </is>
      </c>
      <c r="Y2078" t="n">
        <v>1561</v>
      </c>
      <c r="Z2078" t="n">
        <v>1420</v>
      </c>
      <c r="AA2078" t="n">
        <v>1550</v>
      </c>
      <c r="AB2078" t="n">
        <v>14</v>
      </c>
      <c r="AC2078" t="n">
        <v>14</v>
      </c>
      <c r="AD2078" t="n">
        <v>56</v>
      </c>
      <c r="AE2078" t="n">
        <v>58</v>
      </c>
      <c r="AF2078" t="n">
        <v>26</v>
      </c>
      <c r="AG2078" t="n">
        <v>26</v>
      </c>
      <c r="AH2078" t="n">
        <v>9</v>
      </c>
      <c r="AI2078" t="n">
        <v>10</v>
      </c>
      <c r="AJ2078" t="n">
        <v>23</v>
      </c>
      <c r="AK2078" t="n">
        <v>23</v>
      </c>
      <c r="AL2078" t="n">
        <v>10</v>
      </c>
      <c r="AM2078" t="n">
        <v>10</v>
      </c>
      <c r="AN2078" t="n">
        <v>1</v>
      </c>
      <c r="AO2078" t="n">
        <v>2</v>
      </c>
      <c r="AP2078" t="inlineStr">
        <is>
          <t>No</t>
        </is>
      </c>
      <c r="AQ2078" t="inlineStr">
        <is>
          <t>Yes</t>
        </is>
      </c>
      <c r="AR2078">
        <f>HYPERLINK("http://catalog.hathitrust.org/Record/000204432","HathiTrust Record")</f>
        <v/>
      </c>
      <c r="AS2078">
        <f>HYPERLINK("https://creighton-primo.hosted.exlibrisgroup.com/primo-explore/search?tab=default_tab&amp;search_scope=EVERYTHING&amp;vid=01CRU&amp;lang=en_US&amp;offset=0&amp;query=any,contains,991000215619702656","Catalog Record")</f>
        <v/>
      </c>
      <c r="AT2078">
        <f>HYPERLINK("http://www.worldcat.org/oclc/9557623","WorldCat Record")</f>
        <v/>
      </c>
      <c r="AU2078" t="inlineStr">
        <is>
          <t>799425108:eng</t>
        </is>
      </c>
      <c r="AV2078" t="inlineStr">
        <is>
          <t>9557623</t>
        </is>
      </c>
      <c r="AW2078" t="inlineStr">
        <is>
          <t>991000215619702656</t>
        </is>
      </c>
      <c r="AX2078" t="inlineStr">
        <is>
          <t>991000215619702656</t>
        </is>
      </c>
      <c r="AY2078" t="inlineStr">
        <is>
          <t>2266882850002656</t>
        </is>
      </c>
      <c r="AZ2078" t="inlineStr">
        <is>
          <t>BOOK</t>
        </is>
      </c>
      <c r="BB2078" t="inlineStr">
        <is>
          <t>9780060910860</t>
        </is>
      </c>
      <c r="BC2078" t="inlineStr">
        <is>
          <t>32285000670785</t>
        </is>
      </c>
      <c r="BD2078" t="inlineStr">
        <is>
          <t>893237165</t>
        </is>
      </c>
    </row>
    <row r="2079">
      <c r="A2079" t="inlineStr">
        <is>
          <t>No</t>
        </is>
      </c>
      <c r="B2079" t="inlineStr">
        <is>
          <t>E841 .S56</t>
        </is>
      </c>
      <c r="C2079" t="inlineStr">
        <is>
          <t>0                      E  0841000S  56</t>
        </is>
      </c>
      <c r="D2079" t="inlineStr">
        <is>
          <t>Kennedy's 13 great mistakes in the White House / [by] Malcolm E. Smith, Jr.</t>
        </is>
      </c>
      <c r="F2079" t="inlineStr">
        <is>
          <t>No</t>
        </is>
      </c>
      <c r="G2079" t="inlineStr">
        <is>
          <t>1</t>
        </is>
      </c>
      <c r="H2079" t="inlineStr">
        <is>
          <t>No</t>
        </is>
      </c>
      <c r="I2079" t="inlineStr">
        <is>
          <t>No</t>
        </is>
      </c>
      <c r="J2079" t="inlineStr">
        <is>
          <t>0</t>
        </is>
      </c>
      <c r="K2079" t="inlineStr">
        <is>
          <t>Smith, Malcolm E.</t>
        </is>
      </c>
      <c r="L2079" t="inlineStr">
        <is>
          <t>New York : National Forum of America, [1968]</t>
        </is>
      </c>
      <c r="M2079" t="inlineStr">
        <is>
          <t>1968</t>
        </is>
      </c>
      <c r="O2079" t="inlineStr">
        <is>
          <t>eng</t>
        </is>
      </c>
      <c r="P2079" t="inlineStr">
        <is>
          <t>nyu</t>
        </is>
      </c>
      <c r="R2079" t="inlineStr">
        <is>
          <t xml:space="preserve">E  </t>
        </is>
      </c>
      <c r="S2079" t="n">
        <v>9</v>
      </c>
      <c r="T2079" t="n">
        <v>9</v>
      </c>
      <c r="U2079" t="inlineStr">
        <is>
          <t>1995-02-02</t>
        </is>
      </c>
      <c r="V2079" t="inlineStr">
        <is>
          <t>1995-02-02</t>
        </is>
      </c>
      <c r="W2079" t="inlineStr">
        <is>
          <t>1992-08-24</t>
        </is>
      </c>
      <c r="X2079" t="inlineStr">
        <is>
          <t>1992-08-24</t>
        </is>
      </c>
      <c r="Y2079" t="n">
        <v>204</v>
      </c>
      <c r="Z2079" t="n">
        <v>197</v>
      </c>
      <c r="AA2079" t="n">
        <v>198</v>
      </c>
      <c r="AB2079" t="n">
        <v>2</v>
      </c>
      <c r="AC2079" t="n">
        <v>2</v>
      </c>
      <c r="AD2079" t="n">
        <v>5</v>
      </c>
      <c r="AE2079" t="n">
        <v>5</v>
      </c>
      <c r="AF2079" t="n">
        <v>3</v>
      </c>
      <c r="AG2079" t="n">
        <v>3</v>
      </c>
      <c r="AH2079" t="n">
        <v>1</v>
      </c>
      <c r="AI2079" t="n">
        <v>1</v>
      </c>
      <c r="AJ2079" t="n">
        <v>4</v>
      </c>
      <c r="AK2079" t="n">
        <v>4</v>
      </c>
      <c r="AL2079" t="n">
        <v>0</v>
      </c>
      <c r="AM2079" t="n">
        <v>0</v>
      </c>
      <c r="AN2079" t="n">
        <v>0</v>
      </c>
      <c r="AO2079" t="n">
        <v>0</v>
      </c>
      <c r="AP2079" t="inlineStr">
        <is>
          <t>No</t>
        </is>
      </c>
      <c r="AQ2079" t="inlineStr">
        <is>
          <t>No</t>
        </is>
      </c>
      <c r="AS2079">
        <f>HYPERLINK("https://creighton-primo.hosted.exlibrisgroup.com/primo-explore/search?tab=default_tab&amp;search_scope=EVERYTHING&amp;vid=01CRU&amp;lang=en_US&amp;offset=0&amp;query=any,contains,991002804969702656","Catalog Record")</f>
        <v/>
      </c>
      <c r="AT2079">
        <f>HYPERLINK("http://www.worldcat.org/oclc/449217","WorldCat Record")</f>
        <v/>
      </c>
      <c r="AU2079" t="inlineStr">
        <is>
          <t>1589207:eng</t>
        </is>
      </c>
      <c r="AV2079" t="inlineStr">
        <is>
          <t>449217</t>
        </is>
      </c>
      <c r="AW2079" t="inlineStr">
        <is>
          <t>991002804969702656</t>
        </is>
      </c>
      <c r="AX2079" t="inlineStr">
        <is>
          <t>991002804969702656</t>
        </is>
      </c>
      <c r="AY2079" t="inlineStr">
        <is>
          <t>2265227550002656</t>
        </is>
      </c>
      <c r="AZ2079" t="inlineStr">
        <is>
          <t>BOOK</t>
        </is>
      </c>
      <c r="BC2079" t="inlineStr">
        <is>
          <t>32285001270502</t>
        </is>
      </c>
      <c r="BD2079" t="inlineStr">
        <is>
          <t>893685808</t>
        </is>
      </c>
    </row>
    <row r="2080">
      <c r="A2080" t="inlineStr">
        <is>
          <t>No</t>
        </is>
      </c>
      <c r="B2080" t="inlineStr">
        <is>
          <t>E841 .S6</t>
        </is>
      </c>
      <c r="C2080" t="inlineStr">
        <is>
          <t>0                      E  0841000S  6</t>
        </is>
      </c>
      <c r="D2080" t="inlineStr">
        <is>
          <t>Kennedy / [by] Theodore C. Sorensen.</t>
        </is>
      </c>
      <c r="F2080" t="inlineStr">
        <is>
          <t>No</t>
        </is>
      </c>
      <c r="G2080" t="inlineStr">
        <is>
          <t>1</t>
        </is>
      </c>
      <c r="H2080" t="inlineStr">
        <is>
          <t>Yes</t>
        </is>
      </c>
      <c r="I2080" t="inlineStr">
        <is>
          <t>No</t>
        </is>
      </c>
      <c r="J2080" t="inlineStr">
        <is>
          <t>0</t>
        </is>
      </c>
      <c r="K2080" t="inlineStr">
        <is>
          <t>Sorensen, Theodore C.</t>
        </is>
      </c>
      <c r="L2080" t="inlineStr">
        <is>
          <t>New York : Harper &amp; Row, [1965]</t>
        </is>
      </c>
      <c r="M2080" t="inlineStr">
        <is>
          <t>1965</t>
        </is>
      </c>
      <c r="N2080" t="inlineStr">
        <is>
          <t>[1st ed.]</t>
        </is>
      </c>
      <c r="O2080" t="inlineStr">
        <is>
          <t>eng</t>
        </is>
      </c>
      <c r="P2080" t="inlineStr">
        <is>
          <t>nyu</t>
        </is>
      </c>
      <c r="R2080" t="inlineStr">
        <is>
          <t xml:space="preserve">E  </t>
        </is>
      </c>
      <c r="S2080" t="n">
        <v>6</v>
      </c>
      <c r="T2080" t="n">
        <v>9</v>
      </c>
      <c r="U2080" t="inlineStr">
        <is>
          <t>1998-05-06</t>
        </is>
      </c>
      <c r="V2080" t="inlineStr">
        <is>
          <t>1998-05-06</t>
        </is>
      </c>
      <c r="W2080" t="inlineStr">
        <is>
          <t>1990-05-08</t>
        </is>
      </c>
      <c r="X2080" t="inlineStr">
        <is>
          <t>1990-11-12</t>
        </is>
      </c>
      <c r="Y2080" t="n">
        <v>3180</v>
      </c>
      <c r="Z2080" t="n">
        <v>2956</v>
      </c>
      <c r="AA2080" t="n">
        <v>3156</v>
      </c>
      <c r="AB2080" t="n">
        <v>35</v>
      </c>
      <c r="AC2080" t="n">
        <v>37</v>
      </c>
      <c r="AD2080" t="n">
        <v>70</v>
      </c>
      <c r="AE2080" t="n">
        <v>72</v>
      </c>
      <c r="AF2080" t="n">
        <v>27</v>
      </c>
      <c r="AG2080" t="n">
        <v>27</v>
      </c>
      <c r="AH2080" t="n">
        <v>11</v>
      </c>
      <c r="AI2080" t="n">
        <v>11</v>
      </c>
      <c r="AJ2080" t="n">
        <v>25</v>
      </c>
      <c r="AK2080" t="n">
        <v>25</v>
      </c>
      <c r="AL2080" t="n">
        <v>18</v>
      </c>
      <c r="AM2080" t="n">
        <v>19</v>
      </c>
      <c r="AN2080" t="n">
        <v>3</v>
      </c>
      <c r="AO2080" t="n">
        <v>4</v>
      </c>
      <c r="AP2080" t="inlineStr">
        <is>
          <t>No</t>
        </is>
      </c>
      <c r="AQ2080" t="inlineStr">
        <is>
          <t>No</t>
        </is>
      </c>
      <c r="AS2080">
        <f>HYPERLINK("https://creighton-primo.hosted.exlibrisgroup.com/primo-explore/search?tab=default_tab&amp;search_scope=EVERYTHING&amp;vid=01CRU&amp;lang=en_US&amp;offset=0&amp;query=any,contains,991002424719702656","Catalog Record")</f>
        <v/>
      </c>
      <c r="AT2080">
        <f>HYPERLINK("http://www.worldcat.org/oclc/344329","WorldCat Record")</f>
        <v/>
      </c>
      <c r="AU2080" t="inlineStr">
        <is>
          <t>1488838:eng</t>
        </is>
      </c>
      <c r="AV2080" t="inlineStr">
        <is>
          <t>344329</t>
        </is>
      </c>
      <c r="AW2080" t="inlineStr">
        <is>
          <t>991002424719702656</t>
        </is>
      </c>
      <c r="AX2080" t="inlineStr">
        <is>
          <t>991002424719702656</t>
        </is>
      </c>
      <c r="AY2080" t="inlineStr">
        <is>
          <t>2264964300002656</t>
        </is>
      </c>
      <c r="AZ2080" t="inlineStr">
        <is>
          <t>BOOK</t>
        </is>
      </c>
      <c r="BC2080" t="inlineStr">
        <is>
          <t>32285000138593</t>
        </is>
      </c>
      <c r="BD2080" t="inlineStr">
        <is>
          <t>893409082</t>
        </is>
      </c>
    </row>
    <row r="2081">
      <c r="A2081" t="inlineStr">
        <is>
          <t>No</t>
        </is>
      </c>
      <c r="B2081" t="inlineStr">
        <is>
          <t>E841 .S6</t>
        </is>
      </c>
      <c r="C2081" t="inlineStr">
        <is>
          <t>0                      E  0841000S  6</t>
        </is>
      </c>
      <c r="D2081" t="inlineStr">
        <is>
          <t>Kennedy / [by] Theodore C. Sorensen.</t>
        </is>
      </c>
      <c r="F2081" t="inlineStr">
        <is>
          <t>No</t>
        </is>
      </c>
      <c r="G2081" t="inlineStr">
        <is>
          <t>1</t>
        </is>
      </c>
      <c r="H2081" t="inlineStr">
        <is>
          <t>Yes</t>
        </is>
      </c>
      <c r="I2081" t="inlineStr">
        <is>
          <t>No</t>
        </is>
      </c>
      <c r="J2081" t="inlineStr">
        <is>
          <t>0</t>
        </is>
      </c>
      <c r="K2081" t="inlineStr">
        <is>
          <t>Sorensen, Theodore C.</t>
        </is>
      </c>
      <c r="L2081" t="inlineStr">
        <is>
          <t>New York : Harper &amp; Row, [1965]</t>
        </is>
      </c>
      <c r="M2081" t="inlineStr">
        <is>
          <t>1965</t>
        </is>
      </c>
      <c r="N2081" t="inlineStr">
        <is>
          <t>[1st ed.]</t>
        </is>
      </c>
      <c r="O2081" t="inlineStr">
        <is>
          <t>eng</t>
        </is>
      </c>
      <c r="P2081" t="inlineStr">
        <is>
          <t>nyu</t>
        </is>
      </c>
      <c r="R2081" t="inlineStr">
        <is>
          <t xml:space="preserve">E  </t>
        </is>
      </c>
      <c r="S2081" t="n">
        <v>3</v>
      </c>
      <c r="T2081" t="n">
        <v>9</v>
      </c>
      <c r="U2081" t="inlineStr">
        <is>
          <t>1993-11-10</t>
        </is>
      </c>
      <c r="V2081" t="inlineStr">
        <is>
          <t>1998-05-06</t>
        </is>
      </c>
      <c r="W2081" t="inlineStr">
        <is>
          <t>1990-11-12</t>
        </is>
      </c>
      <c r="X2081" t="inlineStr">
        <is>
          <t>1990-11-12</t>
        </is>
      </c>
      <c r="Y2081" t="n">
        <v>3180</v>
      </c>
      <c r="Z2081" t="n">
        <v>2956</v>
      </c>
      <c r="AA2081" t="n">
        <v>3156</v>
      </c>
      <c r="AB2081" t="n">
        <v>35</v>
      </c>
      <c r="AC2081" t="n">
        <v>37</v>
      </c>
      <c r="AD2081" t="n">
        <v>70</v>
      </c>
      <c r="AE2081" t="n">
        <v>72</v>
      </c>
      <c r="AF2081" t="n">
        <v>27</v>
      </c>
      <c r="AG2081" t="n">
        <v>27</v>
      </c>
      <c r="AH2081" t="n">
        <v>11</v>
      </c>
      <c r="AI2081" t="n">
        <v>11</v>
      </c>
      <c r="AJ2081" t="n">
        <v>25</v>
      </c>
      <c r="AK2081" t="n">
        <v>25</v>
      </c>
      <c r="AL2081" t="n">
        <v>18</v>
      </c>
      <c r="AM2081" t="n">
        <v>19</v>
      </c>
      <c r="AN2081" t="n">
        <v>3</v>
      </c>
      <c r="AO2081" t="n">
        <v>4</v>
      </c>
      <c r="AP2081" t="inlineStr">
        <is>
          <t>No</t>
        </is>
      </c>
      <c r="AQ2081" t="inlineStr">
        <is>
          <t>No</t>
        </is>
      </c>
      <c r="AS2081">
        <f>HYPERLINK("https://creighton-primo.hosted.exlibrisgroup.com/primo-explore/search?tab=default_tab&amp;search_scope=EVERYTHING&amp;vid=01CRU&amp;lang=en_US&amp;offset=0&amp;query=any,contains,991002424719702656","Catalog Record")</f>
        <v/>
      </c>
      <c r="AT2081">
        <f>HYPERLINK("http://www.worldcat.org/oclc/344329","WorldCat Record")</f>
        <v/>
      </c>
      <c r="AU2081" t="inlineStr">
        <is>
          <t>1488838:eng</t>
        </is>
      </c>
      <c r="AV2081" t="inlineStr">
        <is>
          <t>344329</t>
        </is>
      </c>
      <c r="AW2081" t="inlineStr">
        <is>
          <t>991002424719702656</t>
        </is>
      </c>
      <c r="AX2081" t="inlineStr">
        <is>
          <t>991002424719702656</t>
        </is>
      </c>
      <c r="AY2081" t="inlineStr">
        <is>
          <t>2264964300002656</t>
        </is>
      </c>
      <c r="AZ2081" t="inlineStr">
        <is>
          <t>BOOK</t>
        </is>
      </c>
      <c r="BC2081" t="inlineStr">
        <is>
          <t>32285000367937</t>
        </is>
      </c>
      <c r="BD2081" t="inlineStr">
        <is>
          <t>893409081</t>
        </is>
      </c>
    </row>
    <row r="2082">
      <c r="A2082" t="inlineStr">
        <is>
          <t>No</t>
        </is>
      </c>
      <c r="B2082" t="inlineStr">
        <is>
          <t>E841 .T3</t>
        </is>
      </c>
      <c r="C2082" t="inlineStr">
        <is>
          <t>0                      E  0841000T  3</t>
        </is>
      </c>
      <c r="D2082" t="inlineStr">
        <is>
          <t>The Kennedy circle. With an introd. by David Brinkley.</t>
        </is>
      </c>
      <c r="F2082" t="inlineStr">
        <is>
          <t>No</t>
        </is>
      </c>
      <c r="G2082" t="inlineStr">
        <is>
          <t>1</t>
        </is>
      </c>
      <c r="H2082" t="inlineStr">
        <is>
          <t>No</t>
        </is>
      </c>
      <c r="I2082" t="inlineStr">
        <is>
          <t>No</t>
        </is>
      </c>
      <c r="J2082" t="inlineStr">
        <is>
          <t>0</t>
        </is>
      </c>
      <c r="K2082" t="inlineStr">
        <is>
          <t>Tanzer, Lester, editor.</t>
        </is>
      </c>
      <c r="L2082" t="inlineStr">
        <is>
          <t>Washington, Luce [1961]</t>
        </is>
      </c>
      <c r="M2082" t="inlineStr">
        <is>
          <t>1961</t>
        </is>
      </c>
      <c r="N2082" t="inlineStr">
        <is>
          <t>[1st ed.]</t>
        </is>
      </c>
      <c r="O2082" t="inlineStr">
        <is>
          <t>eng</t>
        </is>
      </c>
      <c r="P2082" t="inlineStr">
        <is>
          <t>dcu</t>
        </is>
      </c>
      <c r="R2082" t="inlineStr">
        <is>
          <t xml:space="preserve">E  </t>
        </is>
      </c>
      <c r="S2082" t="n">
        <v>1</v>
      </c>
      <c r="T2082" t="n">
        <v>1</v>
      </c>
      <c r="U2082" t="inlineStr">
        <is>
          <t>2004-10-09</t>
        </is>
      </c>
      <c r="V2082" t="inlineStr">
        <is>
          <t>2004-10-09</t>
        </is>
      </c>
      <c r="W2082" t="inlineStr">
        <is>
          <t>1997-04-29</t>
        </is>
      </c>
      <c r="X2082" t="inlineStr">
        <is>
          <t>1997-04-29</t>
        </is>
      </c>
      <c r="Y2082" t="n">
        <v>758</v>
      </c>
      <c r="Z2082" t="n">
        <v>721</v>
      </c>
      <c r="AA2082" t="n">
        <v>729</v>
      </c>
      <c r="AB2082" t="n">
        <v>6</v>
      </c>
      <c r="AC2082" t="n">
        <v>6</v>
      </c>
      <c r="AD2082" t="n">
        <v>21</v>
      </c>
      <c r="AE2082" t="n">
        <v>21</v>
      </c>
      <c r="AF2082" t="n">
        <v>11</v>
      </c>
      <c r="AG2082" t="n">
        <v>11</v>
      </c>
      <c r="AH2082" t="n">
        <v>3</v>
      </c>
      <c r="AI2082" t="n">
        <v>3</v>
      </c>
      <c r="AJ2082" t="n">
        <v>8</v>
      </c>
      <c r="AK2082" t="n">
        <v>8</v>
      </c>
      <c r="AL2082" t="n">
        <v>3</v>
      </c>
      <c r="AM2082" t="n">
        <v>3</v>
      </c>
      <c r="AN2082" t="n">
        <v>0</v>
      </c>
      <c r="AO2082" t="n">
        <v>0</v>
      </c>
      <c r="AP2082" t="inlineStr">
        <is>
          <t>No</t>
        </is>
      </c>
      <c r="AQ2082" t="inlineStr">
        <is>
          <t>No</t>
        </is>
      </c>
      <c r="AR2082">
        <f>HYPERLINK("http://catalog.hathitrust.org/Record/000575449","HathiTrust Record")</f>
        <v/>
      </c>
      <c r="AS2082">
        <f>HYPERLINK("https://creighton-primo.hosted.exlibrisgroup.com/primo-explore/search?tab=default_tab&amp;search_scope=EVERYTHING&amp;vid=01CRU&amp;lang=en_US&amp;offset=0&amp;query=any,contains,991002610679702656","Catalog Record")</f>
        <v/>
      </c>
      <c r="AT2082">
        <f>HYPERLINK("http://www.worldcat.org/oclc/377788","WorldCat Record")</f>
        <v/>
      </c>
      <c r="AU2082" t="inlineStr">
        <is>
          <t>358404590:eng</t>
        </is>
      </c>
      <c r="AV2082" t="inlineStr">
        <is>
          <t>377788</t>
        </is>
      </c>
      <c r="AW2082" t="inlineStr">
        <is>
          <t>991002610679702656</t>
        </is>
      </c>
      <c r="AX2082" t="inlineStr">
        <is>
          <t>991002610679702656</t>
        </is>
      </c>
      <c r="AY2082" t="inlineStr">
        <is>
          <t>2263128780002656</t>
        </is>
      </c>
      <c r="AZ2082" t="inlineStr">
        <is>
          <t>BOOK</t>
        </is>
      </c>
      <c r="BC2082" t="inlineStr">
        <is>
          <t>32285002568417</t>
        </is>
      </c>
      <c r="BD2082" t="inlineStr">
        <is>
          <t>893691789</t>
        </is>
      </c>
    </row>
    <row r="2083">
      <c r="A2083" t="inlineStr">
        <is>
          <t>No</t>
        </is>
      </c>
      <c r="B2083" t="inlineStr">
        <is>
          <t>E841 .W35 1972</t>
        </is>
      </c>
      <c r="C2083" t="inlineStr">
        <is>
          <t>0                      E  0841000W  35          1972</t>
        </is>
      </c>
      <c r="D2083" t="inlineStr">
        <is>
          <t>Cold war and counterrevolution : the foreign policy of John F. Kennedy / [by] Richard J. Walton.</t>
        </is>
      </c>
      <c r="F2083" t="inlineStr">
        <is>
          <t>No</t>
        </is>
      </c>
      <c r="G2083" t="inlineStr">
        <is>
          <t>1</t>
        </is>
      </c>
      <c r="H2083" t="inlineStr">
        <is>
          <t>No</t>
        </is>
      </c>
      <c r="I2083" t="inlineStr">
        <is>
          <t>No</t>
        </is>
      </c>
      <c r="J2083" t="inlineStr">
        <is>
          <t>0</t>
        </is>
      </c>
      <c r="K2083" t="inlineStr">
        <is>
          <t>Walton, Richard J.</t>
        </is>
      </c>
      <c r="L2083" t="inlineStr">
        <is>
          <t>New York : Viking Press, [1972]</t>
        </is>
      </c>
      <c r="M2083" t="inlineStr">
        <is>
          <t>1972</t>
        </is>
      </c>
      <c r="O2083" t="inlineStr">
        <is>
          <t>eng</t>
        </is>
      </c>
      <c r="P2083" t="inlineStr">
        <is>
          <t>nyu</t>
        </is>
      </c>
      <c r="R2083" t="inlineStr">
        <is>
          <t xml:space="preserve">E  </t>
        </is>
      </c>
      <c r="S2083" t="n">
        <v>3</v>
      </c>
      <c r="T2083" t="n">
        <v>3</v>
      </c>
      <c r="U2083" t="inlineStr">
        <is>
          <t>1994-05-26</t>
        </is>
      </c>
      <c r="V2083" t="inlineStr">
        <is>
          <t>1994-05-26</t>
        </is>
      </c>
      <c r="W2083" t="inlineStr">
        <is>
          <t>1991-12-02</t>
        </is>
      </c>
      <c r="X2083" t="inlineStr">
        <is>
          <t>1991-12-02</t>
        </is>
      </c>
      <c r="Y2083" t="n">
        <v>1103</v>
      </c>
      <c r="Z2083" t="n">
        <v>984</v>
      </c>
      <c r="AA2083" t="n">
        <v>1113</v>
      </c>
      <c r="AB2083" t="n">
        <v>6</v>
      </c>
      <c r="AC2083" t="n">
        <v>7</v>
      </c>
      <c r="AD2083" t="n">
        <v>37</v>
      </c>
      <c r="AE2083" t="n">
        <v>41</v>
      </c>
      <c r="AF2083" t="n">
        <v>15</v>
      </c>
      <c r="AG2083" t="n">
        <v>18</v>
      </c>
      <c r="AH2083" t="n">
        <v>7</v>
      </c>
      <c r="AI2083" t="n">
        <v>7</v>
      </c>
      <c r="AJ2083" t="n">
        <v>20</v>
      </c>
      <c r="AK2083" t="n">
        <v>21</v>
      </c>
      <c r="AL2083" t="n">
        <v>4</v>
      </c>
      <c r="AM2083" t="n">
        <v>5</v>
      </c>
      <c r="AN2083" t="n">
        <v>0</v>
      </c>
      <c r="AO2083" t="n">
        <v>0</v>
      </c>
      <c r="AP2083" t="inlineStr">
        <is>
          <t>No</t>
        </is>
      </c>
      <c r="AQ2083" t="inlineStr">
        <is>
          <t>Yes</t>
        </is>
      </c>
      <c r="AR2083">
        <f>HYPERLINK("http://catalog.hathitrust.org/Record/000580960","HathiTrust Record")</f>
        <v/>
      </c>
      <c r="AS2083">
        <f>HYPERLINK("https://creighton-primo.hosted.exlibrisgroup.com/primo-explore/search?tab=default_tab&amp;search_scope=EVERYTHING&amp;vid=01CRU&amp;lang=en_US&amp;offset=0&amp;query=any,contains,991001908639702656","Catalog Record")</f>
        <v/>
      </c>
      <c r="AT2083">
        <f>HYPERLINK("http://www.worldcat.org/oclc/241448","WorldCat Record")</f>
        <v/>
      </c>
      <c r="AU2083" t="inlineStr">
        <is>
          <t>1386863:eng</t>
        </is>
      </c>
      <c r="AV2083" t="inlineStr">
        <is>
          <t>241448</t>
        </is>
      </c>
      <c r="AW2083" t="inlineStr">
        <is>
          <t>991001908639702656</t>
        </is>
      </c>
      <c r="AX2083" t="inlineStr">
        <is>
          <t>991001908639702656</t>
        </is>
      </c>
      <c r="AY2083" t="inlineStr">
        <is>
          <t>2269880690002656</t>
        </is>
      </c>
      <c r="AZ2083" t="inlineStr">
        <is>
          <t>BOOK</t>
        </is>
      </c>
      <c r="BB2083" t="inlineStr">
        <is>
          <t>9780670226900</t>
        </is>
      </c>
      <c r="BC2083" t="inlineStr">
        <is>
          <t>32285000844802</t>
        </is>
      </c>
      <c r="BD2083" t="inlineStr">
        <is>
          <t>893691019</t>
        </is>
      </c>
    </row>
    <row r="2084">
      <c r="A2084" t="inlineStr">
        <is>
          <t>No</t>
        </is>
      </c>
      <c r="B2084" t="inlineStr">
        <is>
          <t>E842 .A25 1965</t>
        </is>
      </c>
      <c r="C2084" t="inlineStr">
        <is>
          <t>0                      E  0842000A  25          1965</t>
        </is>
      </c>
      <c r="D2084" t="inlineStr">
        <is>
          <t>The wisdom of JFK / edited by T. S. Settel.</t>
        </is>
      </c>
      <c r="F2084" t="inlineStr">
        <is>
          <t>No</t>
        </is>
      </c>
      <c r="G2084" t="inlineStr">
        <is>
          <t>1</t>
        </is>
      </c>
      <c r="H2084" t="inlineStr">
        <is>
          <t>No</t>
        </is>
      </c>
      <c r="I2084" t="inlineStr">
        <is>
          <t>No</t>
        </is>
      </c>
      <c r="J2084" t="inlineStr">
        <is>
          <t>0</t>
        </is>
      </c>
      <c r="K2084" t="inlineStr">
        <is>
          <t>Kennedy, John F. (John Fitzgerald), 1917-1963.</t>
        </is>
      </c>
      <c r="L2084" t="inlineStr">
        <is>
          <t>New York : Dutton, 1965.</t>
        </is>
      </c>
      <c r="M2084" t="inlineStr">
        <is>
          <t>1965</t>
        </is>
      </c>
      <c r="N2084" t="inlineStr">
        <is>
          <t>[1st ed.]</t>
        </is>
      </c>
      <c r="O2084" t="inlineStr">
        <is>
          <t>eng</t>
        </is>
      </c>
      <c r="P2084" t="inlineStr">
        <is>
          <t>nyu</t>
        </is>
      </c>
      <c r="R2084" t="inlineStr">
        <is>
          <t xml:space="preserve">E  </t>
        </is>
      </c>
      <c r="S2084" t="n">
        <v>2</v>
      </c>
      <c r="T2084" t="n">
        <v>2</v>
      </c>
      <c r="U2084" t="inlineStr">
        <is>
          <t>2002-11-21</t>
        </is>
      </c>
      <c r="V2084" t="inlineStr">
        <is>
          <t>2002-11-21</t>
        </is>
      </c>
      <c r="W2084" t="inlineStr">
        <is>
          <t>1994-05-11</t>
        </is>
      </c>
      <c r="X2084" t="inlineStr">
        <is>
          <t>1994-05-11</t>
        </is>
      </c>
      <c r="Y2084" t="n">
        <v>474</v>
      </c>
      <c r="Z2084" t="n">
        <v>461</v>
      </c>
      <c r="AA2084" t="n">
        <v>467</v>
      </c>
      <c r="AB2084" t="n">
        <v>2</v>
      </c>
      <c r="AC2084" t="n">
        <v>2</v>
      </c>
      <c r="AD2084" t="n">
        <v>10</v>
      </c>
      <c r="AE2084" t="n">
        <v>10</v>
      </c>
      <c r="AF2084" t="n">
        <v>3</v>
      </c>
      <c r="AG2084" t="n">
        <v>3</v>
      </c>
      <c r="AH2084" t="n">
        <v>3</v>
      </c>
      <c r="AI2084" t="n">
        <v>3</v>
      </c>
      <c r="AJ2084" t="n">
        <v>8</v>
      </c>
      <c r="AK2084" t="n">
        <v>8</v>
      </c>
      <c r="AL2084" t="n">
        <v>0</v>
      </c>
      <c r="AM2084" t="n">
        <v>0</v>
      </c>
      <c r="AN2084" t="n">
        <v>0</v>
      </c>
      <c r="AO2084" t="n">
        <v>0</v>
      </c>
      <c r="AP2084" t="inlineStr">
        <is>
          <t>No</t>
        </is>
      </c>
      <c r="AQ2084" t="inlineStr">
        <is>
          <t>No</t>
        </is>
      </c>
      <c r="AS2084">
        <f>HYPERLINK("https://creighton-primo.hosted.exlibrisgroup.com/primo-explore/search?tab=default_tab&amp;search_scope=EVERYTHING&amp;vid=01CRU&amp;lang=en_US&amp;offset=0&amp;query=any,contains,991003201819702656","Catalog Record")</f>
        <v/>
      </c>
      <c r="AT2084">
        <f>HYPERLINK("http://www.worldcat.org/oclc/726801","WorldCat Record")</f>
        <v/>
      </c>
      <c r="AU2084" t="inlineStr">
        <is>
          <t>1740722:eng</t>
        </is>
      </c>
      <c r="AV2084" t="inlineStr">
        <is>
          <t>726801</t>
        </is>
      </c>
      <c r="AW2084" t="inlineStr">
        <is>
          <t>991003201819702656</t>
        </is>
      </c>
      <c r="AX2084" t="inlineStr">
        <is>
          <t>991003201819702656</t>
        </is>
      </c>
      <c r="AY2084" t="inlineStr">
        <is>
          <t>2264015660002656</t>
        </is>
      </c>
      <c r="AZ2084" t="inlineStr">
        <is>
          <t>BOOK</t>
        </is>
      </c>
      <c r="BC2084" t="inlineStr">
        <is>
          <t>32285001910560</t>
        </is>
      </c>
      <c r="BD2084" t="inlineStr">
        <is>
          <t>893441013</t>
        </is>
      </c>
    </row>
    <row r="2085">
      <c r="A2085" t="inlineStr">
        <is>
          <t>No</t>
        </is>
      </c>
      <c r="B2085" t="inlineStr">
        <is>
          <t>E842 .B5</t>
        </is>
      </c>
      <c r="C2085" t="inlineStr">
        <is>
          <t>0                      E  0842000B  5</t>
        </is>
      </c>
      <c r="D2085" t="inlineStr">
        <is>
          <t>A day in the life of President Kennedy.</t>
        </is>
      </c>
      <c r="F2085" t="inlineStr">
        <is>
          <t>No</t>
        </is>
      </c>
      <c r="G2085" t="inlineStr">
        <is>
          <t>1</t>
        </is>
      </c>
      <c r="H2085" t="inlineStr">
        <is>
          <t>No</t>
        </is>
      </c>
      <c r="I2085" t="inlineStr">
        <is>
          <t>No</t>
        </is>
      </c>
      <c r="J2085" t="inlineStr">
        <is>
          <t>0</t>
        </is>
      </c>
      <c r="K2085" t="inlineStr">
        <is>
          <t>Bishop, Jim, 1907-1987.</t>
        </is>
      </c>
      <c r="L2085" t="inlineStr">
        <is>
          <t>New York : Random House, [1964]</t>
        </is>
      </c>
      <c r="M2085" t="inlineStr">
        <is>
          <t>1964</t>
        </is>
      </c>
      <c r="O2085" t="inlineStr">
        <is>
          <t>eng</t>
        </is>
      </c>
      <c r="P2085" t="inlineStr">
        <is>
          <t>nyu</t>
        </is>
      </c>
      <c r="R2085" t="inlineStr">
        <is>
          <t xml:space="preserve">E  </t>
        </is>
      </c>
      <c r="S2085" t="n">
        <v>7</v>
      </c>
      <c r="T2085" t="n">
        <v>7</v>
      </c>
      <c r="U2085" t="inlineStr">
        <is>
          <t>1999-04-27</t>
        </is>
      </c>
      <c r="V2085" t="inlineStr">
        <is>
          <t>1999-04-27</t>
        </is>
      </c>
      <c r="W2085" t="inlineStr">
        <is>
          <t>1993-12-08</t>
        </is>
      </c>
      <c r="X2085" t="inlineStr">
        <is>
          <t>1993-12-08</t>
        </is>
      </c>
      <c r="Y2085" t="n">
        <v>1328</v>
      </c>
      <c r="Z2085" t="n">
        <v>1295</v>
      </c>
      <c r="AA2085" t="n">
        <v>1328</v>
      </c>
      <c r="AB2085" t="n">
        <v>19</v>
      </c>
      <c r="AC2085" t="n">
        <v>19</v>
      </c>
      <c r="AD2085" t="n">
        <v>41</v>
      </c>
      <c r="AE2085" t="n">
        <v>41</v>
      </c>
      <c r="AF2085" t="n">
        <v>15</v>
      </c>
      <c r="AG2085" t="n">
        <v>15</v>
      </c>
      <c r="AH2085" t="n">
        <v>10</v>
      </c>
      <c r="AI2085" t="n">
        <v>10</v>
      </c>
      <c r="AJ2085" t="n">
        <v>22</v>
      </c>
      <c r="AK2085" t="n">
        <v>22</v>
      </c>
      <c r="AL2085" t="n">
        <v>5</v>
      </c>
      <c r="AM2085" t="n">
        <v>5</v>
      </c>
      <c r="AN2085" t="n">
        <v>1</v>
      </c>
      <c r="AO2085" t="n">
        <v>1</v>
      </c>
      <c r="AP2085" t="inlineStr">
        <is>
          <t>No</t>
        </is>
      </c>
      <c r="AQ2085" t="inlineStr">
        <is>
          <t>Yes</t>
        </is>
      </c>
      <c r="AR2085">
        <f>HYPERLINK("http://catalog.hathitrust.org/Record/000580961","HathiTrust Record")</f>
        <v/>
      </c>
      <c r="AS2085">
        <f>HYPERLINK("https://creighton-primo.hosted.exlibrisgroup.com/primo-explore/search?tab=default_tab&amp;search_scope=EVERYTHING&amp;vid=01CRU&amp;lang=en_US&amp;offset=0&amp;query=any,contains,991003429729702656","Catalog Record")</f>
        <v/>
      </c>
      <c r="AT2085">
        <f>HYPERLINK("http://www.worldcat.org/oclc/965288","WorldCat Record")</f>
        <v/>
      </c>
      <c r="AU2085" t="inlineStr">
        <is>
          <t>1919401:eng</t>
        </is>
      </c>
      <c r="AV2085" t="inlineStr">
        <is>
          <t>965288</t>
        </is>
      </c>
      <c r="AW2085" t="inlineStr">
        <is>
          <t>991003429729702656</t>
        </is>
      </c>
      <c r="AX2085" t="inlineStr">
        <is>
          <t>991003429729702656</t>
        </is>
      </c>
      <c r="AY2085" t="inlineStr">
        <is>
          <t>2258339120002656</t>
        </is>
      </c>
      <c r="AZ2085" t="inlineStr">
        <is>
          <t>BOOK</t>
        </is>
      </c>
      <c r="BC2085" t="inlineStr">
        <is>
          <t>32285001807048</t>
        </is>
      </c>
      <c r="BD2085" t="inlineStr">
        <is>
          <t>893774708</t>
        </is>
      </c>
    </row>
    <row r="2086">
      <c r="A2086" t="inlineStr">
        <is>
          <t>No</t>
        </is>
      </c>
      <c r="B2086" t="inlineStr">
        <is>
          <t>E842 .C76</t>
        </is>
      </c>
      <c r="C2086" t="inlineStr">
        <is>
          <t>0                      E  0842000C  76</t>
        </is>
      </c>
      <c r="D2086" t="inlineStr">
        <is>
          <t>The Kennedy literature: a bibliographical essay on John F. Kennedy.</t>
        </is>
      </c>
      <c r="F2086" t="inlineStr">
        <is>
          <t>No</t>
        </is>
      </c>
      <c r="G2086" t="inlineStr">
        <is>
          <t>1</t>
        </is>
      </c>
      <c r="H2086" t="inlineStr">
        <is>
          <t>No</t>
        </is>
      </c>
      <c r="I2086" t="inlineStr">
        <is>
          <t>No</t>
        </is>
      </c>
      <c r="J2086" t="inlineStr">
        <is>
          <t>0</t>
        </is>
      </c>
      <c r="K2086" t="inlineStr">
        <is>
          <t>Crown, James Tracy.</t>
        </is>
      </c>
      <c r="L2086" t="inlineStr">
        <is>
          <t>New York, New York University Press, 1968.</t>
        </is>
      </c>
      <c r="M2086" t="inlineStr">
        <is>
          <t>1968</t>
        </is>
      </c>
      <c r="O2086" t="inlineStr">
        <is>
          <t>eng</t>
        </is>
      </c>
      <c r="P2086" t="inlineStr">
        <is>
          <t>nyu</t>
        </is>
      </c>
      <c r="R2086" t="inlineStr">
        <is>
          <t xml:space="preserve">E  </t>
        </is>
      </c>
      <c r="S2086" t="n">
        <v>2</v>
      </c>
      <c r="T2086" t="n">
        <v>2</v>
      </c>
      <c r="U2086" t="inlineStr">
        <is>
          <t>2004-03-15</t>
        </is>
      </c>
      <c r="V2086" t="inlineStr">
        <is>
          <t>2004-03-15</t>
        </is>
      </c>
      <c r="W2086" t="inlineStr">
        <is>
          <t>1997-04-29</t>
        </is>
      </c>
      <c r="X2086" t="inlineStr">
        <is>
          <t>1997-04-29</t>
        </is>
      </c>
      <c r="Y2086" t="n">
        <v>798</v>
      </c>
      <c r="Z2086" t="n">
        <v>704</v>
      </c>
      <c r="AA2086" t="n">
        <v>712</v>
      </c>
      <c r="AB2086" t="n">
        <v>7</v>
      </c>
      <c r="AC2086" t="n">
        <v>7</v>
      </c>
      <c r="AD2086" t="n">
        <v>38</v>
      </c>
      <c r="AE2086" t="n">
        <v>38</v>
      </c>
      <c r="AF2086" t="n">
        <v>17</v>
      </c>
      <c r="AG2086" t="n">
        <v>17</v>
      </c>
      <c r="AH2086" t="n">
        <v>7</v>
      </c>
      <c r="AI2086" t="n">
        <v>7</v>
      </c>
      <c r="AJ2086" t="n">
        <v>14</v>
      </c>
      <c r="AK2086" t="n">
        <v>14</v>
      </c>
      <c r="AL2086" t="n">
        <v>6</v>
      </c>
      <c r="AM2086" t="n">
        <v>6</v>
      </c>
      <c r="AN2086" t="n">
        <v>1</v>
      </c>
      <c r="AO2086" t="n">
        <v>1</v>
      </c>
      <c r="AP2086" t="inlineStr">
        <is>
          <t>No</t>
        </is>
      </c>
      <c r="AQ2086" t="inlineStr">
        <is>
          <t>Yes</t>
        </is>
      </c>
      <c r="AR2086">
        <f>HYPERLINK("http://catalog.hathitrust.org/Record/000575461","HathiTrust Record")</f>
        <v/>
      </c>
      <c r="AS2086">
        <f>HYPERLINK("https://creighton-primo.hosted.exlibrisgroup.com/primo-explore/search?tab=default_tab&amp;search_scope=EVERYTHING&amp;vid=01CRU&amp;lang=en_US&amp;offset=0&amp;query=any,contains,991000805199702656","Catalog Record")</f>
        <v/>
      </c>
      <c r="AT2086">
        <f>HYPERLINK("http://www.worldcat.org/oclc/140474","WorldCat Record")</f>
        <v/>
      </c>
      <c r="AU2086" t="inlineStr">
        <is>
          <t>292299253:eng</t>
        </is>
      </c>
      <c r="AV2086" t="inlineStr">
        <is>
          <t>140474</t>
        </is>
      </c>
      <c r="AW2086" t="inlineStr">
        <is>
          <t>991000805199702656</t>
        </is>
      </c>
      <c r="AX2086" t="inlineStr">
        <is>
          <t>991000805199702656</t>
        </is>
      </c>
      <c r="AY2086" t="inlineStr">
        <is>
          <t>2255512160002656</t>
        </is>
      </c>
      <c r="AZ2086" t="inlineStr">
        <is>
          <t>BOOK</t>
        </is>
      </c>
      <c r="BC2086" t="inlineStr">
        <is>
          <t>32285002568474</t>
        </is>
      </c>
      <c r="BD2086" t="inlineStr">
        <is>
          <t>893321357</t>
        </is>
      </c>
    </row>
    <row r="2087">
      <c r="A2087" t="inlineStr">
        <is>
          <t>No</t>
        </is>
      </c>
      <c r="B2087" t="inlineStr">
        <is>
          <t>E842 .D58</t>
        </is>
      </c>
      <c r="C2087" t="inlineStr">
        <is>
          <t>0                      E  0842000D  58</t>
        </is>
      </c>
      <c r="D2087" t="inlineStr">
        <is>
          <t>John F. Kennedy, American.</t>
        </is>
      </c>
      <c r="F2087" t="inlineStr">
        <is>
          <t>No</t>
        </is>
      </c>
      <c r="G2087" t="inlineStr">
        <is>
          <t>1</t>
        </is>
      </c>
      <c r="H2087" t="inlineStr">
        <is>
          <t>No</t>
        </is>
      </c>
      <c r="I2087" t="inlineStr">
        <is>
          <t>No</t>
        </is>
      </c>
      <c r="J2087" t="inlineStr">
        <is>
          <t>0</t>
        </is>
      </c>
      <c r="K2087" t="inlineStr">
        <is>
          <t>Dollen, Charles.</t>
        </is>
      </c>
      <c r="L2087" t="inlineStr">
        <is>
          <t>[Boston : St. Paul Editions, 1965]</t>
        </is>
      </c>
      <c r="M2087" t="inlineStr">
        <is>
          <t>1965</t>
        </is>
      </c>
      <c r="O2087" t="inlineStr">
        <is>
          <t>eng</t>
        </is>
      </c>
      <c r="P2087" t="inlineStr">
        <is>
          <t xml:space="preserve">xx </t>
        </is>
      </c>
      <c r="R2087" t="inlineStr">
        <is>
          <t xml:space="preserve">E  </t>
        </is>
      </c>
      <c r="S2087" t="n">
        <v>5</v>
      </c>
      <c r="T2087" t="n">
        <v>5</v>
      </c>
      <c r="U2087" t="inlineStr">
        <is>
          <t>2004-10-09</t>
        </is>
      </c>
      <c r="V2087" t="inlineStr">
        <is>
          <t>2004-10-09</t>
        </is>
      </c>
      <c r="W2087" t="inlineStr">
        <is>
          <t>1992-05-01</t>
        </is>
      </c>
      <c r="X2087" t="inlineStr">
        <is>
          <t>1992-05-01</t>
        </is>
      </c>
      <c r="Y2087" t="n">
        <v>100</v>
      </c>
      <c r="Z2087" t="n">
        <v>96</v>
      </c>
      <c r="AA2087" t="n">
        <v>100</v>
      </c>
      <c r="AB2087" t="n">
        <v>1</v>
      </c>
      <c r="AC2087" t="n">
        <v>1</v>
      </c>
      <c r="AD2087" t="n">
        <v>6</v>
      </c>
      <c r="AE2087" t="n">
        <v>6</v>
      </c>
      <c r="AF2087" t="n">
        <v>0</v>
      </c>
      <c r="AG2087" t="n">
        <v>0</v>
      </c>
      <c r="AH2087" t="n">
        <v>1</v>
      </c>
      <c r="AI2087" t="n">
        <v>1</v>
      </c>
      <c r="AJ2087" t="n">
        <v>6</v>
      </c>
      <c r="AK2087" t="n">
        <v>6</v>
      </c>
      <c r="AL2087" t="n">
        <v>0</v>
      </c>
      <c r="AM2087" t="n">
        <v>0</v>
      </c>
      <c r="AN2087" t="n">
        <v>0</v>
      </c>
      <c r="AO2087" t="n">
        <v>0</v>
      </c>
      <c r="AP2087" t="inlineStr">
        <is>
          <t>No</t>
        </is>
      </c>
      <c r="AQ2087" t="inlineStr">
        <is>
          <t>Yes</t>
        </is>
      </c>
      <c r="AR2087">
        <f>HYPERLINK("http://catalog.hathitrust.org/Record/000575327","HathiTrust Record")</f>
        <v/>
      </c>
      <c r="AS2087">
        <f>HYPERLINK("https://creighton-primo.hosted.exlibrisgroup.com/primo-explore/search?tab=default_tab&amp;search_scope=EVERYTHING&amp;vid=01CRU&amp;lang=en_US&amp;offset=0&amp;query=any,contains,991004454989702656","Catalog Record")</f>
        <v/>
      </c>
      <c r="AT2087">
        <f>HYPERLINK("http://www.worldcat.org/oclc/3520409","WorldCat Record")</f>
        <v/>
      </c>
      <c r="AU2087" t="inlineStr">
        <is>
          <t>10797233:eng</t>
        </is>
      </c>
      <c r="AV2087" t="inlineStr">
        <is>
          <t>3520409</t>
        </is>
      </c>
      <c r="AW2087" t="inlineStr">
        <is>
          <t>991004454989702656</t>
        </is>
      </c>
      <c r="AX2087" t="inlineStr">
        <is>
          <t>991004454989702656</t>
        </is>
      </c>
      <c r="AY2087" t="inlineStr">
        <is>
          <t>2263750810002656</t>
        </is>
      </c>
      <c r="AZ2087" t="inlineStr">
        <is>
          <t>BOOK</t>
        </is>
      </c>
      <c r="BC2087" t="inlineStr">
        <is>
          <t>32285001091403</t>
        </is>
      </c>
      <c r="BD2087" t="inlineStr">
        <is>
          <t>893343848</t>
        </is>
      </c>
    </row>
    <row r="2088">
      <c r="A2088" t="inlineStr">
        <is>
          <t>No</t>
        </is>
      </c>
      <c r="B2088" t="inlineStr">
        <is>
          <t>E842 .D6</t>
        </is>
      </c>
      <c r="C2088" t="inlineStr">
        <is>
          <t>0                      E  0842000D  6</t>
        </is>
      </c>
      <c r="D2088" t="inlineStr">
        <is>
          <t>PT109, John F. Kennedy in World War II.</t>
        </is>
      </c>
      <c r="F2088" t="inlineStr">
        <is>
          <t>No</t>
        </is>
      </c>
      <c r="G2088" t="inlineStr">
        <is>
          <t>1</t>
        </is>
      </c>
      <c r="H2088" t="inlineStr">
        <is>
          <t>No</t>
        </is>
      </c>
      <c r="I2088" t="inlineStr">
        <is>
          <t>No</t>
        </is>
      </c>
      <c r="J2088" t="inlineStr">
        <is>
          <t>0</t>
        </is>
      </c>
      <c r="K2088" t="inlineStr">
        <is>
          <t>Donovan, Robert J.</t>
        </is>
      </c>
      <c r="L2088" t="inlineStr">
        <is>
          <t>New York, McGraw-Hill [1961]</t>
        </is>
      </c>
      <c r="M2088" t="inlineStr">
        <is>
          <t>1961</t>
        </is>
      </c>
      <c r="N2088" t="inlineStr">
        <is>
          <t>[1st ed.]</t>
        </is>
      </c>
      <c r="O2088" t="inlineStr">
        <is>
          <t>eng</t>
        </is>
      </c>
      <c r="P2088" t="inlineStr">
        <is>
          <t>nyu</t>
        </is>
      </c>
      <c r="R2088" t="inlineStr">
        <is>
          <t xml:space="preserve">E  </t>
        </is>
      </c>
      <c r="S2088" t="n">
        <v>3</v>
      </c>
      <c r="T2088" t="n">
        <v>3</v>
      </c>
      <c r="U2088" t="inlineStr">
        <is>
          <t>2002-03-04</t>
        </is>
      </c>
      <c r="V2088" t="inlineStr">
        <is>
          <t>2002-03-04</t>
        </is>
      </c>
      <c r="W2088" t="inlineStr">
        <is>
          <t>1997-04-29</t>
        </is>
      </c>
      <c r="X2088" t="inlineStr">
        <is>
          <t>1997-04-29</t>
        </is>
      </c>
      <c r="Y2088" t="n">
        <v>1830</v>
      </c>
      <c r="Z2088" t="n">
        <v>1777</v>
      </c>
      <c r="AA2088" t="n">
        <v>2425</v>
      </c>
      <c r="AB2088" t="n">
        <v>18</v>
      </c>
      <c r="AC2088" t="n">
        <v>27</v>
      </c>
      <c r="AD2088" t="n">
        <v>31</v>
      </c>
      <c r="AE2088" t="n">
        <v>39</v>
      </c>
      <c r="AF2088" t="n">
        <v>10</v>
      </c>
      <c r="AG2088" t="n">
        <v>15</v>
      </c>
      <c r="AH2088" t="n">
        <v>3</v>
      </c>
      <c r="AI2088" t="n">
        <v>4</v>
      </c>
      <c r="AJ2088" t="n">
        <v>15</v>
      </c>
      <c r="AK2088" t="n">
        <v>17</v>
      </c>
      <c r="AL2088" t="n">
        <v>7</v>
      </c>
      <c r="AM2088" t="n">
        <v>9</v>
      </c>
      <c r="AN2088" t="n">
        <v>0</v>
      </c>
      <c r="AO2088" t="n">
        <v>0</v>
      </c>
      <c r="AP2088" t="inlineStr">
        <is>
          <t>No</t>
        </is>
      </c>
      <c r="AQ2088" t="inlineStr">
        <is>
          <t>Yes</t>
        </is>
      </c>
      <c r="AR2088">
        <f>HYPERLINK("http://catalog.hathitrust.org/Record/000575337","HathiTrust Record")</f>
        <v/>
      </c>
      <c r="AS2088">
        <f>HYPERLINK("https://creighton-primo.hosted.exlibrisgroup.com/primo-explore/search?tab=default_tab&amp;search_scope=EVERYTHING&amp;vid=01CRU&amp;lang=en_US&amp;offset=0&amp;query=any,contains,991002831329702656","Catalog Record")</f>
        <v/>
      </c>
      <c r="AT2088">
        <f>HYPERLINK("http://www.worldcat.org/oclc/477603","WorldCat Record")</f>
        <v/>
      </c>
      <c r="AU2088" t="inlineStr">
        <is>
          <t>7166966:eng</t>
        </is>
      </c>
      <c r="AV2088" t="inlineStr">
        <is>
          <t>477603</t>
        </is>
      </c>
      <c r="AW2088" t="inlineStr">
        <is>
          <t>991002831329702656</t>
        </is>
      </c>
      <c r="AX2088" t="inlineStr">
        <is>
          <t>991002831329702656</t>
        </is>
      </c>
      <c r="AY2088" t="inlineStr">
        <is>
          <t>2264052320002656</t>
        </is>
      </c>
      <c r="AZ2088" t="inlineStr">
        <is>
          <t>BOOK</t>
        </is>
      </c>
      <c r="BC2088" t="inlineStr">
        <is>
          <t>32285002568490</t>
        </is>
      </c>
      <c r="BD2088" t="inlineStr">
        <is>
          <t>893239564</t>
        </is>
      </c>
    </row>
    <row r="2089">
      <c r="A2089" t="inlineStr">
        <is>
          <t>No</t>
        </is>
      </c>
      <c r="B2089" t="inlineStr">
        <is>
          <t>E842 .H275 1992</t>
        </is>
      </c>
      <c r="C2089" t="inlineStr">
        <is>
          <t>0                      E  0842000H  275         1992</t>
        </is>
      </c>
      <c r="D2089" t="inlineStr">
        <is>
          <t>JFK, reckless youth / Nigel Hamilton.</t>
        </is>
      </c>
      <c r="F2089" t="inlineStr">
        <is>
          <t>No</t>
        </is>
      </c>
      <c r="G2089" t="inlineStr">
        <is>
          <t>1</t>
        </is>
      </c>
      <c r="H2089" t="inlineStr">
        <is>
          <t>No</t>
        </is>
      </c>
      <c r="I2089" t="inlineStr">
        <is>
          <t>No</t>
        </is>
      </c>
      <c r="J2089" t="inlineStr">
        <is>
          <t>0</t>
        </is>
      </c>
      <c r="K2089" t="inlineStr">
        <is>
          <t>Hamilton, Nigel.</t>
        </is>
      </c>
      <c r="L2089" t="inlineStr">
        <is>
          <t>New York : Random House, 1992.</t>
        </is>
      </c>
      <c r="M2089" t="inlineStr">
        <is>
          <t>1992</t>
        </is>
      </c>
      <c r="O2089" t="inlineStr">
        <is>
          <t>eng</t>
        </is>
      </c>
      <c r="P2089" t="inlineStr">
        <is>
          <t>nyu</t>
        </is>
      </c>
      <c r="R2089" t="inlineStr">
        <is>
          <t xml:space="preserve">E  </t>
        </is>
      </c>
      <c r="S2089" t="n">
        <v>12</v>
      </c>
      <c r="T2089" t="n">
        <v>12</v>
      </c>
      <c r="U2089" t="inlineStr">
        <is>
          <t>1998-11-25</t>
        </is>
      </c>
      <c r="V2089" t="inlineStr">
        <is>
          <t>1998-11-25</t>
        </is>
      </c>
      <c r="W2089" t="inlineStr">
        <is>
          <t>1993-10-04</t>
        </is>
      </c>
      <c r="X2089" t="inlineStr">
        <is>
          <t>1993-10-04</t>
        </is>
      </c>
      <c r="Y2089" t="n">
        <v>2605</v>
      </c>
      <c r="Z2089" t="n">
        <v>2481</v>
      </c>
      <c r="AA2089" t="n">
        <v>2598</v>
      </c>
      <c r="AB2089" t="n">
        <v>28</v>
      </c>
      <c r="AC2089" t="n">
        <v>30</v>
      </c>
      <c r="AD2089" t="n">
        <v>50</v>
      </c>
      <c r="AE2089" t="n">
        <v>53</v>
      </c>
      <c r="AF2089" t="n">
        <v>18</v>
      </c>
      <c r="AG2089" t="n">
        <v>19</v>
      </c>
      <c r="AH2089" t="n">
        <v>9</v>
      </c>
      <c r="AI2089" t="n">
        <v>9</v>
      </c>
      <c r="AJ2089" t="n">
        <v>19</v>
      </c>
      <c r="AK2089" t="n">
        <v>20</v>
      </c>
      <c r="AL2089" t="n">
        <v>11</v>
      </c>
      <c r="AM2089" t="n">
        <v>13</v>
      </c>
      <c r="AN2089" t="n">
        <v>1</v>
      </c>
      <c r="AO2089" t="n">
        <v>1</v>
      </c>
      <c r="AP2089" t="inlineStr">
        <is>
          <t>No</t>
        </is>
      </c>
      <c r="AQ2089" t="inlineStr">
        <is>
          <t>No</t>
        </is>
      </c>
      <c r="AS2089">
        <f>HYPERLINK("https://creighton-primo.hosted.exlibrisgroup.com/primo-explore/search?tab=default_tab&amp;search_scope=EVERYTHING&amp;vid=01CRU&amp;lang=en_US&amp;offset=0&amp;query=any,contains,991001998679702656","Catalog Record")</f>
        <v/>
      </c>
      <c r="AT2089">
        <f>HYPERLINK("http://www.worldcat.org/oclc/25409511","WorldCat Record")</f>
        <v/>
      </c>
      <c r="AU2089" t="inlineStr">
        <is>
          <t>392453:eng</t>
        </is>
      </c>
      <c r="AV2089" t="inlineStr">
        <is>
          <t>25409511</t>
        </is>
      </c>
      <c r="AW2089" t="inlineStr">
        <is>
          <t>991001998679702656</t>
        </is>
      </c>
      <c r="AX2089" t="inlineStr">
        <is>
          <t>991001998679702656</t>
        </is>
      </c>
      <c r="AY2089" t="inlineStr">
        <is>
          <t>2266793270002656</t>
        </is>
      </c>
      <c r="AZ2089" t="inlineStr">
        <is>
          <t>BOOK</t>
        </is>
      </c>
      <c r="BB2089" t="inlineStr">
        <is>
          <t>9780679412168</t>
        </is>
      </c>
      <c r="BC2089" t="inlineStr">
        <is>
          <t>32285001769537</t>
        </is>
      </c>
      <c r="BD2089" t="inlineStr">
        <is>
          <t>893798041</t>
        </is>
      </c>
    </row>
    <row r="2090">
      <c r="A2090" t="inlineStr">
        <is>
          <t>No</t>
        </is>
      </c>
      <c r="B2090" t="inlineStr">
        <is>
          <t>E842 .L3</t>
        </is>
      </c>
      <c r="C2090" t="inlineStr">
        <is>
          <t>0                      E  0842000L  3</t>
        </is>
      </c>
      <c r="D2090" t="inlineStr">
        <is>
          <t>J.F.K. : the man and the myth.</t>
        </is>
      </c>
      <c r="F2090" t="inlineStr">
        <is>
          <t>No</t>
        </is>
      </c>
      <c r="G2090" t="inlineStr">
        <is>
          <t>1</t>
        </is>
      </c>
      <c r="H2090" t="inlineStr">
        <is>
          <t>No</t>
        </is>
      </c>
      <c r="I2090" t="inlineStr">
        <is>
          <t>No</t>
        </is>
      </c>
      <c r="J2090" t="inlineStr">
        <is>
          <t>0</t>
        </is>
      </c>
      <c r="K2090" t="inlineStr">
        <is>
          <t>Lasky, Victor.</t>
        </is>
      </c>
      <c r="L2090" t="inlineStr">
        <is>
          <t>New York, Macmillan [1963]</t>
        </is>
      </c>
      <c r="M2090" t="inlineStr">
        <is>
          <t>1963</t>
        </is>
      </c>
      <c r="O2090" t="inlineStr">
        <is>
          <t>eng</t>
        </is>
      </c>
      <c r="P2090" t="inlineStr">
        <is>
          <t>nyu</t>
        </is>
      </c>
      <c r="R2090" t="inlineStr">
        <is>
          <t xml:space="preserve">E  </t>
        </is>
      </c>
      <c r="S2090" t="n">
        <v>8</v>
      </c>
      <c r="T2090" t="n">
        <v>8</v>
      </c>
      <c r="U2090" t="inlineStr">
        <is>
          <t>2004-03-17</t>
        </is>
      </c>
      <c r="V2090" t="inlineStr">
        <is>
          <t>2004-03-17</t>
        </is>
      </c>
      <c r="W2090" t="inlineStr">
        <is>
          <t>1996-08-21</t>
        </is>
      </c>
      <c r="X2090" t="inlineStr">
        <is>
          <t>1996-08-21</t>
        </is>
      </c>
      <c r="Y2090" t="n">
        <v>1865</v>
      </c>
      <c r="Z2090" t="n">
        <v>1766</v>
      </c>
      <c r="AA2090" t="n">
        <v>2010</v>
      </c>
      <c r="AB2090" t="n">
        <v>26</v>
      </c>
      <c r="AC2090" t="n">
        <v>29</v>
      </c>
      <c r="AD2090" t="n">
        <v>52</v>
      </c>
      <c r="AE2090" t="n">
        <v>60</v>
      </c>
      <c r="AF2090" t="n">
        <v>21</v>
      </c>
      <c r="AG2090" t="n">
        <v>25</v>
      </c>
      <c r="AH2090" t="n">
        <v>10</v>
      </c>
      <c r="AI2090" t="n">
        <v>10</v>
      </c>
      <c r="AJ2090" t="n">
        <v>21</v>
      </c>
      <c r="AK2090" t="n">
        <v>23</v>
      </c>
      <c r="AL2090" t="n">
        <v>10</v>
      </c>
      <c r="AM2090" t="n">
        <v>12</v>
      </c>
      <c r="AN2090" t="n">
        <v>2</v>
      </c>
      <c r="AO2090" t="n">
        <v>3</v>
      </c>
      <c r="AP2090" t="inlineStr">
        <is>
          <t>No</t>
        </is>
      </c>
      <c r="AQ2090" t="inlineStr">
        <is>
          <t>Yes</t>
        </is>
      </c>
      <c r="AR2090">
        <f>HYPERLINK("http://catalog.hathitrust.org/Record/000580813","HathiTrust Record")</f>
        <v/>
      </c>
      <c r="AS2090">
        <f>HYPERLINK("https://creighton-primo.hosted.exlibrisgroup.com/primo-explore/search?tab=default_tab&amp;search_scope=EVERYTHING&amp;vid=01CRU&amp;lang=en_US&amp;offset=0&amp;query=any,contains,991003176629702656","Catalog Record")</f>
        <v/>
      </c>
      <c r="AT2090">
        <f>HYPERLINK("http://www.worldcat.org/oclc/710916","WorldCat Record")</f>
        <v/>
      </c>
      <c r="AU2090" t="inlineStr">
        <is>
          <t>315013568:eng</t>
        </is>
      </c>
      <c r="AV2090" t="inlineStr">
        <is>
          <t>710916</t>
        </is>
      </c>
      <c r="AW2090" t="inlineStr">
        <is>
          <t>991003176629702656</t>
        </is>
      </c>
      <c r="AX2090" t="inlineStr">
        <is>
          <t>991003176629702656</t>
        </is>
      </c>
      <c r="AY2090" t="inlineStr">
        <is>
          <t>2262465780002656</t>
        </is>
      </c>
      <c r="AZ2090" t="inlineStr">
        <is>
          <t>BOOK</t>
        </is>
      </c>
      <c r="BC2090" t="inlineStr">
        <is>
          <t>32285002283181</t>
        </is>
      </c>
      <c r="BD2090" t="inlineStr">
        <is>
          <t>893246090</t>
        </is>
      </c>
    </row>
    <row r="2091">
      <c r="A2091" t="inlineStr">
        <is>
          <t>No</t>
        </is>
      </c>
      <c r="B2091" t="inlineStr">
        <is>
          <t>E842 .L54</t>
        </is>
      </c>
      <c r="C2091" t="inlineStr">
        <is>
          <t>0                      E  0842000L  54</t>
        </is>
      </c>
      <c r="D2091" t="inlineStr">
        <is>
          <t>My twelve years with John F. Kennedy.</t>
        </is>
      </c>
      <c r="F2091" t="inlineStr">
        <is>
          <t>No</t>
        </is>
      </c>
      <c r="G2091" t="inlineStr">
        <is>
          <t>1</t>
        </is>
      </c>
      <c r="H2091" t="inlineStr">
        <is>
          <t>No</t>
        </is>
      </c>
      <c r="I2091" t="inlineStr">
        <is>
          <t>No</t>
        </is>
      </c>
      <c r="J2091" t="inlineStr">
        <is>
          <t>0</t>
        </is>
      </c>
      <c r="K2091" t="inlineStr">
        <is>
          <t>Lincoln, Evelyn, 1909-1995.</t>
        </is>
      </c>
      <c r="L2091" t="inlineStr">
        <is>
          <t>New York : D. McKay Co., [1965]</t>
        </is>
      </c>
      <c r="M2091" t="inlineStr">
        <is>
          <t>1965</t>
        </is>
      </c>
      <c r="O2091" t="inlineStr">
        <is>
          <t>eng</t>
        </is>
      </c>
      <c r="P2091" t="inlineStr">
        <is>
          <t>nyu</t>
        </is>
      </c>
      <c r="R2091" t="inlineStr">
        <is>
          <t xml:space="preserve">E  </t>
        </is>
      </c>
      <c r="S2091" t="n">
        <v>1</v>
      </c>
      <c r="T2091" t="n">
        <v>1</v>
      </c>
      <c r="U2091" t="inlineStr">
        <is>
          <t>1993-03-04</t>
        </is>
      </c>
      <c r="V2091" t="inlineStr">
        <is>
          <t>1993-03-04</t>
        </is>
      </c>
      <c r="W2091" t="inlineStr">
        <is>
          <t>1993-03-04</t>
        </is>
      </c>
      <c r="X2091" t="inlineStr">
        <is>
          <t>1993-03-04</t>
        </is>
      </c>
      <c r="Y2091" t="n">
        <v>1234</v>
      </c>
      <c r="Z2091" t="n">
        <v>1182</v>
      </c>
      <c r="AA2091" t="n">
        <v>1234</v>
      </c>
      <c r="AB2091" t="n">
        <v>12</v>
      </c>
      <c r="AC2091" t="n">
        <v>14</v>
      </c>
      <c r="AD2091" t="n">
        <v>31</v>
      </c>
      <c r="AE2091" t="n">
        <v>34</v>
      </c>
      <c r="AF2091" t="n">
        <v>13</v>
      </c>
      <c r="AG2091" t="n">
        <v>13</v>
      </c>
      <c r="AH2091" t="n">
        <v>6</v>
      </c>
      <c r="AI2091" t="n">
        <v>6</v>
      </c>
      <c r="AJ2091" t="n">
        <v>16</v>
      </c>
      <c r="AK2091" t="n">
        <v>17</v>
      </c>
      <c r="AL2091" t="n">
        <v>4</v>
      </c>
      <c r="AM2091" t="n">
        <v>6</v>
      </c>
      <c r="AN2091" t="n">
        <v>0</v>
      </c>
      <c r="AO2091" t="n">
        <v>0</v>
      </c>
      <c r="AP2091" t="inlineStr">
        <is>
          <t>No</t>
        </is>
      </c>
      <c r="AQ2091" t="inlineStr">
        <is>
          <t>Yes</t>
        </is>
      </c>
      <c r="AR2091">
        <f>HYPERLINK("http://catalog.hathitrust.org/Record/000580942","HathiTrust Record")</f>
        <v/>
      </c>
      <c r="AS2091">
        <f>HYPERLINK("https://creighton-primo.hosted.exlibrisgroup.com/primo-explore/search?tab=default_tab&amp;search_scope=EVERYTHING&amp;vid=01CRU&amp;lang=en_US&amp;offset=0&amp;query=any,contains,991003638349702656","Catalog Record")</f>
        <v/>
      </c>
      <c r="AT2091">
        <f>HYPERLINK("http://www.worldcat.org/oclc/1232995","WorldCat Record")</f>
        <v/>
      </c>
      <c r="AU2091" t="inlineStr">
        <is>
          <t>146388661:eng</t>
        </is>
      </c>
      <c r="AV2091" t="inlineStr">
        <is>
          <t>1232995</t>
        </is>
      </c>
      <c r="AW2091" t="inlineStr">
        <is>
          <t>991003638349702656</t>
        </is>
      </c>
      <c r="AX2091" t="inlineStr">
        <is>
          <t>991003638349702656</t>
        </is>
      </c>
      <c r="AY2091" t="inlineStr">
        <is>
          <t>2264155920002656</t>
        </is>
      </c>
      <c r="AZ2091" t="inlineStr">
        <is>
          <t>BOOK</t>
        </is>
      </c>
      <c r="BC2091" t="inlineStr">
        <is>
          <t>32285001497535</t>
        </is>
      </c>
      <c r="BD2091" t="inlineStr">
        <is>
          <t>893881379</t>
        </is>
      </c>
    </row>
    <row r="2092">
      <c r="A2092" t="inlineStr">
        <is>
          <t>No</t>
        </is>
      </c>
      <c r="B2092" t="inlineStr">
        <is>
          <t>E842 .M29 1983</t>
        </is>
      </c>
      <c r="C2092" t="inlineStr">
        <is>
          <t>0                      E  0842000M  29          1983</t>
        </is>
      </c>
      <c r="D2092" t="inlineStr">
        <is>
          <t>One brief shining moment : remembering Kennedy / William Manchester.</t>
        </is>
      </c>
      <c r="F2092" t="inlineStr">
        <is>
          <t>No</t>
        </is>
      </c>
      <c r="G2092" t="inlineStr">
        <is>
          <t>1</t>
        </is>
      </c>
      <c r="H2092" t="inlineStr">
        <is>
          <t>No</t>
        </is>
      </c>
      <c r="I2092" t="inlineStr">
        <is>
          <t>No</t>
        </is>
      </c>
      <c r="J2092" t="inlineStr">
        <is>
          <t>0</t>
        </is>
      </c>
      <c r="K2092" t="inlineStr">
        <is>
          <t>Manchester, William, 1922-2004.</t>
        </is>
      </c>
      <c r="L2092" t="inlineStr">
        <is>
          <t>Boston : Little, Brown, c1983.</t>
        </is>
      </c>
      <c r="M2092" t="inlineStr">
        <is>
          <t>1983</t>
        </is>
      </c>
      <c r="N2092" t="inlineStr">
        <is>
          <t>1st ed.</t>
        </is>
      </c>
      <c r="O2092" t="inlineStr">
        <is>
          <t>eng</t>
        </is>
      </c>
      <c r="P2092" t="inlineStr">
        <is>
          <t>mau</t>
        </is>
      </c>
      <c r="R2092" t="inlineStr">
        <is>
          <t xml:space="preserve">E  </t>
        </is>
      </c>
      <c r="S2092" t="n">
        <v>10</v>
      </c>
      <c r="T2092" t="n">
        <v>10</v>
      </c>
      <c r="U2092" t="inlineStr">
        <is>
          <t>1996-04-01</t>
        </is>
      </c>
      <c r="V2092" t="inlineStr">
        <is>
          <t>1996-04-01</t>
        </is>
      </c>
      <c r="W2092" t="inlineStr">
        <is>
          <t>1991-06-21</t>
        </is>
      </c>
      <c r="X2092" t="inlineStr">
        <is>
          <t>1991-06-21</t>
        </is>
      </c>
      <c r="Y2092" t="n">
        <v>2194</v>
      </c>
      <c r="Z2092" t="n">
        <v>2123</v>
      </c>
      <c r="AA2092" t="n">
        <v>2241</v>
      </c>
      <c r="AB2092" t="n">
        <v>24</v>
      </c>
      <c r="AC2092" t="n">
        <v>25</v>
      </c>
      <c r="AD2092" t="n">
        <v>37</v>
      </c>
      <c r="AE2092" t="n">
        <v>40</v>
      </c>
      <c r="AF2092" t="n">
        <v>14</v>
      </c>
      <c r="AG2092" t="n">
        <v>16</v>
      </c>
      <c r="AH2092" t="n">
        <v>7</v>
      </c>
      <c r="AI2092" t="n">
        <v>8</v>
      </c>
      <c r="AJ2092" t="n">
        <v>17</v>
      </c>
      <c r="AK2092" t="n">
        <v>17</v>
      </c>
      <c r="AL2092" t="n">
        <v>7</v>
      </c>
      <c r="AM2092" t="n">
        <v>8</v>
      </c>
      <c r="AN2092" t="n">
        <v>0</v>
      </c>
      <c r="AO2092" t="n">
        <v>0</v>
      </c>
      <c r="AP2092" t="inlineStr">
        <is>
          <t>No</t>
        </is>
      </c>
      <c r="AQ2092" t="inlineStr">
        <is>
          <t>No</t>
        </is>
      </c>
      <c r="AS2092">
        <f>HYPERLINK("https://creighton-primo.hosted.exlibrisgroup.com/primo-explore/search?tab=default_tab&amp;search_scope=EVERYTHING&amp;vid=01CRU&amp;lang=en_US&amp;offset=0&amp;query=any,contains,991000268589702656","Catalog Record")</f>
        <v/>
      </c>
      <c r="AT2092">
        <f>HYPERLINK("http://www.worldcat.org/oclc/9852206","WorldCat Record")</f>
        <v/>
      </c>
      <c r="AU2092" t="inlineStr">
        <is>
          <t>793978778:eng</t>
        </is>
      </c>
      <c r="AV2092" t="inlineStr">
        <is>
          <t>9852206</t>
        </is>
      </c>
      <c r="AW2092" t="inlineStr">
        <is>
          <t>991000268589702656</t>
        </is>
      </c>
      <c r="AX2092" t="inlineStr">
        <is>
          <t>991000268589702656</t>
        </is>
      </c>
      <c r="AY2092" t="inlineStr">
        <is>
          <t>2262262420002656</t>
        </is>
      </c>
      <c r="AZ2092" t="inlineStr">
        <is>
          <t>BOOK</t>
        </is>
      </c>
      <c r="BB2092" t="inlineStr">
        <is>
          <t>9780316544917</t>
        </is>
      </c>
      <c r="BC2092" t="inlineStr">
        <is>
          <t>32285000670819</t>
        </is>
      </c>
      <c r="BD2092" t="inlineStr">
        <is>
          <t>893521548</t>
        </is>
      </c>
    </row>
    <row r="2093">
      <c r="A2093" t="inlineStr">
        <is>
          <t>No</t>
        </is>
      </c>
      <c r="B2093" t="inlineStr">
        <is>
          <t>E842 .M3 1967</t>
        </is>
      </c>
      <c r="C2093" t="inlineStr">
        <is>
          <t>0                      E  0842000M  3           1967</t>
        </is>
      </c>
      <c r="D2093" t="inlineStr">
        <is>
          <t>Portrait of a President : John F. Kennedy in profile / [by] William Manchester.</t>
        </is>
      </c>
      <c r="F2093" t="inlineStr">
        <is>
          <t>No</t>
        </is>
      </c>
      <c r="G2093" t="inlineStr">
        <is>
          <t>1</t>
        </is>
      </c>
      <c r="H2093" t="inlineStr">
        <is>
          <t>No</t>
        </is>
      </c>
      <c r="I2093" t="inlineStr">
        <is>
          <t>No</t>
        </is>
      </c>
      <c r="J2093" t="inlineStr">
        <is>
          <t>0</t>
        </is>
      </c>
      <c r="K2093" t="inlineStr">
        <is>
          <t>Manchester, William, 1922-2004.</t>
        </is>
      </c>
      <c r="L2093" t="inlineStr">
        <is>
          <t>Boston : Little, Brown, [1967]</t>
        </is>
      </c>
      <c r="M2093" t="inlineStr">
        <is>
          <t>1967</t>
        </is>
      </c>
      <c r="N2093" t="inlineStr">
        <is>
          <t>Rev. ed., with a new introd. and epilogue.</t>
        </is>
      </c>
      <c r="O2093" t="inlineStr">
        <is>
          <t>eng</t>
        </is>
      </c>
      <c r="P2093" t="inlineStr">
        <is>
          <t>mau</t>
        </is>
      </c>
      <c r="R2093" t="inlineStr">
        <is>
          <t xml:space="preserve">E  </t>
        </is>
      </c>
      <c r="S2093" t="n">
        <v>3</v>
      </c>
      <c r="T2093" t="n">
        <v>3</v>
      </c>
      <c r="U2093" t="inlineStr">
        <is>
          <t>1995-01-23</t>
        </is>
      </c>
      <c r="V2093" t="inlineStr">
        <is>
          <t>1995-01-23</t>
        </is>
      </c>
      <c r="W2093" t="inlineStr">
        <is>
          <t>1991-12-02</t>
        </is>
      </c>
      <c r="X2093" t="inlineStr">
        <is>
          <t>1991-12-02</t>
        </is>
      </c>
      <c r="Y2093" t="n">
        <v>840</v>
      </c>
      <c r="Z2093" t="n">
        <v>803</v>
      </c>
      <c r="AA2093" t="n">
        <v>1469</v>
      </c>
      <c r="AB2093" t="n">
        <v>8</v>
      </c>
      <c r="AC2093" t="n">
        <v>12</v>
      </c>
      <c r="AD2093" t="n">
        <v>29</v>
      </c>
      <c r="AE2093" t="n">
        <v>33</v>
      </c>
      <c r="AF2093" t="n">
        <v>13</v>
      </c>
      <c r="AG2093" t="n">
        <v>13</v>
      </c>
      <c r="AH2093" t="n">
        <v>5</v>
      </c>
      <c r="AI2093" t="n">
        <v>6</v>
      </c>
      <c r="AJ2093" t="n">
        <v>14</v>
      </c>
      <c r="AK2093" t="n">
        <v>15</v>
      </c>
      <c r="AL2093" t="n">
        <v>5</v>
      </c>
      <c r="AM2093" t="n">
        <v>7</v>
      </c>
      <c r="AN2093" t="n">
        <v>0</v>
      </c>
      <c r="AO2093" t="n">
        <v>0</v>
      </c>
      <c r="AP2093" t="inlineStr">
        <is>
          <t>No</t>
        </is>
      </c>
      <c r="AQ2093" t="inlineStr">
        <is>
          <t>No</t>
        </is>
      </c>
      <c r="AS2093">
        <f>HYPERLINK("https://creighton-primo.hosted.exlibrisgroup.com/primo-explore/search?tab=default_tab&amp;search_scope=EVERYTHING&amp;vid=01CRU&amp;lang=en_US&amp;offset=0&amp;query=any,contains,991004199609702656","Catalog Record")</f>
        <v/>
      </c>
      <c r="AT2093">
        <f>HYPERLINK("http://www.worldcat.org/oclc/2648541","WorldCat Record")</f>
        <v/>
      </c>
      <c r="AU2093" t="inlineStr">
        <is>
          <t>119679998:eng</t>
        </is>
      </c>
      <c r="AV2093" t="inlineStr">
        <is>
          <t>2648541</t>
        </is>
      </c>
      <c r="AW2093" t="inlineStr">
        <is>
          <t>991004199609702656</t>
        </is>
      </c>
      <c r="AX2093" t="inlineStr">
        <is>
          <t>991004199609702656</t>
        </is>
      </c>
      <c r="AY2093" t="inlineStr">
        <is>
          <t>2271284980002656</t>
        </is>
      </c>
      <c r="AZ2093" t="inlineStr">
        <is>
          <t>BOOK</t>
        </is>
      </c>
      <c r="BC2093" t="inlineStr">
        <is>
          <t>32285000844794</t>
        </is>
      </c>
      <c r="BD2093" t="inlineStr">
        <is>
          <t>893519357</t>
        </is>
      </c>
    </row>
    <row r="2094">
      <c r="A2094" t="inlineStr">
        <is>
          <t>No</t>
        </is>
      </c>
      <c r="B2094" t="inlineStr">
        <is>
          <t>E842 .M343 1983</t>
        </is>
      </c>
      <c r="C2094" t="inlineStr">
        <is>
          <t>0                      E  0842000M  343         1983</t>
        </is>
      </c>
      <c r="D2094" t="inlineStr">
        <is>
          <t>A hero for our time : an intimate story of the Kennedy years / Ralph G. Martin.</t>
        </is>
      </c>
      <c r="F2094" t="inlineStr">
        <is>
          <t>No</t>
        </is>
      </c>
      <c r="G2094" t="inlineStr">
        <is>
          <t>1</t>
        </is>
      </c>
      <c r="H2094" t="inlineStr">
        <is>
          <t>No</t>
        </is>
      </c>
      <c r="I2094" t="inlineStr">
        <is>
          <t>No</t>
        </is>
      </c>
      <c r="J2094" t="inlineStr">
        <is>
          <t>0</t>
        </is>
      </c>
      <c r="K2094" t="inlineStr">
        <is>
          <t>Martin, Ralph G., 1920-2013.</t>
        </is>
      </c>
      <c r="L2094" t="inlineStr">
        <is>
          <t>New York : Macmillan, c1983.</t>
        </is>
      </c>
      <c r="M2094" t="inlineStr">
        <is>
          <t>1983</t>
        </is>
      </c>
      <c r="O2094" t="inlineStr">
        <is>
          <t>eng</t>
        </is>
      </c>
      <c r="P2094" t="inlineStr">
        <is>
          <t>nyu</t>
        </is>
      </c>
      <c r="R2094" t="inlineStr">
        <is>
          <t xml:space="preserve">E  </t>
        </is>
      </c>
      <c r="S2094" t="n">
        <v>12</v>
      </c>
      <c r="T2094" t="n">
        <v>12</v>
      </c>
      <c r="U2094" t="inlineStr">
        <is>
          <t>1999-04-27</t>
        </is>
      </c>
      <c r="V2094" t="inlineStr">
        <is>
          <t>1999-04-27</t>
        </is>
      </c>
      <c r="W2094" t="inlineStr">
        <is>
          <t>1991-06-21</t>
        </is>
      </c>
      <c r="X2094" t="inlineStr">
        <is>
          <t>1991-06-21</t>
        </is>
      </c>
      <c r="Y2094" t="n">
        <v>1774</v>
      </c>
      <c r="Z2094" t="n">
        <v>1685</v>
      </c>
      <c r="AA2094" t="n">
        <v>1834</v>
      </c>
      <c r="AB2094" t="n">
        <v>24</v>
      </c>
      <c r="AC2094" t="n">
        <v>26</v>
      </c>
      <c r="AD2094" t="n">
        <v>30</v>
      </c>
      <c r="AE2094" t="n">
        <v>33</v>
      </c>
      <c r="AF2094" t="n">
        <v>10</v>
      </c>
      <c r="AG2094" t="n">
        <v>12</v>
      </c>
      <c r="AH2094" t="n">
        <v>5</v>
      </c>
      <c r="AI2094" t="n">
        <v>5</v>
      </c>
      <c r="AJ2094" t="n">
        <v>15</v>
      </c>
      <c r="AK2094" t="n">
        <v>16</v>
      </c>
      <c r="AL2094" t="n">
        <v>7</v>
      </c>
      <c r="AM2094" t="n">
        <v>7</v>
      </c>
      <c r="AN2094" t="n">
        <v>1</v>
      </c>
      <c r="AO2094" t="n">
        <v>1</v>
      </c>
      <c r="AP2094" t="inlineStr">
        <is>
          <t>No</t>
        </is>
      </c>
      <c r="AQ2094" t="inlineStr">
        <is>
          <t>No</t>
        </is>
      </c>
      <c r="AS2094">
        <f>HYPERLINK("https://creighton-primo.hosted.exlibrisgroup.com/primo-explore/search?tab=default_tab&amp;search_scope=EVERYTHING&amp;vid=01CRU&amp;lang=en_US&amp;offset=0&amp;query=any,contains,991000199929702656","Catalog Record")</f>
        <v/>
      </c>
      <c r="AT2094">
        <f>HYPERLINK("http://www.worldcat.org/oclc/9464323","WorldCat Record")</f>
        <v/>
      </c>
      <c r="AU2094" t="inlineStr">
        <is>
          <t>3019968:eng</t>
        </is>
      </c>
      <c r="AV2094" t="inlineStr">
        <is>
          <t>9464323</t>
        </is>
      </c>
      <c r="AW2094" t="inlineStr">
        <is>
          <t>991000199929702656</t>
        </is>
      </c>
      <c r="AX2094" t="inlineStr">
        <is>
          <t>991000199929702656</t>
        </is>
      </c>
      <c r="AY2094" t="inlineStr">
        <is>
          <t>2266428390002656</t>
        </is>
      </c>
      <c r="AZ2094" t="inlineStr">
        <is>
          <t>BOOK</t>
        </is>
      </c>
      <c r="BB2094" t="inlineStr">
        <is>
          <t>9780025808805</t>
        </is>
      </c>
      <c r="BC2094" t="inlineStr">
        <is>
          <t>32285000670827</t>
        </is>
      </c>
      <c r="BD2094" t="inlineStr">
        <is>
          <t>893790330</t>
        </is>
      </c>
    </row>
    <row r="2095">
      <c r="A2095" t="inlineStr">
        <is>
          <t>No</t>
        </is>
      </c>
      <c r="B2095" t="inlineStr">
        <is>
          <t>E842 .N45</t>
        </is>
      </c>
      <c r="C2095" t="inlineStr">
        <is>
          <t>0                      E  0842000N  45</t>
        </is>
      </c>
      <c r="D2095" t="inlineStr">
        <is>
          <t>The Kennedy years / text prepared under the direction of Harold Faber with contributions by John Corry [and others] Introd. by Tom Wicker. Photos. by Jacques Lowe and others. Contributing photographer: George Tames.</t>
        </is>
      </c>
      <c r="F2095" t="inlineStr">
        <is>
          <t>No</t>
        </is>
      </c>
      <c r="G2095" t="inlineStr">
        <is>
          <t>1</t>
        </is>
      </c>
      <c r="H2095" t="inlineStr">
        <is>
          <t>No</t>
        </is>
      </c>
      <c r="I2095" t="inlineStr">
        <is>
          <t>No</t>
        </is>
      </c>
      <c r="J2095" t="inlineStr">
        <is>
          <t>0</t>
        </is>
      </c>
      <c r="K2095" t="inlineStr">
        <is>
          <t>New York times.</t>
        </is>
      </c>
      <c r="L2095" t="inlineStr">
        <is>
          <t>New York : Viking Press, [1964]</t>
        </is>
      </c>
      <c r="M2095" t="inlineStr">
        <is>
          <t>1964</t>
        </is>
      </c>
      <c r="O2095" t="inlineStr">
        <is>
          <t>eng</t>
        </is>
      </c>
      <c r="P2095" t="inlineStr">
        <is>
          <t>nyu</t>
        </is>
      </c>
      <c r="R2095" t="inlineStr">
        <is>
          <t xml:space="preserve">E  </t>
        </is>
      </c>
      <c r="S2095" t="n">
        <v>5</v>
      </c>
      <c r="T2095" t="n">
        <v>5</v>
      </c>
      <c r="U2095" t="inlineStr">
        <is>
          <t>1994-01-14</t>
        </is>
      </c>
      <c r="V2095" t="inlineStr">
        <is>
          <t>1994-01-14</t>
        </is>
      </c>
      <c r="W2095" t="inlineStr">
        <is>
          <t>1992-07-22</t>
        </is>
      </c>
      <c r="X2095" t="inlineStr">
        <is>
          <t>1992-07-22</t>
        </is>
      </c>
      <c r="Y2095" t="n">
        <v>1284</v>
      </c>
      <c r="Z2095" t="n">
        <v>1229</v>
      </c>
      <c r="AA2095" t="n">
        <v>1251</v>
      </c>
      <c r="AB2095" t="n">
        <v>7</v>
      </c>
      <c r="AC2095" t="n">
        <v>7</v>
      </c>
      <c r="AD2095" t="n">
        <v>30</v>
      </c>
      <c r="AE2095" t="n">
        <v>32</v>
      </c>
      <c r="AF2095" t="n">
        <v>13</v>
      </c>
      <c r="AG2095" t="n">
        <v>15</v>
      </c>
      <c r="AH2095" t="n">
        <v>7</v>
      </c>
      <c r="AI2095" t="n">
        <v>7</v>
      </c>
      <c r="AJ2095" t="n">
        <v>14</v>
      </c>
      <c r="AK2095" t="n">
        <v>15</v>
      </c>
      <c r="AL2095" t="n">
        <v>4</v>
      </c>
      <c r="AM2095" t="n">
        <v>4</v>
      </c>
      <c r="AN2095" t="n">
        <v>0</v>
      </c>
      <c r="AO2095" t="n">
        <v>0</v>
      </c>
      <c r="AP2095" t="inlineStr">
        <is>
          <t>No</t>
        </is>
      </c>
      <c r="AQ2095" t="inlineStr">
        <is>
          <t>No</t>
        </is>
      </c>
      <c r="AS2095">
        <f>HYPERLINK("https://creighton-primo.hosted.exlibrisgroup.com/primo-explore/search?tab=default_tab&amp;search_scope=EVERYTHING&amp;vid=01CRU&amp;lang=en_US&amp;offset=0&amp;query=any,contains,991003724809702656","Catalog Record")</f>
        <v/>
      </c>
      <c r="AT2095">
        <f>HYPERLINK("http://www.worldcat.org/oclc/1371034","WorldCat Record")</f>
        <v/>
      </c>
      <c r="AU2095" t="inlineStr">
        <is>
          <t>113032314:eng</t>
        </is>
      </c>
      <c r="AV2095" t="inlineStr">
        <is>
          <t>1371034</t>
        </is>
      </c>
      <c r="AW2095" t="inlineStr">
        <is>
          <t>991003724809702656</t>
        </is>
      </c>
      <c r="AX2095" t="inlineStr">
        <is>
          <t>991003724809702656</t>
        </is>
      </c>
      <c r="AY2095" t="inlineStr">
        <is>
          <t>2260016720002656</t>
        </is>
      </c>
      <c r="AZ2095" t="inlineStr">
        <is>
          <t>BOOK</t>
        </is>
      </c>
      <c r="BC2095" t="inlineStr">
        <is>
          <t>32285001202109</t>
        </is>
      </c>
      <c r="BD2095" t="inlineStr">
        <is>
          <t>893605128</t>
        </is>
      </c>
    </row>
    <row r="2096">
      <c r="A2096" t="inlineStr">
        <is>
          <t>No</t>
        </is>
      </c>
      <c r="B2096" t="inlineStr">
        <is>
          <t>E842 .O3 1972</t>
        </is>
      </c>
      <c r="C2096" t="inlineStr">
        <is>
          <t>0                      E  0842000O  3           1972</t>
        </is>
      </c>
      <c r="D2096" t="inlineStr">
        <is>
          <t>"Johnny, we hardly knew ye" : memories of John Fitzgerald Kennedy / by Kenneth P. O'Donnell and David F. Powers, with Joe McCarthy.</t>
        </is>
      </c>
      <c r="F2096" t="inlineStr">
        <is>
          <t>No</t>
        </is>
      </c>
      <c r="G2096" t="inlineStr">
        <is>
          <t>1</t>
        </is>
      </c>
      <c r="H2096" t="inlineStr">
        <is>
          <t>No</t>
        </is>
      </c>
      <c r="I2096" t="inlineStr">
        <is>
          <t>No</t>
        </is>
      </c>
      <c r="J2096" t="inlineStr">
        <is>
          <t>0</t>
        </is>
      </c>
      <c r="K2096" t="inlineStr">
        <is>
          <t>O'Donnell, Kenneth P., 1924-1977.</t>
        </is>
      </c>
      <c r="L2096" t="inlineStr">
        <is>
          <t>Boston : Little, Brown, [1972]</t>
        </is>
      </c>
      <c r="M2096" t="inlineStr">
        <is>
          <t>1972</t>
        </is>
      </c>
      <c r="N2096" t="inlineStr">
        <is>
          <t>[1st ed.]</t>
        </is>
      </c>
      <c r="O2096" t="inlineStr">
        <is>
          <t>eng</t>
        </is>
      </c>
      <c r="P2096" t="inlineStr">
        <is>
          <t>mau</t>
        </is>
      </c>
      <c r="R2096" t="inlineStr">
        <is>
          <t xml:space="preserve">E  </t>
        </is>
      </c>
      <c r="S2096" t="n">
        <v>8</v>
      </c>
      <c r="T2096" t="n">
        <v>8</v>
      </c>
      <c r="U2096" t="inlineStr">
        <is>
          <t>1996-04-01</t>
        </is>
      </c>
      <c r="V2096" t="inlineStr">
        <is>
          <t>1996-04-01</t>
        </is>
      </c>
      <c r="W2096" t="inlineStr">
        <is>
          <t>1991-06-21</t>
        </is>
      </c>
      <c r="X2096" t="inlineStr">
        <is>
          <t>1991-06-21</t>
        </is>
      </c>
      <c r="Y2096" t="n">
        <v>1934</v>
      </c>
      <c r="Z2096" t="n">
        <v>1844</v>
      </c>
      <c r="AA2096" t="n">
        <v>2274</v>
      </c>
      <c r="AB2096" t="n">
        <v>23</v>
      </c>
      <c r="AC2096" t="n">
        <v>28</v>
      </c>
      <c r="AD2096" t="n">
        <v>46</v>
      </c>
      <c r="AE2096" t="n">
        <v>53</v>
      </c>
      <c r="AF2096" t="n">
        <v>17</v>
      </c>
      <c r="AG2096" t="n">
        <v>20</v>
      </c>
      <c r="AH2096" t="n">
        <v>9</v>
      </c>
      <c r="AI2096" t="n">
        <v>10</v>
      </c>
      <c r="AJ2096" t="n">
        <v>19</v>
      </c>
      <c r="AK2096" t="n">
        <v>21</v>
      </c>
      <c r="AL2096" t="n">
        <v>10</v>
      </c>
      <c r="AM2096" t="n">
        <v>13</v>
      </c>
      <c r="AN2096" t="n">
        <v>0</v>
      </c>
      <c r="AO2096" t="n">
        <v>0</v>
      </c>
      <c r="AP2096" t="inlineStr">
        <is>
          <t>No</t>
        </is>
      </c>
      <c r="AQ2096" t="inlineStr">
        <is>
          <t>No</t>
        </is>
      </c>
      <c r="AS2096">
        <f>HYPERLINK("https://creighton-primo.hosted.exlibrisgroup.com/primo-explore/search?tab=default_tab&amp;search_scope=EVERYTHING&amp;vid=01CRU&amp;lang=en_US&amp;offset=0&amp;query=any,contains,991002464589702656","Catalog Record")</f>
        <v/>
      </c>
      <c r="AT2096">
        <f>HYPERLINK("http://www.worldcat.org/oclc/357079","WorldCat Record")</f>
        <v/>
      </c>
      <c r="AU2096" t="inlineStr">
        <is>
          <t>1402297:eng</t>
        </is>
      </c>
      <c r="AV2096" t="inlineStr">
        <is>
          <t>357079</t>
        </is>
      </c>
      <c r="AW2096" t="inlineStr">
        <is>
          <t>991002464589702656</t>
        </is>
      </c>
      <c r="AX2096" t="inlineStr">
        <is>
          <t>991002464589702656</t>
        </is>
      </c>
      <c r="AY2096" t="inlineStr">
        <is>
          <t>2263058230002656</t>
        </is>
      </c>
      <c r="AZ2096" t="inlineStr">
        <is>
          <t>BOOK</t>
        </is>
      </c>
      <c r="BB2096" t="inlineStr">
        <is>
          <t>9780316716253</t>
        </is>
      </c>
      <c r="BC2096" t="inlineStr">
        <is>
          <t>32285000670835</t>
        </is>
      </c>
      <c r="BD2096" t="inlineStr">
        <is>
          <t>893239092</t>
        </is>
      </c>
    </row>
    <row r="2097">
      <c r="A2097" t="inlineStr">
        <is>
          <t>No</t>
        </is>
      </c>
      <c r="B2097" t="inlineStr">
        <is>
          <t>E842 .S57</t>
        </is>
      </c>
      <c r="C2097" t="inlineStr">
        <is>
          <t>0                      E  0842000S  57</t>
        </is>
      </c>
      <c r="D2097" t="inlineStr">
        <is>
          <t>The Kennedy legacy / [by] Theodore C. Sorensen.</t>
        </is>
      </c>
      <c r="F2097" t="inlineStr">
        <is>
          <t>No</t>
        </is>
      </c>
      <c r="G2097" t="inlineStr">
        <is>
          <t>1</t>
        </is>
      </c>
      <c r="H2097" t="inlineStr">
        <is>
          <t>No</t>
        </is>
      </c>
      <c r="I2097" t="inlineStr">
        <is>
          <t>No</t>
        </is>
      </c>
      <c r="J2097" t="inlineStr">
        <is>
          <t>0</t>
        </is>
      </c>
      <c r="K2097" t="inlineStr">
        <is>
          <t>Sorensen, Theodore C.</t>
        </is>
      </c>
      <c r="L2097" t="inlineStr">
        <is>
          <t>[New York] : Macmillan, [1969]</t>
        </is>
      </c>
      <c r="M2097" t="inlineStr">
        <is>
          <t>1969</t>
        </is>
      </c>
      <c r="O2097" t="inlineStr">
        <is>
          <t>eng</t>
        </is>
      </c>
      <c r="P2097" t="inlineStr">
        <is>
          <t>nyu</t>
        </is>
      </c>
      <c r="R2097" t="inlineStr">
        <is>
          <t xml:space="preserve">E  </t>
        </is>
      </c>
      <c r="S2097" t="n">
        <v>5</v>
      </c>
      <c r="T2097" t="n">
        <v>5</v>
      </c>
      <c r="U2097" t="inlineStr">
        <is>
          <t>2004-03-25</t>
        </is>
      </c>
      <c r="V2097" t="inlineStr">
        <is>
          <t>2004-03-25</t>
        </is>
      </c>
      <c r="W2097" t="inlineStr">
        <is>
          <t>1990-05-08</t>
        </is>
      </c>
      <c r="X2097" t="inlineStr">
        <is>
          <t>1990-05-08</t>
        </is>
      </c>
      <c r="Y2097" t="n">
        <v>1327</v>
      </c>
      <c r="Z2097" t="n">
        <v>1217</v>
      </c>
      <c r="AA2097" t="n">
        <v>1303</v>
      </c>
      <c r="AB2097" t="n">
        <v>17</v>
      </c>
      <c r="AC2097" t="n">
        <v>18</v>
      </c>
      <c r="AD2097" t="n">
        <v>46</v>
      </c>
      <c r="AE2097" t="n">
        <v>47</v>
      </c>
      <c r="AF2097" t="n">
        <v>17</v>
      </c>
      <c r="AG2097" t="n">
        <v>17</v>
      </c>
      <c r="AH2097" t="n">
        <v>8</v>
      </c>
      <c r="AI2097" t="n">
        <v>8</v>
      </c>
      <c r="AJ2097" t="n">
        <v>17</v>
      </c>
      <c r="AK2097" t="n">
        <v>17</v>
      </c>
      <c r="AL2097" t="n">
        <v>9</v>
      </c>
      <c r="AM2097" t="n">
        <v>10</v>
      </c>
      <c r="AN2097" t="n">
        <v>4</v>
      </c>
      <c r="AO2097" t="n">
        <v>4</v>
      </c>
      <c r="AP2097" t="inlineStr">
        <is>
          <t>No</t>
        </is>
      </c>
      <c r="AQ2097" t="inlineStr">
        <is>
          <t>Yes</t>
        </is>
      </c>
      <c r="AR2097">
        <f>HYPERLINK("http://catalog.hathitrust.org/Record/000104178","HathiTrust Record")</f>
        <v/>
      </c>
      <c r="AS2097">
        <f>HYPERLINK("https://creighton-primo.hosted.exlibrisgroup.com/primo-explore/search?tab=default_tab&amp;search_scope=EVERYTHING&amp;vid=01CRU&amp;lang=en_US&amp;offset=0&amp;query=any,contains,991000078349702656","Catalog Record")</f>
        <v/>
      </c>
      <c r="AT2097">
        <f>HYPERLINK("http://www.worldcat.org/oclc/30557","WorldCat Record")</f>
        <v/>
      </c>
      <c r="AU2097" t="inlineStr">
        <is>
          <t>324993:eng</t>
        </is>
      </c>
      <c r="AV2097" t="inlineStr">
        <is>
          <t>30557</t>
        </is>
      </c>
      <c r="AW2097" t="inlineStr">
        <is>
          <t>991000078349702656</t>
        </is>
      </c>
      <c r="AX2097" t="inlineStr">
        <is>
          <t>991000078349702656</t>
        </is>
      </c>
      <c r="AY2097" t="inlineStr">
        <is>
          <t>2262259650002656</t>
        </is>
      </c>
      <c r="AZ2097" t="inlineStr">
        <is>
          <t>BOOK</t>
        </is>
      </c>
      <c r="BC2097" t="inlineStr">
        <is>
          <t>32285000138601</t>
        </is>
      </c>
      <c r="BD2097" t="inlineStr">
        <is>
          <t>893613863</t>
        </is>
      </c>
    </row>
    <row r="2098">
      <c r="A2098" t="inlineStr">
        <is>
          <t>No</t>
        </is>
      </c>
      <c r="B2098" t="inlineStr">
        <is>
          <t>E842 .W55</t>
        </is>
      </c>
      <c r="C2098" t="inlineStr">
        <is>
          <t>0                      E  0842000W  55</t>
        </is>
      </c>
      <c r="D2098" t="inlineStr">
        <is>
          <t>Kennedy without tears, the man beneath the myth. Foreword by Arthur Krock. Illus. by Bill Berry.</t>
        </is>
      </c>
      <c r="F2098" t="inlineStr">
        <is>
          <t>No</t>
        </is>
      </c>
      <c r="G2098" t="inlineStr">
        <is>
          <t>1</t>
        </is>
      </c>
      <c r="H2098" t="inlineStr">
        <is>
          <t>No</t>
        </is>
      </c>
      <c r="I2098" t="inlineStr">
        <is>
          <t>No</t>
        </is>
      </c>
      <c r="J2098" t="inlineStr">
        <is>
          <t>0</t>
        </is>
      </c>
      <c r="K2098" t="inlineStr">
        <is>
          <t>Wicker, Tom.</t>
        </is>
      </c>
      <c r="L2098" t="inlineStr">
        <is>
          <t>New York, Morrow, 1964.</t>
        </is>
      </c>
      <c r="M2098" t="inlineStr">
        <is>
          <t>1964</t>
        </is>
      </c>
      <c r="O2098" t="inlineStr">
        <is>
          <t>eng</t>
        </is>
      </c>
      <c r="P2098" t="inlineStr">
        <is>
          <t>nyu</t>
        </is>
      </c>
      <c r="R2098" t="inlineStr">
        <is>
          <t xml:space="preserve">E  </t>
        </is>
      </c>
      <c r="S2098" t="n">
        <v>1</v>
      </c>
      <c r="T2098" t="n">
        <v>1</v>
      </c>
      <c r="U2098" t="inlineStr">
        <is>
          <t>2003-04-04</t>
        </is>
      </c>
      <c r="V2098" t="inlineStr">
        <is>
          <t>2003-04-04</t>
        </is>
      </c>
      <c r="W2098" t="inlineStr">
        <is>
          <t>1997-04-29</t>
        </is>
      </c>
      <c r="X2098" t="inlineStr">
        <is>
          <t>1997-04-29</t>
        </is>
      </c>
      <c r="Y2098" t="n">
        <v>518</v>
      </c>
      <c r="Z2098" t="n">
        <v>492</v>
      </c>
      <c r="AA2098" t="n">
        <v>510</v>
      </c>
      <c r="AB2098" t="n">
        <v>2</v>
      </c>
      <c r="AC2098" t="n">
        <v>2</v>
      </c>
      <c r="AD2098" t="n">
        <v>17</v>
      </c>
      <c r="AE2098" t="n">
        <v>18</v>
      </c>
      <c r="AF2098" t="n">
        <v>6</v>
      </c>
      <c r="AG2098" t="n">
        <v>6</v>
      </c>
      <c r="AH2098" t="n">
        <v>5</v>
      </c>
      <c r="AI2098" t="n">
        <v>6</v>
      </c>
      <c r="AJ2098" t="n">
        <v>12</v>
      </c>
      <c r="AK2098" t="n">
        <v>12</v>
      </c>
      <c r="AL2098" t="n">
        <v>0</v>
      </c>
      <c r="AM2098" t="n">
        <v>0</v>
      </c>
      <c r="AN2098" t="n">
        <v>0</v>
      </c>
      <c r="AO2098" t="n">
        <v>0</v>
      </c>
      <c r="AP2098" t="inlineStr">
        <is>
          <t>No</t>
        </is>
      </c>
      <c r="AQ2098" t="inlineStr">
        <is>
          <t>Yes</t>
        </is>
      </c>
      <c r="AR2098">
        <f>HYPERLINK("http://catalog.hathitrust.org/Record/000575457","HathiTrust Record")</f>
        <v/>
      </c>
      <c r="AS2098">
        <f>HYPERLINK("https://creighton-primo.hosted.exlibrisgroup.com/primo-explore/search?tab=default_tab&amp;search_scope=EVERYTHING&amp;vid=01CRU&amp;lang=en_US&amp;offset=0&amp;query=any,contains,991003724759702656","Catalog Record")</f>
        <v/>
      </c>
      <c r="AT2098">
        <f>HYPERLINK("http://www.worldcat.org/oclc/1370953","WorldCat Record")</f>
        <v/>
      </c>
      <c r="AU2098" t="inlineStr">
        <is>
          <t>321777432:eng</t>
        </is>
      </c>
      <c r="AV2098" t="inlineStr">
        <is>
          <t>1370953</t>
        </is>
      </c>
      <c r="AW2098" t="inlineStr">
        <is>
          <t>991003724759702656</t>
        </is>
      </c>
      <c r="AX2098" t="inlineStr">
        <is>
          <t>991003724759702656</t>
        </is>
      </c>
      <c r="AY2098" t="inlineStr">
        <is>
          <t>2261296680002656</t>
        </is>
      </c>
      <c r="AZ2098" t="inlineStr">
        <is>
          <t>BOOK</t>
        </is>
      </c>
      <c r="BC2098" t="inlineStr">
        <is>
          <t>32285002568540</t>
        </is>
      </c>
      <c r="BD2098" t="inlineStr">
        <is>
          <t>893623822</t>
        </is>
      </c>
    </row>
    <row r="2099">
      <c r="A2099" t="inlineStr">
        <is>
          <t>No</t>
        </is>
      </c>
      <c r="B2099" t="inlineStr">
        <is>
          <t>E842 .W6 1964</t>
        </is>
      </c>
      <c r="C2099" t="inlineStr">
        <is>
          <t>0                      E  0842000W  6           1964</t>
        </is>
      </c>
      <c r="D2099" t="inlineStr">
        <is>
          <t>The life and words of John F. Kennedy / by James Playsted Wood and the editors of Country beautiful magazine.</t>
        </is>
      </c>
      <c r="F2099" t="inlineStr">
        <is>
          <t>No</t>
        </is>
      </c>
      <c r="G2099" t="inlineStr">
        <is>
          <t>1</t>
        </is>
      </c>
      <c r="H2099" t="inlineStr">
        <is>
          <t>No</t>
        </is>
      </c>
      <c r="I2099" t="inlineStr">
        <is>
          <t>No</t>
        </is>
      </c>
      <c r="J2099" t="inlineStr">
        <is>
          <t>0</t>
        </is>
      </c>
      <c r="K2099" t="inlineStr">
        <is>
          <t>Wood, James Playsted, 1905-1983.</t>
        </is>
      </c>
      <c r="L2099" t="inlineStr">
        <is>
          <t>Elm Grove, Wis. : Country Beautiful Foundation; distributed by Doubleday, Garden City, N.Y. [1964]</t>
        </is>
      </c>
      <c r="M2099" t="inlineStr">
        <is>
          <t>1964</t>
        </is>
      </c>
      <c r="O2099" t="inlineStr">
        <is>
          <t>eng</t>
        </is>
      </c>
      <c r="P2099" t="inlineStr">
        <is>
          <t>wiu</t>
        </is>
      </c>
      <c r="R2099" t="inlineStr">
        <is>
          <t xml:space="preserve">E  </t>
        </is>
      </c>
      <c r="S2099" t="n">
        <v>2</v>
      </c>
      <c r="T2099" t="n">
        <v>2</v>
      </c>
      <c r="U2099" t="inlineStr">
        <is>
          <t>1993-01-14</t>
        </is>
      </c>
      <c r="V2099" t="inlineStr">
        <is>
          <t>1993-01-14</t>
        </is>
      </c>
      <c r="W2099" t="inlineStr">
        <is>
          <t>1991-06-26</t>
        </is>
      </c>
      <c r="X2099" t="inlineStr">
        <is>
          <t>1991-06-26</t>
        </is>
      </c>
      <c r="Y2099" t="n">
        <v>534</v>
      </c>
      <c r="Z2099" t="n">
        <v>522</v>
      </c>
      <c r="AA2099" t="n">
        <v>629</v>
      </c>
      <c r="AB2099" t="n">
        <v>6</v>
      </c>
      <c r="AC2099" t="n">
        <v>7</v>
      </c>
      <c r="AD2099" t="n">
        <v>8</v>
      </c>
      <c r="AE2099" t="n">
        <v>9</v>
      </c>
      <c r="AF2099" t="n">
        <v>4</v>
      </c>
      <c r="AG2099" t="n">
        <v>5</v>
      </c>
      <c r="AH2099" t="n">
        <v>2</v>
      </c>
      <c r="AI2099" t="n">
        <v>2</v>
      </c>
      <c r="AJ2099" t="n">
        <v>4</v>
      </c>
      <c r="AK2099" t="n">
        <v>4</v>
      </c>
      <c r="AL2099" t="n">
        <v>1</v>
      </c>
      <c r="AM2099" t="n">
        <v>1</v>
      </c>
      <c r="AN2099" t="n">
        <v>0</v>
      </c>
      <c r="AO2099" t="n">
        <v>0</v>
      </c>
      <c r="AP2099" t="inlineStr">
        <is>
          <t>No</t>
        </is>
      </c>
      <c r="AQ2099" t="inlineStr">
        <is>
          <t>No</t>
        </is>
      </c>
      <c r="AS2099">
        <f>HYPERLINK("https://creighton-primo.hosted.exlibrisgroup.com/primo-explore/search?tab=default_tab&amp;search_scope=EVERYTHING&amp;vid=01CRU&amp;lang=en_US&amp;offset=0&amp;query=any,contains,991004152499702656","Catalog Record")</f>
        <v/>
      </c>
      <c r="AT2099">
        <f>HYPERLINK("http://www.worldcat.org/oclc/469362","WorldCat Record")</f>
        <v/>
      </c>
      <c r="AU2099" t="inlineStr">
        <is>
          <t>1532621:eng</t>
        </is>
      </c>
      <c r="AV2099" t="inlineStr">
        <is>
          <t>469362</t>
        </is>
      </c>
      <c r="AW2099" t="inlineStr">
        <is>
          <t>991004152499702656</t>
        </is>
      </c>
      <c r="AX2099" t="inlineStr">
        <is>
          <t>991004152499702656</t>
        </is>
      </c>
      <c r="AY2099" t="inlineStr">
        <is>
          <t>2262116850002656</t>
        </is>
      </c>
      <c r="AZ2099" t="inlineStr">
        <is>
          <t>BOOK</t>
        </is>
      </c>
      <c r="BC2099" t="inlineStr">
        <is>
          <t>32285000659481</t>
        </is>
      </c>
      <c r="BD2099" t="inlineStr">
        <is>
          <t>893403023</t>
        </is>
      </c>
    </row>
    <row r="2100">
      <c r="A2100" t="inlineStr">
        <is>
          <t>No</t>
        </is>
      </c>
      <c r="B2100" t="inlineStr">
        <is>
          <t>E842.1 .F8</t>
        </is>
      </c>
      <c r="C2100" t="inlineStr">
        <is>
          <t>0                      E  0842100F  8</t>
        </is>
      </c>
      <c r="D2100" t="inlineStr">
        <is>
          <t>John F. Kennedy and American Catholicism, by Lawrence H. Fuchs.</t>
        </is>
      </c>
      <c r="F2100" t="inlineStr">
        <is>
          <t>No</t>
        </is>
      </c>
      <c r="G2100" t="inlineStr">
        <is>
          <t>1</t>
        </is>
      </c>
      <c r="H2100" t="inlineStr">
        <is>
          <t>No</t>
        </is>
      </c>
      <c r="I2100" t="inlineStr">
        <is>
          <t>No</t>
        </is>
      </c>
      <c r="J2100" t="inlineStr">
        <is>
          <t>0</t>
        </is>
      </c>
      <c r="K2100" t="inlineStr">
        <is>
          <t>Fuchs, Lawrence H.</t>
        </is>
      </c>
      <c r="L2100" t="inlineStr">
        <is>
          <t>New York, Meredith Press [1967]</t>
        </is>
      </c>
      <c r="M2100" t="inlineStr">
        <is>
          <t>1967</t>
        </is>
      </c>
      <c r="N2100" t="inlineStr">
        <is>
          <t>[1st ed.]</t>
        </is>
      </c>
      <c r="O2100" t="inlineStr">
        <is>
          <t>eng</t>
        </is>
      </c>
      <c r="P2100" t="inlineStr">
        <is>
          <t>nyu</t>
        </is>
      </c>
      <c r="R2100" t="inlineStr">
        <is>
          <t xml:space="preserve">E  </t>
        </is>
      </c>
      <c r="S2100" t="n">
        <v>1</v>
      </c>
      <c r="T2100" t="n">
        <v>1</v>
      </c>
      <c r="U2100" t="inlineStr">
        <is>
          <t>2003-04-24</t>
        </is>
      </c>
      <c r="V2100" t="inlineStr">
        <is>
          <t>2003-04-24</t>
        </is>
      </c>
      <c r="W2100" t="inlineStr">
        <is>
          <t>1997-04-29</t>
        </is>
      </c>
      <c r="X2100" t="inlineStr">
        <is>
          <t>1997-04-29</t>
        </is>
      </c>
      <c r="Y2100" t="n">
        <v>681</v>
      </c>
      <c r="Z2100" t="n">
        <v>635</v>
      </c>
      <c r="AA2100" t="n">
        <v>642</v>
      </c>
      <c r="AB2100" t="n">
        <v>8</v>
      </c>
      <c r="AC2100" t="n">
        <v>8</v>
      </c>
      <c r="AD2100" t="n">
        <v>42</v>
      </c>
      <c r="AE2100" t="n">
        <v>42</v>
      </c>
      <c r="AF2100" t="n">
        <v>13</v>
      </c>
      <c r="AG2100" t="n">
        <v>13</v>
      </c>
      <c r="AH2100" t="n">
        <v>9</v>
      </c>
      <c r="AI2100" t="n">
        <v>9</v>
      </c>
      <c r="AJ2100" t="n">
        <v>24</v>
      </c>
      <c r="AK2100" t="n">
        <v>24</v>
      </c>
      <c r="AL2100" t="n">
        <v>6</v>
      </c>
      <c r="AM2100" t="n">
        <v>6</v>
      </c>
      <c r="AN2100" t="n">
        <v>1</v>
      </c>
      <c r="AO2100" t="n">
        <v>1</v>
      </c>
      <c r="AP2100" t="inlineStr">
        <is>
          <t>No</t>
        </is>
      </c>
      <c r="AQ2100" t="inlineStr">
        <is>
          <t>Yes</t>
        </is>
      </c>
      <c r="AR2100">
        <f>HYPERLINK("http://catalog.hathitrust.org/Record/000580072","HathiTrust Record")</f>
        <v/>
      </c>
      <c r="AS2100">
        <f>HYPERLINK("https://creighton-primo.hosted.exlibrisgroup.com/primo-explore/search?tab=default_tab&amp;search_scope=EVERYTHING&amp;vid=01CRU&amp;lang=en_US&amp;offset=0&amp;query=any,contains,991003411649702656","Catalog Record")</f>
        <v/>
      </c>
      <c r="AT2100">
        <f>HYPERLINK("http://www.worldcat.org/oclc/949793","WorldCat Record")</f>
        <v/>
      </c>
      <c r="AU2100" t="inlineStr">
        <is>
          <t>1913351:eng</t>
        </is>
      </c>
      <c r="AV2100" t="inlineStr">
        <is>
          <t>949793</t>
        </is>
      </c>
      <c r="AW2100" t="inlineStr">
        <is>
          <t>991003411649702656</t>
        </is>
      </c>
      <c r="AX2100" t="inlineStr">
        <is>
          <t>991003411649702656</t>
        </is>
      </c>
      <c r="AY2100" t="inlineStr">
        <is>
          <t>2262955860002656</t>
        </is>
      </c>
      <c r="AZ2100" t="inlineStr">
        <is>
          <t>BOOK</t>
        </is>
      </c>
      <c r="BC2100" t="inlineStr">
        <is>
          <t>32285002568565</t>
        </is>
      </c>
      <c r="BD2100" t="inlineStr">
        <is>
          <t>893611020</t>
        </is>
      </c>
    </row>
    <row r="2101">
      <c r="A2101" t="inlineStr">
        <is>
          <t>No</t>
        </is>
      </c>
      <c r="B2101" t="inlineStr">
        <is>
          <t>E842.1 .L47</t>
        </is>
      </c>
      <c r="C2101" t="inlineStr">
        <is>
          <t>0                      E  0842100L  47</t>
        </is>
      </c>
      <c r="D2101" t="inlineStr">
        <is>
          <t>Kennedy and Johnson.</t>
        </is>
      </c>
      <c r="F2101" t="inlineStr">
        <is>
          <t>No</t>
        </is>
      </c>
      <c r="G2101" t="inlineStr">
        <is>
          <t>1</t>
        </is>
      </c>
      <c r="H2101" t="inlineStr">
        <is>
          <t>No</t>
        </is>
      </c>
      <c r="I2101" t="inlineStr">
        <is>
          <t>No</t>
        </is>
      </c>
      <c r="J2101" t="inlineStr">
        <is>
          <t>0</t>
        </is>
      </c>
      <c r="K2101" t="inlineStr">
        <is>
          <t>Lincoln, Evelyn, 1909-1995.</t>
        </is>
      </c>
      <c r="L2101" t="inlineStr">
        <is>
          <t>New York, Holt, Rinehart and Winston [1968]</t>
        </is>
      </c>
      <c r="M2101" t="inlineStr">
        <is>
          <t>1968</t>
        </is>
      </c>
      <c r="N2101" t="inlineStr">
        <is>
          <t>[1st ed.]</t>
        </is>
      </c>
      <c r="O2101" t="inlineStr">
        <is>
          <t>eng</t>
        </is>
      </c>
      <c r="P2101" t="inlineStr">
        <is>
          <t>nyu</t>
        </is>
      </c>
      <c r="R2101" t="inlineStr">
        <is>
          <t xml:space="preserve">E  </t>
        </is>
      </c>
      <c r="S2101" t="n">
        <v>1</v>
      </c>
      <c r="T2101" t="n">
        <v>1</v>
      </c>
      <c r="U2101" t="inlineStr">
        <is>
          <t>2004-03-15</t>
        </is>
      </c>
      <c r="V2101" t="inlineStr">
        <is>
          <t>2004-03-15</t>
        </is>
      </c>
      <c r="W2101" t="inlineStr">
        <is>
          <t>1997-04-29</t>
        </is>
      </c>
      <c r="X2101" t="inlineStr">
        <is>
          <t>1997-04-29</t>
        </is>
      </c>
      <c r="Y2101" t="n">
        <v>915</v>
      </c>
      <c r="Z2101" t="n">
        <v>874</v>
      </c>
      <c r="AA2101" t="n">
        <v>882</v>
      </c>
      <c r="AB2101" t="n">
        <v>9</v>
      </c>
      <c r="AC2101" t="n">
        <v>9</v>
      </c>
      <c r="AD2101" t="n">
        <v>26</v>
      </c>
      <c r="AE2101" t="n">
        <v>26</v>
      </c>
      <c r="AF2101" t="n">
        <v>10</v>
      </c>
      <c r="AG2101" t="n">
        <v>10</v>
      </c>
      <c r="AH2101" t="n">
        <v>4</v>
      </c>
      <c r="AI2101" t="n">
        <v>4</v>
      </c>
      <c r="AJ2101" t="n">
        <v>12</v>
      </c>
      <c r="AK2101" t="n">
        <v>12</v>
      </c>
      <c r="AL2101" t="n">
        <v>5</v>
      </c>
      <c r="AM2101" t="n">
        <v>5</v>
      </c>
      <c r="AN2101" t="n">
        <v>0</v>
      </c>
      <c r="AO2101" t="n">
        <v>0</v>
      </c>
      <c r="AP2101" t="inlineStr">
        <is>
          <t>No</t>
        </is>
      </c>
      <c r="AQ2101" t="inlineStr">
        <is>
          <t>Yes</t>
        </is>
      </c>
      <c r="AR2101">
        <f>HYPERLINK("http://catalog.hathitrust.org/Record/000575465","HathiTrust Record")</f>
        <v/>
      </c>
      <c r="AS2101">
        <f>HYPERLINK("https://creighton-primo.hosted.exlibrisgroup.com/primo-explore/search?tab=default_tab&amp;search_scope=EVERYTHING&amp;vid=01CRU&amp;lang=en_US&amp;offset=0&amp;query=any,contains,991002775809702656","Catalog Record")</f>
        <v/>
      </c>
      <c r="AT2101">
        <f>HYPERLINK("http://www.worldcat.org/oclc/438664","WorldCat Record")</f>
        <v/>
      </c>
      <c r="AU2101" t="inlineStr">
        <is>
          <t>146389036:eng</t>
        </is>
      </c>
      <c r="AV2101" t="inlineStr">
        <is>
          <t>438664</t>
        </is>
      </c>
      <c r="AW2101" t="inlineStr">
        <is>
          <t>991002775809702656</t>
        </is>
      </c>
      <c r="AX2101" t="inlineStr">
        <is>
          <t>991002775809702656</t>
        </is>
      </c>
      <c r="AY2101" t="inlineStr">
        <is>
          <t>2265314190002656</t>
        </is>
      </c>
      <c r="AZ2101" t="inlineStr">
        <is>
          <t>BOOK</t>
        </is>
      </c>
      <c r="BC2101" t="inlineStr">
        <is>
          <t>32285002568573</t>
        </is>
      </c>
      <c r="BD2101" t="inlineStr">
        <is>
          <t>893610271</t>
        </is>
      </c>
    </row>
    <row r="2102">
      <c r="A2102" t="inlineStr">
        <is>
          <t>No</t>
        </is>
      </c>
      <c r="B2102" t="inlineStr">
        <is>
          <t>E842.1 .L5</t>
        </is>
      </c>
      <c r="C2102" t="inlineStr">
        <is>
          <t>0                      E  0842100L  5</t>
        </is>
      </c>
      <c r="D2102" t="inlineStr">
        <is>
          <t>The Kennedy White House parties / [by] Anne H. Lincoln.</t>
        </is>
      </c>
      <c r="F2102" t="inlineStr">
        <is>
          <t>No</t>
        </is>
      </c>
      <c r="G2102" t="inlineStr">
        <is>
          <t>1</t>
        </is>
      </c>
      <c r="H2102" t="inlineStr">
        <is>
          <t>No</t>
        </is>
      </c>
      <c r="I2102" t="inlineStr">
        <is>
          <t>No</t>
        </is>
      </c>
      <c r="J2102" t="inlineStr">
        <is>
          <t>0</t>
        </is>
      </c>
      <c r="K2102" t="inlineStr">
        <is>
          <t>Lincoln, Anne H.</t>
        </is>
      </c>
      <c r="L2102" t="inlineStr">
        <is>
          <t>New York : Viking Press, [1967]</t>
        </is>
      </c>
      <c r="M2102" t="inlineStr">
        <is>
          <t>1967</t>
        </is>
      </c>
      <c r="O2102" t="inlineStr">
        <is>
          <t>eng</t>
        </is>
      </c>
      <c r="P2102" t="inlineStr">
        <is>
          <t>nyu</t>
        </is>
      </c>
      <c r="Q2102" t="inlineStr">
        <is>
          <t>A Studio book</t>
        </is>
      </c>
      <c r="R2102" t="inlineStr">
        <is>
          <t xml:space="preserve">E  </t>
        </is>
      </c>
      <c r="S2102" t="n">
        <v>6</v>
      </c>
      <c r="T2102" t="n">
        <v>6</v>
      </c>
      <c r="U2102" t="inlineStr">
        <is>
          <t>1993-11-18</t>
        </is>
      </c>
      <c r="V2102" t="inlineStr">
        <is>
          <t>1993-11-18</t>
        </is>
      </c>
      <c r="W2102" t="inlineStr">
        <is>
          <t>1993-02-02</t>
        </is>
      </c>
      <c r="X2102" t="inlineStr">
        <is>
          <t>1993-02-02</t>
        </is>
      </c>
      <c r="Y2102" t="n">
        <v>187</v>
      </c>
      <c r="Z2102" t="n">
        <v>183</v>
      </c>
      <c r="AA2102" t="n">
        <v>184</v>
      </c>
      <c r="AB2102" t="n">
        <v>2</v>
      </c>
      <c r="AC2102" t="n">
        <v>2</v>
      </c>
      <c r="AD2102" t="n">
        <v>6</v>
      </c>
      <c r="AE2102" t="n">
        <v>6</v>
      </c>
      <c r="AF2102" t="n">
        <v>2</v>
      </c>
      <c r="AG2102" t="n">
        <v>2</v>
      </c>
      <c r="AH2102" t="n">
        <v>1</v>
      </c>
      <c r="AI2102" t="n">
        <v>1</v>
      </c>
      <c r="AJ2102" t="n">
        <v>4</v>
      </c>
      <c r="AK2102" t="n">
        <v>4</v>
      </c>
      <c r="AL2102" t="n">
        <v>1</v>
      </c>
      <c r="AM2102" t="n">
        <v>1</v>
      </c>
      <c r="AN2102" t="n">
        <v>0</v>
      </c>
      <c r="AO2102" t="n">
        <v>0</v>
      </c>
      <c r="AP2102" t="inlineStr">
        <is>
          <t>No</t>
        </is>
      </c>
      <c r="AQ2102" t="inlineStr">
        <is>
          <t>Yes</t>
        </is>
      </c>
      <c r="AR2102">
        <f>HYPERLINK("http://catalog.hathitrust.org/Record/008318912","HathiTrust Record")</f>
        <v/>
      </c>
      <c r="AS2102">
        <f>HYPERLINK("https://creighton-primo.hosted.exlibrisgroup.com/primo-explore/search?tab=default_tab&amp;search_scope=EVERYTHING&amp;vid=01CRU&amp;lang=en_US&amp;offset=0&amp;query=any,contains,991003834839702656","Catalog Record")</f>
        <v/>
      </c>
      <c r="AT2102">
        <f>HYPERLINK("http://www.worldcat.org/oclc/1599051","WorldCat Record")</f>
        <v/>
      </c>
      <c r="AU2102" t="inlineStr">
        <is>
          <t>2504948:eng</t>
        </is>
      </c>
      <c r="AV2102" t="inlineStr">
        <is>
          <t>1599051</t>
        </is>
      </c>
      <c r="AW2102" t="inlineStr">
        <is>
          <t>991003834839702656</t>
        </is>
      </c>
      <c r="AX2102" t="inlineStr">
        <is>
          <t>991003834839702656</t>
        </is>
      </c>
      <c r="AY2102" t="inlineStr">
        <is>
          <t>2264936400002656</t>
        </is>
      </c>
      <c r="AZ2102" t="inlineStr">
        <is>
          <t>BOOK</t>
        </is>
      </c>
      <c r="BC2102" t="inlineStr">
        <is>
          <t>32285001523512</t>
        </is>
      </c>
      <c r="BD2102" t="inlineStr">
        <is>
          <t>893687014</t>
        </is>
      </c>
    </row>
    <row r="2103">
      <c r="A2103" t="inlineStr">
        <is>
          <t>No</t>
        </is>
      </c>
      <c r="B2103" t="inlineStr">
        <is>
          <t>E842.1 .S25 1997</t>
        </is>
      </c>
      <c r="C2103" t="inlineStr">
        <is>
          <t>0                      E  0842100S  25          1997</t>
        </is>
      </c>
      <c r="D2103" t="inlineStr">
        <is>
          <t>John F. Kennedy, Commander in Chief : a profile in leadership / Pierre Salinger ; foreword by Arthur M. Schlesinger, Jr. ; photographic research by William S. Butler.</t>
        </is>
      </c>
      <c r="F2103" t="inlineStr">
        <is>
          <t>No</t>
        </is>
      </c>
      <c r="G2103" t="inlineStr">
        <is>
          <t>1</t>
        </is>
      </c>
      <c r="H2103" t="inlineStr">
        <is>
          <t>No</t>
        </is>
      </c>
      <c r="I2103" t="inlineStr">
        <is>
          <t>No</t>
        </is>
      </c>
      <c r="J2103" t="inlineStr">
        <is>
          <t>0</t>
        </is>
      </c>
      <c r="K2103" t="inlineStr">
        <is>
          <t>Salinger, Pierre.</t>
        </is>
      </c>
      <c r="L2103" t="inlineStr">
        <is>
          <t>New York, N.Y. : Penguin Studio, 1997.</t>
        </is>
      </c>
      <c r="M2103" t="inlineStr">
        <is>
          <t>1997</t>
        </is>
      </c>
      <c r="O2103" t="inlineStr">
        <is>
          <t>eng</t>
        </is>
      </c>
      <c r="P2103" t="inlineStr">
        <is>
          <t>nyu</t>
        </is>
      </c>
      <c r="R2103" t="inlineStr">
        <is>
          <t xml:space="preserve">E  </t>
        </is>
      </c>
      <c r="S2103" t="n">
        <v>5</v>
      </c>
      <c r="T2103" t="n">
        <v>5</v>
      </c>
      <c r="U2103" t="inlineStr">
        <is>
          <t>2002-11-21</t>
        </is>
      </c>
      <c r="V2103" t="inlineStr">
        <is>
          <t>2002-11-21</t>
        </is>
      </c>
      <c r="W2103" t="inlineStr">
        <is>
          <t>1999-12-07</t>
        </is>
      </c>
      <c r="X2103" t="inlineStr">
        <is>
          <t>1999-12-07</t>
        </is>
      </c>
      <c r="Y2103" t="n">
        <v>419</v>
      </c>
      <c r="Z2103" t="n">
        <v>365</v>
      </c>
      <c r="AA2103" t="n">
        <v>414</v>
      </c>
      <c r="AB2103" t="n">
        <v>3</v>
      </c>
      <c r="AC2103" t="n">
        <v>3</v>
      </c>
      <c r="AD2103" t="n">
        <v>7</v>
      </c>
      <c r="AE2103" t="n">
        <v>10</v>
      </c>
      <c r="AF2103" t="n">
        <v>0</v>
      </c>
      <c r="AG2103" t="n">
        <v>2</v>
      </c>
      <c r="AH2103" t="n">
        <v>2</v>
      </c>
      <c r="AI2103" t="n">
        <v>2</v>
      </c>
      <c r="AJ2103" t="n">
        <v>5</v>
      </c>
      <c r="AK2103" t="n">
        <v>6</v>
      </c>
      <c r="AL2103" t="n">
        <v>2</v>
      </c>
      <c r="AM2103" t="n">
        <v>2</v>
      </c>
      <c r="AN2103" t="n">
        <v>0</v>
      </c>
      <c r="AO2103" t="n">
        <v>0</v>
      </c>
      <c r="AP2103" t="inlineStr">
        <is>
          <t>No</t>
        </is>
      </c>
      <c r="AQ2103" t="inlineStr">
        <is>
          <t>Yes</t>
        </is>
      </c>
      <c r="AR2103">
        <f>HYPERLINK("http://catalog.hathitrust.org/Record/003188422","HathiTrust Record")</f>
        <v/>
      </c>
      <c r="AS2103">
        <f>HYPERLINK("https://creighton-primo.hosted.exlibrisgroup.com/primo-explore/search?tab=default_tab&amp;search_scope=EVERYTHING&amp;vid=01CRU&amp;lang=en_US&amp;offset=0&amp;query=any,contains,991002829239702656","Catalog Record")</f>
        <v/>
      </c>
      <c r="AT2103">
        <f>HYPERLINK("http://www.worldcat.org/oclc/37247246","WorldCat Record")</f>
        <v/>
      </c>
      <c r="AU2103" t="inlineStr">
        <is>
          <t>567062:eng</t>
        </is>
      </c>
      <c r="AV2103" t="inlineStr">
        <is>
          <t>37247246</t>
        </is>
      </c>
      <c r="AW2103" t="inlineStr">
        <is>
          <t>991002829239702656</t>
        </is>
      </c>
      <c r="AX2103" t="inlineStr">
        <is>
          <t>991002829239702656</t>
        </is>
      </c>
      <c r="AY2103" t="inlineStr">
        <is>
          <t>2268199640002656</t>
        </is>
      </c>
      <c r="AZ2103" t="inlineStr">
        <is>
          <t>BOOK</t>
        </is>
      </c>
      <c r="BB2103" t="inlineStr">
        <is>
          <t>9780670863105</t>
        </is>
      </c>
      <c r="BC2103" t="inlineStr">
        <is>
          <t>32285003629358</t>
        </is>
      </c>
      <c r="BD2103" t="inlineStr">
        <is>
          <t>893504870</t>
        </is>
      </c>
    </row>
    <row r="2104">
      <c r="A2104" t="inlineStr">
        <is>
          <t>No</t>
        </is>
      </c>
      <c r="B2104" t="inlineStr">
        <is>
          <t>E842.9 .B44</t>
        </is>
      </c>
      <c r="C2104" t="inlineStr">
        <is>
          <t>0                      E  0842900B  44</t>
        </is>
      </c>
      <c r="D2104" t="inlineStr">
        <is>
          <t>November 22, 1963; you are the jury [by] David W. Belin.</t>
        </is>
      </c>
      <c r="F2104" t="inlineStr">
        <is>
          <t>No</t>
        </is>
      </c>
      <c r="G2104" t="inlineStr">
        <is>
          <t>1</t>
        </is>
      </c>
      <c r="H2104" t="inlineStr">
        <is>
          <t>Yes</t>
        </is>
      </c>
      <c r="I2104" t="inlineStr">
        <is>
          <t>No</t>
        </is>
      </c>
      <c r="J2104" t="inlineStr">
        <is>
          <t>0</t>
        </is>
      </c>
      <c r="K2104" t="inlineStr">
        <is>
          <t>Belin, David W.</t>
        </is>
      </c>
      <c r="L2104" t="inlineStr">
        <is>
          <t>[New York] Quadrangle [1973]</t>
        </is>
      </c>
      <c r="M2104" t="inlineStr">
        <is>
          <t>1973</t>
        </is>
      </c>
      <c r="O2104" t="inlineStr">
        <is>
          <t>eng</t>
        </is>
      </c>
      <c r="P2104" t="inlineStr">
        <is>
          <t>nyu</t>
        </is>
      </c>
      <c r="R2104" t="inlineStr">
        <is>
          <t xml:space="preserve">E  </t>
        </is>
      </c>
      <c r="S2104" t="n">
        <v>22</v>
      </c>
      <c r="T2104" t="n">
        <v>22</v>
      </c>
      <c r="U2104" t="inlineStr">
        <is>
          <t>2004-03-17</t>
        </is>
      </c>
      <c r="V2104" t="inlineStr">
        <is>
          <t>2004-03-17</t>
        </is>
      </c>
      <c r="W2104" t="inlineStr">
        <is>
          <t>1991-06-21</t>
        </is>
      </c>
      <c r="X2104" t="inlineStr">
        <is>
          <t>1991-08-08</t>
        </is>
      </c>
      <c r="Y2104" t="n">
        <v>1156</v>
      </c>
      <c r="Z2104" t="n">
        <v>1127</v>
      </c>
      <c r="AA2104" t="n">
        <v>1134</v>
      </c>
      <c r="AB2104" t="n">
        <v>9</v>
      </c>
      <c r="AC2104" t="n">
        <v>9</v>
      </c>
      <c r="AD2104" t="n">
        <v>58</v>
      </c>
      <c r="AE2104" t="n">
        <v>58</v>
      </c>
      <c r="AF2104" t="n">
        <v>24</v>
      </c>
      <c r="AG2104" t="n">
        <v>24</v>
      </c>
      <c r="AH2104" t="n">
        <v>9</v>
      </c>
      <c r="AI2104" t="n">
        <v>9</v>
      </c>
      <c r="AJ2104" t="n">
        <v>18</v>
      </c>
      <c r="AK2104" t="n">
        <v>18</v>
      </c>
      <c r="AL2104" t="n">
        <v>5</v>
      </c>
      <c r="AM2104" t="n">
        <v>5</v>
      </c>
      <c r="AN2104" t="n">
        <v>13</v>
      </c>
      <c r="AO2104" t="n">
        <v>13</v>
      </c>
      <c r="AP2104" t="inlineStr">
        <is>
          <t>No</t>
        </is>
      </c>
      <c r="AQ2104" t="inlineStr">
        <is>
          <t>Yes</t>
        </is>
      </c>
      <c r="AR2104">
        <f>HYPERLINK("http://catalog.hathitrust.org/Record/000103704","HathiTrust Record")</f>
        <v/>
      </c>
      <c r="AS2104">
        <f>HYPERLINK("https://creighton-primo.hosted.exlibrisgroup.com/primo-explore/search?tab=default_tab&amp;search_scope=EVERYTHING&amp;vid=01CRU&amp;lang=en_US&amp;offset=0&amp;query=any,contains,991001679159702656","Catalog Record")</f>
        <v/>
      </c>
      <c r="AT2104">
        <f>HYPERLINK("http://www.worldcat.org/oclc/768651","WorldCat Record")</f>
        <v/>
      </c>
      <c r="AU2104" t="inlineStr">
        <is>
          <t>1666933:eng</t>
        </is>
      </c>
      <c r="AV2104" t="inlineStr">
        <is>
          <t>768651</t>
        </is>
      </c>
      <c r="AW2104" t="inlineStr">
        <is>
          <t>991001679159702656</t>
        </is>
      </c>
      <c r="AX2104" t="inlineStr">
        <is>
          <t>991001679159702656</t>
        </is>
      </c>
      <c r="AY2104" t="inlineStr">
        <is>
          <t>2269294130002656</t>
        </is>
      </c>
      <c r="AZ2104" t="inlineStr">
        <is>
          <t>BOOK</t>
        </is>
      </c>
      <c r="BB2104" t="inlineStr">
        <is>
          <t>9780812903744</t>
        </is>
      </c>
      <c r="BC2104" t="inlineStr">
        <is>
          <t>32285000670850</t>
        </is>
      </c>
      <c r="BD2104" t="inlineStr">
        <is>
          <t>893690781</t>
        </is>
      </c>
    </row>
    <row r="2105">
      <c r="A2105" t="inlineStr">
        <is>
          <t>No</t>
        </is>
      </c>
      <c r="B2105" t="inlineStr">
        <is>
          <t>E842.9 .B5</t>
        </is>
      </c>
      <c r="C2105" t="inlineStr">
        <is>
          <t>0                      E  0842900B  5</t>
        </is>
      </c>
      <c r="D2105" t="inlineStr">
        <is>
          <t>The day Kennedy was shot / by Jim Bishop.</t>
        </is>
      </c>
      <c r="F2105" t="inlineStr">
        <is>
          <t>No</t>
        </is>
      </c>
      <c r="G2105" t="inlineStr">
        <is>
          <t>1</t>
        </is>
      </c>
      <c r="H2105" t="inlineStr">
        <is>
          <t>No</t>
        </is>
      </c>
      <c r="I2105" t="inlineStr">
        <is>
          <t>No</t>
        </is>
      </c>
      <c r="J2105" t="inlineStr">
        <is>
          <t>0</t>
        </is>
      </c>
      <c r="K2105" t="inlineStr">
        <is>
          <t>Bishop, Jim, 1907-1987.</t>
        </is>
      </c>
      <c r="L2105" t="inlineStr">
        <is>
          <t>New York : Funk &amp; Wagnalls, [1968]</t>
        </is>
      </c>
      <c r="M2105" t="inlineStr">
        <is>
          <t>1968</t>
        </is>
      </c>
      <c r="O2105" t="inlineStr">
        <is>
          <t>eng</t>
        </is>
      </c>
      <c r="P2105" t="inlineStr">
        <is>
          <t>nyu</t>
        </is>
      </c>
      <c r="R2105" t="inlineStr">
        <is>
          <t xml:space="preserve">E  </t>
        </is>
      </c>
      <c r="S2105" t="n">
        <v>12</v>
      </c>
      <c r="T2105" t="n">
        <v>12</v>
      </c>
      <c r="U2105" t="inlineStr">
        <is>
          <t>2003-12-07</t>
        </is>
      </c>
      <c r="V2105" t="inlineStr">
        <is>
          <t>2003-12-07</t>
        </is>
      </c>
      <c r="W2105" t="inlineStr">
        <is>
          <t>1992-12-10</t>
        </is>
      </c>
      <c r="X2105" t="inlineStr">
        <is>
          <t>1992-12-10</t>
        </is>
      </c>
      <c r="Y2105" t="n">
        <v>1774</v>
      </c>
      <c r="Z2105" t="n">
        <v>1721</v>
      </c>
      <c r="AA2105" t="n">
        <v>2311</v>
      </c>
      <c r="AB2105" t="n">
        <v>22</v>
      </c>
      <c r="AC2105" t="n">
        <v>31</v>
      </c>
      <c r="AD2105" t="n">
        <v>39</v>
      </c>
      <c r="AE2105" t="n">
        <v>46</v>
      </c>
      <c r="AF2105" t="n">
        <v>16</v>
      </c>
      <c r="AG2105" t="n">
        <v>18</v>
      </c>
      <c r="AH2105" t="n">
        <v>5</v>
      </c>
      <c r="AI2105" t="n">
        <v>7</v>
      </c>
      <c r="AJ2105" t="n">
        <v>16</v>
      </c>
      <c r="AK2105" t="n">
        <v>20</v>
      </c>
      <c r="AL2105" t="n">
        <v>7</v>
      </c>
      <c r="AM2105" t="n">
        <v>8</v>
      </c>
      <c r="AN2105" t="n">
        <v>1</v>
      </c>
      <c r="AO2105" t="n">
        <v>2</v>
      </c>
      <c r="AP2105" t="inlineStr">
        <is>
          <t>No</t>
        </is>
      </c>
      <c r="AQ2105" t="inlineStr">
        <is>
          <t>Yes</t>
        </is>
      </c>
      <c r="AR2105">
        <f>HYPERLINK("http://catalog.hathitrust.org/Record/006242044","HathiTrust Record")</f>
        <v/>
      </c>
      <c r="AS2105">
        <f>HYPERLINK("https://creighton-primo.hosted.exlibrisgroup.com/primo-explore/search?tab=default_tab&amp;search_scope=EVERYTHING&amp;vid=01CRU&amp;lang=en_US&amp;offset=0&amp;query=any,contains,991002674189702656","Catalog Record")</f>
        <v/>
      </c>
      <c r="AT2105">
        <f>HYPERLINK("http://www.worldcat.org/oclc/396393","WorldCat Record")</f>
        <v/>
      </c>
      <c r="AU2105" t="inlineStr">
        <is>
          <t>324876:eng</t>
        </is>
      </c>
      <c r="AV2105" t="inlineStr">
        <is>
          <t>396393</t>
        </is>
      </c>
      <c r="AW2105" t="inlineStr">
        <is>
          <t>991002674189702656</t>
        </is>
      </c>
      <c r="AX2105" t="inlineStr">
        <is>
          <t>991002674189702656</t>
        </is>
      </c>
      <c r="AY2105" t="inlineStr">
        <is>
          <t>2261000690002656</t>
        </is>
      </c>
      <c r="AZ2105" t="inlineStr">
        <is>
          <t>BOOK</t>
        </is>
      </c>
      <c r="BC2105" t="inlineStr">
        <is>
          <t>32285001414522</t>
        </is>
      </c>
      <c r="BD2105" t="inlineStr">
        <is>
          <t>893867538</t>
        </is>
      </c>
    </row>
    <row r="2106">
      <c r="A2106" t="inlineStr">
        <is>
          <t>No</t>
        </is>
      </c>
      <c r="B2106" t="inlineStr">
        <is>
          <t>E842.9 .F54</t>
        </is>
      </c>
      <c r="C2106" t="inlineStr">
        <is>
          <t>0                      E  0842900F  54</t>
        </is>
      </c>
      <c r="D2106" t="inlineStr">
        <is>
          <t>The Kennedy conspiracy : an uncommissioned report on the Jim Garrison investigation.</t>
        </is>
      </c>
      <c r="F2106" t="inlineStr">
        <is>
          <t>No</t>
        </is>
      </c>
      <c r="G2106" t="inlineStr">
        <is>
          <t>1</t>
        </is>
      </c>
      <c r="H2106" t="inlineStr">
        <is>
          <t>No</t>
        </is>
      </c>
      <c r="I2106" t="inlineStr">
        <is>
          <t>No</t>
        </is>
      </c>
      <c r="J2106" t="inlineStr">
        <is>
          <t>0</t>
        </is>
      </c>
      <c r="K2106" t="inlineStr">
        <is>
          <t>Flammonde, Paris.</t>
        </is>
      </c>
      <c r="L2106" t="inlineStr">
        <is>
          <t>New York : Meredith Press, [1969]</t>
        </is>
      </c>
      <c r="M2106" t="inlineStr">
        <is>
          <t>1969</t>
        </is>
      </c>
      <c r="N2106" t="inlineStr">
        <is>
          <t>[1st ed.]</t>
        </is>
      </c>
      <c r="O2106" t="inlineStr">
        <is>
          <t>eng</t>
        </is>
      </c>
      <c r="P2106" t="inlineStr">
        <is>
          <t>nyu</t>
        </is>
      </c>
      <c r="R2106" t="inlineStr">
        <is>
          <t xml:space="preserve">E  </t>
        </is>
      </c>
      <c r="S2106" t="n">
        <v>12</v>
      </c>
      <c r="T2106" t="n">
        <v>12</v>
      </c>
      <c r="U2106" t="inlineStr">
        <is>
          <t>1999-02-21</t>
        </is>
      </c>
      <c r="V2106" t="inlineStr">
        <is>
          <t>1999-02-21</t>
        </is>
      </c>
      <c r="W2106" t="inlineStr">
        <is>
          <t>1992-01-03</t>
        </is>
      </c>
      <c r="X2106" t="inlineStr">
        <is>
          <t>1992-01-03</t>
        </is>
      </c>
      <c r="Y2106" t="n">
        <v>278</v>
      </c>
      <c r="Z2106" t="n">
        <v>266</v>
      </c>
      <c r="AA2106" t="n">
        <v>273</v>
      </c>
      <c r="AB2106" t="n">
        <v>2</v>
      </c>
      <c r="AC2106" t="n">
        <v>2</v>
      </c>
      <c r="AD2106" t="n">
        <v>10</v>
      </c>
      <c r="AE2106" t="n">
        <v>10</v>
      </c>
      <c r="AF2106" t="n">
        <v>2</v>
      </c>
      <c r="AG2106" t="n">
        <v>2</v>
      </c>
      <c r="AH2106" t="n">
        <v>2</v>
      </c>
      <c r="AI2106" t="n">
        <v>2</v>
      </c>
      <c r="AJ2106" t="n">
        <v>6</v>
      </c>
      <c r="AK2106" t="n">
        <v>6</v>
      </c>
      <c r="AL2106" t="n">
        <v>1</v>
      </c>
      <c r="AM2106" t="n">
        <v>1</v>
      </c>
      <c r="AN2106" t="n">
        <v>1</v>
      </c>
      <c r="AO2106" t="n">
        <v>1</v>
      </c>
      <c r="AP2106" t="inlineStr">
        <is>
          <t>No</t>
        </is>
      </c>
      <c r="AQ2106" t="inlineStr">
        <is>
          <t>No</t>
        </is>
      </c>
      <c r="AS2106">
        <f>HYPERLINK("https://creighton-primo.hosted.exlibrisgroup.com/primo-explore/search?tab=default_tab&amp;search_scope=EVERYTHING&amp;vid=01CRU&amp;lang=en_US&amp;offset=0&amp;query=any,contains,991005431719702656","Catalog Record")</f>
        <v/>
      </c>
      <c r="AT2106">
        <f>HYPERLINK("http://www.worldcat.org/oclc/740","WorldCat Record")</f>
        <v/>
      </c>
      <c r="AU2106" t="inlineStr">
        <is>
          <t>1123949:eng</t>
        </is>
      </c>
      <c r="AV2106" t="inlineStr">
        <is>
          <t>740</t>
        </is>
      </c>
      <c r="AW2106" t="inlineStr">
        <is>
          <t>991005431719702656</t>
        </is>
      </c>
      <c r="AX2106" t="inlineStr">
        <is>
          <t>991005431719702656</t>
        </is>
      </c>
      <c r="AY2106" t="inlineStr">
        <is>
          <t>2272634290002656</t>
        </is>
      </c>
      <c r="AZ2106" t="inlineStr">
        <is>
          <t>BOOK</t>
        </is>
      </c>
      <c r="BC2106" t="inlineStr">
        <is>
          <t>32285000882752</t>
        </is>
      </c>
      <c r="BD2106" t="inlineStr">
        <is>
          <t>893261159</t>
        </is>
      </c>
    </row>
    <row r="2107">
      <c r="A2107" t="inlineStr">
        <is>
          <t>No</t>
        </is>
      </c>
      <c r="B2107" t="inlineStr">
        <is>
          <t>E842.9 .F58</t>
        </is>
      </c>
      <c r="C2107" t="inlineStr">
        <is>
          <t>0                      E  0842900F  58</t>
        </is>
      </c>
      <c r="D2107" t="inlineStr">
        <is>
          <t>Portrait of the assassin, by Gerald R. Ford and John R. Stiles.</t>
        </is>
      </c>
      <c r="F2107" t="inlineStr">
        <is>
          <t>No</t>
        </is>
      </c>
      <c r="G2107" t="inlineStr">
        <is>
          <t>1</t>
        </is>
      </c>
      <c r="H2107" t="inlineStr">
        <is>
          <t>No</t>
        </is>
      </c>
      <c r="I2107" t="inlineStr">
        <is>
          <t>No</t>
        </is>
      </c>
      <c r="J2107" t="inlineStr">
        <is>
          <t>0</t>
        </is>
      </c>
      <c r="K2107" t="inlineStr">
        <is>
          <t>Ford, Gerald R., 1913-2006.</t>
        </is>
      </c>
      <c r="L2107" t="inlineStr">
        <is>
          <t>New York, Simon and Schuster [1965]</t>
        </is>
      </c>
      <c r="M2107" t="inlineStr">
        <is>
          <t>1965</t>
        </is>
      </c>
      <c r="O2107" t="inlineStr">
        <is>
          <t>eng</t>
        </is>
      </c>
      <c r="P2107" t="inlineStr">
        <is>
          <t>nyu</t>
        </is>
      </c>
      <c r="R2107" t="inlineStr">
        <is>
          <t xml:space="preserve">E  </t>
        </is>
      </c>
      <c r="S2107" t="n">
        <v>11</v>
      </c>
      <c r="T2107" t="n">
        <v>11</v>
      </c>
      <c r="U2107" t="inlineStr">
        <is>
          <t>2000-08-03</t>
        </is>
      </c>
      <c r="V2107" t="inlineStr">
        <is>
          <t>2000-08-03</t>
        </is>
      </c>
      <c r="W2107" t="inlineStr">
        <is>
          <t>1997-04-29</t>
        </is>
      </c>
      <c r="X2107" t="inlineStr">
        <is>
          <t>1997-04-29</t>
        </is>
      </c>
      <c r="Y2107" t="n">
        <v>686</v>
      </c>
      <c r="Z2107" t="n">
        <v>667</v>
      </c>
      <c r="AA2107" t="n">
        <v>698</v>
      </c>
      <c r="AB2107" t="n">
        <v>5</v>
      </c>
      <c r="AC2107" t="n">
        <v>5</v>
      </c>
      <c r="AD2107" t="n">
        <v>31</v>
      </c>
      <c r="AE2107" t="n">
        <v>31</v>
      </c>
      <c r="AF2107" t="n">
        <v>11</v>
      </c>
      <c r="AG2107" t="n">
        <v>11</v>
      </c>
      <c r="AH2107" t="n">
        <v>5</v>
      </c>
      <c r="AI2107" t="n">
        <v>5</v>
      </c>
      <c r="AJ2107" t="n">
        <v>14</v>
      </c>
      <c r="AK2107" t="n">
        <v>14</v>
      </c>
      <c r="AL2107" t="n">
        <v>3</v>
      </c>
      <c r="AM2107" t="n">
        <v>3</v>
      </c>
      <c r="AN2107" t="n">
        <v>5</v>
      </c>
      <c r="AO2107" t="n">
        <v>5</v>
      </c>
      <c r="AP2107" t="inlineStr">
        <is>
          <t>No</t>
        </is>
      </c>
      <c r="AQ2107" t="inlineStr">
        <is>
          <t>Yes</t>
        </is>
      </c>
      <c r="AR2107">
        <f>HYPERLINK("http://catalog.hathitrust.org/Record/000579611","HathiTrust Record")</f>
        <v/>
      </c>
      <c r="AS2107">
        <f>HYPERLINK("https://creighton-primo.hosted.exlibrisgroup.com/primo-explore/search?tab=default_tab&amp;search_scope=EVERYTHING&amp;vid=01CRU&amp;lang=en_US&amp;offset=0&amp;query=any,contains,991002824619702656","Catalog Record")</f>
        <v/>
      </c>
      <c r="AT2107">
        <f>HYPERLINK("http://www.worldcat.org/oclc/475033","WorldCat Record")</f>
        <v/>
      </c>
      <c r="AU2107" t="inlineStr">
        <is>
          <t>63080475:eng</t>
        </is>
      </c>
      <c r="AV2107" t="inlineStr">
        <is>
          <t>475033</t>
        </is>
      </c>
      <c r="AW2107" t="inlineStr">
        <is>
          <t>991002824619702656</t>
        </is>
      </c>
      <c r="AX2107" t="inlineStr">
        <is>
          <t>991002824619702656</t>
        </is>
      </c>
      <c r="AY2107" t="inlineStr">
        <is>
          <t>2254721670002656</t>
        </is>
      </c>
      <c r="AZ2107" t="inlineStr">
        <is>
          <t>BOOK</t>
        </is>
      </c>
      <c r="BC2107" t="inlineStr">
        <is>
          <t>32285002568607</t>
        </is>
      </c>
      <c r="BD2107" t="inlineStr">
        <is>
          <t>893262487</t>
        </is>
      </c>
    </row>
    <row r="2108">
      <c r="A2108" t="inlineStr">
        <is>
          <t>No</t>
        </is>
      </c>
      <c r="B2108" t="inlineStr">
        <is>
          <t>E842.9 .H4</t>
        </is>
      </c>
      <c r="C2108" t="inlineStr">
        <is>
          <t>0                      E  0842900H  4</t>
        </is>
      </c>
      <c r="D2108" t="inlineStr">
        <is>
          <t>1:33, by Bruce Henderson and Sam Summerlin.</t>
        </is>
      </c>
      <c r="F2108" t="inlineStr">
        <is>
          <t>No</t>
        </is>
      </c>
      <c r="G2108" t="inlineStr">
        <is>
          <t>1</t>
        </is>
      </c>
      <c r="H2108" t="inlineStr">
        <is>
          <t>No</t>
        </is>
      </c>
      <c r="I2108" t="inlineStr">
        <is>
          <t>No</t>
        </is>
      </c>
      <c r="J2108" t="inlineStr">
        <is>
          <t>0</t>
        </is>
      </c>
      <c r="K2108" t="inlineStr">
        <is>
          <t>Henderson, Bruce E., 1929-</t>
        </is>
      </c>
      <c r="L2108" t="inlineStr">
        <is>
          <t>New York] Cowles [1968]</t>
        </is>
      </c>
      <c r="M2108" t="inlineStr">
        <is>
          <t>1968</t>
        </is>
      </c>
      <c r="N2108" t="inlineStr">
        <is>
          <t>[1st ed.</t>
        </is>
      </c>
      <c r="O2108" t="inlineStr">
        <is>
          <t>eng</t>
        </is>
      </c>
      <c r="P2108" t="inlineStr">
        <is>
          <t>nyu</t>
        </is>
      </c>
      <c r="R2108" t="inlineStr">
        <is>
          <t xml:space="preserve">E  </t>
        </is>
      </c>
      <c r="S2108" t="n">
        <v>3</v>
      </c>
      <c r="T2108" t="n">
        <v>3</v>
      </c>
      <c r="U2108" t="inlineStr">
        <is>
          <t>1998-11-10</t>
        </is>
      </c>
      <c r="V2108" t="inlineStr">
        <is>
          <t>1998-11-10</t>
        </is>
      </c>
      <c r="W2108" t="inlineStr">
        <is>
          <t>1997-04-29</t>
        </is>
      </c>
      <c r="X2108" t="inlineStr">
        <is>
          <t>1997-04-29</t>
        </is>
      </c>
      <c r="Y2108" t="n">
        <v>198</v>
      </c>
      <c r="Z2108" t="n">
        <v>185</v>
      </c>
      <c r="AA2108" t="n">
        <v>185</v>
      </c>
      <c r="AB2108" t="n">
        <v>3</v>
      </c>
      <c r="AC2108" t="n">
        <v>3</v>
      </c>
      <c r="AD2108" t="n">
        <v>6</v>
      </c>
      <c r="AE2108" t="n">
        <v>6</v>
      </c>
      <c r="AF2108" t="n">
        <v>3</v>
      </c>
      <c r="AG2108" t="n">
        <v>3</v>
      </c>
      <c r="AH2108" t="n">
        <v>1</v>
      </c>
      <c r="AI2108" t="n">
        <v>1</v>
      </c>
      <c r="AJ2108" t="n">
        <v>2</v>
      </c>
      <c r="AK2108" t="n">
        <v>2</v>
      </c>
      <c r="AL2108" t="n">
        <v>1</v>
      </c>
      <c r="AM2108" t="n">
        <v>1</v>
      </c>
      <c r="AN2108" t="n">
        <v>0</v>
      </c>
      <c r="AO2108" t="n">
        <v>0</v>
      </c>
      <c r="AP2108" t="inlineStr">
        <is>
          <t>No</t>
        </is>
      </c>
      <c r="AQ2108" t="inlineStr">
        <is>
          <t>No</t>
        </is>
      </c>
      <c r="AS2108">
        <f>HYPERLINK("https://creighton-primo.hosted.exlibrisgroup.com/primo-explore/search?tab=default_tab&amp;search_scope=EVERYTHING&amp;vid=01CRU&amp;lang=en_US&amp;offset=0&amp;query=any,contains,991002809819702656","Catalog Record")</f>
        <v/>
      </c>
      <c r="AT2108">
        <f>HYPERLINK("http://www.worldcat.org/oclc/451975","WorldCat Record")</f>
        <v/>
      </c>
      <c r="AU2108" t="inlineStr">
        <is>
          <t>1439235:eng</t>
        </is>
      </c>
      <c r="AV2108" t="inlineStr">
        <is>
          <t>451975</t>
        </is>
      </c>
      <c r="AW2108" t="inlineStr">
        <is>
          <t>991002809819702656</t>
        </is>
      </c>
      <c r="AX2108" t="inlineStr">
        <is>
          <t>991002809819702656</t>
        </is>
      </c>
      <c r="AY2108" t="inlineStr">
        <is>
          <t>2261115060002656</t>
        </is>
      </c>
      <c r="AZ2108" t="inlineStr">
        <is>
          <t>BOOK</t>
        </is>
      </c>
      <c r="BC2108" t="inlineStr">
        <is>
          <t>32285002568623</t>
        </is>
      </c>
      <c r="BD2108" t="inlineStr">
        <is>
          <t>893251638</t>
        </is>
      </c>
    </row>
    <row r="2109">
      <c r="A2109" t="inlineStr">
        <is>
          <t>No</t>
        </is>
      </c>
      <c r="B2109" t="inlineStr">
        <is>
          <t>E842.9 .L29 1968</t>
        </is>
      </c>
      <c r="C2109" t="inlineStr">
        <is>
          <t>0                      E  0842900L  29          1968</t>
        </is>
      </c>
      <c r="D2109" t="inlineStr">
        <is>
          <t>A citizen's dissent : Mark Lane replies.</t>
        </is>
      </c>
      <c r="F2109" t="inlineStr">
        <is>
          <t>No</t>
        </is>
      </c>
      <c r="G2109" t="inlineStr">
        <is>
          <t>1</t>
        </is>
      </c>
      <c r="H2109" t="inlineStr">
        <is>
          <t>No</t>
        </is>
      </c>
      <c r="I2109" t="inlineStr">
        <is>
          <t>No</t>
        </is>
      </c>
      <c r="J2109" t="inlineStr">
        <is>
          <t>0</t>
        </is>
      </c>
      <c r="K2109" t="inlineStr">
        <is>
          <t>Lane, Mark, 1927-2016.</t>
        </is>
      </c>
      <c r="L2109" t="inlineStr">
        <is>
          <t>New York : Holt, Rinehart and Winston, [1968]</t>
        </is>
      </c>
      <c r="M2109" t="inlineStr">
        <is>
          <t>1968</t>
        </is>
      </c>
      <c r="N2109" t="inlineStr">
        <is>
          <t>[1st ed.]</t>
        </is>
      </c>
      <c r="O2109" t="inlineStr">
        <is>
          <t>eng</t>
        </is>
      </c>
      <c r="P2109" t="inlineStr">
        <is>
          <t>nyu</t>
        </is>
      </c>
      <c r="R2109" t="inlineStr">
        <is>
          <t xml:space="preserve">E  </t>
        </is>
      </c>
      <c r="S2109" t="n">
        <v>1</v>
      </c>
      <c r="T2109" t="n">
        <v>1</v>
      </c>
      <c r="U2109" t="inlineStr">
        <is>
          <t>1992-02-22</t>
        </is>
      </c>
      <c r="V2109" t="inlineStr">
        <is>
          <t>1992-02-22</t>
        </is>
      </c>
      <c r="W2109" t="inlineStr">
        <is>
          <t>1992-01-08</t>
        </is>
      </c>
      <c r="X2109" t="inlineStr">
        <is>
          <t>1992-01-08</t>
        </is>
      </c>
      <c r="Y2109" t="n">
        <v>515</v>
      </c>
      <c r="Z2109" t="n">
        <v>491</v>
      </c>
      <c r="AA2109" t="n">
        <v>507</v>
      </c>
      <c r="AB2109" t="n">
        <v>3</v>
      </c>
      <c r="AC2109" t="n">
        <v>4</v>
      </c>
      <c r="AD2109" t="n">
        <v>16</v>
      </c>
      <c r="AE2109" t="n">
        <v>17</v>
      </c>
      <c r="AF2109" t="n">
        <v>1</v>
      </c>
      <c r="AG2109" t="n">
        <v>1</v>
      </c>
      <c r="AH2109" t="n">
        <v>5</v>
      </c>
      <c r="AI2109" t="n">
        <v>5</v>
      </c>
      <c r="AJ2109" t="n">
        <v>9</v>
      </c>
      <c r="AK2109" t="n">
        <v>9</v>
      </c>
      <c r="AL2109" t="n">
        <v>2</v>
      </c>
      <c r="AM2109" t="n">
        <v>3</v>
      </c>
      <c r="AN2109" t="n">
        <v>3</v>
      </c>
      <c r="AO2109" t="n">
        <v>3</v>
      </c>
      <c r="AP2109" t="inlineStr">
        <is>
          <t>No</t>
        </is>
      </c>
      <c r="AQ2109" t="inlineStr">
        <is>
          <t>Yes</t>
        </is>
      </c>
      <c r="AR2109">
        <f>HYPERLINK("http://catalog.hathitrust.org/Record/000471064","HathiTrust Record")</f>
        <v/>
      </c>
      <c r="AS2109">
        <f>HYPERLINK("https://creighton-primo.hosted.exlibrisgroup.com/primo-explore/search?tab=default_tab&amp;search_scope=EVERYTHING&amp;vid=01CRU&amp;lang=en_US&amp;offset=0&amp;query=any,contains,991002644199702656","Catalog Record")</f>
        <v/>
      </c>
      <c r="AT2109">
        <f>HYPERLINK("http://www.worldcat.org/oclc/385224","WorldCat Record")</f>
        <v/>
      </c>
      <c r="AU2109" t="inlineStr">
        <is>
          <t>1506621:eng</t>
        </is>
      </c>
      <c r="AV2109" t="inlineStr">
        <is>
          <t>385224</t>
        </is>
      </c>
      <c r="AW2109" t="inlineStr">
        <is>
          <t>991002644199702656</t>
        </is>
      </c>
      <c r="AX2109" t="inlineStr">
        <is>
          <t>991002644199702656</t>
        </is>
      </c>
      <c r="AY2109" t="inlineStr">
        <is>
          <t>2258924350002656</t>
        </is>
      </c>
      <c r="AZ2109" t="inlineStr">
        <is>
          <t>BOOK</t>
        </is>
      </c>
      <c r="BC2109" t="inlineStr">
        <is>
          <t>32285000884147</t>
        </is>
      </c>
      <c r="BD2109" t="inlineStr">
        <is>
          <t>893780039</t>
        </is>
      </c>
    </row>
    <row r="2110">
      <c r="A2110" t="inlineStr">
        <is>
          <t>No</t>
        </is>
      </c>
      <c r="B2110" t="inlineStr">
        <is>
          <t>E842.9 .L296 1991</t>
        </is>
      </c>
      <c r="C2110" t="inlineStr">
        <is>
          <t>0                      E  0842900L  296         1991</t>
        </is>
      </c>
      <c r="D2110" t="inlineStr">
        <is>
          <t>Plausible denial : was the CIA involved in the assassination of JFK? / Mark Lane.</t>
        </is>
      </c>
      <c r="F2110" t="inlineStr">
        <is>
          <t>No</t>
        </is>
      </c>
      <c r="G2110" t="inlineStr">
        <is>
          <t>1</t>
        </is>
      </c>
      <c r="H2110" t="inlineStr">
        <is>
          <t>No</t>
        </is>
      </c>
      <c r="I2110" t="inlineStr">
        <is>
          <t>No</t>
        </is>
      </c>
      <c r="J2110" t="inlineStr">
        <is>
          <t>0</t>
        </is>
      </c>
      <c r="K2110" t="inlineStr">
        <is>
          <t>Lane, Mark, 1927-2016.</t>
        </is>
      </c>
      <c r="L2110" t="inlineStr">
        <is>
          <t>New York : Thunder's Mouth Press ; Emeryville, CA : Distributed by Publishers Group West, c1991.</t>
        </is>
      </c>
      <c r="M2110" t="inlineStr">
        <is>
          <t>1991</t>
        </is>
      </c>
      <c r="N2110" t="inlineStr">
        <is>
          <t>1st ed.</t>
        </is>
      </c>
      <c r="O2110" t="inlineStr">
        <is>
          <t>eng</t>
        </is>
      </c>
      <c r="P2110" t="inlineStr">
        <is>
          <t>nyu</t>
        </is>
      </c>
      <c r="R2110" t="inlineStr">
        <is>
          <t xml:space="preserve">E  </t>
        </is>
      </c>
      <c r="S2110" t="n">
        <v>9</v>
      </c>
      <c r="T2110" t="n">
        <v>9</v>
      </c>
      <c r="U2110" t="inlineStr">
        <is>
          <t>2004-02-12</t>
        </is>
      </c>
      <c r="V2110" t="inlineStr">
        <is>
          <t>2004-02-12</t>
        </is>
      </c>
      <c r="W2110" t="inlineStr">
        <is>
          <t>1992-02-27</t>
        </is>
      </c>
      <c r="X2110" t="inlineStr">
        <is>
          <t>1992-02-27</t>
        </is>
      </c>
      <c r="Y2110" t="n">
        <v>1775</v>
      </c>
      <c r="Z2110" t="n">
        <v>1717</v>
      </c>
      <c r="AA2110" t="n">
        <v>1839</v>
      </c>
      <c r="AB2110" t="n">
        <v>12</v>
      </c>
      <c r="AC2110" t="n">
        <v>12</v>
      </c>
      <c r="AD2110" t="n">
        <v>25</v>
      </c>
      <c r="AE2110" t="n">
        <v>27</v>
      </c>
      <c r="AF2110" t="n">
        <v>8</v>
      </c>
      <c r="AG2110" t="n">
        <v>8</v>
      </c>
      <c r="AH2110" t="n">
        <v>4</v>
      </c>
      <c r="AI2110" t="n">
        <v>5</v>
      </c>
      <c r="AJ2110" t="n">
        <v>10</v>
      </c>
      <c r="AK2110" t="n">
        <v>12</v>
      </c>
      <c r="AL2110" t="n">
        <v>3</v>
      </c>
      <c r="AM2110" t="n">
        <v>3</v>
      </c>
      <c r="AN2110" t="n">
        <v>4</v>
      </c>
      <c r="AO2110" t="n">
        <v>4</v>
      </c>
      <c r="AP2110" t="inlineStr">
        <is>
          <t>No</t>
        </is>
      </c>
      <c r="AQ2110" t="inlineStr">
        <is>
          <t>No</t>
        </is>
      </c>
      <c r="AS2110">
        <f>HYPERLINK("https://creighton-primo.hosted.exlibrisgroup.com/primo-explore/search?tab=default_tab&amp;search_scope=EVERYTHING&amp;vid=01CRU&amp;lang=en_US&amp;offset=0&amp;query=any,contains,991001926069702656","Catalog Record")</f>
        <v/>
      </c>
      <c r="AT2110">
        <f>HYPERLINK("http://www.worldcat.org/oclc/24319765","WorldCat Record")</f>
        <v/>
      </c>
      <c r="AU2110" t="inlineStr">
        <is>
          <t>26449051:eng</t>
        </is>
      </c>
      <c r="AV2110" t="inlineStr">
        <is>
          <t>24319765</t>
        </is>
      </c>
      <c r="AW2110" t="inlineStr">
        <is>
          <t>991001926069702656</t>
        </is>
      </c>
      <c r="AX2110" t="inlineStr">
        <is>
          <t>991001926069702656</t>
        </is>
      </c>
      <c r="AY2110" t="inlineStr">
        <is>
          <t>2272049370002656</t>
        </is>
      </c>
      <c r="AZ2110" t="inlineStr">
        <is>
          <t>BOOK</t>
        </is>
      </c>
      <c r="BB2110" t="inlineStr">
        <is>
          <t>9781560250005</t>
        </is>
      </c>
      <c r="BC2110" t="inlineStr">
        <is>
          <t>32285000936830</t>
        </is>
      </c>
      <c r="BD2110" t="inlineStr">
        <is>
          <t>893244545</t>
        </is>
      </c>
    </row>
    <row r="2111">
      <c r="A2111" t="inlineStr">
        <is>
          <t>No</t>
        </is>
      </c>
      <c r="B2111" t="inlineStr">
        <is>
          <t>E842.9 .L3</t>
        </is>
      </c>
      <c r="C2111" t="inlineStr">
        <is>
          <t>0                      E  0842900L  3</t>
        </is>
      </c>
      <c r="D2111" t="inlineStr">
        <is>
          <t>Rush to judgment : a critique of the Warren Commission's inquiry into the murders of President John F. Kennedy, Officer J. D. Tippit, and Lee Harvey Oswald / with an introd. by Hugh Trevor-Roper.</t>
        </is>
      </c>
      <c r="F2111" t="inlineStr">
        <is>
          <t>No</t>
        </is>
      </c>
      <c r="G2111" t="inlineStr">
        <is>
          <t>1</t>
        </is>
      </c>
      <c r="H2111" t="inlineStr">
        <is>
          <t>No</t>
        </is>
      </c>
      <c r="I2111" t="inlineStr">
        <is>
          <t>No</t>
        </is>
      </c>
      <c r="J2111" t="inlineStr">
        <is>
          <t>0</t>
        </is>
      </c>
      <c r="K2111" t="inlineStr">
        <is>
          <t>Lane, Mark, 1927-2016.</t>
        </is>
      </c>
      <c r="L2111" t="inlineStr">
        <is>
          <t>New York : Holt, Rinehart &amp; Winston, [1966]</t>
        </is>
      </c>
      <c r="M2111" t="inlineStr">
        <is>
          <t>1966</t>
        </is>
      </c>
      <c r="N2111" t="inlineStr">
        <is>
          <t>[1st ed.]</t>
        </is>
      </c>
      <c r="O2111" t="inlineStr">
        <is>
          <t>eng</t>
        </is>
      </c>
      <c r="P2111" t="inlineStr">
        <is>
          <t>nyu</t>
        </is>
      </c>
      <c r="R2111" t="inlineStr">
        <is>
          <t xml:space="preserve">E  </t>
        </is>
      </c>
      <c r="S2111" t="n">
        <v>5</v>
      </c>
      <c r="T2111" t="n">
        <v>5</v>
      </c>
      <c r="U2111" t="inlineStr">
        <is>
          <t>2000-02-19</t>
        </is>
      </c>
      <c r="V2111" t="inlineStr">
        <is>
          <t>2000-02-19</t>
        </is>
      </c>
      <c r="W2111" t="inlineStr">
        <is>
          <t>1990-12-13</t>
        </is>
      </c>
      <c r="X2111" t="inlineStr">
        <is>
          <t>1990-12-13</t>
        </is>
      </c>
      <c r="Y2111" t="n">
        <v>1638</v>
      </c>
      <c r="Z2111" t="n">
        <v>1569</v>
      </c>
      <c r="AA2111" t="n">
        <v>1640</v>
      </c>
      <c r="AB2111" t="n">
        <v>16</v>
      </c>
      <c r="AC2111" t="n">
        <v>16</v>
      </c>
      <c r="AD2111" t="n">
        <v>50</v>
      </c>
      <c r="AE2111" t="n">
        <v>53</v>
      </c>
      <c r="AF2111" t="n">
        <v>19</v>
      </c>
      <c r="AG2111" t="n">
        <v>19</v>
      </c>
      <c r="AH2111" t="n">
        <v>5</v>
      </c>
      <c r="AI2111" t="n">
        <v>6</v>
      </c>
      <c r="AJ2111" t="n">
        <v>16</v>
      </c>
      <c r="AK2111" t="n">
        <v>17</v>
      </c>
      <c r="AL2111" t="n">
        <v>7</v>
      </c>
      <c r="AM2111" t="n">
        <v>7</v>
      </c>
      <c r="AN2111" t="n">
        <v>14</v>
      </c>
      <c r="AO2111" t="n">
        <v>15</v>
      </c>
      <c r="AP2111" t="inlineStr">
        <is>
          <t>No</t>
        </is>
      </c>
      <c r="AQ2111" t="inlineStr">
        <is>
          <t>Yes</t>
        </is>
      </c>
      <c r="AR2111">
        <f>HYPERLINK("http://catalog.hathitrust.org/Record/000578650","HathiTrust Record")</f>
        <v/>
      </c>
      <c r="AS2111">
        <f>HYPERLINK("https://creighton-primo.hosted.exlibrisgroup.com/primo-explore/search?tab=default_tab&amp;search_scope=EVERYTHING&amp;vid=01CRU&amp;lang=en_US&amp;offset=0&amp;query=any,contains,991001021739702656","Catalog Record")</f>
        <v/>
      </c>
      <c r="AT2111">
        <f>HYPERLINK("http://www.worldcat.org/oclc/173828","WorldCat Record")</f>
        <v/>
      </c>
      <c r="AU2111" t="inlineStr">
        <is>
          <t>5535518306:eng</t>
        </is>
      </c>
      <c r="AV2111" t="inlineStr">
        <is>
          <t>173828</t>
        </is>
      </c>
      <c r="AW2111" t="inlineStr">
        <is>
          <t>991001021739702656</t>
        </is>
      </c>
      <c r="AX2111" t="inlineStr">
        <is>
          <t>991001021739702656</t>
        </is>
      </c>
      <c r="AY2111" t="inlineStr">
        <is>
          <t>2268436410002656</t>
        </is>
      </c>
      <c r="AZ2111" t="inlineStr">
        <is>
          <t>BOOK</t>
        </is>
      </c>
      <c r="BC2111" t="inlineStr">
        <is>
          <t>32285000425479</t>
        </is>
      </c>
      <c r="BD2111" t="inlineStr">
        <is>
          <t>893702668</t>
        </is>
      </c>
    </row>
    <row r="2112">
      <c r="A2112" t="inlineStr">
        <is>
          <t>No</t>
        </is>
      </c>
      <c r="B2112" t="inlineStr">
        <is>
          <t>E842.9 .L5</t>
        </is>
      </c>
      <c r="C2112" t="inlineStr">
        <is>
          <t>0                      E  0842900L  5</t>
        </is>
      </c>
      <c r="D2112" t="inlineStr">
        <is>
          <t>Best evidence : disguise and deception in the assassination of John F. Kennedy / David S. Lifton.</t>
        </is>
      </c>
      <c r="F2112" t="inlineStr">
        <is>
          <t>No</t>
        </is>
      </c>
      <c r="G2112" t="inlineStr">
        <is>
          <t>1</t>
        </is>
      </c>
      <c r="H2112" t="inlineStr">
        <is>
          <t>No</t>
        </is>
      </c>
      <c r="I2112" t="inlineStr">
        <is>
          <t>No</t>
        </is>
      </c>
      <c r="J2112" t="inlineStr">
        <is>
          <t>0</t>
        </is>
      </c>
      <c r="K2112" t="inlineStr">
        <is>
          <t>Lifton, David S.</t>
        </is>
      </c>
      <c r="L2112" t="inlineStr">
        <is>
          <t>New York : Macmillan, cl980.</t>
        </is>
      </c>
      <c r="O2112" t="inlineStr">
        <is>
          <t>eng</t>
        </is>
      </c>
      <c r="P2112" t="inlineStr">
        <is>
          <t>nyu</t>
        </is>
      </c>
      <c r="R2112" t="inlineStr">
        <is>
          <t xml:space="preserve">E  </t>
        </is>
      </c>
      <c r="S2112" t="n">
        <v>14</v>
      </c>
      <c r="T2112" t="n">
        <v>14</v>
      </c>
      <c r="U2112" t="inlineStr">
        <is>
          <t>1998-03-19</t>
        </is>
      </c>
      <c r="V2112" t="inlineStr">
        <is>
          <t>1998-03-19</t>
        </is>
      </c>
      <c r="W2112" t="inlineStr">
        <is>
          <t>1991-06-21</t>
        </is>
      </c>
      <c r="X2112" t="inlineStr">
        <is>
          <t>1991-06-21</t>
        </is>
      </c>
      <c r="Y2112" t="n">
        <v>1479</v>
      </c>
      <c r="Z2112" t="n">
        <v>1395</v>
      </c>
      <c r="AA2112" t="n">
        <v>1686</v>
      </c>
      <c r="AB2112" t="n">
        <v>14</v>
      </c>
      <c r="AC2112" t="n">
        <v>21</v>
      </c>
      <c r="AD2112" t="n">
        <v>30</v>
      </c>
      <c r="AE2112" t="n">
        <v>39</v>
      </c>
      <c r="AF2112" t="n">
        <v>12</v>
      </c>
      <c r="AG2112" t="n">
        <v>12</v>
      </c>
      <c r="AH2112" t="n">
        <v>5</v>
      </c>
      <c r="AI2112" t="n">
        <v>6</v>
      </c>
      <c r="AJ2112" t="n">
        <v>12</v>
      </c>
      <c r="AK2112" t="n">
        <v>14</v>
      </c>
      <c r="AL2112" t="n">
        <v>3</v>
      </c>
      <c r="AM2112" t="n">
        <v>6</v>
      </c>
      <c r="AN2112" t="n">
        <v>4</v>
      </c>
      <c r="AO2112" t="n">
        <v>7</v>
      </c>
      <c r="AP2112" t="inlineStr">
        <is>
          <t>No</t>
        </is>
      </c>
      <c r="AQ2112" t="inlineStr">
        <is>
          <t>Yes</t>
        </is>
      </c>
      <c r="AR2112">
        <f>HYPERLINK("http://catalog.hathitrust.org/Record/000086491","HathiTrust Record")</f>
        <v/>
      </c>
      <c r="AS2112">
        <f>HYPERLINK("https://creighton-primo.hosted.exlibrisgroup.com/primo-explore/search?tab=default_tab&amp;search_scope=EVERYTHING&amp;vid=01CRU&amp;lang=en_US&amp;offset=0&amp;query=any,contains,991005073609702656","Catalog Record")</f>
        <v/>
      </c>
      <c r="AT2112">
        <f>HYPERLINK("http://www.worldcat.org/oclc/7071895","WorldCat Record")</f>
        <v/>
      </c>
      <c r="AU2112" t="inlineStr">
        <is>
          <t>17436194:eng</t>
        </is>
      </c>
      <c r="AV2112" t="inlineStr">
        <is>
          <t>7071895</t>
        </is>
      </c>
      <c r="AW2112" t="inlineStr">
        <is>
          <t>991005073609702656</t>
        </is>
      </c>
      <c r="AX2112" t="inlineStr">
        <is>
          <t>991005073609702656</t>
        </is>
      </c>
      <c r="AY2112" t="inlineStr">
        <is>
          <t>2271725960002656</t>
        </is>
      </c>
      <c r="AZ2112" t="inlineStr">
        <is>
          <t>BOOK</t>
        </is>
      </c>
      <c r="BC2112" t="inlineStr">
        <is>
          <t>32285000670868</t>
        </is>
      </c>
      <c r="BD2112" t="inlineStr">
        <is>
          <t>893526845</t>
        </is>
      </c>
    </row>
    <row r="2113">
      <c r="A2113" t="inlineStr">
        <is>
          <t>No</t>
        </is>
      </c>
      <c r="B2113" t="inlineStr">
        <is>
          <t>E842.9 .M37</t>
        </is>
      </c>
      <c r="C2113" t="inlineStr">
        <is>
          <t>0                      E  0842900M  37</t>
        </is>
      </c>
      <c r="D2113" t="inlineStr">
        <is>
          <t>Bulletin from Dallas : the President is dead : the story of John F. Kennedy's assassination as covered by radio and TV / by John B. Mayo, Jr.</t>
        </is>
      </c>
      <c r="F2113" t="inlineStr">
        <is>
          <t>No</t>
        </is>
      </c>
      <c r="G2113" t="inlineStr">
        <is>
          <t>1</t>
        </is>
      </c>
      <c r="H2113" t="inlineStr">
        <is>
          <t>No</t>
        </is>
      </c>
      <c r="I2113" t="inlineStr">
        <is>
          <t>No</t>
        </is>
      </c>
      <c r="J2113" t="inlineStr">
        <is>
          <t>0</t>
        </is>
      </c>
      <c r="K2113" t="inlineStr">
        <is>
          <t>Mayo, John B.</t>
        </is>
      </c>
      <c r="L2113" t="inlineStr">
        <is>
          <t>New York : Expostion Press, [1967]</t>
        </is>
      </c>
      <c r="M2113" t="inlineStr">
        <is>
          <t>1967</t>
        </is>
      </c>
      <c r="N2113" t="inlineStr">
        <is>
          <t>[1st ed.]</t>
        </is>
      </c>
      <c r="O2113" t="inlineStr">
        <is>
          <t>eng</t>
        </is>
      </c>
      <c r="P2113" t="inlineStr">
        <is>
          <t>nyu</t>
        </is>
      </c>
      <c r="Q2113" t="inlineStr">
        <is>
          <t>An Exposition-banner book</t>
        </is>
      </c>
      <c r="R2113" t="inlineStr">
        <is>
          <t xml:space="preserve">E  </t>
        </is>
      </c>
      <c r="S2113" t="n">
        <v>6</v>
      </c>
      <c r="T2113" t="n">
        <v>6</v>
      </c>
      <c r="U2113" t="inlineStr">
        <is>
          <t>2002-03-20</t>
        </is>
      </c>
      <c r="V2113" t="inlineStr">
        <is>
          <t>2002-03-20</t>
        </is>
      </c>
      <c r="W2113" t="inlineStr">
        <is>
          <t>1991-04-19</t>
        </is>
      </c>
      <c r="X2113" t="inlineStr">
        <is>
          <t>1991-04-19</t>
        </is>
      </c>
      <c r="Y2113" t="n">
        <v>121</v>
      </c>
      <c r="Z2113" t="n">
        <v>117</v>
      </c>
      <c r="AA2113" t="n">
        <v>118</v>
      </c>
      <c r="AB2113" t="n">
        <v>2</v>
      </c>
      <c r="AC2113" t="n">
        <v>2</v>
      </c>
      <c r="AD2113" t="n">
        <v>5</v>
      </c>
      <c r="AE2113" t="n">
        <v>5</v>
      </c>
      <c r="AF2113" t="n">
        <v>0</v>
      </c>
      <c r="AG2113" t="n">
        <v>0</v>
      </c>
      <c r="AH2113" t="n">
        <v>1</v>
      </c>
      <c r="AI2113" t="n">
        <v>1</v>
      </c>
      <c r="AJ2113" t="n">
        <v>4</v>
      </c>
      <c r="AK2113" t="n">
        <v>4</v>
      </c>
      <c r="AL2113" t="n">
        <v>1</v>
      </c>
      <c r="AM2113" t="n">
        <v>1</v>
      </c>
      <c r="AN2113" t="n">
        <v>0</v>
      </c>
      <c r="AO2113" t="n">
        <v>0</v>
      </c>
      <c r="AP2113" t="inlineStr">
        <is>
          <t>No</t>
        </is>
      </c>
      <c r="AQ2113" t="inlineStr">
        <is>
          <t>No</t>
        </is>
      </c>
      <c r="AS2113">
        <f>HYPERLINK("https://creighton-primo.hosted.exlibrisgroup.com/primo-explore/search?tab=default_tab&amp;search_scope=EVERYTHING&amp;vid=01CRU&amp;lang=en_US&amp;offset=0&amp;query=any,contains,991003360839702656","Catalog Record")</f>
        <v/>
      </c>
      <c r="AT2113">
        <f>HYPERLINK("http://www.worldcat.org/oclc/897227","WorldCat Record")</f>
        <v/>
      </c>
      <c r="AU2113" t="inlineStr">
        <is>
          <t>1883438:eng</t>
        </is>
      </c>
      <c r="AV2113" t="inlineStr">
        <is>
          <t>897227</t>
        </is>
      </c>
      <c r="AW2113" t="inlineStr">
        <is>
          <t>991003360839702656</t>
        </is>
      </c>
      <c r="AX2113" t="inlineStr">
        <is>
          <t>991003360839702656</t>
        </is>
      </c>
      <c r="AY2113" t="inlineStr">
        <is>
          <t>2257521200002656</t>
        </is>
      </c>
      <c r="AZ2113" t="inlineStr">
        <is>
          <t>BOOK</t>
        </is>
      </c>
      <c r="BC2113" t="inlineStr">
        <is>
          <t>32285000583699</t>
        </is>
      </c>
      <c r="BD2113" t="inlineStr">
        <is>
          <t>893410217</t>
        </is>
      </c>
    </row>
    <row r="2114">
      <c r="A2114" t="inlineStr">
        <is>
          <t>No</t>
        </is>
      </c>
      <c r="B2114" t="inlineStr">
        <is>
          <t>E842.9 .N66 1991</t>
        </is>
      </c>
      <c r="C2114" t="inlineStr">
        <is>
          <t>0                      E  0842900N  66          1991</t>
        </is>
      </c>
      <c r="D2114" t="inlineStr">
        <is>
          <t>Act of treason : the role of J. Edgar Hoover in the assasination of President Kennedy / by Mark North.</t>
        </is>
      </c>
      <c r="F2114" t="inlineStr">
        <is>
          <t>No</t>
        </is>
      </c>
      <c r="G2114" t="inlineStr">
        <is>
          <t>1</t>
        </is>
      </c>
      <c r="H2114" t="inlineStr">
        <is>
          <t>No</t>
        </is>
      </c>
      <c r="I2114" t="inlineStr">
        <is>
          <t>No</t>
        </is>
      </c>
      <c r="J2114" t="inlineStr">
        <is>
          <t>0</t>
        </is>
      </c>
      <c r="K2114" t="inlineStr">
        <is>
          <t>North, Mark.</t>
        </is>
      </c>
      <c r="L2114" t="inlineStr">
        <is>
          <t>New York : Carroll &amp; Graf Publishers, 1991.</t>
        </is>
      </c>
      <c r="M2114" t="inlineStr">
        <is>
          <t>1991</t>
        </is>
      </c>
      <c r="N2114" t="inlineStr">
        <is>
          <t>1st Carroll &amp; Graf ed.</t>
        </is>
      </c>
      <c r="O2114" t="inlineStr">
        <is>
          <t>eng</t>
        </is>
      </c>
      <c r="P2114" t="inlineStr">
        <is>
          <t>nyu</t>
        </is>
      </c>
      <c r="R2114" t="inlineStr">
        <is>
          <t xml:space="preserve">E  </t>
        </is>
      </c>
      <c r="S2114" t="n">
        <v>11</v>
      </c>
      <c r="T2114" t="n">
        <v>11</v>
      </c>
      <c r="U2114" t="inlineStr">
        <is>
          <t>1997-03-04</t>
        </is>
      </c>
      <c r="V2114" t="inlineStr">
        <is>
          <t>1997-03-04</t>
        </is>
      </c>
      <c r="W2114" t="inlineStr">
        <is>
          <t>1992-02-27</t>
        </is>
      </c>
      <c r="X2114" t="inlineStr">
        <is>
          <t>1992-02-27</t>
        </is>
      </c>
      <c r="Y2114" t="n">
        <v>980</v>
      </c>
      <c r="Z2114" t="n">
        <v>935</v>
      </c>
      <c r="AA2114" t="n">
        <v>1069</v>
      </c>
      <c r="AB2114" t="n">
        <v>7</v>
      </c>
      <c r="AC2114" t="n">
        <v>7</v>
      </c>
      <c r="AD2114" t="n">
        <v>17</v>
      </c>
      <c r="AE2114" t="n">
        <v>18</v>
      </c>
      <c r="AF2114" t="n">
        <v>5</v>
      </c>
      <c r="AG2114" t="n">
        <v>5</v>
      </c>
      <c r="AH2114" t="n">
        <v>3</v>
      </c>
      <c r="AI2114" t="n">
        <v>3</v>
      </c>
      <c r="AJ2114" t="n">
        <v>9</v>
      </c>
      <c r="AK2114" t="n">
        <v>10</v>
      </c>
      <c r="AL2114" t="n">
        <v>2</v>
      </c>
      <c r="AM2114" t="n">
        <v>2</v>
      </c>
      <c r="AN2114" t="n">
        <v>2</v>
      </c>
      <c r="AO2114" t="n">
        <v>2</v>
      </c>
      <c r="AP2114" t="inlineStr">
        <is>
          <t>No</t>
        </is>
      </c>
      <c r="AQ2114" t="inlineStr">
        <is>
          <t>No</t>
        </is>
      </c>
      <c r="AS2114">
        <f>HYPERLINK("https://creighton-primo.hosted.exlibrisgroup.com/primo-explore/search?tab=default_tab&amp;search_scope=EVERYTHING&amp;vid=01CRU&amp;lang=en_US&amp;offset=0&amp;query=any,contains,991001913779702656","Catalog Record")</f>
        <v/>
      </c>
      <c r="AT2114">
        <f>HYPERLINK("http://www.worldcat.org/oclc/24173543","WorldCat Record")</f>
        <v/>
      </c>
      <c r="AU2114" t="inlineStr">
        <is>
          <t>26419896:eng</t>
        </is>
      </c>
      <c r="AV2114" t="inlineStr">
        <is>
          <t>24173543</t>
        </is>
      </c>
      <c r="AW2114" t="inlineStr">
        <is>
          <t>991001913779702656</t>
        </is>
      </c>
      <c r="AX2114" t="inlineStr">
        <is>
          <t>991001913779702656</t>
        </is>
      </c>
      <c r="AY2114" t="inlineStr">
        <is>
          <t>2268908790002656</t>
        </is>
      </c>
      <c r="AZ2114" t="inlineStr">
        <is>
          <t>BOOK</t>
        </is>
      </c>
      <c r="BB2114" t="inlineStr">
        <is>
          <t>9780881847475</t>
        </is>
      </c>
      <c r="BC2114" t="inlineStr">
        <is>
          <t>32285000936723</t>
        </is>
      </c>
      <c r="BD2114" t="inlineStr">
        <is>
          <t>893426975</t>
        </is>
      </c>
    </row>
    <row r="2115">
      <c r="A2115" t="inlineStr">
        <is>
          <t>No</t>
        </is>
      </c>
      <c r="B2115" t="inlineStr">
        <is>
          <t>E842.9 .P67 1993</t>
        </is>
      </c>
      <c r="C2115" t="inlineStr">
        <is>
          <t>0                      E  0842900P  67          1993</t>
        </is>
      </c>
      <c r="D2115" t="inlineStr">
        <is>
          <t>Case closed : Lee Harvey Oswald and the assassination of JFK / Gerald Posner.</t>
        </is>
      </c>
      <c r="F2115" t="inlineStr">
        <is>
          <t>No</t>
        </is>
      </c>
      <c r="G2115" t="inlineStr">
        <is>
          <t>1</t>
        </is>
      </c>
      <c r="H2115" t="inlineStr">
        <is>
          <t>No</t>
        </is>
      </c>
      <c r="I2115" t="inlineStr">
        <is>
          <t>No</t>
        </is>
      </c>
      <c r="J2115" t="inlineStr">
        <is>
          <t>0</t>
        </is>
      </c>
      <c r="K2115" t="inlineStr">
        <is>
          <t>Posner, Gerald L.</t>
        </is>
      </c>
      <c r="L2115" t="inlineStr">
        <is>
          <t>New York : Random House, c1993.</t>
        </is>
      </c>
      <c r="M2115" t="inlineStr">
        <is>
          <t>1993</t>
        </is>
      </c>
      <c r="N2115" t="inlineStr">
        <is>
          <t>1st ed.</t>
        </is>
      </c>
      <c r="O2115" t="inlineStr">
        <is>
          <t>eng</t>
        </is>
      </c>
      <c r="P2115" t="inlineStr">
        <is>
          <t>nyu</t>
        </is>
      </c>
      <c r="R2115" t="inlineStr">
        <is>
          <t xml:space="preserve">E  </t>
        </is>
      </c>
      <c r="S2115" t="n">
        <v>17</v>
      </c>
      <c r="T2115" t="n">
        <v>17</v>
      </c>
      <c r="U2115" t="inlineStr">
        <is>
          <t>2005-05-06</t>
        </is>
      </c>
      <c r="V2115" t="inlineStr">
        <is>
          <t>2005-05-06</t>
        </is>
      </c>
      <c r="W2115" t="inlineStr">
        <is>
          <t>1994-03-11</t>
        </is>
      </c>
      <c r="X2115" t="inlineStr">
        <is>
          <t>1994-03-11</t>
        </is>
      </c>
      <c r="Y2115" t="n">
        <v>2385</v>
      </c>
      <c r="Z2115" t="n">
        <v>2280</v>
      </c>
      <c r="AA2115" t="n">
        <v>2653</v>
      </c>
      <c r="AB2115" t="n">
        <v>29</v>
      </c>
      <c r="AC2115" t="n">
        <v>33</v>
      </c>
      <c r="AD2115" t="n">
        <v>53</v>
      </c>
      <c r="AE2115" t="n">
        <v>61</v>
      </c>
      <c r="AF2115" t="n">
        <v>15</v>
      </c>
      <c r="AG2115" t="n">
        <v>20</v>
      </c>
      <c r="AH2115" t="n">
        <v>9</v>
      </c>
      <c r="AI2115" t="n">
        <v>10</v>
      </c>
      <c r="AJ2115" t="n">
        <v>20</v>
      </c>
      <c r="AK2115" t="n">
        <v>21</v>
      </c>
      <c r="AL2115" t="n">
        <v>11</v>
      </c>
      <c r="AM2115" t="n">
        <v>14</v>
      </c>
      <c r="AN2115" t="n">
        <v>7</v>
      </c>
      <c r="AO2115" t="n">
        <v>7</v>
      </c>
      <c r="AP2115" t="inlineStr">
        <is>
          <t>No</t>
        </is>
      </c>
      <c r="AQ2115" t="inlineStr">
        <is>
          <t>Yes</t>
        </is>
      </c>
      <c r="AR2115">
        <f>HYPERLINK("http://catalog.hathitrust.org/Record/002718150","HathiTrust Record")</f>
        <v/>
      </c>
      <c r="AS2115">
        <f>HYPERLINK("https://creighton-primo.hosted.exlibrisgroup.com/primo-explore/search?tab=default_tab&amp;search_scope=EVERYTHING&amp;vid=01CRU&amp;lang=en_US&amp;offset=0&amp;query=any,contains,991002157529702656","Catalog Record")</f>
        <v/>
      </c>
      <c r="AT2115">
        <f>HYPERLINK("http://www.worldcat.org/oclc/27810647","WorldCat Record")</f>
        <v/>
      </c>
      <c r="AU2115" t="inlineStr">
        <is>
          <t>346658:eng</t>
        </is>
      </c>
      <c r="AV2115" t="inlineStr">
        <is>
          <t>27810647</t>
        </is>
      </c>
      <c r="AW2115" t="inlineStr">
        <is>
          <t>991002157529702656</t>
        </is>
      </c>
      <c r="AX2115" t="inlineStr">
        <is>
          <t>991002157529702656</t>
        </is>
      </c>
      <c r="AY2115" t="inlineStr">
        <is>
          <t>2259113360002656</t>
        </is>
      </c>
      <c r="AZ2115" t="inlineStr">
        <is>
          <t>BOOK</t>
        </is>
      </c>
      <c r="BB2115" t="inlineStr">
        <is>
          <t>9780679418252</t>
        </is>
      </c>
      <c r="BC2115" t="inlineStr">
        <is>
          <t>32285001844660</t>
        </is>
      </c>
      <c r="BD2115" t="inlineStr">
        <is>
          <t>893510369</t>
        </is>
      </c>
    </row>
    <row r="2116">
      <c r="A2116" t="inlineStr">
        <is>
          <t>No</t>
        </is>
      </c>
      <c r="B2116" t="inlineStr">
        <is>
          <t>E842.9 .S9</t>
        </is>
      </c>
      <c r="C2116" t="inlineStr">
        <is>
          <t>0                      E  0842900S  9</t>
        </is>
      </c>
      <c r="D2116" t="inlineStr">
        <is>
          <t>Conspiracy / by Anthony Summers.</t>
        </is>
      </c>
      <c r="F2116" t="inlineStr">
        <is>
          <t>No</t>
        </is>
      </c>
      <c r="G2116" t="inlineStr">
        <is>
          <t>1</t>
        </is>
      </c>
      <c r="H2116" t="inlineStr">
        <is>
          <t>No</t>
        </is>
      </c>
      <c r="I2116" t="inlineStr">
        <is>
          <t>Yes</t>
        </is>
      </c>
      <c r="J2116" t="inlineStr">
        <is>
          <t>0</t>
        </is>
      </c>
      <c r="K2116" t="inlineStr">
        <is>
          <t>Summers, Anthony.</t>
        </is>
      </c>
      <c r="L2116" t="inlineStr">
        <is>
          <t>New York : McGraw-Hill, c1980.</t>
        </is>
      </c>
      <c r="M2116" t="inlineStr">
        <is>
          <t>1980</t>
        </is>
      </c>
      <c r="O2116" t="inlineStr">
        <is>
          <t>eng</t>
        </is>
      </c>
      <c r="P2116" t="inlineStr">
        <is>
          <t>nyu</t>
        </is>
      </c>
      <c r="R2116" t="inlineStr">
        <is>
          <t xml:space="preserve">E  </t>
        </is>
      </c>
      <c r="S2116" t="n">
        <v>6</v>
      </c>
      <c r="T2116" t="n">
        <v>6</v>
      </c>
      <c r="U2116" t="inlineStr">
        <is>
          <t>2000-02-19</t>
        </is>
      </c>
      <c r="V2116" t="inlineStr">
        <is>
          <t>2000-02-19</t>
        </is>
      </c>
      <c r="W2116" t="inlineStr">
        <is>
          <t>1992-11-12</t>
        </is>
      </c>
      <c r="X2116" t="inlineStr">
        <is>
          <t>1992-11-12</t>
        </is>
      </c>
      <c r="Y2116" t="n">
        <v>1152</v>
      </c>
      <c r="Z2116" t="n">
        <v>1101</v>
      </c>
      <c r="AA2116" t="n">
        <v>1311</v>
      </c>
      <c r="AB2116" t="n">
        <v>8</v>
      </c>
      <c r="AC2116" t="n">
        <v>12</v>
      </c>
      <c r="AD2116" t="n">
        <v>33</v>
      </c>
      <c r="AE2116" t="n">
        <v>40</v>
      </c>
      <c r="AF2116" t="n">
        <v>15</v>
      </c>
      <c r="AG2116" t="n">
        <v>16</v>
      </c>
      <c r="AH2116" t="n">
        <v>4</v>
      </c>
      <c r="AI2116" t="n">
        <v>5</v>
      </c>
      <c r="AJ2116" t="n">
        <v>13</v>
      </c>
      <c r="AK2116" t="n">
        <v>15</v>
      </c>
      <c r="AL2116" t="n">
        <v>4</v>
      </c>
      <c r="AM2116" t="n">
        <v>8</v>
      </c>
      <c r="AN2116" t="n">
        <v>4</v>
      </c>
      <c r="AO2116" t="n">
        <v>4</v>
      </c>
      <c r="AP2116" t="inlineStr">
        <is>
          <t>No</t>
        </is>
      </c>
      <c r="AQ2116" t="inlineStr">
        <is>
          <t>Yes</t>
        </is>
      </c>
      <c r="AR2116">
        <f>HYPERLINK("http://catalog.hathitrust.org/Record/000708555","HathiTrust Record")</f>
        <v/>
      </c>
      <c r="AS2116">
        <f>HYPERLINK("https://creighton-primo.hosted.exlibrisgroup.com/primo-explore/search?tab=default_tab&amp;search_scope=EVERYTHING&amp;vid=01CRU&amp;lang=en_US&amp;offset=0&amp;query=any,contains,991004877789702656","Catalog Record")</f>
        <v/>
      </c>
      <c r="AT2116">
        <f>HYPERLINK("http://www.worldcat.org/oclc/5799606","WorldCat Record")</f>
        <v/>
      </c>
      <c r="AU2116" t="inlineStr">
        <is>
          <t>406574:eng</t>
        </is>
      </c>
      <c r="AV2116" t="inlineStr">
        <is>
          <t>5799606</t>
        </is>
      </c>
      <c r="AW2116" t="inlineStr">
        <is>
          <t>991004877789702656</t>
        </is>
      </c>
      <c r="AX2116" t="inlineStr">
        <is>
          <t>991004877789702656</t>
        </is>
      </c>
      <c r="AY2116" t="inlineStr">
        <is>
          <t>2269456490002656</t>
        </is>
      </c>
      <c r="AZ2116" t="inlineStr">
        <is>
          <t>BOOK</t>
        </is>
      </c>
      <c r="BB2116" t="inlineStr">
        <is>
          <t>9780070623927</t>
        </is>
      </c>
      <c r="BC2116" t="inlineStr">
        <is>
          <t>32285001363141</t>
        </is>
      </c>
      <c r="BD2116" t="inlineStr">
        <is>
          <t>893325900</t>
        </is>
      </c>
    </row>
    <row r="2117">
      <c r="A2117" t="inlineStr">
        <is>
          <t>No</t>
        </is>
      </c>
      <c r="B2117" t="inlineStr">
        <is>
          <t>E842.9 .W35 2005</t>
        </is>
      </c>
      <c r="C2117" t="inlineStr">
        <is>
          <t>0                      E  0842900W  35          2005</t>
        </is>
      </c>
      <c r="D2117" t="inlineStr">
        <is>
          <t>Ultimate sacrifice : John and Robert Kennedy, the plan for a coup in Cuba, and the murder of JFK / Lamar Waldron with Thom Hartmann.</t>
        </is>
      </c>
      <c r="F2117" t="inlineStr">
        <is>
          <t>No</t>
        </is>
      </c>
      <c r="G2117" t="inlineStr">
        <is>
          <t>1</t>
        </is>
      </c>
      <c r="H2117" t="inlineStr">
        <is>
          <t>No</t>
        </is>
      </c>
      <c r="I2117" t="inlineStr">
        <is>
          <t>No</t>
        </is>
      </c>
      <c r="J2117" t="inlineStr">
        <is>
          <t>0</t>
        </is>
      </c>
      <c r="K2117" t="inlineStr">
        <is>
          <t>Waldron, Lamar, 1954-</t>
        </is>
      </c>
      <c r="L2117" t="inlineStr">
        <is>
          <t>New York : Carroll &amp; Graf Publishers, 2005.</t>
        </is>
      </c>
      <c r="M2117" t="inlineStr">
        <is>
          <t>2005</t>
        </is>
      </c>
      <c r="N2117" t="inlineStr">
        <is>
          <t>1st Carroll &amp; Graf ed.</t>
        </is>
      </c>
      <c r="O2117" t="inlineStr">
        <is>
          <t>eng</t>
        </is>
      </c>
      <c r="P2117" t="inlineStr">
        <is>
          <t>nyu</t>
        </is>
      </c>
      <c r="R2117" t="inlineStr">
        <is>
          <t xml:space="preserve">E  </t>
        </is>
      </c>
      <c r="S2117" t="n">
        <v>3</v>
      </c>
      <c r="T2117" t="n">
        <v>3</v>
      </c>
      <c r="U2117" t="inlineStr">
        <is>
          <t>2005-12-21</t>
        </is>
      </c>
      <c r="V2117" t="inlineStr">
        <is>
          <t>2005-12-21</t>
        </is>
      </c>
      <c r="W2117" t="inlineStr">
        <is>
          <t>2005-12-21</t>
        </is>
      </c>
      <c r="X2117" t="inlineStr">
        <is>
          <t>2005-12-21</t>
        </is>
      </c>
      <c r="Y2117" t="n">
        <v>760</v>
      </c>
      <c r="Z2117" t="n">
        <v>723</v>
      </c>
      <c r="AA2117" t="n">
        <v>1178</v>
      </c>
      <c r="AB2117" t="n">
        <v>7</v>
      </c>
      <c r="AC2117" t="n">
        <v>12</v>
      </c>
      <c r="AD2117" t="n">
        <v>15</v>
      </c>
      <c r="AE2117" t="n">
        <v>31</v>
      </c>
      <c r="AF2117" t="n">
        <v>4</v>
      </c>
      <c r="AG2117" t="n">
        <v>11</v>
      </c>
      <c r="AH2117" t="n">
        <v>5</v>
      </c>
      <c r="AI2117" t="n">
        <v>8</v>
      </c>
      <c r="AJ2117" t="n">
        <v>8</v>
      </c>
      <c r="AK2117" t="n">
        <v>11</v>
      </c>
      <c r="AL2117" t="n">
        <v>1</v>
      </c>
      <c r="AM2117" t="n">
        <v>5</v>
      </c>
      <c r="AN2117" t="n">
        <v>0</v>
      </c>
      <c r="AO2117" t="n">
        <v>1</v>
      </c>
      <c r="AP2117" t="inlineStr">
        <is>
          <t>No</t>
        </is>
      </c>
      <c r="AQ2117" t="inlineStr">
        <is>
          <t>No</t>
        </is>
      </c>
      <c r="AS2117">
        <f>HYPERLINK("https://creighton-primo.hosted.exlibrisgroup.com/primo-explore/search?tab=default_tab&amp;search_scope=EVERYTHING&amp;vid=01CRU&amp;lang=en_US&amp;offset=0&amp;query=any,contains,991004700969702656","Catalog Record")</f>
        <v/>
      </c>
      <c r="AT2117">
        <f>HYPERLINK("http://www.worldcat.org/oclc/62381201","WorldCat Record")</f>
        <v/>
      </c>
      <c r="AU2117" t="inlineStr">
        <is>
          <t>196764834:eng</t>
        </is>
      </c>
      <c r="AV2117" t="inlineStr">
        <is>
          <t>62381201</t>
        </is>
      </c>
      <c r="AW2117" t="inlineStr">
        <is>
          <t>991004700969702656</t>
        </is>
      </c>
      <c r="AX2117" t="inlineStr">
        <is>
          <t>991004700969702656</t>
        </is>
      </c>
      <c r="AY2117" t="inlineStr">
        <is>
          <t>2264386850002656</t>
        </is>
      </c>
      <c r="AZ2117" t="inlineStr">
        <is>
          <t>BOOK</t>
        </is>
      </c>
      <c r="BB2117" t="inlineStr">
        <is>
          <t>9780786714414</t>
        </is>
      </c>
      <c r="BC2117" t="inlineStr">
        <is>
          <t>32285005153357</t>
        </is>
      </c>
      <c r="BD2117" t="inlineStr">
        <is>
          <t>893331927</t>
        </is>
      </c>
    </row>
    <row r="2118">
      <c r="A2118" t="inlineStr">
        <is>
          <t>No</t>
        </is>
      </c>
      <c r="B2118" t="inlineStr">
        <is>
          <t>E842.9 .W4</t>
        </is>
      </c>
      <c r="C2118" t="inlineStr">
        <is>
          <t>0                      E  0842900W  4</t>
        </is>
      </c>
      <c r="D2118" t="inlineStr">
        <is>
          <t>Whitewash : the report on the Warren report.</t>
        </is>
      </c>
      <c r="F2118" t="inlineStr">
        <is>
          <t>No</t>
        </is>
      </c>
      <c r="G2118" t="inlineStr">
        <is>
          <t>1</t>
        </is>
      </c>
      <c r="H2118" t="inlineStr">
        <is>
          <t>No</t>
        </is>
      </c>
      <c r="I2118" t="inlineStr">
        <is>
          <t>No</t>
        </is>
      </c>
      <c r="J2118" t="inlineStr">
        <is>
          <t>0</t>
        </is>
      </c>
      <c r="K2118" t="inlineStr">
        <is>
          <t>Weisberg, Harold, 1913-2002.</t>
        </is>
      </c>
      <c r="M2118" t="inlineStr">
        <is>
          <t>1966</t>
        </is>
      </c>
      <c r="O2118" t="inlineStr">
        <is>
          <t>eng</t>
        </is>
      </c>
      <c r="P2118" t="inlineStr">
        <is>
          <t xml:space="preserve">xx </t>
        </is>
      </c>
      <c r="R2118" t="inlineStr">
        <is>
          <t xml:space="preserve">E  </t>
        </is>
      </c>
      <c r="S2118" t="n">
        <v>3</v>
      </c>
      <c r="T2118" t="n">
        <v>3</v>
      </c>
      <c r="U2118" t="inlineStr">
        <is>
          <t>1994-09-02</t>
        </is>
      </c>
      <c r="V2118" t="inlineStr">
        <is>
          <t>1994-09-02</t>
        </is>
      </c>
      <c r="W2118" t="inlineStr">
        <is>
          <t>1992-02-25</t>
        </is>
      </c>
      <c r="X2118" t="inlineStr">
        <is>
          <t>1992-02-25</t>
        </is>
      </c>
      <c r="Y2118" t="n">
        <v>107</v>
      </c>
      <c r="Z2118" t="n">
        <v>101</v>
      </c>
      <c r="AA2118" t="n">
        <v>376</v>
      </c>
      <c r="AB2118" t="n">
        <v>2</v>
      </c>
      <c r="AC2118" t="n">
        <v>3</v>
      </c>
      <c r="AD2118" t="n">
        <v>4</v>
      </c>
      <c r="AE2118" t="n">
        <v>11</v>
      </c>
      <c r="AF2118" t="n">
        <v>1</v>
      </c>
      <c r="AG2118" t="n">
        <v>3</v>
      </c>
      <c r="AH2118" t="n">
        <v>2</v>
      </c>
      <c r="AI2118" t="n">
        <v>4</v>
      </c>
      <c r="AJ2118" t="n">
        <v>0</v>
      </c>
      <c r="AK2118" t="n">
        <v>3</v>
      </c>
      <c r="AL2118" t="n">
        <v>1</v>
      </c>
      <c r="AM2118" t="n">
        <v>1</v>
      </c>
      <c r="AN2118" t="n">
        <v>0</v>
      </c>
      <c r="AO2118" t="n">
        <v>1</v>
      </c>
      <c r="AP2118" t="inlineStr">
        <is>
          <t>No</t>
        </is>
      </c>
      <c r="AQ2118" t="inlineStr">
        <is>
          <t>No</t>
        </is>
      </c>
      <c r="AS2118">
        <f>HYPERLINK("https://creighton-primo.hosted.exlibrisgroup.com/primo-explore/search?tab=default_tab&amp;search_scope=EVERYTHING&amp;vid=01CRU&amp;lang=en_US&amp;offset=0&amp;query=any,contains,991003383789702656","Catalog Record")</f>
        <v/>
      </c>
      <c r="AT2118">
        <f>HYPERLINK("http://www.worldcat.org/oclc/921336","WorldCat Record")</f>
        <v/>
      </c>
      <c r="AU2118" t="inlineStr">
        <is>
          <t>1865905:eng</t>
        </is>
      </c>
      <c r="AV2118" t="inlineStr">
        <is>
          <t>921336</t>
        </is>
      </c>
      <c r="AW2118" t="inlineStr">
        <is>
          <t>991003383789702656</t>
        </is>
      </c>
      <c r="AX2118" t="inlineStr">
        <is>
          <t>991003383789702656</t>
        </is>
      </c>
      <c r="AY2118" t="inlineStr">
        <is>
          <t>2269958370002656</t>
        </is>
      </c>
      <c r="AZ2118" t="inlineStr">
        <is>
          <t>BOOK</t>
        </is>
      </c>
      <c r="BC2118" t="inlineStr">
        <is>
          <t>32285000976919</t>
        </is>
      </c>
      <c r="BD2118" t="inlineStr">
        <is>
          <t>893342513</t>
        </is>
      </c>
    </row>
    <row r="2119">
      <c r="A2119" t="inlineStr">
        <is>
          <t>No</t>
        </is>
      </c>
      <c r="B2119" t="inlineStr">
        <is>
          <t>E842.9 .W42</t>
        </is>
      </c>
      <c r="C2119" t="inlineStr">
        <is>
          <t>0                      E  0842900W  42</t>
        </is>
      </c>
      <c r="D2119" t="inlineStr">
        <is>
          <t>Whitewash II : the FBI-Secret Service cover-up / by Harold Weisberg.</t>
        </is>
      </c>
      <c r="F2119" t="inlineStr">
        <is>
          <t>No</t>
        </is>
      </c>
      <c r="G2119" t="inlineStr">
        <is>
          <t>1</t>
        </is>
      </c>
      <c r="H2119" t="inlineStr">
        <is>
          <t>No</t>
        </is>
      </c>
      <c r="I2119" t="inlineStr">
        <is>
          <t>No</t>
        </is>
      </c>
      <c r="J2119" t="inlineStr">
        <is>
          <t>0</t>
        </is>
      </c>
      <c r="K2119" t="inlineStr">
        <is>
          <t>Weisberg, Harold, 1913-2002.</t>
        </is>
      </c>
      <c r="M2119" t="inlineStr">
        <is>
          <t>1966</t>
        </is>
      </c>
      <c r="O2119" t="inlineStr">
        <is>
          <t>eng</t>
        </is>
      </c>
      <c r="P2119" t="inlineStr">
        <is>
          <t>mdu</t>
        </is>
      </c>
      <c r="R2119" t="inlineStr">
        <is>
          <t xml:space="preserve">E  </t>
        </is>
      </c>
      <c r="S2119" t="n">
        <v>12</v>
      </c>
      <c r="T2119" t="n">
        <v>12</v>
      </c>
      <c r="U2119" t="inlineStr">
        <is>
          <t>1997-03-04</t>
        </is>
      </c>
      <c r="V2119" t="inlineStr">
        <is>
          <t>1997-03-04</t>
        </is>
      </c>
      <c r="W2119" t="inlineStr">
        <is>
          <t>1995-06-30</t>
        </is>
      </c>
      <c r="X2119" t="inlineStr">
        <is>
          <t>1995-06-30</t>
        </is>
      </c>
      <c r="Y2119" t="n">
        <v>188</v>
      </c>
      <c r="Z2119" t="n">
        <v>176</v>
      </c>
      <c r="AA2119" t="n">
        <v>235</v>
      </c>
      <c r="AB2119" t="n">
        <v>1</v>
      </c>
      <c r="AC2119" t="n">
        <v>1</v>
      </c>
      <c r="AD2119" t="n">
        <v>5</v>
      </c>
      <c r="AE2119" t="n">
        <v>8</v>
      </c>
      <c r="AF2119" t="n">
        <v>2</v>
      </c>
      <c r="AG2119" t="n">
        <v>2</v>
      </c>
      <c r="AH2119" t="n">
        <v>3</v>
      </c>
      <c r="AI2119" t="n">
        <v>4</v>
      </c>
      <c r="AJ2119" t="n">
        <v>3</v>
      </c>
      <c r="AK2119" t="n">
        <v>3</v>
      </c>
      <c r="AL2119" t="n">
        <v>0</v>
      </c>
      <c r="AM2119" t="n">
        <v>0</v>
      </c>
      <c r="AN2119" t="n">
        <v>0</v>
      </c>
      <c r="AO2119" t="n">
        <v>2</v>
      </c>
      <c r="AP2119" t="inlineStr">
        <is>
          <t>No</t>
        </is>
      </c>
      <c r="AQ2119" t="inlineStr">
        <is>
          <t>Yes</t>
        </is>
      </c>
      <c r="AR2119">
        <f>HYPERLINK("http://catalog.hathitrust.org/Record/000579378","HathiTrust Record")</f>
        <v/>
      </c>
      <c r="AS2119">
        <f>HYPERLINK("https://creighton-primo.hosted.exlibrisgroup.com/primo-explore/search?tab=default_tab&amp;search_scope=EVERYTHING&amp;vid=01CRU&amp;lang=en_US&amp;offset=0&amp;query=any,contains,991003645309702656","Catalog Record")</f>
        <v/>
      </c>
      <c r="AT2119">
        <f>HYPERLINK("http://www.worldcat.org/oclc/1245472","WorldCat Record")</f>
        <v/>
      </c>
      <c r="AU2119" t="inlineStr">
        <is>
          <t>2152970:eng</t>
        </is>
      </c>
      <c r="AV2119" t="inlineStr">
        <is>
          <t>1245472</t>
        </is>
      </c>
      <c r="AW2119" t="inlineStr">
        <is>
          <t>991003645309702656</t>
        </is>
      </c>
      <c r="AX2119" t="inlineStr">
        <is>
          <t>991003645309702656</t>
        </is>
      </c>
      <c r="AY2119" t="inlineStr">
        <is>
          <t>2260206580002656</t>
        </is>
      </c>
      <c r="AZ2119" t="inlineStr">
        <is>
          <t>BOOK</t>
        </is>
      </c>
      <c r="BC2119" t="inlineStr">
        <is>
          <t>32285002021656</t>
        </is>
      </c>
      <c r="BD2119" t="inlineStr">
        <is>
          <t>893324303</t>
        </is>
      </c>
    </row>
    <row r="2120">
      <c r="A2120" t="inlineStr">
        <is>
          <t>No</t>
        </is>
      </c>
      <c r="B2120" t="inlineStr">
        <is>
          <t>E842.9 .W47</t>
        </is>
      </c>
      <c r="C2120" t="inlineStr">
        <is>
          <t>0                      E  0842900W  47</t>
        </is>
      </c>
      <c r="D2120" t="inlineStr">
        <is>
          <t>Jack Ruby [by] Garry Wills and Ovid Demaris.</t>
        </is>
      </c>
      <c r="F2120" t="inlineStr">
        <is>
          <t>No</t>
        </is>
      </c>
      <c r="G2120" t="inlineStr">
        <is>
          <t>1</t>
        </is>
      </c>
      <c r="H2120" t="inlineStr">
        <is>
          <t>No</t>
        </is>
      </c>
      <c r="I2120" t="inlineStr">
        <is>
          <t>No</t>
        </is>
      </c>
      <c r="J2120" t="inlineStr">
        <is>
          <t>0</t>
        </is>
      </c>
      <c r="K2120" t="inlineStr">
        <is>
          <t>Wills, Garry, 1934-</t>
        </is>
      </c>
      <c r="L2120" t="inlineStr">
        <is>
          <t>[New York] New American Library [1968]</t>
        </is>
      </c>
      <c r="M2120" t="inlineStr">
        <is>
          <t>1968</t>
        </is>
      </c>
      <c r="O2120" t="inlineStr">
        <is>
          <t>eng</t>
        </is>
      </c>
      <c r="P2120" t="inlineStr">
        <is>
          <t>nyu</t>
        </is>
      </c>
      <c r="R2120" t="inlineStr">
        <is>
          <t xml:space="preserve">E  </t>
        </is>
      </c>
      <c r="S2120" t="n">
        <v>4</v>
      </c>
      <c r="T2120" t="n">
        <v>4</v>
      </c>
      <c r="U2120" t="inlineStr">
        <is>
          <t>1993-04-13</t>
        </is>
      </c>
      <c r="V2120" t="inlineStr">
        <is>
          <t>1993-04-13</t>
        </is>
      </c>
      <c r="W2120" t="inlineStr">
        <is>
          <t>1992-12-07</t>
        </is>
      </c>
      <c r="X2120" t="inlineStr">
        <is>
          <t>1992-12-07</t>
        </is>
      </c>
      <c r="Y2120" t="n">
        <v>436</v>
      </c>
      <c r="Z2120" t="n">
        <v>423</v>
      </c>
      <c r="AA2120" t="n">
        <v>470</v>
      </c>
      <c r="AB2120" t="n">
        <v>2</v>
      </c>
      <c r="AC2120" t="n">
        <v>2</v>
      </c>
      <c r="AD2120" t="n">
        <v>9</v>
      </c>
      <c r="AE2120" t="n">
        <v>12</v>
      </c>
      <c r="AF2120" t="n">
        <v>1</v>
      </c>
      <c r="AG2120" t="n">
        <v>3</v>
      </c>
      <c r="AH2120" t="n">
        <v>3</v>
      </c>
      <c r="AI2120" t="n">
        <v>4</v>
      </c>
      <c r="AJ2120" t="n">
        <v>5</v>
      </c>
      <c r="AK2120" t="n">
        <v>6</v>
      </c>
      <c r="AL2120" t="n">
        <v>0</v>
      </c>
      <c r="AM2120" t="n">
        <v>0</v>
      </c>
      <c r="AN2120" t="n">
        <v>2</v>
      </c>
      <c r="AO2120" t="n">
        <v>2</v>
      </c>
      <c r="AP2120" t="inlineStr">
        <is>
          <t>No</t>
        </is>
      </c>
      <c r="AQ2120" t="inlineStr">
        <is>
          <t>Yes</t>
        </is>
      </c>
      <c r="AR2120">
        <f>HYPERLINK("http://catalog.hathitrust.org/Record/000579393","HathiTrust Record")</f>
        <v/>
      </c>
      <c r="AS2120">
        <f>HYPERLINK("https://creighton-primo.hosted.exlibrisgroup.com/primo-explore/search?tab=default_tab&amp;search_scope=EVERYTHING&amp;vid=01CRU&amp;lang=en_US&amp;offset=0&amp;query=any,contains,991002206219702656","Catalog Record")</f>
        <v/>
      </c>
      <c r="AT2120">
        <f>HYPERLINK("http://www.worldcat.org/oclc/285878","WorldCat Record")</f>
        <v/>
      </c>
      <c r="AU2120" t="inlineStr">
        <is>
          <t>1450430:eng</t>
        </is>
      </c>
      <c r="AV2120" t="inlineStr">
        <is>
          <t>285878</t>
        </is>
      </c>
      <c r="AW2120" t="inlineStr">
        <is>
          <t>991002206219702656</t>
        </is>
      </c>
      <c r="AX2120" t="inlineStr">
        <is>
          <t>991002206219702656</t>
        </is>
      </c>
      <c r="AY2120" t="inlineStr">
        <is>
          <t>2263130400002656</t>
        </is>
      </c>
      <c r="AZ2120" t="inlineStr">
        <is>
          <t>BOOK</t>
        </is>
      </c>
      <c r="BC2120" t="inlineStr">
        <is>
          <t>32285001439891</t>
        </is>
      </c>
      <c r="BD2120" t="inlineStr">
        <is>
          <t>893627008</t>
        </is>
      </c>
    </row>
    <row r="2121">
      <c r="A2121" t="inlineStr">
        <is>
          <t>No</t>
        </is>
      </c>
      <c r="B2121" t="inlineStr">
        <is>
          <t>E842.9 .Z45 1992</t>
        </is>
      </c>
      <c r="C2121" t="inlineStr">
        <is>
          <t>0                      E  0842900Z  45          1992</t>
        </is>
      </c>
      <c r="D2121" t="inlineStr">
        <is>
          <t>Covering the body : the Kennedy assassination, the media, and the shaping of collective memory / Barbie Zelizer.</t>
        </is>
      </c>
      <c r="F2121" t="inlineStr">
        <is>
          <t>No</t>
        </is>
      </c>
      <c r="G2121" t="inlineStr">
        <is>
          <t>1</t>
        </is>
      </c>
      <c r="H2121" t="inlineStr">
        <is>
          <t>No</t>
        </is>
      </c>
      <c r="I2121" t="inlineStr">
        <is>
          <t>No</t>
        </is>
      </c>
      <c r="J2121" t="inlineStr">
        <is>
          <t>0</t>
        </is>
      </c>
      <c r="K2121" t="inlineStr">
        <is>
          <t>Zelizer, Barbie.</t>
        </is>
      </c>
      <c r="L2121" t="inlineStr">
        <is>
          <t>Chicago : University of Chicago Press, 1992.</t>
        </is>
      </c>
      <c r="M2121" t="inlineStr">
        <is>
          <t>1992</t>
        </is>
      </c>
      <c r="O2121" t="inlineStr">
        <is>
          <t>eng</t>
        </is>
      </c>
      <c r="P2121" t="inlineStr">
        <is>
          <t>ilu</t>
        </is>
      </c>
      <c r="R2121" t="inlineStr">
        <is>
          <t xml:space="preserve">E  </t>
        </is>
      </c>
      <c r="S2121" t="n">
        <v>6</v>
      </c>
      <c r="T2121" t="n">
        <v>6</v>
      </c>
      <c r="U2121" t="inlineStr">
        <is>
          <t>2001-04-20</t>
        </is>
      </c>
      <c r="V2121" t="inlineStr">
        <is>
          <t>2001-04-20</t>
        </is>
      </c>
      <c r="W2121" t="inlineStr">
        <is>
          <t>1993-11-15</t>
        </is>
      </c>
      <c r="X2121" t="inlineStr">
        <is>
          <t>1993-11-15</t>
        </is>
      </c>
      <c r="Y2121" t="n">
        <v>736</v>
      </c>
      <c r="Z2121" t="n">
        <v>625</v>
      </c>
      <c r="AA2121" t="n">
        <v>625</v>
      </c>
      <c r="AB2121" t="n">
        <v>5</v>
      </c>
      <c r="AC2121" t="n">
        <v>5</v>
      </c>
      <c r="AD2121" t="n">
        <v>32</v>
      </c>
      <c r="AE2121" t="n">
        <v>32</v>
      </c>
      <c r="AF2121" t="n">
        <v>12</v>
      </c>
      <c r="AG2121" t="n">
        <v>12</v>
      </c>
      <c r="AH2121" t="n">
        <v>7</v>
      </c>
      <c r="AI2121" t="n">
        <v>7</v>
      </c>
      <c r="AJ2121" t="n">
        <v>15</v>
      </c>
      <c r="AK2121" t="n">
        <v>15</v>
      </c>
      <c r="AL2121" t="n">
        <v>4</v>
      </c>
      <c r="AM2121" t="n">
        <v>4</v>
      </c>
      <c r="AN2121" t="n">
        <v>0</v>
      </c>
      <c r="AO2121" t="n">
        <v>0</v>
      </c>
      <c r="AP2121" t="inlineStr">
        <is>
          <t>No</t>
        </is>
      </c>
      <c r="AQ2121" t="inlineStr">
        <is>
          <t>No</t>
        </is>
      </c>
      <c r="AS2121">
        <f>HYPERLINK("https://creighton-primo.hosted.exlibrisgroup.com/primo-explore/search?tab=default_tab&amp;search_scope=EVERYTHING&amp;vid=01CRU&amp;lang=en_US&amp;offset=0&amp;query=any,contains,991002006959702656","Catalog Record")</f>
        <v/>
      </c>
      <c r="AT2121">
        <f>HYPERLINK("http://www.worldcat.org/oclc/25509524","WorldCat Record")</f>
        <v/>
      </c>
      <c r="AU2121" t="inlineStr">
        <is>
          <t>836884416:eng</t>
        </is>
      </c>
      <c r="AV2121" t="inlineStr">
        <is>
          <t>25509524</t>
        </is>
      </c>
      <c r="AW2121" t="inlineStr">
        <is>
          <t>991002006959702656</t>
        </is>
      </c>
      <c r="AX2121" t="inlineStr">
        <is>
          <t>991002006959702656</t>
        </is>
      </c>
      <c r="AY2121" t="inlineStr">
        <is>
          <t>2271925400002656</t>
        </is>
      </c>
      <c r="AZ2121" t="inlineStr">
        <is>
          <t>BOOK</t>
        </is>
      </c>
      <c r="BB2121" t="inlineStr">
        <is>
          <t>9780226979700</t>
        </is>
      </c>
      <c r="BC2121" t="inlineStr">
        <is>
          <t>32285001811610</t>
        </is>
      </c>
      <c r="BD2121" t="inlineStr">
        <is>
          <t>893226342</t>
        </is>
      </c>
    </row>
    <row r="2122">
      <c r="A2122" t="inlineStr">
        <is>
          <t>No</t>
        </is>
      </c>
      <c r="B2122" t="inlineStr">
        <is>
          <t>E842.9 .Z57 1991</t>
        </is>
      </c>
      <c r="C2122" t="inlineStr">
        <is>
          <t>0                      E  0842900Z  57          1991</t>
        </is>
      </c>
      <c r="D2122" t="inlineStr">
        <is>
          <t>The Texas connection : the assassination of President John F. Kennedy / Craig I. Zirbel.</t>
        </is>
      </c>
      <c r="F2122" t="inlineStr">
        <is>
          <t>No</t>
        </is>
      </c>
      <c r="G2122" t="inlineStr">
        <is>
          <t>1</t>
        </is>
      </c>
      <c r="H2122" t="inlineStr">
        <is>
          <t>No</t>
        </is>
      </c>
      <c r="I2122" t="inlineStr">
        <is>
          <t>No</t>
        </is>
      </c>
      <c r="J2122" t="inlineStr">
        <is>
          <t>0</t>
        </is>
      </c>
      <c r="K2122" t="inlineStr">
        <is>
          <t>Zirbel, Craig I.</t>
        </is>
      </c>
      <c r="L2122" t="inlineStr">
        <is>
          <t>Scottsdale, Ariz. : Texas Connection Co. Publishers, c1991.</t>
        </is>
      </c>
      <c r="M2122" t="inlineStr">
        <is>
          <t>1991</t>
        </is>
      </c>
      <c r="N2122" t="inlineStr">
        <is>
          <t>[1st ed.].</t>
        </is>
      </c>
      <c r="O2122" t="inlineStr">
        <is>
          <t>eng</t>
        </is>
      </c>
      <c r="P2122" t="inlineStr">
        <is>
          <t>azu</t>
        </is>
      </c>
      <c r="R2122" t="inlineStr">
        <is>
          <t xml:space="preserve">E  </t>
        </is>
      </c>
      <c r="S2122" t="n">
        <v>5</v>
      </c>
      <c r="T2122" t="n">
        <v>5</v>
      </c>
      <c r="U2122" t="inlineStr">
        <is>
          <t>1993-04-13</t>
        </is>
      </c>
      <c r="V2122" t="inlineStr">
        <is>
          <t>1993-04-13</t>
        </is>
      </c>
      <c r="W2122" t="inlineStr">
        <is>
          <t>1992-08-12</t>
        </is>
      </c>
      <c r="X2122" t="inlineStr">
        <is>
          <t>1992-08-12</t>
        </is>
      </c>
      <c r="Y2122" t="n">
        <v>599</v>
      </c>
      <c r="Z2122" t="n">
        <v>582</v>
      </c>
      <c r="AA2122" t="n">
        <v>745</v>
      </c>
      <c r="AB2122" t="n">
        <v>9</v>
      </c>
      <c r="AC2122" t="n">
        <v>9</v>
      </c>
      <c r="AD2122" t="n">
        <v>8</v>
      </c>
      <c r="AE2122" t="n">
        <v>8</v>
      </c>
      <c r="AF2122" t="n">
        <v>3</v>
      </c>
      <c r="AG2122" t="n">
        <v>3</v>
      </c>
      <c r="AH2122" t="n">
        <v>3</v>
      </c>
      <c r="AI2122" t="n">
        <v>3</v>
      </c>
      <c r="AJ2122" t="n">
        <v>3</v>
      </c>
      <c r="AK2122" t="n">
        <v>3</v>
      </c>
      <c r="AL2122" t="n">
        <v>0</v>
      </c>
      <c r="AM2122" t="n">
        <v>0</v>
      </c>
      <c r="AN2122" t="n">
        <v>1</v>
      </c>
      <c r="AO2122" t="n">
        <v>1</v>
      </c>
      <c r="AP2122" t="inlineStr">
        <is>
          <t>No</t>
        </is>
      </c>
      <c r="AQ2122" t="inlineStr">
        <is>
          <t>No</t>
        </is>
      </c>
      <c r="AS2122">
        <f>HYPERLINK("https://creighton-primo.hosted.exlibrisgroup.com/primo-explore/search?tab=default_tab&amp;search_scope=EVERYTHING&amp;vid=01CRU&amp;lang=en_US&amp;offset=0&amp;query=any,contains,991001997829702656","Catalog Record")</f>
        <v/>
      </c>
      <c r="AT2122">
        <f>HYPERLINK("http://www.worldcat.org/oclc/25406112","WorldCat Record")</f>
        <v/>
      </c>
      <c r="AU2122" t="inlineStr">
        <is>
          <t>20675216:eng</t>
        </is>
      </c>
      <c r="AV2122" t="inlineStr">
        <is>
          <t>25406112</t>
        </is>
      </c>
      <c r="AW2122" t="inlineStr">
        <is>
          <t>991001997829702656</t>
        </is>
      </c>
      <c r="AX2122" t="inlineStr">
        <is>
          <t>991001997829702656</t>
        </is>
      </c>
      <c r="AY2122" t="inlineStr">
        <is>
          <t>2270832400002656</t>
        </is>
      </c>
      <c r="AZ2122" t="inlineStr">
        <is>
          <t>BOOK</t>
        </is>
      </c>
      <c r="BB2122" t="inlineStr">
        <is>
          <t>9780963144904</t>
        </is>
      </c>
      <c r="BC2122" t="inlineStr">
        <is>
          <t>32285001197408</t>
        </is>
      </c>
      <c r="BD2122" t="inlineStr">
        <is>
          <t>893798040</t>
        </is>
      </c>
    </row>
    <row r="2123">
      <c r="A2123" t="inlineStr">
        <is>
          <t>No</t>
        </is>
      </c>
      <c r="B2123" t="inlineStr">
        <is>
          <t>E842.9.O78 D38 1983</t>
        </is>
      </c>
      <c r="C2123" t="inlineStr">
        <is>
          <t>0                      E  0842900O  78                 D  38          1983</t>
        </is>
      </c>
      <c r="D2123" t="inlineStr">
        <is>
          <t>Oswald's game / Jean Davison ; foreword by Norman Mailer.</t>
        </is>
      </c>
      <c r="F2123" t="inlineStr">
        <is>
          <t>No</t>
        </is>
      </c>
      <c r="G2123" t="inlineStr">
        <is>
          <t>1</t>
        </is>
      </c>
      <c r="H2123" t="inlineStr">
        <is>
          <t>No</t>
        </is>
      </c>
      <c r="I2123" t="inlineStr">
        <is>
          <t>No</t>
        </is>
      </c>
      <c r="J2123" t="inlineStr">
        <is>
          <t>0</t>
        </is>
      </c>
      <c r="K2123" t="inlineStr">
        <is>
          <t>Davison, Jean.</t>
        </is>
      </c>
      <c r="L2123" t="inlineStr">
        <is>
          <t>New York : Norton, c1983.</t>
        </is>
      </c>
      <c r="M2123" t="inlineStr">
        <is>
          <t>1983</t>
        </is>
      </c>
      <c r="N2123" t="inlineStr">
        <is>
          <t>1st ed.</t>
        </is>
      </c>
      <c r="O2123" t="inlineStr">
        <is>
          <t>eng</t>
        </is>
      </c>
      <c r="P2123" t="inlineStr">
        <is>
          <t>nyu</t>
        </is>
      </c>
      <c r="R2123" t="inlineStr">
        <is>
          <t xml:space="preserve">E  </t>
        </is>
      </c>
      <c r="S2123" t="n">
        <v>8</v>
      </c>
      <c r="T2123" t="n">
        <v>8</v>
      </c>
      <c r="U2123" t="inlineStr">
        <is>
          <t>2003-02-04</t>
        </is>
      </c>
      <c r="V2123" t="inlineStr">
        <is>
          <t>2003-02-04</t>
        </is>
      </c>
      <c r="W2123" t="inlineStr">
        <is>
          <t>1991-06-21</t>
        </is>
      </c>
      <c r="X2123" t="inlineStr">
        <is>
          <t>1991-06-21</t>
        </is>
      </c>
      <c r="Y2123" t="n">
        <v>663</v>
      </c>
      <c r="Z2123" t="n">
        <v>629</v>
      </c>
      <c r="AA2123" t="n">
        <v>764</v>
      </c>
      <c r="AB2123" t="n">
        <v>3</v>
      </c>
      <c r="AC2123" t="n">
        <v>4</v>
      </c>
      <c r="AD2123" t="n">
        <v>21</v>
      </c>
      <c r="AE2123" t="n">
        <v>25</v>
      </c>
      <c r="AF2123" t="n">
        <v>11</v>
      </c>
      <c r="AG2123" t="n">
        <v>14</v>
      </c>
      <c r="AH2123" t="n">
        <v>6</v>
      </c>
      <c r="AI2123" t="n">
        <v>7</v>
      </c>
      <c r="AJ2123" t="n">
        <v>9</v>
      </c>
      <c r="AK2123" t="n">
        <v>9</v>
      </c>
      <c r="AL2123" t="n">
        <v>1</v>
      </c>
      <c r="AM2123" t="n">
        <v>2</v>
      </c>
      <c r="AN2123" t="n">
        <v>1</v>
      </c>
      <c r="AO2123" t="n">
        <v>1</v>
      </c>
      <c r="AP2123" t="inlineStr">
        <is>
          <t>No</t>
        </is>
      </c>
      <c r="AQ2123" t="inlineStr">
        <is>
          <t>Yes</t>
        </is>
      </c>
      <c r="AR2123">
        <f>HYPERLINK("http://catalog.hathitrust.org/Record/000778082","HathiTrust Record")</f>
        <v/>
      </c>
      <c r="AS2123">
        <f>HYPERLINK("https://creighton-primo.hosted.exlibrisgroup.com/primo-explore/search?tab=default_tab&amp;search_scope=EVERYTHING&amp;vid=01CRU&amp;lang=en_US&amp;offset=0&amp;query=any,contains,991000218359702656","Catalog Record")</f>
        <v/>
      </c>
      <c r="AT2123">
        <f>HYPERLINK("http://www.worldcat.org/oclc/9575159","WorldCat Record")</f>
        <v/>
      </c>
      <c r="AU2123" t="inlineStr">
        <is>
          <t>43393303:eng</t>
        </is>
      </c>
      <c r="AV2123" t="inlineStr">
        <is>
          <t>9575159</t>
        </is>
      </c>
      <c r="AW2123" t="inlineStr">
        <is>
          <t>991000218359702656</t>
        </is>
      </c>
      <c r="AX2123" t="inlineStr">
        <is>
          <t>991000218359702656</t>
        </is>
      </c>
      <c r="AY2123" t="inlineStr">
        <is>
          <t>2270533260002656</t>
        </is>
      </c>
      <c r="AZ2123" t="inlineStr">
        <is>
          <t>BOOK</t>
        </is>
      </c>
      <c r="BB2123" t="inlineStr">
        <is>
          <t>9780393017649</t>
        </is>
      </c>
      <c r="BC2123" t="inlineStr">
        <is>
          <t>32285000670876</t>
        </is>
      </c>
      <c r="BD2123" t="inlineStr">
        <is>
          <t>893496056</t>
        </is>
      </c>
    </row>
    <row r="2124">
      <c r="A2124" t="inlineStr">
        <is>
          <t>No</t>
        </is>
      </c>
      <c r="B2124" t="inlineStr">
        <is>
          <t>E843 .C65 1984</t>
        </is>
      </c>
      <c r="C2124" t="inlineStr">
        <is>
          <t>0                      E  0843000C  65          1984</t>
        </is>
      </c>
      <c r="D2124" t="inlineStr">
        <is>
          <t>The Kennedys : an American drama / Peter Collier, David Horowitz.</t>
        </is>
      </c>
      <c r="F2124" t="inlineStr">
        <is>
          <t>No</t>
        </is>
      </c>
      <c r="G2124" t="inlineStr">
        <is>
          <t>1</t>
        </is>
      </c>
      <c r="H2124" t="inlineStr">
        <is>
          <t>No</t>
        </is>
      </c>
      <c r="I2124" t="inlineStr">
        <is>
          <t>No</t>
        </is>
      </c>
      <c r="J2124" t="inlineStr">
        <is>
          <t>0</t>
        </is>
      </c>
      <c r="K2124" t="inlineStr">
        <is>
          <t>Collier, Peter, 1939-2019.</t>
        </is>
      </c>
      <c r="L2124" t="inlineStr">
        <is>
          <t>New York : Summit Books, c1984.</t>
        </is>
      </c>
      <c r="M2124" t="inlineStr">
        <is>
          <t>1984</t>
        </is>
      </c>
      <c r="N2124" t="inlineStr">
        <is>
          <t>1st ed.</t>
        </is>
      </c>
      <c r="O2124" t="inlineStr">
        <is>
          <t>eng</t>
        </is>
      </c>
      <c r="P2124" t="inlineStr">
        <is>
          <t>nyu</t>
        </is>
      </c>
      <c r="R2124" t="inlineStr">
        <is>
          <t xml:space="preserve">E  </t>
        </is>
      </c>
      <c r="S2124" t="n">
        <v>16</v>
      </c>
      <c r="T2124" t="n">
        <v>16</v>
      </c>
      <c r="U2124" t="inlineStr">
        <is>
          <t>2004-03-25</t>
        </is>
      </c>
      <c r="V2124" t="inlineStr">
        <is>
          <t>2004-03-25</t>
        </is>
      </c>
      <c r="W2124" t="inlineStr">
        <is>
          <t>1990-05-03</t>
        </is>
      </c>
      <c r="X2124" t="inlineStr">
        <is>
          <t>1990-05-03</t>
        </is>
      </c>
      <c r="Y2124" t="n">
        <v>2740</v>
      </c>
      <c r="Z2124" t="n">
        <v>2572</v>
      </c>
      <c r="AA2124" t="n">
        <v>2715</v>
      </c>
      <c r="AB2124" t="n">
        <v>27</v>
      </c>
      <c r="AC2124" t="n">
        <v>30</v>
      </c>
      <c r="AD2124" t="n">
        <v>51</v>
      </c>
      <c r="AE2124" t="n">
        <v>54</v>
      </c>
      <c r="AF2124" t="n">
        <v>21</v>
      </c>
      <c r="AG2124" t="n">
        <v>22</v>
      </c>
      <c r="AH2124" t="n">
        <v>8</v>
      </c>
      <c r="AI2124" t="n">
        <v>8</v>
      </c>
      <c r="AJ2124" t="n">
        <v>21</v>
      </c>
      <c r="AK2124" t="n">
        <v>21</v>
      </c>
      <c r="AL2124" t="n">
        <v>10</v>
      </c>
      <c r="AM2124" t="n">
        <v>12</v>
      </c>
      <c r="AN2124" t="n">
        <v>1</v>
      </c>
      <c r="AO2124" t="n">
        <v>1</v>
      </c>
      <c r="AP2124" t="inlineStr">
        <is>
          <t>No</t>
        </is>
      </c>
      <c r="AQ2124" t="inlineStr">
        <is>
          <t>Yes</t>
        </is>
      </c>
      <c r="AR2124">
        <f>HYPERLINK("http://catalog.hathitrust.org/Record/000782452","HathiTrust Record")</f>
        <v/>
      </c>
      <c r="AS2124">
        <f>HYPERLINK("https://creighton-primo.hosted.exlibrisgroup.com/primo-explore/search?tab=default_tab&amp;search_scope=EVERYTHING&amp;vid=01CRU&amp;lang=en_US&amp;offset=0&amp;query=any,contains,991000412399702656","Catalog Record")</f>
        <v/>
      </c>
      <c r="AT2124">
        <f>HYPERLINK("http://www.worldcat.org/oclc/10711800","WorldCat Record")</f>
        <v/>
      </c>
      <c r="AU2124" t="inlineStr">
        <is>
          <t>5012516:eng</t>
        </is>
      </c>
      <c r="AV2124" t="inlineStr">
        <is>
          <t>10711800</t>
        </is>
      </c>
      <c r="AW2124" t="inlineStr">
        <is>
          <t>991000412399702656</t>
        </is>
      </c>
      <c r="AX2124" t="inlineStr">
        <is>
          <t>991000412399702656</t>
        </is>
      </c>
      <c r="AY2124" t="inlineStr">
        <is>
          <t>2260339940002656</t>
        </is>
      </c>
      <c r="AZ2124" t="inlineStr">
        <is>
          <t>BOOK</t>
        </is>
      </c>
      <c r="BB2124" t="inlineStr">
        <is>
          <t>9780671447939</t>
        </is>
      </c>
      <c r="BC2124" t="inlineStr">
        <is>
          <t>32285000148444</t>
        </is>
      </c>
      <c r="BD2124" t="inlineStr">
        <is>
          <t>893683386</t>
        </is>
      </c>
    </row>
    <row r="2125">
      <c r="A2125" t="inlineStr">
        <is>
          <t>No</t>
        </is>
      </c>
      <c r="B2125" t="inlineStr">
        <is>
          <t>E843 .D37 1984</t>
        </is>
      </c>
      <c r="C2125" t="inlineStr">
        <is>
          <t>0                      E  0843000D  37          1984</t>
        </is>
      </c>
      <c r="D2125" t="inlineStr">
        <is>
          <t>The Kennedys : dynasty and disaster, 1848-1983 / John H. Davis.</t>
        </is>
      </c>
      <c r="F2125" t="inlineStr">
        <is>
          <t>No</t>
        </is>
      </c>
      <c r="G2125" t="inlineStr">
        <is>
          <t>1</t>
        </is>
      </c>
      <c r="H2125" t="inlineStr">
        <is>
          <t>No</t>
        </is>
      </c>
      <c r="I2125" t="inlineStr">
        <is>
          <t>No</t>
        </is>
      </c>
      <c r="J2125" t="inlineStr">
        <is>
          <t>0</t>
        </is>
      </c>
      <c r="K2125" t="inlineStr">
        <is>
          <t>Davis, John H., 1929-2012.</t>
        </is>
      </c>
      <c r="L2125" t="inlineStr">
        <is>
          <t>New York : McGraw-Hill, c1984.</t>
        </is>
      </c>
      <c r="M2125" t="inlineStr">
        <is>
          <t>1984</t>
        </is>
      </c>
      <c r="O2125" t="inlineStr">
        <is>
          <t>eng</t>
        </is>
      </c>
      <c r="P2125" t="inlineStr">
        <is>
          <t>nyu</t>
        </is>
      </c>
      <c r="R2125" t="inlineStr">
        <is>
          <t xml:space="preserve">E  </t>
        </is>
      </c>
      <c r="S2125" t="n">
        <v>9</v>
      </c>
      <c r="T2125" t="n">
        <v>9</v>
      </c>
      <c r="U2125" t="inlineStr">
        <is>
          <t>2000-04-04</t>
        </is>
      </c>
      <c r="V2125" t="inlineStr">
        <is>
          <t>2000-04-04</t>
        </is>
      </c>
      <c r="W2125" t="inlineStr">
        <is>
          <t>1990-08-08</t>
        </is>
      </c>
      <c r="X2125" t="inlineStr">
        <is>
          <t>1990-08-08</t>
        </is>
      </c>
      <c r="Y2125" t="n">
        <v>863</v>
      </c>
      <c r="Z2125" t="n">
        <v>803</v>
      </c>
      <c r="AA2125" t="n">
        <v>810</v>
      </c>
      <c r="AB2125" t="n">
        <v>8</v>
      </c>
      <c r="AC2125" t="n">
        <v>8</v>
      </c>
      <c r="AD2125" t="n">
        <v>16</v>
      </c>
      <c r="AE2125" t="n">
        <v>16</v>
      </c>
      <c r="AF2125" t="n">
        <v>7</v>
      </c>
      <c r="AG2125" t="n">
        <v>7</v>
      </c>
      <c r="AH2125" t="n">
        <v>4</v>
      </c>
      <c r="AI2125" t="n">
        <v>4</v>
      </c>
      <c r="AJ2125" t="n">
        <v>9</v>
      </c>
      <c r="AK2125" t="n">
        <v>9</v>
      </c>
      <c r="AL2125" t="n">
        <v>1</v>
      </c>
      <c r="AM2125" t="n">
        <v>1</v>
      </c>
      <c r="AN2125" t="n">
        <v>0</v>
      </c>
      <c r="AO2125" t="n">
        <v>0</v>
      </c>
      <c r="AP2125" t="inlineStr">
        <is>
          <t>No</t>
        </is>
      </c>
      <c r="AQ2125" t="inlineStr">
        <is>
          <t>Yes</t>
        </is>
      </c>
      <c r="AR2125">
        <f>HYPERLINK("http://catalog.hathitrust.org/Record/000122502","HathiTrust Record")</f>
        <v/>
      </c>
      <c r="AS2125">
        <f>HYPERLINK("https://creighton-primo.hosted.exlibrisgroup.com/primo-explore/search?tab=default_tab&amp;search_scope=EVERYTHING&amp;vid=01CRU&amp;lang=en_US&amp;offset=0&amp;query=any,contains,991000288479702656","Catalog Record")</f>
        <v/>
      </c>
      <c r="AT2125">
        <f>HYPERLINK("http://www.worldcat.org/oclc/9946367","WorldCat Record")</f>
        <v/>
      </c>
      <c r="AU2125" t="inlineStr">
        <is>
          <t>196779504:eng</t>
        </is>
      </c>
      <c r="AV2125" t="inlineStr">
        <is>
          <t>9946367</t>
        </is>
      </c>
      <c r="AW2125" t="inlineStr">
        <is>
          <t>991000288479702656</t>
        </is>
      </c>
      <c r="AX2125" t="inlineStr">
        <is>
          <t>991000288479702656</t>
        </is>
      </c>
      <c r="AY2125" t="inlineStr">
        <is>
          <t>2261739990002656</t>
        </is>
      </c>
      <c r="AZ2125" t="inlineStr">
        <is>
          <t>BOOK</t>
        </is>
      </c>
      <c r="BB2125" t="inlineStr">
        <is>
          <t>9780070158603</t>
        </is>
      </c>
      <c r="BC2125" t="inlineStr">
        <is>
          <t>32285000270909</t>
        </is>
      </c>
      <c r="BD2125" t="inlineStr">
        <is>
          <t>893255312</t>
        </is>
      </c>
    </row>
    <row r="2126">
      <c r="A2126" t="inlineStr">
        <is>
          <t>No</t>
        </is>
      </c>
      <c r="B2126" t="inlineStr">
        <is>
          <t>E843 .H83</t>
        </is>
      </c>
      <c r="C2126" t="inlineStr">
        <is>
          <t>0                      E  0843000H  83</t>
        </is>
      </c>
      <c r="D2126" t="inlineStr">
        <is>
          <t>The Last days of Robert F. Kennedy : the story of his final campaign for the Presidency in Oregon and California, based on news reports in The Oregonian, 1968.</t>
        </is>
      </c>
      <c r="F2126" t="inlineStr">
        <is>
          <t>No</t>
        </is>
      </c>
      <c r="G2126" t="inlineStr">
        <is>
          <t>1</t>
        </is>
      </c>
      <c r="H2126" t="inlineStr">
        <is>
          <t>No</t>
        </is>
      </c>
      <c r="I2126" t="inlineStr">
        <is>
          <t>No</t>
        </is>
      </c>
      <c r="J2126" t="inlineStr">
        <is>
          <t>0</t>
        </is>
      </c>
      <c r="L2126" t="inlineStr">
        <is>
          <t>[S.l. : s.n., 1968?]</t>
        </is>
      </c>
      <c r="M2126" t="inlineStr">
        <is>
          <t>1968</t>
        </is>
      </c>
      <c r="O2126" t="inlineStr">
        <is>
          <t>eng</t>
        </is>
      </c>
      <c r="P2126" t="inlineStr">
        <is>
          <t xml:space="preserve">xx </t>
        </is>
      </c>
      <c r="R2126" t="inlineStr">
        <is>
          <t xml:space="preserve">E  </t>
        </is>
      </c>
      <c r="S2126" t="n">
        <v>4</v>
      </c>
      <c r="T2126" t="n">
        <v>4</v>
      </c>
      <c r="U2126" t="inlineStr">
        <is>
          <t>1995-05-10</t>
        </is>
      </c>
      <c r="V2126" t="inlineStr">
        <is>
          <t>1995-05-10</t>
        </is>
      </c>
      <c r="W2126" t="inlineStr">
        <is>
          <t>1992-03-23</t>
        </is>
      </c>
      <c r="X2126" t="inlineStr">
        <is>
          <t>1992-03-23</t>
        </is>
      </c>
      <c r="Y2126" t="n">
        <v>11</v>
      </c>
      <c r="Z2126" t="n">
        <v>11</v>
      </c>
      <c r="AA2126" t="n">
        <v>11</v>
      </c>
      <c r="AB2126" t="n">
        <v>1</v>
      </c>
      <c r="AC2126" t="n">
        <v>1</v>
      </c>
      <c r="AD2126" t="n">
        <v>0</v>
      </c>
      <c r="AE2126" t="n">
        <v>0</v>
      </c>
      <c r="AF2126" t="n">
        <v>0</v>
      </c>
      <c r="AG2126" t="n">
        <v>0</v>
      </c>
      <c r="AH2126" t="n">
        <v>0</v>
      </c>
      <c r="AI2126" t="n">
        <v>0</v>
      </c>
      <c r="AJ2126" t="n">
        <v>0</v>
      </c>
      <c r="AK2126" t="n">
        <v>0</v>
      </c>
      <c r="AL2126" t="n">
        <v>0</v>
      </c>
      <c r="AM2126" t="n">
        <v>0</v>
      </c>
      <c r="AN2126" t="n">
        <v>0</v>
      </c>
      <c r="AO2126" t="n">
        <v>0</v>
      </c>
      <c r="AP2126" t="inlineStr">
        <is>
          <t>No</t>
        </is>
      </c>
      <c r="AQ2126" t="inlineStr">
        <is>
          <t>No</t>
        </is>
      </c>
      <c r="AS2126">
        <f>HYPERLINK("https://creighton-primo.hosted.exlibrisgroup.com/primo-explore/search?tab=default_tab&amp;search_scope=EVERYTHING&amp;vid=01CRU&amp;lang=en_US&amp;offset=0&amp;query=any,contains,991000607959702656","Catalog Record")</f>
        <v/>
      </c>
      <c r="AT2126">
        <f>HYPERLINK("http://www.worldcat.org/oclc/11868560","WorldCat Record")</f>
        <v/>
      </c>
      <c r="AU2126" t="inlineStr">
        <is>
          <t>4454063:eng</t>
        </is>
      </c>
      <c r="AV2126" t="inlineStr">
        <is>
          <t>11868560</t>
        </is>
      </c>
      <c r="AW2126" t="inlineStr">
        <is>
          <t>991000607959702656</t>
        </is>
      </c>
      <c r="AX2126" t="inlineStr">
        <is>
          <t>991000607959702656</t>
        </is>
      </c>
      <c r="AY2126" t="inlineStr">
        <is>
          <t>2265613910002656</t>
        </is>
      </c>
      <c r="AZ2126" t="inlineStr">
        <is>
          <t>BOOK</t>
        </is>
      </c>
      <c r="BC2126" t="inlineStr">
        <is>
          <t>32285001027415</t>
        </is>
      </c>
      <c r="BD2126" t="inlineStr">
        <is>
          <t>893695987</t>
        </is>
      </c>
    </row>
    <row r="2127">
      <c r="A2127" t="inlineStr">
        <is>
          <t>No</t>
        </is>
      </c>
      <c r="B2127" t="inlineStr">
        <is>
          <t>E843 .K49</t>
        </is>
      </c>
      <c r="C2127" t="inlineStr">
        <is>
          <t>0                      E  0843000K  49</t>
        </is>
      </c>
      <c r="D2127" t="inlineStr">
        <is>
          <t>The Kennedys.</t>
        </is>
      </c>
      <c r="F2127" t="inlineStr">
        <is>
          <t>No</t>
        </is>
      </c>
      <c r="G2127" t="inlineStr">
        <is>
          <t>1</t>
        </is>
      </c>
      <c r="H2127" t="inlineStr">
        <is>
          <t>No</t>
        </is>
      </c>
      <c r="I2127" t="inlineStr">
        <is>
          <t>No</t>
        </is>
      </c>
      <c r="J2127" t="inlineStr">
        <is>
          <t>0</t>
        </is>
      </c>
      <c r="L2127" t="inlineStr">
        <is>
          <t>[New York : Time, inc., 1968]</t>
        </is>
      </c>
      <c r="M2127" t="inlineStr">
        <is>
          <t>1968</t>
        </is>
      </c>
      <c r="N2127" t="inlineStr">
        <is>
          <t>Special ed. [of] Life.</t>
        </is>
      </c>
      <c r="O2127" t="inlineStr">
        <is>
          <t>eng</t>
        </is>
      </c>
      <c r="P2127" t="inlineStr">
        <is>
          <t>nyu</t>
        </is>
      </c>
      <c r="R2127" t="inlineStr">
        <is>
          <t xml:space="preserve">E  </t>
        </is>
      </c>
      <c r="S2127" t="n">
        <v>15</v>
      </c>
      <c r="T2127" t="n">
        <v>15</v>
      </c>
      <c r="U2127" t="inlineStr">
        <is>
          <t>2000-04-04</t>
        </is>
      </c>
      <c r="V2127" t="inlineStr">
        <is>
          <t>2000-04-04</t>
        </is>
      </c>
      <c r="W2127" t="inlineStr">
        <is>
          <t>1992-01-08</t>
        </is>
      </c>
      <c r="X2127" t="inlineStr">
        <is>
          <t>1992-01-08</t>
        </is>
      </c>
      <c r="Y2127" t="n">
        <v>185</v>
      </c>
      <c r="Z2127" t="n">
        <v>177</v>
      </c>
      <c r="AA2127" t="n">
        <v>178</v>
      </c>
      <c r="AB2127" t="n">
        <v>2</v>
      </c>
      <c r="AC2127" t="n">
        <v>2</v>
      </c>
      <c r="AD2127" t="n">
        <v>4</v>
      </c>
      <c r="AE2127" t="n">
        <v>4</v>
      </c>
      <c r="AF2127" t="n">
        <v>0</v>
      </c>
      <c r="AG2127" t="n">
        <v>0</v>
      </c>
      <c r="AH2127" t="n">
        <v>0</v>
      </c>
      <c r="AI2127" t="n">
        <v>0</v>
      </c>
      <c r="AJ2127" t="n">
        <v>3</v>
      </c>
      <c r="AK2127" t="n">
        <v>3</v>
      </c>
      <c r="AL2127" t="n">
        <v>1</v>
      </c>
      <c r="AM2127" t="n">
        <v>1</v>
      </c>
      <c r="AN2127" t="n">
        <v>0</v>
      </c>
      <c r="AO2127" t="n">
        <v>0</v>
      </c>
      <c r="AP2127" t="inlineStr">
        <is>
          <t>No</t>
        </is>
      </c>
      <c r="AQ2127" t="inlineStr">
        <is>
          <t>No</t>
        </is>
      </c>
      <c r="AS2127">
        <f>HYPERLINK("https://creighton-primo.hosted.exlibrisgroup.com/primo-explore/search?tab=default_tab&amp;search_scope=EVERYTHING&amp;vid=01CRU&amp;lang=en_US&amp;offset=0&amp;query=any,contains,991002765569702656","Catalog Record")</f>
        <v/>
      </c>
      <c r="AT2127">
        <f>HYPERLINK("http://www.worldcat.org/oclc/433327","WorldCat Record")</f>
        <v/>
      </c>
      <c r="AU2127" t="inlineStr">
        <is>
          <t>102376906:eng</t>
        </is>
      </c>
      <c r="AV2127" t="inlineStr">
        <is>
          <t>433327</t>
        </is>
      </c>
      <c r="AW2127" t="inlineStr">
        <is>
          <t>991002765569702656</t>
        </is>
      </c>
      <c r="AX2127" t="inlineStr">
        <is>
          <t>991002765569702656</t>
        </is>
      </c>
      <c r="AY2127" t="inlineStr">
        <is>
          <t>2270097310002656</t>
        </is>
      </c>
      <c r="AZ2127" t="inlineStr">
        <is>
          <t>BOOK</t>
        </is>
      </c>
      <c r="BC2127" t="inlineStr">
        <is>
          <t>32285000887520</t>
        </is>
      </c>
      <c r="BD2127" t="inlineStr">
        <is>
          <t>893805008</t>
        </is>
      </c>
    </row>
    <row r="2128">
      <c r="A2128" t="inlineStr">
        <is>
          <t>No</t>
        </is>
      </c>
      <c r="B2128" t="inlineStr">
        <is>
          <t>E843 .L44 2004</t>
        </is>
      </c>
      <c r="C2128" t="inlineStr">
        <is>
          <t>0                      E  0843000L  44          2004</t>
        </is>
      </c>
      <c r="D2128" t="inlineStr">
        <is>
          <t>Sons of Camelot : the fate of an American dynasty / Laurence Leamer.</t>
        </is>
      </c>
      <c r="F2128" t="inlineStr">
        <is>
          <t>No</t>
        </is>
      </c>
      <c r="G2128" t="inlineStr">
        <is>
          <t>1</t>
        </is>
      </c>
      <c r="H2128" t="inlineStr">
        <is>
          <t>No</t>
        </is>
      </c>
      <c r="I2128" t="inlineStr">
        <is>
          <t>No</t>
        </is>
      </c>
      <c r="J2128" t="inlineStr">
        <is>
          <t>0</t>
        </is>
      </c>
      <c r="K2128" t="inlineStr">
        <is>
          <t>Leamer, Laurence.</t>
        </is>
      </c>
      <c r="L2128" t="inlineStr">
        <is>
          <t>New York : William Morrow, c2004.</t>
        </is>
      </c>
      <c r="M2128" t="inlineStr">
        <is>
          <t>2004</t>
        </is>
      </c>
      <c r="N2128" t="inlineStr">
        <is>
          <t>1st ed.</t>
        </is>
      </c>
      <c r="O2128" t="inlineStr">
        <is>
          <t>eng</t>
        </is>
      </c>
      <c r="P2128" t="inlineStr">
        <is>
          <t>nyu</t>
        </is>
      </c>
      <c r="R2128" t="inlineStr">
        <is>
          <t xml:space="preserve">E  </t>
        </is>
      </c>
      <c r="S2128" t="n">
        <v>2</v>
      </c>
      <c r="T2128" t="n">
        <v>2</v>
      </c>
      <c r="U2128" t="inlineStr">
        <is>
          <t>2004-05-10</t>
        </is>
      </c>
      <c r="V2128" t="inlineStr">
        <is>
          <t>2004-05-10</t>
        </is>
      </c>
      <c r="W2128" t="inlineStr">
        <is>
          <t>2004-05-10</t>
        </is>
      </c>
      <c r="X2128" t="inlineStr">
        <is>
          <t>2004-05-10</t>
        </is>
      </c>
      <c r="Y2128" t="n">
        <v>1221</v>
      </c>
      <c r="Z2128" t="n">
        <v>1161</v>
      </c>
      <c r="AA2128" t="n">
        <v>1197</v>
      </c>
      <c r="AB2128" t="n">
        <v>18</v>
      </c>
      <c r="AC2128" t="n">
        <v>18</v>
      </c>
      <c r="AD2128" t="n">
        <v>21</v>
      </c>
      <c r="AE2128" t="n">
        <v>21</v>
      </c>
      <c r="AF2128" t="n">
        <v>5</v>
      </c>
      <c r="AG2128" t="n">
        <v>5</v>
      </c>
      <c r="AH2128" t="n">
        <v>3</v>
      </c>
      <c r="AI2128" t="n">
        <v>3</v>
      </c>
      <c r="AJ2128" t="n">
        <v>11</v>
      </c>
      <c r="AK2128" t="n">
        <v>11</v>
      </c>
      <c r="AL2128" t="n">
        <v>6</v>
      </c>
      <c r="AM2128" t="n">
        <v>6</v>
      </c>
      <c r="AN2128" t="n">
        <v>1</v>
      </c>
      <c r="AO2128" t="n">
        <v>1</v>
      </c>
      <c r="AP2128" t="inlineStr">
        <is>
          <t>No</t>
        </is>
      </c>
      <c r="AQ2128" t="inlineStr">
        <is>
          <t>No</t>
        </is>
      </c>
      <c r="AS2128">
        <f>HYPERLINK("https://creighton-primo.hosted.exlibrisgroup.com/primo-explore/search?tab=default_tab&amp;search_scope=EVERYTHING&amp;vid=01CRU&amp;lang=en_US&amp;offset=0&amp;query=any,contains,991004296599702656","Catalog Record")</f>
        <v/>
      </c>
      <c r="AT2128">
        <f>HYPERLINK("http://www.worldcat.org/oclc/53183638","WorldCat Record")</f>
        <v/>
      </c>
      <c r="AU2128" t="inlineStr">
        <is>
          <t>363420:eng</t>
        </is>
      </c>
      <c r="AV2128" t="inlineStr">
        <is>
          <t>53183638</t>
        </is>
      </c>
      <c r="AW2128" t="inlineStr">
        <is>
          <t>991004296599702656</t>
        </is>
      </c>
      <c r="AX2128" t="inlineStr">
        <is>
          <t>991004296599702656</t>
        </is>
      </c>
      <c r="AY2128" t="inlineStr">
        <is>
          <t>2255073740002656</t>
        </is>
      </c>
      <c r="AZ2128" t="inlineStr">
        <is>
          <t>BOOK</t>
        </is>
      </c>
      <c r="BB2128" t="inlineStr">
        <is>
          <t>9780060559021</t>
        </is>
      </c>
      <c r="BC2128" t="inlineStr">
        <is>
          <t>32285004904297</t>
        </is>
      </c>
      <c r="BD2128" t="inlineStr">
        <is>
          <t>893429895</t>
        </is>
      </c>
    </row>
    <row r="2129">
      <c r="A2129" t="inlineStr">
        <is>
          <t>No</t>
        </is>
      </c>
      <c r="B2129" t="inlineStr">
        <is>
          <t>E843 .M35 2003</t>
        </is>
      </c>
      <c r="C2129" t="inlineStr">
        <is>
          <t>0                      E  0843000M  35          2003</t>
        </is>
      </c>
      <c r="D2129" t="inlineStr">
        <is>
          <t>The Kennedys : America's emerald kings / Thomas Maier.</t>
        </is>
      </c>
      <c r="F2129" t="inlineStr">
        <is>
          <t>No</t>
        </is>
      </c>
      <c r="G2129" t="inlineStr">
        <is>
          <t>1</t>
        </is>
      </c>
      <c r="H2129" t="inlineStr">
        <is>
          <t>No</t>
        </is>
      </c>
      <c r="I2129" t="inlineStr">
        <is>
          <t>No</t>
        </is>
      </c>
      <c r="J2129" t="inlineStr">
        <is>
          <t>0</t>
        </is>
      </c>
      <c r="K2129" t="inlineStr">
        <is>
          <t>Maier, Thomas, 1956-</t>
        </is>
      </c>
      <c r="L2129" t="inlineStr">
        <is>
          <t>New York : Basic Books, c2003.</t>
        </is>
      </c>
      <c r="M2129" t="inlineStr">
        <is>
          <t>2003</t>
        </is>
      </c>
      <c r="O2129" t="inlineStr">
        <is>
          <t>eng</t>
        </is>
      </c>
      <c r="P2129" t="inlineStr">
        <is>
          <t>nyu</t>
        </is>
      </c>
      <c r="R2129" t="inlineStr">
        <is>
          <t xml:space="preserve">E  </t>
        </is>
      </c>
      <c r="S2129" t="n">
        <v>2</v>
      </c>
      <c r="T2129" t="n">
        <v>2</v>
      </c>
      <c r="U2129" t="inlineStr">
        <is>
          <t>2003-11-18</t>
        </is>
      </c>
      <c r="V2129" t="inlineStr">
        <is>
          <t>2003-11-18</t>
        </is>
      </c>
      <c r="W2129" t="inlineStr">
        <is>
          <t>2003-11-18</t>
        </is>
      </c>
      <c r="X2129" t="inlineStr">
        <is>
          <t>2003-11-18</t>
        </is>
      </c>
      <c r="Y2129" t="n">
        <v>1145</v>
      </c>
      <c r="Z2129" t="n">
        <v>1062</v>
      </c>
      <c r="AA2129" t="n">
        <v>1163</v>
      </c>
      <c r="AB2129" t="n">
        <v>9</v>
      </c>
      <c r="AC2129" t="n">
        <v>9</v>
      </c>
      <c r="AD2129" t="n">
        <v>21</v>
      </c>
      <c r="AE2129" t="n">
        <v>22</v>
      </c>
      <c r="AF2129" t="n">
        <v>11</v>
      </c>
      <c r="AG2129" t="n">
        <v>12</v>
      </c>
      <c r="AH2129" t="n">
        <v>4</v>
      </c>
      <c r="AI2129" t="n">
        <v>4</v>
      </c>
      <c r="AJ2129" t="n">
        <v>10</v>
      </c>
      <c r="AK2129" t="n">
        <v>11</v>
      </c>
      <c r="AL2129" t="n">
        <v>2</v>
      </c>
      <c r="AM2129" t="n">
        <v>2</v>
      </c>
      <c r="AN2129" t="n">
        <v>0</v>
      </c>
      <c r="AO2129" t="n">
        <v>0</v>
      </c>
      <c r="AP2129" t="inlineStr">
        <is>
          <t>No</t>
        </is>
      </c>
      <c r="AQ2129" t="inlineStr">
        <is>
          <t>Yes</t>
        </is>
      </c>
      <c r="AR2129">
        <f>HYPERLINK("http://catalog.hathitrust.org/Record/004354172","HathiTrust Record")</f>
        <v/>
      </c>
      <c r="AS2129">
        <f>HYPERLINK("https://creighton-primo.hosted.exlibrisgroup.com/primo-explore/search?tab=default_tab&amp;search_scope=EVERYTHING&amp;vid=01CRU&amp;lang=en_US&amp;offset=0&amp;query=any,contains,991004172159702656","Catalog Record")</f>
        <v/>
      </c>
      <c r="AT2129">
        <f>HYPERLINK("http://www.worldcat.org/oclc/52251393","WorldCat Record")</f>
        <v/>
      </c>
      <c r="AU2129" t="inlineStr">
        <is>
          <t>702445:eng</t>
        </is>
      </c>
      <c r="AV2129" t="inlineStr">
        <is>
          <t>52251393</t>
        </is>
      </c>
      <c r="AW2129" t="inlineStr">
        <is>
          <t>991004172159702656</t>
        </is>
      </c>
      <c r="AX2129" t="inlineStr">
        <is>
          <t>991004172159702656</t>
        </is>
      </c>
      <c r="AY2129" t="inlineStr">
        <is>
          <t>2264531720002656</t>
        </is>
      </c>
      <c r="AZ2129" t="inlineStr">
        <is>
          <t>BOOK</t>
        </is>
      </c>
      <c r="BB2129" t="inlineStr">
        <is>
          <t>9780465043170</t>
        </is>
      </c>
      <c r="BC2129" t="inlineStr">
        <is>
          <t>32285004799242</t>
        </is>
      </c>
      <c r="BD2129" t="inlineStr">
        <is>
          <t>893788366</t>
        </is>
      </c>
    </row>
    <row r="2130">
      <c r="A2130" t="inlineStr">
        <is>
          <t>No</t>
        </is>
      </c>
      <c r="B2130" t="inlineStr">
        <is>
          <t>E843 .R35 1983</t>
        </is>
      </c>
      <c r="C2130" t="inlineStr">
        <is>
          <t>0                      E  0843000R  35          1983</t>
        </is>
      </c>
      <c r="D2130" t="inlineStr">
        <is>
          <t>Growing up Kennedy : the third wave comes of age / Harrison Rainie and John Quinn ; with exclusive photos by Brian Quigley.</t>
        </is>
      </c>
      <c r="F2130" t="inlineStr">
        <is>
          <t>No</t>
        </is>
      </c>
      <c r="G2130" t="inlineStr">
        <is>
          <t>1</t>
        </is>
      </c>
      <c r="H2130" t="inlineStr">
        <is>
          <t>No</t>
        </is>
      </c>
      <c r="I2130" t="inlineStr">
        <is>
          <t>No</t>
        </is>
      </c>
      <c r="J2130" t="inlineStr">
        <is>
          <t>0</t>
        </is>
      </c>
      <c r="K2130" t="inlineStr">
        <is>
          <t>Rainie, Harrison.</t>
        </is>
      </c>
      <c r="L2130" t="inlineStr">
        <is>
          <t>New York : Putnam, c1983.</t>
        </is>
      </c>
      <c r="M2130" t="inlineStr">
        <is>
          <t>1983</t>
        </is>
      </c>
      <c r="O2130" t="inlineStr">
        <is>
          <t>eng</t>
        </is>
      </c>
      <c r="P2130" t="inlineStr">
        <is>
          <t>nyu</t>
        </is>
      </c>
      <c r="R2130" t="inlineStr">
        <is>
          <t xml:space="preserve">E  </t>
        </is>
      </c>
      <c r="S2130" t="n">
        <v>6</v>
      </c>
      <c r="T2130" t="n">
        <v>6</v>
      </c>
      <c r="U2130" t="inlineStr">
        <is>
          <t>1993-11-18</t>
        </is>
      </c>
      <c r="V2130" t="inlineStr">
        <is>
          <t>1993-11-18</t>
        </is>
      </c>
      <c r="W2130" t="inlineStr">
        <is>
          <t>1991-06-21</t>
        </is>
      </c>
      <c r="X2130" t="inlineStr">
        <is>
          <t>1991-06-21</t>
        </is>
      </c>
      <c r="Y2130" t="n">
        <v>502</v>
      </c>
      <c r="Z2130" t="n">
        <v>490</v>
      </c>
      <c r="AA2130" t="n">
        <v>507</v>
      </c>
      <c r="AB2130" t="n">
        <v>2</v>
      </c>
      <c r="AC2130" t="n">
        <v>2</v>
      </c>
      <c r="AD2130" t="n">
        <v>1</v>
      </c>
      <c r="AE2130" t="n">
        <v>1</v>
      </c>
      <c r="AF2130" t="n">
        <v>0</v>
      </c>
      <c r="AG2130" t="n">
        <v>0</v>
      </c>
      <c r="AH2130" t="n">
        <v>0</v>
      </c>
      <c r="AI2130" t="n">
        <v>0</v>
      </c>
      <c r="AJ2130" t="n">
        <v>1</v>
      </c>
      <c r="AK2130" t="n">
        <v>1</v>
      </c>
      <c r="AL2130" t="n">
        <v>0</v>
      </c>
      <c r="AM2130" t="n">
        <v>0</v>
      </c>
      <c r="AN2130" t="n">
        <v>0</v>
      </c>
      <c r="AO2130" t="n">
        <v>0</v>
      </c>
      <c r="AP2130" t="inlineStr">
        <is>
          <t>No</t>
        </is>
      </c>
      <c r="AQ2130" t="inlineStr">
        <is>
          <t>Yes</t>
        </is>
      </c>
      <c r="AR2130">
        <f>HYPERLINK("http://catalog.hathitrust.org/Record/009700802","HathiTrust Record")</f>
        <v/>
      </c>
      <c r="AS2130">
        <f>HYPERLINK("https://creighton-primo.hosted.exlibrisgroup.com/primo-explore/search?tab=default_tab&amp;search_scope=EVERYTHING&amp;vid=01CRU&amp;lang=en_US&amp;offset=0&amp;query=any,contains,991000212849702656","Catalog Record")</f>
        <v/>
      </c>
      <c r="AT2130">
        <f>HYPERLINK("http://www.worldcat.org/oclc/9555873","WorldCat Record")</f>
        <v/>
      </c>
      <c r="AU2130" t="inlineStr">
        <is>
          <t>904548902:eng</t>
        </is>
      </c>
      <c r="AV2130" t="inlineStr">
        <is>
          <t>9555873</t>
        </is>
      </c>
      <c r="AW2130" t="inlineStr">
        <is>
          <t>991000212849702656</t>
        </is>
      </c>
      <c r="AX2130" t="inlineStr">
        <is>
          <t>991000212849702656</t>
        </is>
      </c>
      <c r="AY2130" t="inlineStr">
        <is>
          <t>2268185360002656</t>
        </is>
      </c>
      <c r="AZ2130" t="inlineStr">
        <is>
          <t>BOOK</t>
        </is>
      </c>
      <c r="BB2130" t="inlineStr">
        <is>
          <t>9780399128646</t>
        </is>
      </c>
      <c r="BC2130" t="inlineStr">
        <is>
          <t>32285000670892</t>
        </is>
      </c>
      <c r="BD2130" t="inlineStr">
        <is>
          <t>893683246</t>
        </is>
      </c>
    </row>
    <row r="2131">
      <c r="A2131" t="inlineStr">
        <is>
          <t>No</t>
        </is>
      </c>
      <c r="B2131" t="inlineStr">
        <is>
          <t>E843.K39 A53 2003</t>
        </is>
      </c>
      <c r="C2131" t="inlineStr">
        <is>
          <t>0                      E  0843000K  39                 A  53          2003</t>
        </is>
      </c>
      <c r="D2131" t="inlineStr">
        <is>
          <t>Sweet Caroline : last child of Camelot / Christopher Andersen.</t>
        </is>
      </c>
      <c r="F2131" t="inlineStr">
        <is>
          <t>No</t>
        </is>
      </c>
      <c r="G2131" t="inlineStr">
        <is>
          <t>1</t>
        </is>
      </c>
      <c r="H2131" t="inlineStr">
        <is>
          <t>No</t>
        </is>
      </c>
      <c r="I2131" t="inlineStr">
        <is>
          <t>No</t>
        </is>
      </c>
      <c r="J2131" t="inlineStr">
        <is>
          <t>0</t>
        </is>
      </c>
      <c r="K2131" t="inlineStr">
        <is>
          <t>Andersen, Christopher P.</t>
        </is>
      </c>
      <c r="L2131" t="inlineStr">
        <is>
          <t>New York : W. Morrow, c2003.</t>
        </is>
      </c>
      <c r="M2131" t="inlineStr">
        <is>
          <t>2003</t>
        </is>
      </c>
      <c r="N2131" t="inlineStr">
        <is>
          <t>1st ed.</t>
        </is>
      </c>
      <c r="O2131" t="inlineStr">
        <is>
          <t>eng</t>
        </is>
      </c>
      <c r="P2131" t="inlineStr">
        <is>
          <t>nyu</t>
        </is>
      </c>
      <c r="R2131" t="inlineStr">
        <is>
          <t xml:space="preserve">E  </t>
        </is>
      </c>
      <c r="S2131" t="n">
        <v>5</v>
      </c>
      <c r="T2131" t="n">
        <v>5</v>
      </c>
      <c r="U2131" t="inlineStr">
        <is>
          <t>2004-10-27</t>
        </is>
      </c>
      <c r="V2131" t="inlineStr">
        <is>
          <t>2004-10-27</t>
        </is>
      </c>
      <c r="W2131" t="inlineStr">
        <is>
          <t>2003-12-01</t>
        </is>
      </c>
      <c r="X2131" t="inlineStr">
        <is>
          <t>2003-12-01</t>
        </is>
      </c>
      <c r="Y2131" t="n">
        <v>1299</v>
      </c>
      <c r="Z2131" t="n">
        <v>1245</v>
      </c>
      <c r="AA2131" t="n">
        <v>1453</v>
      </c>
      <c r="AB2131" t="n">
        <v>17</v>
      </c>
      <c r="AC2131" t="n">
        <v>20</v>
      </c>
      <c r="AD2131" t="n">
        <v>14</v>
      </c>
      <c r="AE2131" t="n">
        <v>14</v>
      </c>
      <c r="AF2131" t="n">
        <v>4</v>
      </c>
      <c r="AG2131" t="n">
        <v>4</v>
      </c>
      <c r="AH2131" t="n">
        <v>3</v>
      </c>
      <c r="AI2131" t="n">
        <v>3</v>
      </c>
      <c r="AJ2131" t="n">
        <v>8</v>
      </c>
      <c r="AK2131" t="n">
        <v>8</v>
      </c>
      <c r="AL2131" t="n">
        <v>1</v>
      </c>
      <c r="AM2131" t="n">
        <v>1</v>
      </c>
      <c r="AN2131" t="n">
        <v>0</v>
      </c>
      <c r="AO2131" t="n">
        <v>0</v>
      </c>
      <c r="AP2131" t="inlineStr">
        <is>
          <t>No</t>
        </is>
      </c>
      <c r="AQ2131" t="inlineStr">
        <is>
          <t>No</t>
        </is>
      </c>
      <c r="AS2131">
        <f>HYPERLINK("https://creighton-primo.hosted.exlibrisgroup.com/primo-explore/search?tab=default_tab&amp;search_scope=EVERYTHING&amp;vid=01CRU&amp;lang=en_US&amp;offset=0&amp;query=any,contains,991004193499702656","Catalog Record")</f>
        <v/>
      </c>
      <c r="AT2131">
        <f>HYPERLINK("http://www.worldcat.org/oclc/52895914","WorldCat Record")</f>
        <v/>
      </c>
      <c r="AU2131" t="inlineStr">
        <is>
          <t>651045:eng</t>
        </is>
      </c>
      <c r="AV2131" t="inlineStr">
        <is>
          <t>52895914</t>
        </is>
      </c>
      <c r="AW2131" t="inlineStr">
        <is>
          <t>991004193499702656</t>
        </is>
      </c>
      <c r="AX2131" t="inlineStr">
        <is>
          <t>991004193499702656</t>
        </is>
      </c>
      <c r="AY2131" t="inlineStr">
        <is>
          <t>2258208840002656</t>
        </is>
      </c>
      <c r="AZ2131" t="inlineStr">
        <is>
          <t>BOOK</t>
        </is>
      </c>
      <c r="BB2131" t="inlineStr">
        <is>
          <t>9780061032257</t>
        </is>
      </c>
      <c r="BC2131" t="inlineStr">
        <is>
          <t>32285004843214</t>
        </is>
      </c>
      <c r="BD2131" t="inlineStr">
        <is>
          <t>893349720</t>
        </is>
      </c>
    </row>
    <row r="2132">
      <c r="A2132" t="inlineStr">
        <is>
          <t>No</t>
        </is>
      </c>
      <c r="B2132" t="inlineStr">
        <is>
          <t>E846 .A62 1998</t>
        </is>
      </c>
      <c r="C2132" t="inlineStr">
        <is>
          <t>0                      E  0846000A  62          1998</t>
        </is>
      </c>
      <c r="D2132" t="inlineStr">
        <is>
          <t>Lyndon Johnson and the Great Society / John A. Andrew.</t>
        </is>
      </c>
      <c r="F2132" t="inlineStr">
        <is>
          <t>No</t>
        </is>
      </c>
      <c r="G2132" t="inlineStr">
        <is>
          <t>1</t>
        </is>
      </c>
      <c r="H2132" t="inlineStr">
        <is>
          <t>No</t>
        </is>
      </c>
      <c r="I2132" t="inlineStr">
        <is>
          <t>No</t>
        </is>
      </c>
      <c r="J2132" t="inlineStr">
        <is>
          <t>0</t>
        </is>
      </c>
      <c r="K2132" t="inlineStr">
        <is>
          <t>Andrew, John A.</t>
        </is>
      </c>
      <c r="L2132" t="inlineStr">
        <is>
          <t>Chicago : I.R. Dee, c1998.</t>
        </is>
      </c>
      <c r="M2132" t="inlineStr">
        <is>
          <t>1998</t>
        </is>
      </c>
      <c r="O2132" t="inlineStr">
        <is>
          <t>eng</t>
        </is>
      </c>
      <c r="P2132" t="inlineStr">
        <is>
          <t>ilu</t>
        </is>
      </c>
      <c r="Q2132" t="inlineStr">
        <is>
          <t>The American ways seriess</t>
        </is>
      </c>
      <c r="R2132" t="inlineStr">
        <is>
          <t xml:space="preserve">E  </t>
        </is>
      </c>
      <c r="S2132" t="n">
        <v>3</v>
      </c>
      <c r="T2132" t="n">
        <v>3</v>
      </c>
      <c r="U2132" t="inlineStr">
        <is>
          <t>2002-04-11</t>
        </is>
      </c>
      <c r="V2132" t="inlineStr">
        <is>
          <t>2002-04-11</t>
        </is>
      </c>
      <c r="W2132" t="inlineStr">
        <is>
          <t>1999-01-11</t>
        </is>
      </c>
      <c r="X2132" t="inlineStr">
        <is>
          <t>1999-01-11</t>
        </is>
      </c>
      <c r="Y2132" t="n">
        <v>1001</v>
      </c>
      <c r="Z2132" t="n">
        <v>924</v>
      </c>
      <c r="AA2132" t="n">
        <v>927</v>
      </c>
      <c r="AB2132" t="n">
        <v>7</v>
      </c>
      <c r="AC2132" t="n">
        <v>7</v>
      </c>
      <c r="AD2132" t="n">
        <v>35</v>
      </c>
      <c r="AE2132" t="n">
        <v>36</v>
      </c>
      <c r="AF2132" t="n">
        <v>15</v>
      </c>
      <c r="AG2132" t="n">
        <v>15</v>
      </c>
      <c r="AH2132" t="n">
        <v>6</v>
      </c>
      <c r="AI2132" t="n">
        <v>6</v>
      </c>
      <c r="AJ2132" t="n">
        <v>17</v>
      </c>
      <c r="AK2132" t="n">
        <v>18</v>
      </c>
      <c r="AL2132" t="n">
        <v>5</v>
      </c>
      <c r="AM2132" t="n">
        <v>5</v>
      </c>
      <c r="AN2132" t="n">
        <v>2</v>
      </c>
      <c r="AO2132" t="n">
        <v>2</v>
      </c>
      <c r="AP2132" t="inlineStr">
        <is>
          <t>No</t>
        </is>
      </c>
      <c r="AQ2132" t="inlineStr">
        <is>
          <t>Yes</t>
        </is>
      </c>
      <c r="AR2132">
        <f>HYPERLINK("http://catalog.hathitrust.org/Record/003978485","HathiTrust Record")</f>
        <v/>
      </c>
      <c r="AS2132">
        <f>HYPERLINK("https://creighton-primo.hosted.exlibrisgroup.com/primo-explore/search?tab=default_tab&amp;search_scope=EVERYTHING&amp;vid=01CRU&amp;lang=en_US&amp;offset=0&amp;query=any,contains,991002874779702656","Catalog Record")</f>
        <v/>
      </c>
      <c r="AT2132">
        <f>HYPERLINK("http://www.worldcat.org/oclc/37884743","WorldCat Record")</f>
        <v/>
      </c>
      <c r="AU2132" t="inlineStr">
        <is>
          <t>678011:eng</t>
        </is>
      </c>
      <c r="AV2132" t="inlineStr">
        <is>
          <t>37884743</t>
        </is>
      </c>
      <c r="AW2132" t="inlineStr">
        <is>
          <t>991002874779702656</t>
        </is>
      </c>
      <c r="AX2132" t="inlineStr">
        <is>
          <t>991002874779702656</t>
        </is>
      </c>
      <c r="AY2132" t="inlineStr">
        <is>
          <t>2267106090002656</t>
        </is>
      </c>
      <c r="AZ2132" t="inlineStr">
        <is>
          <t>BOOK</t>
        </is>
      </c>
      <c r="BB2132" t="inlineStr">
        <is>
          <t>9781566631846</t>
        </is>
      </c>
      <c r="BC2132" t="inlineStr">
        <is>
          <t>32285003511416</t>
        </is>
      </c>
      <c r="BD2132" t="inlineStr">
        <is>
          <t>893717030</t>
        </is>
      </c>
    </row>
    <row r="2133">
      <c r="A2133" t="inlineStr">
        <is>
          <t>No</t>
        </is>
      </c>
      <c r="B2133" t="inlineStr">
        <is>
          <t>E846 .D4</t>
        </is>
      </c>
      <c r="C2133" t="inlineStr">
        <is>
          <t>0                      E  0846000D  4</t>
        </is>
      </c>
      <c r="D2133" t="inlineStr">
        <is>
          <t>Lyndon Johnson's credibility gap.</t>
        </is>
      </c>
      <c r="F2133" t="inlineStr">
        <is>
          <t>No</t>
        </is>
      </c>
      <c r="G2133" t="inlineStr">
        <is>
          <t>1</t>
        </is>
      </c>
      <c r="H2133" t="inlineStr">
        <is>
          <t>No</t>
        </is>
      </c>
      <c r="I2133" t="inlineStr">
        <is>
          <t>No</t>
        </is>
      </c>
      <c r="J2133" t="inlineStr">
        <is>
          <t>0</t>
        </is>
      </c>
      <c r="K2133" t="inlineStr">
        <is>
          <t>Deakin, James, 1929-2007.</t>
        </is>
      </c>
      <c r="L2133" t="inlineStr">
        <is>
          <t>Washington, Public Affairs Press [1968]</t>
        </is>
      </c>
      <c r="M2133" t="inlineStr">
        <is>
          <t>1968</t>
        </is>
      </c>
      <c r="O2133" t="inlineStr">
        <is>
          <t>eng</t>
        </is>
      </c>
      <c r="P2133" t="inlineStr">
        <is>
          <t>dcu</t>
        </is>
      </c>
      <c r="R2133" t="inlineStr">
        <is>
          <t xml:space="preserve">E  </t>
        </is>
      </c>
      <c r="S2133" t="n">
        <v>1</v>
      </c>
      <c r="T2133" t="n">
        <v>1</v>
      </c>
      <c r="U2133" t="inlineStr">
        <is>
          <t>2002-04-15</t>
        </is>
      </c>
      <c r="V2133" t="inlineStr">
        <is>
          <t>2002-04-15</t>
        </is>
      </c>
      <c r="W2133" t="inlineStr">
        <is>
          <t>1997-04-29</t>
        </is>
      </c>
      <c r="X2133" t="inlineStr">
        <is>
          <t>1997-04-29</t>
        </is>
      </c>
      <c r="Y2133" t="n">
        <v>312</v>
      </c>
      <c r="Z2133" t="n">
        <v>295</v>
      </c>
      <c r="AA2133" t="n">
        <v>298</v>
      </c>
      <c r="AB2133" t="n">
        <v>3</v>
      </c>
      <c r="AC2133" t="n">
        <v>3</v>
      </c>
      <c r="AD2133" t="n">
        <v>14</v>
      </c>
      <c r="AE2133" t="n">
        <v>14</v>
      </c>
      <c r="AF2133" t="n">
        <v>5</v>
      </c>
      <c r="AG2133" t="n">
        <v>5</v>
      </c>
      <c r="AH2133" t="n">
        <v>3</v>
      </c>
      <c r="AI2133" t="n">
        <v>3</v>
      </c>
      <c r="AJ2133" t="n">
        <v>8</v>
      </c>
      <c r="AK2133" t="n">
        <v>8</v>
      </c>
      <c r="AL2133" t="n">
        <v>2</v>
      </c>
      <c r="AM2133" t="n">
        <v>2</v>
      </c>
      <c r="AN2133" t="n">
        <v>0</v>
      </c>
      <c r="AO2133" t="n">
        <v>0</v>
      </c>
      <c r="AP2133" t="inlineStr">
        <is>
          <t>No</t>
        </is>
      </c>
      <c r="AQ2133" t="inlineStr">
        <is>
          <t>Yes</t>
        </is>
      </c>
      <c r="AR2133">
        <f>HYPERLINK("http://catalog.hathitrust.org/Record/000576090","HathiTrust Record")</f>
        <v/>
      </c>
      <c r="AS2133">
        <f>HYPERLINK("https://creighton-primo.hosted.exlibrisgroup.com/primo-explore/search?tab=default_tab&amp;search_scope=EVERYTHING&amp;vid=01CRU&amp;lang=en_US&amp;offset=0&amp;query=any,contains,991002804499702656","Catalog Record")</f>
        <v/>
      </c>
      <c r="AT2133">
        <f>HYPERLINK("http://www.worldcat.org/oclc/449087","WorldCat Record")</f>
        <v/>
      </c>
      <c r="AU2133" t="inlineStr">
        <is>
          <t>1589023:eng</t>
        </is>
      </c>
      <c r="AV2133" t="inlineStr">
        <is>
          <t>449087</t>
        </is>
      </c>
      <c r="AW2133" t="inlineStr">
        <is>
          <t>991002804499702656</t>
        </is>
      </c>
      <c r="AX2133" t="inlineStr">
        <is>
          <t>991002804499702656</t>
        </is>
      </c>
      <c r="AY2133" t="inlineStr">
        <is>
          <t>2265188540002656</t>
        </is>
      </c>
      <c r="AZ2133" t="inlineStr">
        <is>
          <t>BOOK</t>
        </is>
      </c>
      <c r="BC2133" t="inlineStr">
        <is>
          <t>32285002568656</t>
        </is>
      </c>
      <c r="BD2133" t="inlineStr">
        <is>
          <t>893428058</t>
        </is>
      </c>
    </row>
    <row r="2134">
      <c r="A2134" t="inlineStr">
        <is>
          <t>No</t>
        </is>
      </c>
      <c r="B2134" t="inlineStr">
        <is>
          <t>E846 .F7</t>
        </is>
      </c>
      <c r="C2134" t="inlineStr">
        <is>
          <t>0                      E  0846000F  7</t>
        </is>
      </c>
      <c r="D2134" t="inlineStr">
        <is>
          <t>The political beliefs of Americans; a study of public opinion, by Lloyd A. Free and Hadley Cantril.</t>
        </is>
      </c>
      <c r="F2134" t="inlineStr">
        <is>
          <t>No</t>
        </is>
      </c>
      <c r="G2134" t="inlineStr">
        <is>
          <t>1</t>
        </is>
      </c>
      <c r="H2134" t="inlineStr">
        <is>
          <t>No</t>
        </is>
      </c>
      <c r="I2134" t="inlineStr">
        <is>
          <t>No</t>
        </is>
      </c>
      <c r="J2134" t="inlineStr">
        <is>
          <t>0</t>
        </is>
      </c>
      <c r="K2134" t="inlineStr">
        <is>
          <t>Free, Lloyd A.</t>
        </is>
      </c>
      <c r="L2134" t="inlineStr">
        <is>
          <t>New Brunswick, N.J., Rutgers University Press [1967]</t>
        </is>
      </c>
      <c r="M2134" t="inlineStr">
        <is>
          <t>1967</t>
        </is>
      </c>
      <c r="O2134" t="inlineStr">
        <is>
          <t>eng</t>
        </is>
      </c>
      <c r="P2134" t="inlineStr">
        <is>
          <t>nju</t>
        </is>
      </c>
      <c r="R2134" t="inlineStr">
        <is>
          <t xml:space="preserve">E  </t>
        </is>
      </c>
      <c r="S2134" t="n">
        <v>1</v>
      </c>
      <c r="T2134" t="n">
        <v>1</v>
      </c>
      <c r="U2134" t="inlineStr">
        <is>
          <t>1997-02-03</t>
        </is>
      </c>
      <c r="V2134" t="inlineStr">
        <is>
          <t>1997-02-03</t>
        </is>
      </c>
      <c r="W2134" t="inlineStr">
        <is>
          <t>1997-02-03</t>
        </is>
      </c>
      <c r="X2134" t="inlineStr">
        <is>
          <t>1997-02-03</t>
        </is>
      </c>
      <c r="Y2134" t="n">
        <v>734</v>
      </c>
      <c r="Z2134" t="n">
        <v>654</v>
      </c>
      <c r="AA2134" t="n">
        <v>803</v>
      </c>
      <c r="AB2134" t="n">
        <v>6</v>
      </c>
      <c r="AC2134" t="n">
        <v>7</v>
      </c>
      <c r="AD2134" t="n">
        <v>30</v>
      </c>
      <c r="AE2134" t="n">
        <v>36</v>
      </c>
      <c r="AF2134" t="n">
        <v>10</v>
      </c>
      <c r="AG2134" t="n">
        <v>13</v>
      </c>
      <c r="AH2134" t="n">
        <v>4</v>
      </c>
      <c r="AI2134" t="n">
        <v>6</v>
      </c>
      <c r="AJ2134" t="n">
        <v>17</v>
      </c>
      <c r="AK2134" t="n">
        <v>19</v>
      </c>
      <c r="AL2134" t="n">
        <v>5</v>
      </c>
      <c r="AM2134" t="n">
        <v>6</v>
      </c>
      <c r="AN2134" t="n">
        <v>2</v>
      </c>
      <c r="AO2134" t="n">
        <v>2</v>
      </c>
      <c r="AP2134" t="inlineStr">
        <is>
          <t>No</t>
        </is>
      </c>
      <c r="AQ2134" t="inlineStr">
        <is>
          <t>Yes</t>
        </is>
      </c>
      <c r="AR2134">
        <f>HYPERLINK("http://catalog.hathitrust.org/Record/000581760","HathiTrust Record")</f>
        <v/>
      </c>
      <c r="AS2134">
        <f>HYPERLINK("https://creighton-primo.hosted.exlibrisgroup.com/primo-explore/search?tab=default_tab&amp;search_scope=EVERYTHING&amp;vid=01CRU&amp;lang=en_US&amp;offset=0&amp;query=any,contains,991002825239702656","Catalog Record")</f>
        <v/>
      </c>
      <c r="AT2134">
        <f>HYPERLINK("http://www.worldcat.org/oclc/475201","WorldCat Record")</f>
        <v/>
      </c>
      <c r="AU2134" t="inlineStr">
        <is>
          <t>862875817:eng</t>
        </is>
      </c>
      <c r="AV2134" t="inlineStr">
        <is>
          <t>475201</t>
        </is>
      </c>
      <c r="AW2134" t="inlineStr">
        <is>
          <t>991002825239702656</t>
        </is>
      </c>
      <c r="AX2134" t="inlineStr">
        <is>
          <t>991002825239702656</t>
        </is>
      </c>
      <c r="AY2134" t="inlineStr">
        <is>
          <t>2254877680002656</t>
        </is>
      </c>
      <c r="AZ2134" t="inlineStr">
        <is>
          <t>BOOK</t>
        </is>
      </c>
      <c r="BC2134" t="inlineStr">
        <is>
          <t>32285002398641</t>
        </is>
      </c>
      <c r="BD2134" t="inlineStr">
        <is>
          <t>893323428</t>
        </is>
      </c>
    </row>
    <row r="2135">
      <c r="A2135" t="inlineStr">
        <is>
          <t>No</t>
        </is>
      </c>
      <c r="B2135" t="inlineStr">
        <is>
          <t>E846 .G45</t>
        </is>
      </c>
      <c r="C2135" t="inlineStr">
        <is>
          <t>0                      E  0846000G  45</t>
        </is>
      </c>
      <c r="D2135" t="inlineStr">
        <is>
          <t>Lyndon B. Johnson and the world [by] Philip Geyelin.</t>
        </is>
      </c>
      <c r="F2135" t="inlineStr">
        <is>
          <t>No</t>
        </is>
      </c>
      <c r="G2135" t="inlineStr">
        <is>
          <t>1</t>
        </is>
      </c>
      <c r="H2135" t="inlineStr">
        <is>
          <t>No</t>
        </is>
      </c>
      <c r="I2135" t="inlineStr">
        <is>
          <t>No</t>
        </is>
      </c>
      <c r="J2135" t="inlineStr">
        <is>
          <t>0</t>
        </is>
      </c>
      <c r="K2135" t="inlineStr">
        <is>
          <t>Geyelin, Philip L.</t>
        </is>
      </c>
      <c r="L2135" t="inlineStr">
        <is>
          <t>New York, F. A. Praeger [1966]</t>
        </is>
      </c>
      <c r="M2135" t="inlineStr">
        <is>
          <t>1966</t>
        </is>
      </c>
      <c r="O2135" t="inlineStr">
        <is>
          <t>eng</t>
        </is>
      </c>
      <c r="P2135" t="inlineStr">
        <is>
          <t>nyu</t>
        </is>
      </c>
      <c r="R2135" t="inlineStr">
        <is>
          <t xml:space="preserve">E  </t>
        </is>
      </c>
      <c r="S2135" t="n">
        <v>2</v>
      </c>
      <c r="T2135" t="n">
        <v>2</v>
      </c>
      <c r="U2135" t="inlineStr">
        <is>
          <t>2002-03-27</t>
        </is>
      </c>
      <c r="V2135" t="inlineStr">
        <is>
          <t>2002-03-27</t>
        </is>
      </c>
      <c r="W2135" t="inlineStr">
        <is>
          <t>1992-04-16</t>
        </is>
      </c>
      <c r="X2135" t="inlineStr">
        <is>
          <t>1992-04-16</t>
        </is>
      </c>
      <c r="Y2135" t="n">
        <v>1082</v>
      </c>
      <c r="Z2135" t="n">
        <v>999</v>
      </c>
      <c r="AA2135" t="n">
        <v>1013</v>
      </c>
      <c r="AB2135" t="n">
        <v>10</v>
      </c>
      <c r="AC2135" t="n">
        <v>10</v>
      </c>
      <c r="AD2135" t="n">
        <v>41</v>
      </c>
      <c r="AE2135" t="n">
        <v>41</v>
      </c>
      <c r="AF2135" t="n">
        <v>17</v>
      </c>
      <c r="AG2135" t="n">
        <v>17</v>
      </c>
      <c r="AH2135" t="n">
        <v>8</v>
      </c>
      <c r="AI2135" t="n">
        <v>8</v>
      </c>
      <c r="AJ2135" t="n">
        <v>17</v>
      </c>
      <c r="AK2135" t="n">
        <v>17</v>
      </c>
      <c r="AL2135" t="n">
        <v>8</v>
      </c>
      <c r="AM2135" t="n">
        <v>8</v>
      </c>
      <c r="AN2135" t="n">
        <v>0</v>
      </c>
      <c r="AO2135" t="n">
        <v>0</v>
      </c>
      <c r="AP2135" t="inlineStr">
        <is>
          <t>No</t>
        </is>
      </c>
      <c r="AQ2135" t="inlineStr">
        <is>
          <t>Yes</t>
        </is>
      </c>
      <c r="AR2135">
        <f>HYPERLINK("http://catalog.hathitrust.org/Record/000578015","HathiTrust Record")</f>
        <v/>
      </c>
      <c r="AS2135">
        <f>HYPERLINK("https://creighton-primo.hosted.exlibrisgroup.com/primo-explore/search?tab=default_tab&amp;search_scope=EVERYTHING&amp;vid=01CRU&amp;lang=en_US&amp;offset=0&amp;query=any,contains,991002000919702656","Catalog Record")</f>
        <v/>
      </c>
      <c r="AT2135">
        <f>HYPERLINK("http://www.worldcat.org/oclc/256210","WorldCat Record")</f>
        <v/>
      </c>
      <c r="AU2135" t="inlineStr">
        <is>
          <t>1354346:eng</t>
        </is>
      </c>
      <c r="AV2135" t="inlineStr">
        <is>
          <t>256210</t>
        </is>
      </c>
      <c r="AW2135" t="inlineStr">
        <is>
          <t>991002000919702656</t>
        </is>
      </c>
      <c r="AX2135" t="inlineStr">
        <is>
          <t>991002000919702656</t>
        </is>
      </c>
      <c r="AY2135" t="inlineStr">
        <is>
          <t>2272290470002656</t>
        </is>
      </c>
      <c r="AZ2135" t="inlineStr">
        <is>
          <t>BOOK</t>
        </is>
      </c>
      <c r="BC2135" t="inlineStr">
        <is>
          <t>32285001053767</t>
        </is>
      </c>
      <c r="BD2135" t="inlineStr">
        <is>
          <t>893709751</t>
        </is>
      </c>
    </row>
    <row r="2136">
      <c r="A2136" t="inlineStr">
        <is>
          <t>No</t>
        </is>
      </c>
      <c r="B2136" t="inlineStr">
        <is>
          <t>E846 .K45 1990</t>
        </is>
      </c>
      <c r="C2136" t="inlineStr">
        <is>
          <t>0                      E  0846000K  45          1990</t>
        </is>
      </c>
      <c r="D2136" t="inlineStr">
        <is>
          <t>After all these years : sixties ideals in a different world / Lauren Kessler.</t>
        </is>
      </c>
      <c r="F2136" t="inlineStr">
        <is>
          <t>No</t>
        </is>
      </c>
      <c r="G2136" t="inlineStr">
        <is>
          <t>1</t>
        </is>
      </c>
      <c r="H2136" t="inlineStr">
        <is>
          <t>No</t>
        </is>
      </c>
      <c r="I2136" t="inlineStr">
        <is>
          <t>No</t>
        </is>
      </c>
      <c r="J2136" t="inlineStr">
        <is>
          <t>0</t>
        </is>
      </c>
      <c r="K2136" t="inlineStr">
        <is>
          <t>Kessler, Lauren.</t>
        </is>
      </c>
      <c r="L2136" t="inlineStr">
        <is>
          <t>New York, N.Y. : Thunder's Mouth Press ; St. Paul, MN : Distributed by Consortium Book Sales &amp; Distribution, c1990.</t>
        </is>
      </c>
      <c r="M2136" t="inlineStr">
        <is>
          <t>1990</t>
        </is>
      </c>
      <c r="N2136" t="inlineStr">
        <is>
          <t>1st ed.</t>
        </is>
      </c>
      <c r="O2136" t="inlineStr">
        <is>
          <t>eng</t>
        </is>
      </c>
      <c r="P2136" t="inlineStr">
        <is>
          <t>nyu</t>
        </is>
      </c>
      <c r="R2136" t="inlineStr">
        <is>
          <t xml:space="preserve">E  </t>
        </is>
      </c>
      <c r="S2136" t="n">
        <v>3</v>
      </c>
      <c r="T2136" t="n">
        <v>3</v>
      </c>
      <c r="U2136" t="inlineStr">
        <is>
          <t>1996-12-01</t>
        </is>
      </c>
      <c r="V2136" t="inlineStr">
        <is>
          <t>1996-12-01</t>
        </is>
      </c>
      <c r="W2136" t="inlineStr">
        <is>
          <t>1991-09-17</t>
        </is>
      </c>
      <c r="X2136" t="inlineStr">
        <is>
          <t>1991-09-17</t>
        </is>
      </c>
      <c r="Y2136" t="n">
        <v>539</v>
      </c>
      <c r="Z2136" t="n">
        <v>515</v>
      </c>
      <c r="AA2136" t="n">
        <v>519</v>
      </c>
      <c r="AB2136" t="n">
        <v>1</v>
      </c>
      <c r="AC2136" t="n">
        <v>1</v>
      </c>
      <c r="AD2136" t="n">
        <v>8</v>
      </c>
      <c r="AE2136" t="n">
        <v>8</v>
      </c>
      <c r="AF2136" t="n">
        <v>2</v>
      </c>
      <c r="AG2136" t="n">
        <v>2</v>
      </c>
      <c r="AH2136" t="n">
        <v>2</v>
      </c>
      <c r="AI2136" t="n">
        <v>2</v>
      </c>
      <c r="AJ2136" t="n">
        <v>5</v>
      </c>
      <c r="AK2136" t="n">
        <v>5</v>
      </c>
      <c r="AL2136" t="n">
        <v>0</v>
      </c>
      <c r="AM2136" t="n">
        <v>0</v>
      </c>
      <c r="AN2136" t="n">
        <v>0</v>
      </c>
      <c r="AO2136" t="n">
        <v>0</v>
      </c>
      <c r="AP2136" t="inlineStr">
        <is>
          <t>No</t>
        </is>
      </c>
      <c r="AQ2136" t="inlineStr">
        <is>
          <t>No</t>
        </is>
      </c>
      <c r="AS2136">
        <f>HYPERLINK("https://creighton-primo.hosted.exlibrisgroup.com/primo-explore/search?tab=default_tab&amp;search_scope=EVERYTHING&amp;vid=01CRU&amp;lang=en_US&amp;offset=0&amp;query=any,contains,991001643479702656","Catalog Record")</f>
        <v/>
      </c>
      <c r="AT2136">
        <f>HYPERLINK("http://www.worldcat.org/oclc/21038655","WorldCat Record")</f>
        <v/>
      </c>
      <c r="AU2136" t="inlineStr">
        <is>
          <t>222241024:eng</t>
        </is>
      </c>
      <c r="AV2136" t="inlineStr">
        <is>
          <t>21038655</t>
        </is>
      </c>
      <c r="AW2136" t="inlineStr">
        <is>
          <t>991001643479702656</t>
        </is>
      </c>
      <c r="AX2136" t="inlineStr">
        <is>
          <t>991001643479702656</t>
        </is>
      </c>
      <c r="AY2136" t="inlineStr">
        <is>
          <t>2256510880002656</t>
        </is>
      </c>
      <c r="AZ2136" t="inlineStr">
        <is>
          <t>BOOK</t>
        </is>
      </c>
      <c r="BB2136" t="inlineStr">
        <is>
          <t>9780938410928</t>
        </is>
      </c>
      <c r="BC2136" t="inlineStr">
        <is>
          <t>32285000703339</t>
        </is>
      </c>
      <c r="BD2136" t="inlineStr">
        <is>
          <t>893602754</t>
        </is>
      </c>
    </row>
    <row r="2137">
      <c r="A2137" t="inlineStr">
        <is>
          <t>No</t>
        </is>
      </c>
      <c r="B2137" t="inlineStr">
        <is>
          <t>E846 .M27 1999</t>
        </is>
      </c>
      <c r="C2137" t="inlineStr">
        <is>
          <t>0                      E  0846000M  27          1999</t>
        </is>
      </c>
      <c r="D2137" t="inlineStr">
        <is>
          <t>The last innocent year : America in 1964 : the beginning of the "sixties" / Jon Margolis.</t>
        </is>
      </c>
      <c r="F2137" t="inlineStr">
        <is>
          <t>No</t>
        </is>
      </c>
      <c r="G2137" t="inlineStr">
        <is>
          <t>1</t>
        </is>
      </c>
      <c r="H2137" t="inlineStr">
        <is>
          <t>No</t>
        </is>
      </c>
      <c r="I2137" t="inlineStr">
        <is>
          <t>No</t>
        </is>
      </c>
      <c r="J2137" t="inlineStr">
        <is>
          <t>0</t>
        </is>
      </c>
      <c r="K2137" t="inlineStr">
        <is>
          <t>Margolis, Jon.</t>
        </is>
      </c>
      <c r="L2137" t="inlineStr">
        <is>
          <t>New York : William Morrow and Co., c1999.</t>
        </is>
      </c>
      <c r="M2137" t="inlineStr">
        <is>
          <t>1999</t>
        </is>
      </c>
      <c r="N2137" t="inlineStr">
        <is>
          <t>1st ed.</t>
        </is>
      </c>
      <c r="O2137" t="inlineStr">
        <is>
          <t>eng</t>
        </is>
      </c>
      <c r="P2137" t="inlineStr">
        <is>
          <t>nyu</t>
        </is>
      </c>
      <c r="R2137" t="inlineStr">
        <is>
          <t xml:space="preserve">E  </t>
        </is>
      </c>
      <c r="S2137" t="n">
        <v>1</v>
      </c>
      <c r="T2137" t="n">
        <v>1</v>
      </c>
      <c r="U2137" t="inlineStr">
        <is>
          <t>2003-03-28</t>
        </is>
      </c>
      <c r="V2137" t="inlineStr">
        <is>
          <t>2003-03-28</t>
        </is>
      </c>
      <c r="W2137" t="inlineStr">
        <is>
          <t>1999-04-19</t>
        </is>
      </c>
      <c r="X2137" t="inlineStr">
        <is>
          <t>1999-04-19</t>
        </is>
      </c>
      <c r="Y2137" t="n">
        <v>910</v>
      </c>
      <c r="Z2137" t="n">
        <v>874</v>
      </c>
      <c r="AA2137" t="n">
        <v>925</v>
      </c>
      <c r="AB2137" t="n">
        <v>5</v>
      </c>
      <c r="AC2137" t="n">
        <v>5</v>
      </c>
      <c r="AD2137" t="n">
        <v>23</v>
      </c>
      <c r="AE2137" t="n">
        <v>24</v>
      </c>
      <c r="AF2137" t="n">
        <v>7</v>
      </c>
      <c r="AG2137" t="n">
        <v>8</v>
      </c>
      <c r="AH2137" t="n">
        <v>6</v>
      </c>
      <c r="AI2137" t="n">
        <v>6</v>
      </c>
      <c r="AJ2137" t="n">
        <v>10</v>
      </c>
      <c r="AK2137" t="n">
        <v>10</v>
      </c>
      <c r="AL2137" t="n">
        <v>4</v>
      </c>
      <c r="AM2137" t="n">
        <v>4</v>
      </c>
      <c r="AN2137" t="n">
        <v>0</v>
      </c>
      <c r="AO2137" t="n">
        <v>0</v>
      </c>
      <c r="AP2137" t="inlineStr">
        <is>
          <t>No</t>
        </is>
      </c>
      <c r="AQ2137" t="inlineStr">
        <is>
          <t>No</t>
        </is>
      </c>
      <c r="AS2137">
        <f>HYPERLINK("https://creighton-primo.hosted.exlibrisgroup.com/primo-explore/search?tab=default_tab&amp;search_scope=EVERYTHING&amp;vid=01CRU&amp;lang=en_US&amp;offset=0&amp;query=any,contains,991002982089702656","Catalog Record")</f>
        <v/>
      </c>
      <c r="AT2137">
        <f>HYPERLINK("http://www.worldcat.org/oclc/40135341","WorldCat Record")</f>
        <v/>
      </c>
      <c r="AU2137" t="inlineStr">
        <is>
          <t>20823165:eng</t>
        </is>
      </c>
      <c r="AV2137" t="inlineStr">
        <is>
          <t>40135341</t>
        </is>
      </c>
      <c r="AW2137" t="inlineStr">
        <is>
          <t>991002982089702656</t>
        </is>
      </c>
      <c r="AX2137" t="inlineStr">
        <is>
          <t>991002982089702656</t>
        </is>
      </c>
      <c r="AY2137" t="inlineStr">
        <is>
          <t>2262629520002656</t>
        </is>
      </c>
      <c r="AZ2137" t="inlineStr">
        <is>
          <t>BOOK</t>
        </is>
      </c>
      <c r="BB2137" t="inlineStr">
        <is>
          <t>9780688153236</t>
        </is>
      </c>
      <c r="BC2137" t="inlineStr">
        <is>
          <t>32285003553475</t>
        </is>
      </c>
      <c r="BD2137" t="inlineStr">
        <is>
          <t>893805294</t>
        </is>
      </c>
    </row>
    <row r="2138">
      <c r="A2138" t="inlineStr">
        <is>
          <t>No</t>
        </is>
      </c>
      <c r="B2138" t="inlineStr">
        <is>
          <t>E846 .S38 2003</t>
        </is>
      </c>
      <c r="C2138" t="inlineStr">
        <is>
          <t>0                      E  0846000S  38          2003</t>
        </is>
      </c>
      <c r="D2138" t="inlineStr">
        <is>
          <t>Lyndon Johnson and Europe : in the shadow of Vietnam / Thomas Alan Schwartz.</t>
        </is>
      </c>
      <c r="F2138" t="inlineStr">
        <is>
          <t>No</t>
        </is>
      </c>
      <c r="G2138" t="inlineStr">
        <is>
          <t>1</t>
        </is>
      </c>
      <c r="H2138" t="inlineStr">
        <is>
          <t>No</t>
        </is>
      </c>
      <c r="I2138" t="inlineStr">
        <is>
          <t>No</t>
        </is>
      </c>
      <c r="J2138" t="inlineStr">
        <is>
          <t>0</t>
        </is>
      </c>
      <c r="K2138" t="inlineStr">
        <is>
          <t>Schwartz, Thomas A. (Thomas Alan), 1954-</t>
        </is>
      </c>
      <c r="L2138" t="inlineStr">
        <is>
          <t>Cambridge : Harvard University Press, 2003.</t>
        </is>
      </c>
      <c r="M2138" t="inlineStr">
        <is>
          <t>2003</t>
        </is>
      </c>
      <c r="O2138" t="inlineStr">
        <is>
          <t>eng</t>
        </is>
      </c>
      <c r="P2138" t="inlineStr">
        <is>
          <t>mau</t>
        </is>
      </c>
      <c r="R2138" t="inlineStr">
        <is>
          <t xml:space="preserve">E  </t>
        </is>
      </c>
      <c r="S2138" t="n">
        <v>2</v>
      </c>
      <c r="T2138" t="n">
        <v>2</v>
      </c>
      <c r="U2138" t="inlineStr">
        <is>
          <t>2004-01-14</t>
        </is>
      </c>
      <c r="V2138" t="inlineStr">
        <is>
          <t>2004-01-14</t>
        </is>
      </c>
      <c r="W2138" t="inlineStr">
        <is>
          <t>2004-01-14</t>
        </is>
      </c>
      <c r="X2138" t="inlineStr">
        <is>
          <t>2004-01-14</t>
        </is>
      </c>
      <c r="Y2138" t="n">
        <v>653</v>
      </c>
      <c r="Z2138" t="n">
        <v>561</v>
      </c>
      <c r="AA2138" t="n">
        <v>569</v>
      </c>
      <c r="AB2138" t="n">
        <v>5</v>
      </c>
      <c r="AC2138" t="n">
        <v>5</v>
      </c>
      <c r="AD2138" t="n">
        <v>41</v>
      </c>
      <c r="AE2138" t="n">
        <v>41</v>
      </c>
      <c r="AF2138" t="n">
        <v>21</v>
      </c>
      <c r="AG2138" t="n">
        <v>21</v>
      </c>
      <c r="AH2138" t="n">
        <v>6</v>
      </c>
      <c r="AI2138" t="n">
        <v>6</v>
      </c>
      <c r="AJ2138" t="n">
        <v>19</v>
      </c>
      <c r="AK2138" t="n">
        <v>19</v>
      </c>
      <c r="AL2138" t="n">
        <v>4</v>
      </c>
      <c r="AM2138" t="n">
        <v>4</v>
      </c>
      <c r="AN2138" t="n">
        <v>0</v>
      </c>
      <c r="AO2138" t="n">
        <v>0</v>
      </c>
      <c r="AP2138" t="inlineStr">
        <is>
          <t>No</t>
        </is>
      </c>
      <c r="AQ2138" t="inlineStr">
        <is>
          <t>Yes</t>
        </is>
      </c>
      <c r="AR2138">
        <f>HYPERLINK("http://catalog.hathitrust.org/Record/004317847","HathiTrust Record")</f>
        <v/>
      </c>
      <c r="AS2138">
        <f>HYPERLINK("https://creighton-primo.hosted.exlibrisgroup.com/primo-explore/search?tab=default_tab&amp;search_scope=EVERYTHING&amp;vid=01CRU&amp;lang=en_US&amp;offset=0&amp;query=any,contains,991004205989702656","Catalog Record")</f>
        <v/>
      </c>
      <c r="AT2138">
        <f>HYPERLINK("http://www.worldcat.org/oclc/50919785","WorldCat Record")</f>
        <v/>
      </c>
      <c r="AU2138" t="inlineStr">
        <is>
          <t>796432526:eng</t>
        </is>
      </c>
      <c r="AV2138" t="inlineStr">
        <is>
          <t>50919785</t>
        </is>
      </c>
      <c r="AW2138" t="inlineStr">
        <is>
          <t>991004205989702656</t>
        </is>
      </c>
      <c r="AX2138" t="inlineStr">
        <is>
          <t>991004205989702656</t>
        </is>
      </c>
      <c r="AY2138" t="inlineStr">
        <is>
          <t>2266835650002656</t>
        </is>
      </c>
      <c r="AZ2138" t="inlineStr">
        <is>
          <t>BOOK</t>
        </is>
      </c>
      <c r="BB2138" t="inlineStr">
        <is>
          <t>9780674010741</t>
        </is>
      </c>
      <c r="BC2138" t="inlineStr">
        <is>
          <t>32285004634449</t>
        </is>
      </c>
      <c r="BD2138" t="inlineStr">
        <is>
          <t>893512954</t>
        </is>
      </c>
    </row>
    <row r="2139">
      <c r="A2139" t="inlineStr">
        <is>
          <t>No</t>
        </is>
      </c>
      <c r="B2139" t="inlineStr">
        <is>
          <t>E847 .C53 1986</t>
        </is>
      </c>
      <c r="C2139" t="inlineStr">
        <is>
          <t>0                      E  0847000C  53          1986</t>
        </is>
      </c>
      <c r="D2139" t="inlineStr">
        <is>
          <t>Big Daddy from the Pedernales : Lyndon Baines Johnson / Paul K. Conkin.</t>
        </is>
      </c>
      <c r="F2139" t="inlineStr">
        <is>
          <t>No</t>
        </is>
      </c>
      <c r="G2139" t="inlineStr">
        <is>
          <t>1</t>
        </is>
      </c>
      <c r="H2139" t="inlineStr">
        <is>
          <t>No</t>
        </is>
      </c>
      <c r="I2139" t="inlineStr">
        <is>
          <t>No</t>
        </is>
      </c>
      <c r="J2139" t="inlineStr">
        <is>
          <t>0</t>
        </is>
      </c>
      <c r="K2139" t="inlineStr">
        <is>
          <t>Conkin, Paul Keith.</t>
        </is>
      </c>
      <c r="L2139" t="inlineStr">
        <is>
          <t>Boston : Twayne Publishers, c1986.</t>
        </is>
      </c>
      <c r="M2139" t="inlineStr">
        <is>
          <t>1986</t>
        </is>
      </c>
      <c r="O2139" t="inlineStr">
        <is>
          <t>eng</t>
        </is>
      </c>
      <c r="P2139" t="inlineStr">
        <is>
          <t>mau</t>
        </is>
      </c>
      <c r="Q2139" t="inlineStr">
        <is>
          <t>Twayne's twentieth-century American biography series</t>
        </is>
      </c>
      <c r="R2139" t="inlineStr">
        <is>
          <t xml:space="preserve">E  </t>
        </is>
      </c>
      <c r="S2139" t="n">
        <v>9</v>
      </c>
      <c r="T2139" t="n">
        <v>9</v>
      </c>
      <c r="U2139" t="inlineStr">
        <is>
          <t>2002-04-11</t>
        </is>
      </c>
      <c r="V2139" t="inlineStr">
        <is>
          <t>2002-04-11</t>
        </is>
      </c>
      <c r="W2139" t="inlineStr">
        <is>
          <t>1990-04-10</t>
        </is>
      </c>
      <c r="X2139" t="inlineStr">
        <is>
          <t>1990-04-10</t>
        </is>
      </c>
      <c r="Y2139" t="n">
        <v>1274</v>
      </c>
      <c r="Z2139" t="n">
        <v>1189</v>
      </c>
      <c r="AA2139" t="n">
        <v>1202</v>
      </c>
      <c r="AB2139" t="n">
        <v>8</v>
      </c>
      <c r="AC2139" t="n">
        <v>8</v>
      </c>
      <c r="AD2139" t="n">
        <v>47</v>
      </c>
      <c r="AE2139" t="n">
        <v>47</v>
      </c>
      <c r="AF2139" t="n">
        <v>21</v>
      </c>
      <c r="AG2139" t="n">
        <v>21</v>
      </c>
      <c r="AH2139" t="n">
        <v>8</v>
      </c>
      <c r="AI2139" t="n">
        <v>8</v>
      </c>
      <c r="AJ2139" t="n">
        <v>22</v>
      </c>
      <c r="AK2139" t="n">
        <v>22</v>
      </c>
      <c r="AL2139" t="n">
        <v>7</v>
      </c>
      <c r="AM2139" t="n">
        <v>7</v>
      </c>
      <c r="AN2139" t="n">
        <v>0</v>
      </c>
      <c r="AO2139" t="n">
        <v>0</v>
      </c>
      <c r="AP2139" t="inlineStr">
        <is>
          <t>No</t>
        </is>
      </c>
      <c r="AQ2139" t="inlineStr">
        <is>
          <t>No</t>
        </is>
      </c>
      <c r="AS2139">
        <f>HYPERLINK("https://creighton-primo.hosted.exlibrisgroup.com/primo-explore/search?tab=default_tab&amp;search_scope=EVERYTHING&amp;vid=01CRU&amp;lang=en_US&amp;offset=0&amp;query=any,contains,991000858879702656","Catalog Record")</f>
        <v/>
      </c>
      <c r="AT2139">
        <f>HYPERLINK("http://www.worldcat.org/oclc/13668303","WorldCat Record")</f>
        <v/>
      </c>
      <c r="AU2139" t="inlineStr">
        <is>
          <t>522105278:eng</t>
        </is>
      </c>
      <c r="AV2139" t="inlineStr">
        <is>
          <t>13668303</t>
        </is>
      </c>
      <c r="AW2139" t="inlineStr">
        <is>
          <t>991000858879702656</t>
        </is>
      </c>
      <c r="AX2139" t="inlineStr">
        <is>
          <t>991000858879702656</t>
        </is>
      </c>
      <c r="AY2139" t="inlineStr">
        <is>
          <t>2264341220002656</t>
        </is>
      </c>
      <c r="AZ2139" t="inlineStr">
        <is>
          <t>BOOK</t>
        </is>
      </c>
      <c r="BB2139" t="inlineStr">
        <is>
          <t>9780805777628</t>
        </is>
      </c>
      <c r="BC2139" t="inlineStr">
        <is>
          <t>32285000113208</t>
        </is>
      </c>
      <c r="BD2139" t="inlineStr">
        <is>
          <t>893884823</t>
        </is>
      </c>
    </row>
    <row r="2140">
      <c r="A2140" t="inlineStr">
        <is>
          <t>No</t>
        </is>
      </c>
      <c r="B2140" t="inlineStr">
        <is>
          <t>E847 .R8</t>
        </is>
      </c>
      <c r="C2140" t="inlineStr">
        <is>
          <t>0                      E  0847000R  8</t>
        </is>
      </c>
      <c r="D2140" t="inlineStr">
        <is>
          <t>The compassionate Samaritan : the life of Lyndon Baines Johnson / Philip Reed Rulon.</t>
        </is>
      </c>
      <c r="F2140" t="inlineStr">
        <is>
          <t>No</t>
        </is>
      </c>
      <c r="G2140" t="inlineStr">
        <is>
          <t>1</t>
        </is>
      </c>
      <c r="H2140" t="inlineStr">
        <is>
          <t>No</t>
        </is>
      </c>
      <c r="I2140" t="inlineStr">
        <is>
          <t>No</t>
        </is>
      </c>
      <c r="J2140" t="inlineStr">
        <is>
          <t>0</t>
        </is>
      </c>
      <c r="K2140" t="inlineStr">
        <is>
          <t>Rulon, Philip Reed.</t>
        </is>
      </c>
      <c r="L2140" t="inlineStr">
        <is>
          <t>Chicago : Nelson-Hall, c1981.</t>
        </is>
      </c>
      <c r="M2140" t="inlineStr">
        <is>
          <t>1981</t>
        </is>
      </c>
      <c r="O2140" t="inlineStr">
        <is>
          <t>eng</t>
        </is>
      </c>
      <c r="P2140" t="inlineStr">
        <is>
          <t>ilu</t>
        </is>
      </c>
      <c r="R2140" t="inlineStr">
        <is>
          <t xml:space="preserve">E  </t>
        </is>
      </c>
      <c r="S2140" t="n">
        <v>7</v>
      </c>
      <c r="T2140" t="n">
        <v>7</v>
      </c>
      <c r="U2140" t="inlineStr">
        <is>
          <t>1993-11-23</t>
        </is>
      </c>
      <c r="V2140" t="inlineStr">
        <is>
          <t>1993-11-23</t>
        </is>
      </c>
      <c r="W2140" t="inlineStr">
        <is>
          <t>1991-06-21</t>
        </is>
      </c>
      <c r="X2140" t="inlineStr">
        <is>
          <t>1991-06-21</t>
        </is>
      </c>
      <c r="Y2140" t="n">
        <v>371</v>
      </c>
      <c r="Z2140" t="n">
        <v>340</v>
      </c>
      <c r="AA2140" t="n">
        <v>342</v>
      </c>
      <c r="AB2140" t="n">
        <v>3</v>
      </c>
      <c r="AC2140" t="n">
        <v>3</v>
      </c>
      <c r="AD2140" t="n">
        <v>13</v>
      </c>
      <c r="AE2140" t="n">
        <v>13</v>
      </c>
      <c r="AF2140" t="n">
        <v>5</v>
      </c>
      <c r="AG2140" t="n">
        <v>5</v>
      </c>
      <c r="AH2140" t="n">
        <v>3</v>
      </c>
      <c r="AI2140" t="n">
        <v>3</v>
      </c>
      <c r="AJ2140" t="n">
        <v>7</v>
      </c>
      <c r="AK2140" t="n">
        <v>7</v>
      </c>
      <c r="AL2140" t="n">
        <v>2</v>
      </c>
      <c r="AM2140" t="n">
        <v>2</v>
      </c>
      <c r="AN2140" t="n">
        <v>0</v>
      </c>
      <c r="AO2140" t="n">
        <v>0</v>
      </c>
      <c r="AP2140" t="inlineStr">
        <is>
          <t>No</t>
        </is>
      </c>
      <c r="AQ2140" t="inlineStr">
        <is>
          <t>Yes</t>
        </is>
      </c>
      <c r="AR2140">
        <f>HYPERLINK("http://catalog.hathitrust.org/Record/000144234","HathiTrust Record")</f>
        <v/>
      </c>
      <c r="AS2140">
        <f>HYPERLINK("https://creighton-primo.hosted.exlibrisgroup.com/primo-explore/search?tab=default_tab&amp;search_scope=EVERYTHING&amp;vid=01CRU&amp;lang=en_US&amp;offset=0&amp;query=any,contains,991005093009702656","Catalog Record")</f>
        <v/>
      </c>
      <c r="AT2140">
        <f>HYPERLINK("http://www.worldcat.org/oclc/7248756","WorldCat Record")</f>
        <v/>
      </c>
      <c r="AU2140" t="inlineStr">
        <is>
          <t>541322:eng</t>
        </is>
      </c>
      <c r="AV2140" t="inlineStr">
        <is>
          <t>7248756</t>
        </is>
      </c>
      <c r="AW2140" t="inlineStr">
        <is>
          <t>991005093009702656</t>
        </is>
      </c>
      <c r="AX2140" t="inlineStr">
        <is>
          <t>991005093009702656</t>
        </is>
      </c>
      <c r="AY2140" t="inlineStr">
        <is>
          <t>2267575510002656</t>
        </is>
      </c>
      <c r="AZ2140" t="inlineStr">
        <is>
          <t>BOOK</t>
        </is>
      </c>
      <c r="BB2140" t="inlineStr">
        <is>
          <t>9780882293066</t>
        </is>
      </c>
      <c r="BC2140" t="inlineStr">
        <is>
          <t>32285000671007</t>
        </is>
      </c>
      <c r="BD2140" t="inlineStr">
        <is>
          <t>893783007</t>
        </is>
      </c>
    </row>
    <row r="2141">
      <c r="A2141" t="inlineStr">
        <is>
          <t>No</t>
        </is>
      </c>
      <c r="B2141" t="inlineStr">
        <is>
          <t>E847 .S48 1968</t>
        </is>
      </c>
      <c r="C2141" t="inlineStr">
        <is>
          <t>0                      E  0847000S  48          1968</t>
        </is>
      </c>
      <c r="D2141" t="inlineStr">
        <is>
          <t>A very personal Presidency : Lyndon Johnson in the White House.</t>
        </is>
      </c>
      <c r="F2141" t="inlineStr">
        <is>
          <t>No</t>
        </is>
      </c>
      <c r="G2141" t="inlineStr">
        <is>
          <t>1</t>
        </is>
      </c>
      <c r="H2141" t="inlineStr">
        <is>
          <t>No</t>
        </is>
      </c>
      <c r="I2141" t="inlineStr">
        <is>
          <t>No</t>
        </is>
      </c>
      <c r="J2141" t="inlineStr">
        <is>
          <t>0</t>
        </is>
      </c>
      <c r="K2141" t="inlineStr">
        <is>
          <t>Sidey, Hugh.</t>
        </is>
      </c>
      <c r="L2141" t="inlineStr">
        <is>
          <t>New York : Atheneum, 1968.</t>
        </is>
      </c>
      <c r="M2141" t="inlineStr">
        <is>
          <t>1968</t>
        </is>
      </c>
      <c r="N2141" t="inlineStr">
        <is>
          <t>[1st ed.]</t>
        </is>
      </c>
      <c r="O2141" t="inlineStr">
        <is>
          <t>eng</t>
        </is>
      </c>
      <c r="P2141" t="inlineStr">
        <is>
          <t>nyu</t>
        </is>
      </c>
      <c r="R2141" t="inlineStr">
        <is>
          <t xml:space="preserve">E  </t>
        </is>
      </c>
      <c r="S2141" t="n">
        <v>5</v>
      </c>
      <c r="T2141" t="n">
        <v>5</v>
      </c>
      <c r="U2141" t="inlineStr">
        <is>
          <t>2002-03-27</t>
        </is>
      </c>
      <c r="V2141" t="inlineStr">
        <is>
          <t>2002-03-27</t>
        </is>
      </c>
      <c r="W2141" t="inlineStr">
        <is>
          <t>1990-04-12</t>
        </is>
      </c>
      <c r="X2141" t="inlineStr">
        <is>
          <t>1990-04-12</t>
        </is>
      </c>
      <c r="Y2141" t="n">
        <v>833</v>
      </c>
      <c r="Z2141" t="n">
        <v>783</v>
      </c>
      <c r="AA2141" t="n">
        <v>805</v>
      </c>
      <c r="AB2141" t="n">
        <v>11</v>
      </c>
      <c r="AC2141" t="n">
        <v>11</v>
      </c>
      <c r="AD2141" t="n">
        <v>27</v>
      </c>
      <c r="AE2141" t="n">
        <v>28</v>
      </c>
      <c r="AF2141" t="n">
        <v>9</v>
      </c>
      <c r="AG2141" t="n">
        <v>10</v>
      </c>
      <c r="AH2141" t="n">
        <v>4</v>
      </c>
      <c r="AI2141" t="n">
        <v>5</v>
      </c>
      <c r="AJ2141" t="n">
        <v>12</v>
      </c>
      <c r="AK2141" t="n">
        <v>12</v>
      </c>
      <c r="AL2141" t="n">
        <v>6</v>
      </c>
      <c r="AM2141" t="n">
        <v>6</v>
      </c>
      <c r="AN2141" t="n">
        <v>0</v>
      </c>
      <c r="AO2141" t="n">
        <v>0</v>
      </c>
      <c r="AP2141" t="inlineStr">
        <is>
          <t>No</t>
        </is>
      </c>
      <c r="AQ2141" t="inlineStr">
        <is>
          <t>Yes</t>
        </is>
      </c>
      <c r="AR2141">
        <f>HYPERLINK("http://catalog.hathitrust.org/Record/000006050","HathiTrust Record")</f>
        <v/>
      </c>
      <c r="AS2141">
        <f>HYPERLINK("https://creighton-primo.hosted.exlibrisgroup.com/primo-explore/search?tab=default_tab&amp;search_scope=EVERYTHING&amp;vid=01CRU&amp;lang=en_US&amp;offset=0&amp;query=any,contains,991002771839702656","Catalog Record")</f>
        <v/>
      </c>
      <c r="AT2141">
        <f>HYPERLINK("http://www.worldcat.org/oclc/437293","WorldCat Record")</f>
        <v/>
      </c>
      <c r="AU2141" t="inlineStr">
        <is>
          <t>1211984:eng</t>
        </is>
      </c>
      <c r="AV2141" t="inlineStr">
        <is>
          <t>437293</t>
        </is>
      </c>
      <c r="AW2141" t="inlineStr">
        <is>
          <t>991002771839702656</t>
        </is>
      </c>
      <c r="AX2141" t="inlineStr">
        <is>
          <t>991002771839702656</t>
        </is>
      </c>
      <c r="AY2141" t="inlineStr">
        <is>
          <t>2267859260002656</t>
        </is>
      </c>
      <c r="AZ2141" t="inlineStr">
        <is>
          <t>BOOK</t>
        </is>
      </c>
      <c r="BC2141" t="inlineStr">
        <is>
          <t>32285000115286</t>
        </is>
      </c>
      <c r="BD2141" t="inlineStr">
        <is>
          <t>893245614</t>
        </is>
      </c>
    </row>
    <row r="2142">
      <c r="A2142" t="inlineStr">
        <is>
          <t>No</t>
        </is>
      </c>
      <c r="B2142" t="inlineStr">
        <is>
          <t>E848 .H3</t>
        </is>
      </c>
      <c r="C2142" t="inlineStr">
        <is>
          <t>0                      E  0848000H  3</t>
        </is>
      </c>
      <c r="D2142" t="inlineStr">
        <is>
          <t>Lady Bird and her daughters / by Gordon Langley Hall.</t>
        </is>
      </c>
      <c r="F2142" t="inlineStr">
        <is>
          <t>No</t>
        </is>
      </c>
      <c r="G2142" t="inlineStr">
        <is>
          <t>1</t>
        </is>
      </c>
      <c r="H2142" t="inlineStr">
        <is>
          <t>No</t>
        </is>
      </c>
      <c r="I2142" t="inlineStr">
        <is>
          <t>No</t>
        </is>
      </c>
      <c r="J2142" t="inlineStr">
        <is>
          <t>0</t>
        </is>
      </c>
      <c r="K2142" t="inlineStr">
        <is>
          <t>Simmons, Dawn Langley.</t>
        </is>
      </c>
      <c r="L2142" t="inlineStr">
        <is>
          <t>Philadelphia : M. Smith Co., [1967]</t>
        </is>
      </c>
      <c r="M2142" t="inlineStr">
        <is>
          <t>1967</t>
        </is>
      </c>
      <c r="O2142" t="inlineStr">
        <is>
          <t>eng</t>
        </is>
      </c>
      <c r="P2142" t="inlineStr">
        <is>
          <t>pau</t>
        </is>
      </c>
      <c r="R2142" t="inlineStr">
        <is>
          <t xml:space="preserve">E  </t>
        </is>
      </c>
      <c r="S2142" t="n">
        <v>2</v>
      </c>
      <c r="T2142" t="n">
        <v>2</v>
      </c>
      <c r="U2142" t="inlineStr">
        <is>
          <t>1993-02-02</t>
        </is>
      </c>
      <c r="V2142" t="inlineStr">
        <is>
          <t>1993-02-02</t>
        </is>
      </c>
      <c r="W2142" t="inlineStr">
        <is>
          <t>1992-02-11</t>
        </is>
      </c>
      <c r="X2142" t="inlineStr">
        <is>
          <t>1992-02-11</t>
        </is>
      </c>
      <c r="Y2142" t="n">
        <v>245</v>
      </c>
      <c r="Z2142" t="n">
        <v>244</v>
      </c>
      <c r="AA2142" t="n">
        <v>250</v>
      </c>
      <c r="AB2142" t="n">
        <v>1</v>
      </c>
      <c r="AC2142" t="n">
        <v>1</v>
      </c>
      <c r="AD2142" t="n">
        <v>0</v>
      </c>
      <c r="AE2142" t="n">
        <v>0</v>
      </c>
      <c r="AF2142" t="n">
        <v>0</v>
      </c>
      <c r="AG2142" t="n">
        <v>0</v>
      </c>
      <c r="AH2142" t="n">
        <v>0</v>
      </c>
      <c r="AI2142" t="n">
        <v>0</v>
      </c>
      <c r="AJ2142" t="n">
        <v>0</v>
      </c>
      <c r="AK2142" t="n">
        <v>0</v>
      </c>
      <c r="AL2142" t="n">
        <v>0</v>
      </c>
      <c r="AM2142" t="n">
        <v>0</v>
      </c>
      <c r="AN2142" t="n">
        <v>0</v>
      </c>
      <c r="AO2142" t="n">
        <v>0</v>
      </c>
      <c r="AP2142" t="inlineStr">
        <is>
          <t>No</t>
        </is>
      </c>
      <c r="AQ2142" t="inlineStr">
        <is>
          <t>Yes</t>
        </is>
      </c>
      <c r="AR2142">
        <f>HYPERLINK("http://catalog.hathitrust.org/Record/009518291","HathiTrust Record")</f>
        <v/>
      </c>
      <c r="AS2142">
        <f>HYPERLINK("https://creighton-primo.hosted.exlibrisgroup.com/primo-explore/search?tab=default_tab&amp;search_scope=EVERYTHING&amp;vid=01CRU&amp;lang=en_US&amp;offset=0&amp;query=any,contains,991003377649702656","Catalog Record")</f>
        <v/>
      </c>
      <c r="AT2142">
        <f>HYPERLINK("http://www.worldcat.org/oclc/914330","WorldCat Record")</f>
        <v/>
      </c>
      <c r="AU2142" t="inlineStr">
        <is>
          <t>1854372:eng</t>
        </is>
      </c>
      <c r="AV2142" t="inlineStr">
        <is>
          <t>914330</t>
        </is>
      </c>
      <c r="AW2142" t="inlineStr">
        <is>
          <t>991003377649702656</t>
        </is>
      </c>
      <c r="AX2142" t="inlineStr">
        <is>
          <t>991003377649702656</t>
        </is>
      </c>
      <c r="AY2142" t="inlineStr">
        <is>
          <t>2262693300002656</t>
        </is>
      </c>
      <c r="AZ2142" t="inlineStr">
        <is>
          <t>BOOK</t>
        </is>
      </c>
      <c r="BC2142" t="inlineStr">
        <is>
          <t>32285000955400</t>
        </is>
      </c>
      <c r="BD2142" t="inlineStr">
        <is>
          <t>893711325</t>
        </is>
      </c>
    </row>
    <row r="2143">
      <c r="A2143" t="inlineStr">
        <is>
          <t>No</t>
        </is>
      </c>
      <c r="B2143" t="inlineStr">
        <is>
          <t>E848.J64 R87 1999</t>
        </is>
      </c>
      <c r="C2143" t="inlineStr">
        <is>
          <t>0                      E  0848000J  64                 R  87          1999</t>
        </is>
      </c>
      <c r="D2143" t="inlineStr">
        <is>
          <t>Lady Bird : a biography of Mrs. Johnson / Jan Jarboe Russell.</t>
        </is>
      </c>
      <c r="F2143" t="inlineStr">
        <is>
          <t>No</t>
        </is>
      </c>
      <c r="G2143" t="inlineStr">
        <is>
          <t>1</t>
        </is>
      </c>
      <c r="H2143" t="inlineStr">
        <is>
          <t>No</t>
        </is>
      </c>
      <c r="I2143" t="inlineStr">
        <is>
          <t>No</t>
        </is>
      </c>
      <c r="J2143" t="inlineStr">
        <is>
          <t>0</t>
        </is>
      </c>
      <c r="K2143" t="inlineStr">
        <is>
          <t>Russell, Jan Jarboe, 1951-</t>
        </is>
      </c>
      <c r="L2143" t="inlineStr">
        <is>
          <t>New York : Scribner, c1999.</t>
        </is>
      </c>
      <c r="M2143" t="inlineStr">
        <is>
          <t>1999</t>
        </is>
      </c>
      <c r="O2143" t="inlineStr">
        <is>
          <t>eng</t>
        </is>
      </c>
      <c r="P2143" t="inlineStr">
        <is>
          <t>nyu</t>
        </is>
      </c>
      <c r="R2143" t="inlineStr">
        <is>
          <t xml:space="preserve">E  </t>
        </is>
      </c>
      <c r="S2143" t="n">
        <v>1</v>
      </c>
      <c r="T2143" t="n">
        <v>1</v>
      </c>
      <c r="U2143" t="inlineStr">
        <is>
          <t>2001-02-14</t>
        </is>
      </c>
      <c r="V2143" t="inlineStr">
        <is>
          <t>2001-02-14</t>
        </is>
      </c>
      <c r="W2143" t="inlineStr">
        <is>
          <t>1999-10-25</t>
        </is>
      </c>
      <c r="X2143" t="inlineStr">
        <is>
          <t>1999-10-25</t>
        </is>
      </c>
      <c r="Y2143" t="n">
        <v>1435</v>
      </c>
      <c r="Z2143" t="n">
        <v>1397</v>
      </c>
      <c r="AA2143" t="n">
        <v>1547</v>
      </c>
      <c r="AB2143" t="n">
        <v>8</v>
      </c>
      <c r="AC2143" t="n">
        <v>10</v>
      </c>
      <c r="AD2143" t="n">
        <v>16</v>
      </c>
      <c r="AE2143" t="n">
        <v>16</v>
      </c>
      <c r="AF2143" t="n">
        <v>5</v>
      </c>
      <c r="AG2143" t="n">
        <v>5</v>
      </c>
      <c r="AH2143" t="n">
        <v>3</v>
      </c>
      <c r="AI2143" t="n">
        <v>3</v>
      </c>
      <c r="AJ2143" t="n">
        <v>11</v>
      </c>
      <c r="AK2143" t="n">
        <v>11</v>
      </c>
      <c r="AL2143" t="n">
        <v>2</v>
      </c>
      <c r="AM2143" t="n">
        <v>2</v>
      </c>
      <c r="AN2143" t="n">
        <v>0</v>
      </c>
      <c r="AO2143" t="n">
        <v>0</v>
      </c>
      <c r="AP2143" t="inlineStr">
        <is>
          <t>No</t>
        </is>
      </c>
      <c r="AQ2143" t="inlineStr">
        <is>
          <t>Yes</t>
        </is>
      </c>
      <c r="AR2143">
        <f>HYPERLINK("http://catalog.hathitrust.org/Record/004043230","HathiTrust Record")</f>
        <v/>
      </c>
      <c r="AS2143">
        <f>HYPERLINK("https://creighton-primo.hosted.exlibrisgroup.com/primo-explore/search?tab=default_tab&amp;search_scope=EVERYTHING&amp;vid=01CRU&amp;lang=en_US&amp;offset=0&amp;query=any,contains,991003021949702656","Catalog Record")</f>
        <v/>
      </c>
      <c r="AT2143">
        <f>HYPERLINK("http://www.worldcat.org/oclc/41211462","WorldCat Record")</f>
        <v/>
      </c>
      <c r="AU2143" t="inlineStr">
        <is>
          <t>836976230:eng</t>
        </is>
      </c>
      <c r="AV2143" t="inlineStr">
        <is>
          <t>41211462</t>
        </is>
      </c>
      <c r="AW2143" t="inlineStr">
        <is>
          <t>991003021949702656</t>
        </is>
      </c>
      <c r="AX2143" t="inlineStr">
        <is>
          <t>991003021949702656</t>
        </is>
      </c>
      <c r="AY2143" t="inlineStr">
        <is>
          <t>2259962390002656</t>
        </is>
      </c>
      <c r="AZ2143" t="inlineStr">
        <is>
          <t>BOOK</t>
        </is>
      </c>
      <c r="BB2143" t="inlineStr">
        <is>
          <t>9780684814803</t>
        </is>
      </c>
      <c r="BC2143" t="inlineStr">
        <is>
          <t>32285003613071</t>
        </is>
      </c>
      <c r="BD2143" t="inlineStr">
        <is>
          <t>893893298</t>
        </is>
      </c>
    </row>
    <row r="2144">
      <c r="A2144" t="inlineStr">
        <is>
          <t>No</t>
        </is>
      </c>
      <c r="B2144" t="inlineStr">
        <is>
          <t>E850 .W5 1964</t>
        </is>
      </c>
      <c r="C2144" t="inlineStr">
        <is>
          <t>0                      E  0850000W  5           1964</t>
        </is>
      </c>
      <c r="D2144" t="inlineStr">
        <is>
          <t>The making of the President, 1964 / [by] Theodore H. White.</t>
        </is>
      </c>
      <c r="F2144" t="inlineStr">
        <is>
          <t>No</t>
        </is>
      </c>
      <c r="G2144" t="inlineStr">
        <is>
          <t>1</t>
        </is>
      </c>
      <c r="H2144" t="inlineStr">
        <is>
          <t>No</t>
        </is>
      </c>
      <c r="I2144" t="inlineStr">
        <is>
          <t>No</t>
        </is>
      </c>
      <c r="J2144" t="inlineStr">
        <is>
          <t>0</t>
        </is>
      </c>
      <c r="K2144" t="inlineStr">
        <is>
          <t>White, Theodore H. (Theodore Harold), 1915-1986.</t>
        </is>
      </c>
      <c r="L2144" t="inlineStr">
        <is>
          <t>New York : Atheneum Publishers, 1965.</t>
        </is>
      </c>
      <c r="M2144" t="inlineStr">
        <is>
          <t>1965</t>
        </is>
      </c>
      <c r="N2144" t="inlineStr">
        <is>
          <t>[1st ed.]</t>
        </is>
      </c>
      <c r="O2144" t="inlineStr">
        <is>
          <t>eng</t>
        </is>
      </c>
      <c r="P2144" t="inlineStr">
        <is>
          <t>nyu</t>
        </is>
      </c>
      <c r="R2144" t="inlineStr">
        <is>
          <t xml:space="preserve">E  </t>
        </is>
      </c>
      <c r="S2144" t="n">
        <v>7</v>
      </c>
      <c r="T2144" t="n">
        <v>7</v>
      </c>
      <c r="U2144" t="inlineStr">
        <is>
          <t>2003-05-08</t>
        </is>
      </c>
      <c r="V2144" t="inlineStr">
        <is>
          <t>2003-05-08</t>
        </is>
      </c>
      <c r="W2144" t="inlineStr">
        <is>
          <t>1990-03-26</t>
        </is>
      </c>
      <c r="X2144" t="inlineStr">
        <is>
          <t>1990-03-26</t>
        </is>
      </c>
      <c r="Y2144" t="n">
        <v>2434</v>
      </c>
      <c r="Z2144" t="n">
        <v>2289</v>
      </c>
      <c r="AA2144" t="n">
        <v>2669</v>
      </c>
      <c r="AB2144" t="n">
        <v>26</v>
      </c>
      <c r="AC2144" t="n">
        <v>27</v>
      </c>
      <c r="AD2144" t="n">
        <v>58</v>
      </c>
      <c r="AE2144" t="n">
        <v>65</v>
      </c>
      <c r="AF2144" t="n">
        <v>21</v>
      </c>
      <c r="AG2144" t="n">
        <v>24</v>
      </c>
      <c r="AH2144" t="n">
        <v>9</v>
      </c>
      <c r="AI2144" t="n">
        <v>9</v>
      </c>
      <c r="AJ2144" t="n">
        <v>23</v>
      </c>
      <c r="AK2144" t="n">
        <v>26</v>
      </c>
      <c r="AL2144" t="n">
        <v>15</v>
      </c>
      <c r="AM2144" t="n">
        <v>15</v>
      </c>
      <c r="AN2144" t="n">
        <v>2</v>
      </c>
      <c r="AO2144" t="n">
        <v>4</v>
      </c>
      <c r="AP2144" t="inlineStr">
        <is>
          <t>No</t>
        </is>
      </c>
      <c r="AQ2144" t="inlineStr">
        <is>
          <t>Yes</t>
        </is>
      </c>
      <c r="AR2144">
        <f>HYPERLINK("http://catalog.hathitrust.org/Record/000579504","HathiTrust Record")</f>
        <v/>
      </c>
      <c r="AS2144">
        <f>HYPERLINK("https://creighton-primo.hosted.exlibrisgroup.com/primo-explore/search?tab=default_tab&amp;search_scope=EVERYTHING&amp;vid=01CRU&amp;lang=en_US&amp;offset=0&amp;query=any,contains,991002452099702656","Catalog Record")</f>
        <v/>
      </c>
      <c r="AT2144">
        <f>HYPERLINK("http://www.worldcat.org/oclc/353081","WorldCat Record")</f>
        <v/>
      </c>
      <c r="AU2144" t="inlineStr">
        <is>
          <t>4202337364:eng</t>
        </is>
      </c>
      <c r="AV2144" t="inlineStr">
        <is>
          <t>353081</t>
        </is>
      </c>
      <c r="AW2144" t="inlineStr">
        <is>
          <t>991002452099702656</t>
        </is>
      </c>
      <c r="AX2144" t="inlineStr">
        <is>
          <t>991002452099702656</t>
        </is>
      </c>
      <c r="AY2144" t="inlineStr">
        <is>
          <t>2267979650002656</t>
        </is>
      </c>
      <c r="AZ2144" t="inlineStr">
        <is>
          <t>BOOK</t>
        </is>
      </c>
      <c r="BC2144" t="inlineStr">
        <is>
          <t>32285000093228</t>
        </is>
      </c>
      <c r="BD2144" t="inlineStr">
        <is>
          <t>893445169</t>
        </is>
      </c>
    </row>
    <row r="2145">
      <c r="A2145" t="inlineStr">
        <is>
          <t>No</t>
        </is>
      </c>
      <c r="B2145" t="inlineStr">
        <is>
          <t>E855 .A85 1994</t>
        </is>
      </c>
      <c r="C2145" t="inlineStr">
        <is>
          <t>0                      E  0855000A  85          1994</t>
        </is>
      </c>
      <c r="D2145" t="inlineStr">
        <is>
          <t>Kissinger and Brzezinski : the NSC and the struggle for control of US national security policy / Gerry Argyris Andrianopoulos.</t>
        </is>
      </c>
      <c r="F2145" t="inlineStr">
        <is>
          <t>No</t>
        </is>
      </c>
      <c r="G2145" t="inlineStr">
        <is>
          <t>1</t>
        </is>
      </c>
      <c r="H2145" t="inlineStr">
        <is>
          <t>No</t>
        </is>
      </c>
      <c r="I2145" t="inlineStr">
        <is>
          <t>No</t>
        </is>
      </c>
      <c r="J2145" t="inlineStr">
        <is>
          <t>0</t>
        </is>
      </c>
      <c r="K2145" t="inlineStr">
        <is>
          <t>Andrianopoulos, Gerry Argyris, 1954-</t>
        </is>
      </c>
      <c r="L2145" t="inlineStr">
        <is>
          <t>London : Macmillan, 1994.</t>
        </is>
      </c>
      <c r="M2145" t="inlineStr">
        <is>
          <t>1994</t>
        </is>
      </c>
      <c r="O2145" t="inlineStr">
        <is>
          <t>eng</t>
        </is>
      </c>
      <c r="P2145" t="inlineStr">
        <is>
          <t>enk</t>
        </is>
      </c>
      <c r="R2145" t="inlineStr">
        <is>
          <t xml:space="preserve">E  </t>
        </is>
      </c>
      <c r="S2145" t="n">
        <v>3</v>
      </c>
      <c r="T2145" t="n">
        <v>3</v>
      </c>
      <c r="U2145" t="inlineStr">
        <is>
          <t>2002-12-20</t>
        </is>
      </c>
      <c r="V2145" t="inlineStr">
        <is>
          <t>2002-12-20</t>
        </is>
      </c>
      <c r="W2145" t="inlineStr">
        <is>
          <t>1995-06-06</t>
        </is>
      </c>
      <c r="X2145" t="inlineStr">
        <is>
          <t>1995-06-06</t>
        </is>
      </c>
      <c r="Y2145" t="n">
        <v>85</v>
      </c>
      <c r="Z2145" t="n">
        <v>46</v>
      </c>
      <c r="AA2145" t="n">
        <v>252</v>
      </c>
      <c r="AB2145" t="n">
        <v>1</v>
      </c>
      <c r="AC2145" t="n">
        <v>1</v>
      </c>
      <c r="AD2145" t="n">
        <v>1</v>
      </c>
      <c r="AE2145" t="n">
        <v>12</v>
      </c>
      <c r="AF2145" t="n">
        <v>1</v>
      </c>
      <c r="AG2145" t="n">
        <v>3</v>
      </c>
      <c r="AH2145" t="n">
        <v>1</v>
      </c>
      <c r="AI2145" t="n">
        <v>7</v>
      </c>
      <c r="AJ2145" t="n">
        <v>0</v>
      </c>
      <c r="AK2145" t="n">
        <v>6</v>
      </c>
      <c r="AL2145" t="n">
        <v>0</v>
      </c>
      <c r="AM2145" t="n">
        <v>0</v>
      </c>
      <c r="AN2145" t="n">
        <v>0</v>
      </c>
      <c r="AO2145" t="n">
        <v>0</v>
      </c>
      <c r="AP2145" t="inlineStr">
        <is>
          <t>No</t>
        </is>
      </c>
      <c r="AQ2145" t="inlineStr">
        <is>
          <t>Yes</t>
        </is>
      </c>
      <c r="AR2145">
        <f>HYPERLINK("http://catalog.hathitrust.org/Record/008318919","HathiTrust Record")</f>
        <v/>
      </c>
      <c r="AS2145">
        <f>HYPERLINK("https://creighton-primo.hosted.exlibrisgroup.com/primo-explore/search?tab=default_tab&amp;search_scope=EVERYTHING&amp;vid=01CRU&amp;lang=en_US&amp;offset=0&amp;query=any,contains,991001735359702656","Catalog Record")</f>
        <v/>
      </c>
      <c r="AT2145">
        <f>HYPERLINK("http://www.worldcat.org/oclc/21971161","WorldCat Record")</f>
        <v/>
      </c>
      <c r="AU2145" t="inlineStr">
        <is>
          <t>23235903:eng</t>
        </is>
      </c>
      <c r="AV2145" t="inlineStr">
        <is>
          <t>21971161</t>
        </is>
      </c>
      <c r="AW2145" t="inlineStr">
        <is>
          <t>991001735359702656</t>
        </is>
      </c>
      <c r="AX2145" t="inlineStr">
        <is>
          <t>991001735359702656</t>
        </is>
      </c>
      <c r="AY2145" t="inlineStr">
        <is>
          <t>2267840770002656</t>
        </is>
      </c>
      <c r="AZ2145" t="inlineStr">
        <is>
          <t>BOOK</t>
        </is>
      </c>
      <c r="BB2145" t="inlineStr">
        <is>
          <t>9780333496077</t>
        </is>
      </c>
      <c r="BC2145" t="inlineStr">
        <is>
          <t>32285002050275</t>
        </is>
      </c>
      <c r="BD2145" t="inlineStr">
        <is>
          <t>893690850</t>
        </is>
      </c>
    </row>
    <row r="2146">
      <c r="A2146" t="inlineStr">
        <is>
          <t>No</t>
        </is>
      </c>
      <c r="B2146" t="inlineStr">
        <is>
          <t>E855 .B76</t>
        </is>
      </c>
      <c r="C2146" t="inlineStr">
        <is>
          <t>0                      E  0855000B  76</t>
        </is>
      </c>
      <c r="D2146" t="inlineStr">
        <is>
          <t>The crises of power : an interpretation of United States foreign policy during the Kissinger Years / by Seyom Brown.</t>
        </is>
      </c>
      <c r="F2146" t="inlineStr">
        <is>
          <t>No</t>
        </is>
      </c>
      <c r="G2146" t="inlineStr">
        <is>
          <t>1</t>
        </is>
      </c>
      <c r="H2146" t="inlineStr">
        <is>
          <t>No</t>
        </is>
      </c>
      <c r="I2146" t="inlineStr">
        <is>
          <t>No</t>
        </is>
      </c>
      <c r="J2146" t="inlineStr">
        <is>
          <t>0</t>
        </is>
      </c>
      <c r="K2146" t="inlineStr">
        <is>
          <t>Brown, Seyom.</t>
        </is>
      </c>
      <c r="L2146" t="inlineStr">
        <is>
          <t>New York : Columbia University Press, 1979.</t>
        </is>
      </c>
      <c r="M2146" t="inlineStr">
        <is>
          <t>1979</t>
        </is>
      </c>
      <c r="O2146" t="inlineStr">
        <is>
          <t>eng</t>
        </is>
      </c>
      <c r="P2146" t="inlineStr">
        <is>
          <t>nyu</t>
        </is>
      </c>
      <c r="R2146" t="inlineStr">
        <is>
          <t xml:space="preserve">E  </t>
        </is>
      </c>
      <c r="S2146" t="n">
        <v>2</v>
      </c>
      <c r="T2146" t="n">
        <v>2</v>
      </c>
      <c r="U2146" t="inlineStr">
        <is>
          <t>1993-03-04</t>
        </is>
      </c>
      <c r="V2146" t="inlineStr">
        <is>
          <t>1993-03-04</t>
        </is>
      </c>
      <c r="W2146" t="inlineStr">
        <is>
          <t>1991-06-21</t>
        </is>
      </c>
      <c r="X2146" t="inlineStr">
        <is>
          <t>1991-06-21</t>
        </is>
      </c>
      <c r="Y2146" t="n">
        <v>1282</v>
      </c>
      <c r="Z2146" t="n">
        <v>1103</v>
      </c>
      <c r="AA2146" t="n">
        <v>1109</v>
      </c>
      <c r="AB2146" t="n">
        <v>8</v>
      </c>
      <c r="AC2146" t="n">
        <v>8</v>
      </c>
      <c r="AD2146" t="n">
        <v>44</v>
      </c>
      <c r="AE2146" t="n">
        <v>44</v>
      </c>
      <c r="AF2146" t="n">
        <v>15</v>
      </c>
      <c r="AG2146" t="n">
        <v>15</v>
      </c>
      <c r="AH2146" t="n">
        <v>11</v>
      </c>
      <c r="AI2146" t="n">
        <v>11</v>
      </c>
      <c r="AJ2146" t="n">
        <v>16</v>
      </c>
      <c r="AK2146" t="n">
        <v>16</v>
      </c>
      <c r="AL2146" t="n">
        <v>7</v>
      </c>
      <c r="AM2146" t="n">
        <v>7</v>
      </c>
      <c r="AN2146" t="n">
        <v>6</v>
      </c>
      <c r="AO2146" t="n">
        <v>6</v>
      </c>
      <c r="AP2146" t="inlineStr">
        <is>
          <t>No</t>
        </is>
      </c>
      <c r="AQ2146" t="inlineStr">
        <is>
          <t>Yes</t>
        </is>
      </c>
      <c r="AR2146">
        <f>HYPERLINK("http://catalog.hathitrust.org/Record/000303409","HathiTrust Record")</f>
        <v/>
      </c>
      <c r="AS2146">
        <f>HYPERLINK("https://creighton-primo.hosted.exlibrisgroup.com/primo-explore/search?tab=default_tab&amp;search_scope=EVERYTHING&amp;vid=01CRU&amp;lang=en_US&amp;offset=0&amp;query=any,contains,991004776389702656","Catalog Record")</f>
        <v/>
      </c>
      <c r="AT2146">
        <f>HYPERLINK("http://www.worldcat.org/oclc/5101362","WorldCat Record")</f>
        <v/>
      </c>
      <c r="AU2146" t="inlineStr">
        <is>
          <t>420041:eng</t>
        </is>
      </c>
      <c r="AV2146" t="inlineStr">
        <is>
          <t>5101362</t>
        </is>
      </c>
      <c r="AW2146" t="inlineStr">
        <is>
          <t>991004776389702656</t>
        </is>
      </c>
      <c r="AX2146" t="inlineStr">
        <is>
          <t>991004776389702656</t>
        </is>
      </c>
      <c r="AY2146" t="inlineStr">
        <is>
          <t>2259265280002656</t>
        </is>
      </c>
      <c r="AZ2146" t="inlineStr">
        <is>
          <t>BOOK</t>
        </is>
      </c>
      <c r="BB2146" t="inlineStr">
        <is>
          <t>9780231042642</t>
        </is>
      </c>
      <c r="BC2146" t="inlineStr">
        <is>
          <t>32285000671031</t>
        </is>
      </c>
      <c r="BD2146" t="inlineStr">
        <is>
          <t>893520038</t>
        </is>
      </c>
    </row>
    <row r="2147">
      <c r="A2147" t="inlineStr">
        <is>
          <t>No</t>
        </is>
      </c>
      <c r="B2147" t="inlineStr">
        <is>
          <t>E855 .H63 1984</t>
        </is>
      </c>
      <c r="C2147" t="inlineStr">
        <is>
          <t>0                      E  0855000H  63          1984</t>
        </is>
      </c>
      <c r="D2147" t="inlineStr">
        <is>
          <t>American leadership in world affairs : Vietnam and the breakdown of consensus / Ole R. Holsti and James N. Rosenau.</t>
        </is>
      </c>
      <c r="F2147" t="inlineStr">
        <is>
          <t>No</t>
        </is>
      </c>
      <c r="G2147" t="inlineStr">
        <is>
          <t>1</t>
        </is>
      </c>
      <c r="H2147" t="inlineStr">
        <is>
          <t>No</t>
        </is>
      </c>
      <c r="I2147" t="inlineStr">
        <is>
          <t>No</t>
        </is>
      </c>
      <c r="J2147" t="inlineStr">
        <is>
          <t>0</t>
        </is>
      </c>
      <c r="K2147" t="inlineStr">
        <is>
          <t>Holsti, Ole R.</t>
        </is>
      </c>
      <c r="L2147" t="inlineStr">
        <is>
          <t>Boston : Allen &amp; Unwin, 1984.</t>
        </is>
      </c>
      <c r="M2147" t="inlineStr">
        <is>
          <t>1984</t>
        </is>
      </c>
      <c r="O2147" t="inlineStr">
        <is>
          <t>eng</t>
        </is>
      </c>
      <c r="P2147" t="inlineStr">
        <is>
          <t>mau</t>
        </is>
      </c>
      <c r="R2147" t="inlineStr">
        <is>
          <t xml:space="preserve">E  </t>
        </is>
      </c>
      <c r="S2147" t="n">
        <v>6</v>
      </c>
      <c r="T2147" t="n">
        <v>6</v>
      </c>
      <c r="U2147" t="inlineStr">
        <is>
          <t>1999-11-16</t>
        </is>
      </c>
      <c r="V2147" t="inlineStr">
        <is>
          <t>1999-11-16</t>
        </is>
      </c>
      <c r="W2147" t="inlineStr">
        <is>
          <t>1991-06-21</t>
        </is>
      </c>
      <c r="X2147" t="inlineStr">
        <is>
          <t>1991-06-21</t>
        </is>
      </c>
      <c r="Y2147" t="n">
        <v>548</v>
      </c>
      <c r="Z2147" t="n">
        <v>401</v>
      </c>
      <c r="AA2147" t="n">
        <v>413</v>
      </c>
      <c r="AB2147" t="n">
        <v>3</v>
      </c>
      <c r="AC2147" t="n">
        <v>3</v>
      </c>
      <c r="AD2147" t="n">
        <v>20</v>
      </c>
      <c r="AE2147" t="n">
        <v>20</v>
      </c>
      <c r="AF2147" t="n">
        <v>7</v>
      </c>
      <c r="AG2147" t="n">
        <v>7</v>
      </c>
      <c r="AH2147" t="n">
        <v>5</v>
      </c>
      <c r="AI2147" t="n">
        <v>5</v>
      </c>
      <c r="AJ2147" t="n">
        <v>12</v>
      </c>
      <c r="AK2147" t="n">
        <v>12</v>
      </c>
      <c r="AL2147" t="n">
        <v>2</v>
      </c>
      <c r="AM2147" t="n">
        <v>2</v>
      </c>
      <c r="AN2147" t="n">
        <v>0</v>
      </c>
      <c r="AO2147" t="n">
        <v>0</v>
      </c>
      <c r="AP2147" t="inlineStr">
        <is>
          <t>No</t>
        </is>
      </c>
      <c r="AQ2147" t="inlineStr">
        <is>
          <t>No</t>
        </is>
      </c>
      <c r="AS2147">
        <f>HYPERLINK("https://creighton-primo.hosted.exlibrisgroup.com/primo-explore/search?tab=default_tab&amp;search_scope=EVERYTHING&amp;vid=01CRU&amp;lang=en_US&amp;offset=0&amp;query=any,contains,991000310759702656","Catalog Record")</f>
        <v/>
      </c>
      <c r="AT2147">
        <f>HYPERLINK("http://www.worldcat.org/oclc/10098181","WorldCat Record")</f>
        <v/>
      </c>
      <c r="AU2147" t="inlineStr">
        <is>
          <t>3496996:eng</t>
        </is>
      </c>
      <c r="AV2147" t="inlineStr">
        <is>
          <t>10098181</t>
        </is>
      </c>
      <c r="AW2147" t="inlineStr">
        <is>
          <t>991000310759702656</t>
        </is>
      </c>
      <c r="AX2147" t="inlineStr">
        <is>
          <t>991000310759702656</t>
        </is>
      </c>
      <c r="AY2147" t="inlineStr">
        <is>
          <t>2266206080002656</t>
        </is>
      </c>
      <c r="AZ2147" t="inlineStr">
        <is>
          <t>BOOK</t>
        </is>
      </c>
      <c r="BB2147" t="inlineStr">
        <is>
          <t>9780043550205</t>
        </is>
      </c>
      <c r="BC2147" t="inlineStr">
        <is>
          <t>32285000671064</t>
        </is>
      </c>
      <c r="BD2147" t="inlineStr">
        <is>
          <t>893771538</t>
        </is>
      </c>
    </row>
    <row r="2148">
      <c r="A2148" t="inlineStr">
        <is>
          <t>No</t>
        </is>
      </c>
      <c r="B2148" t="inlineStr">
        <is>
          <t>E855 .K3</t>
        </is>
      </c>
      <c r="C2148" t="inlineStr">
        <is>
          <t>0                      E  0855000K  3</t>
        </is>
      </c>
      <c r="D2148" t="inlineStr">
        <is>
          <t>The unholy hymnal : dalsities and delusions rendered by President Richard M. Nixon [and others] / compiled by Albert E. Kahn with the assistance of Steven and Brian Kahn.</t>
        </is>
      </c>
      <c r="F2148" t="inlineStr">
        <is>
          <t>No</t>
        </is>
      </c>
      <c r="G2148" t="inlineStr">
        <is>
          <t>1</t>
        </is>
      </c>
      <c r="H2148" t="inlineStr">
        <is>
          <t>No</t>
        </is>
      </c>
      <c r="I2148" t="inlineStr">
        <is>
          <t>No</t>
        </is>
      </c>
      <c r="J2148" t="inlineStr">
        <is>
          <t>0</t>
        </is>
      </c>
      <c r="K2148" t="inlineStr">
        <is>
          <t>Kahn, Albert Eugene, 1912-1979 compiler.</t>
        </is>
      </c>
      <c r="L2148" t="inlineStr">
        <is>
          <t>New York : Simon and Schuster, [1971]</t>
        </is>
      </c>
      <c r="M2148" t="inlineStr">
        <is>
          <t>1971</t>
        </is>
      </c>
      <c r="O2148" t="inlineStr">
        <is>
          <t>eng</t>
        </is>
      </c>
      <c r="P2148" t="inlineStr">
        <is>
          <t>nyu</t>
        </is>
      </c>
      <c r="Q2148" t="inlineStr">
        <is>
          <t>A Touchstone book</t>
        </is>
      </c>
      <c r="R2148" t="inlineStr">
        <is>
          <t xml:space="preserve">E  </t>
        </is>
      </c>
      <c r="S2148" t="n">
        <v>4</v>
      </c>
      <c r="T2148" t="n">
        <v>4</v>
      </c>
      <c r="U2148" t="inlineStr">
        <is>
          <t>1998-11-24</t>
        </is>
      </c>
      <c r="V2148" t="inlineStr">
        <is>
          <t>1998-11-24</t>
        </is>
      </c>
      <c r="W2148" t="inlineStr">
        <is>
          <t>1990-02-26</t>
        </is>
      </c>
      <c r="X2148" t="inlineStr">
        <is>
          <t>1990-02-26</t>
        </is>
      </c>
      <c r="Y2148" t="n">
        <v>198</v>
      </c>
      <c r="Z2148" t="n">
        <v>187</v>
      </c>
      <c r="AA2148" t="n">
        <v>192</v>
      </c>
      <c r="AB2148" t="n">
        <v>2</v>
      </c>
      <c r="AC2148" t="n">
        <v>2</v>
      </c>
      <c r="AD2148" t="n">
        <v>5</v>
      </c>
      <c r="AE2148" t="n">
        <v>5</v>
      </c>
      <c r="AF2148" t="n">
        <v>2</v>
      </c>
      <c r="AG2148" t="n">
        <v>2</v>
      </c>
      <c r="AH2148" t="n">
        <v>2</v>
      </c>
      <c r="AI2148" t="n">
        <v>2</v>
      </c>
      <c r="AJ2148" t="n">
        <v>1</v>
      </c>
      <c r="AK2148" t="n">
        <v>1</v>
      </c>
      <c r="AL2148" t="n">
        <v>1</v>
      </c>
      <c r="AM2148" t="n">
        <v>1</v>
      </c>
      <c r="AN2148" t="n">
        <v>0</v>
      </c>
      <c r="AO2148" t="n">
        <v>0</v>
      </c>
      <c r="AP2148" t="inlineStr">
        <is>
          <t>No</t>
        </is>
      </c>
      <c r="AQ2148" t="inlineStr">
        <is>
          <t>No</t>
        </is>
      </c>
      <c r="AS2148">
        <f>HYPERLINK("https://creighton-primo.hosted.exlibrisgroup.com/primo-explore/search?tab=default_tab&amp;search_scope=EVERYTHING&amp;vid=01CRU&amp;lang=en_US&amp;offset=0&amp;query=any,contains,991001271149702656","Catalog Record")</f>
        <v/>
      </c>
      <c r="AT2148">
        <f>HYPERLINK("http://www.worldcat.org/oclc/212075","WorldCat Record")</f>
        <v/>
      </c>
      <c r="AU2148" t="inlineStr">
        <is>
          <t>431362407:eng</t>
        </is>
      </c>
      <c r="AV2148" t="inlineStr">
        <is>
          <t>212075</t>
        </is>
      </c>
      <c r="AW2148" t="inlineStr">
        <is>
          <t>991001271149702656</t>
        </is>
      </c>
      <c r="AX2148" t="inlineStr">
        <is>
          <t>991001271149702656</t>
        </is>
      </c>
      <c r="AY2148" t="inlineStr">
        <is>
          <t>2262020520002656</t>
        </is>
      </c>
      <c r="AZ2148" t="inlineStr">
        <is>
          <t>BOOK</t>
        </is>
      </c>
      <c r="BB2148" t="inlineStr">
        <is>
          <t>9780671211165</t>
        </is>
      </c>
      <c r="BC2148" t="inlineStr">
        <is>
          <t>32285000062603</t>
        </is>
      </c>
      <c r="BD2148" t="inlineStr">
        <is>
          <t>893702900</t>
        </is>
      </c>
    </row>
    <row r="2149">
      <c r="A2149" t="inlineStr">
        <is>
          <t>No</t>
        </is>
      </c>
      <c r="B2149" t="inlineStr">
        <is>
          <t>E855 .K572</t>
        </is>
      </c>
      <c r="C2149" t="inlineStr">
        <is>
          <t>0                      E  0855000K  572</t>
        </is>
      </c>
      <c r="D2149" t="inlineStr">
        <is>
          <t>Years of upheaval / Henry Kissinger.</t>
        </is>
      </c>
      <c r="F2149" t="inlineStr">
        <is>
          <t>No</t>
        </is>
      </c>
      <c r="G2149" t="inlineStr">
        <is>
          <t>1</t>
        </is>
      </c>
      <c r="H2149" t="inlineStr">
        <is>
          <t>No</t>
        </is>
      </c>
      <c r="I2149" t="inlineStr">
        <is>
          <t>No</t>
        </is>
      </c>
      <c r="J2149" t="inlineStr">
        <is>
          <t>0</t>
        </is>
      </c>
      <c r="K2149" t="inlineStr">
        <is>
          <t>Kissinger, Henry, 1923-</t>
        </is>
      </c>
      <c r="L2149" t="inlineStr">
        <is>
          <t>Boston : Little, Brown, 1982.</t>
        </is>
      </c>
      <c r="M2149" t="inlineStr">
        <is>
          <t>1982</t>
        </is>
      </c>
      <c r="O2149" t="inlineStr">
        <is>
          <t>eng</t>
        </is>
      </c>
      <c r="P2149" t="inlineStr">
        <is>
          <t>mau</t>
        </is>
      </c>
      <c r="R2149" t="inlineStr">
        <is>
          <t xml:space="preserve">E  </t>
        </is>
      </c>
      <c r="S2149" t="n">
        <v>11</v>
      </c>
      <c r="T2149" t="n">
        <v>11</v>
      </c>
      <c r="U2149" t="inlineStr">
        <is>
          <t>1997-03-13</t>
        </is>
      </c>
      <c r="V2149" t="inlineStr">
        <is>
          <t>1997-03-13</t>
        </is>
      </c>
      <c r="W2149" t="inlineStr">
        <is>
          <t>1991-06-21</t>
        </is>
      </c>
      <c r="X2149" t="inlineStr">
        <is>
          <t>1991-06-21</t>
        </is>
      </c>
      <c r="Y2149" t="n">
        <v>3100</v>
      </c>
      <c r="Z2149" t="n">
        <v>2856</v>
      </c>
      <c r="AA2149" t="n">
        <v>2915</v>
      </c>
      <c r="AB2149" t="n">
        <v>33</v>
      </c>
      <c r="AC2149" t="n">
        <v>33</v>
      </c>
      <c r="AD2149" t="n">
        <v>71</v>
      </c>
      <c r="AE2149" t="n">
        <v>72</v>
      </c>
      <c r="AF2149" t="n">
        <v>27</v>
      </c>
      <c r="AG2149" t="n">
        <v>28</v>
      </c>
      <c r="AH2149" t="n">
        <v>10</v>
      </c>
      <c r="AI2149" t="n">
        <v>10</v>
      </c>
      <c r="AJ2149" t="n">
        <v>24</v>
      </c>
      <c r="AK2149" t="n">
        <v>25</v>
      </c>
      <c r="AL2149" t="n">
        <v>17</v>
      </c>
      <c r="AM2149" t="n">
        <v>17</v>
      </c>
      <c r="AN2149" t="n">
        <v>5</v>
      </c>
      <c r="AO2149" t="n">
        <v>5</v>
      </c>
      <c r="AP2149" t="inlineStr">
        <is>
          <t>No</t>
        </is>
      </c>
      <c r="AQ2149" t="inlineStr">
        <is>
          <t>No</t>
        </is>
      </c>
      <c r="AS2149">
        <f>HYPERLINK("https://creighton-primo.hosted.exlibrisgroup.com/primo-explore/search?tab=default_tab&amp;search_scope=EVERYTHING&amp;vid=01CRU&amp;lang=en_US&amp;offset=0&amp;query=any,contains,991005223439702656","Catalog Record")</f>
        <v/>
      </c>
      <c r="AT2149">
        <f>HYPERLINK("http://www.worldcat.org/oclc/8252644","WorldCat Record")</f>
        <v/>
      </c>
      <c r="AU2149" t="inlineStr">
        <is>
          <t>447807:eng</t>
        </is>
      </c>
      <c r="AV2149" t="inlineStr">
        <is>
          <t>8252644</t>
        </is>
      </c>
      <c r="AW2149" t="inlineStr">
        <is>
          <t>991005223439702656</t>
        </is>
      </c>
      <c r="AX2149" t="inlineStr">
        <is>
          <t>991005223439702656</t>
        </is>
      </c>
      <c r="AY2149" t="inlineStr">
        <is>
          <t>2262696360002656</t>
        </is>
      </c>
      <c r="AZ2149" t="inlineStr">
        <is>
          <t>BOOK</t>
        </is>
      </c>
      <c r="BB2149" t="inlineStr">
        <is>
          <t>9780316285919</t>
        </is>
      </c>
      <c r="BC2149" t="inlineStr">
        <is>
          <t>32285000671072</t>
        </is>
      </c>
      <c r="BD2149" t="inlineStr">
        <is>
          <t>893889891</t>
        </is>
      </c>
    </row>
    <row r="2150">
      <c r="A2150" t="inlineStr">
        <is>
          <t>No</t>
        </is>
      </c>
      <c r="B2150" t="inlineStr">
        <is>
          <t>E855 .L578 1984</t>
        </is>
      </c>
      <c r="C2150" t="inlineStr">
        <is>
          <t>0                      E  0855000L  578         1984</t>
        </is>
      </c>
      <c r="D2150" t="inlineStr">
        <is>
          <t>Détente and the Nixon doctrine : American foreign policy and the pursuit of stability, 1969-1976 / Robert S. Litwak.</t>
        </is>
      </c>
      <c r="F2150" t="inlineStr">
        <is>
          <t>No</t>
        </is>
      </c>
      <c r="G2150" t="inlineStr">
        <is>
          <t>1</t>
        </is>
      </c>
      <c r="H2150" t="inlineStr">
        <is>
          <t>No</t>
        </is>
      </c>
      <c r="I2150" t="inlineStr">
        <is>
          <t>No</t>
        </is>
      </c>
      <c r="J2150" t="inlineStr">
        <is>
          <t>0</t>
        </is>
      </c>
      <c r="K2150" t="inlineStr">
        <is>
          <t>Litwak, Robert.</t>
        </is>
      </c>
      <c r="L2150" t="inlineStr">
        <is>
          <t>Cambridge [Cambridgeshire] ; New York : Cambridge University Press, 1984.</t>
        </is>
      </c>
      <c r="M2150" t="inlineStr">
        <is>
          <t>1984</t>
        </is>
      </c>
      <c r="O2150" t="inlineStr">
        <is>
          <t>eng</t>
        </is>
      </c>
      <c r="P2150" t="inlineStr">
        <is>
          <t>enk</t>
        </is>
      </c>
      <c r="Q2150" t="inlineStr">
        <is>
          <t>International studies</t>
        </is>
      </c>
      <c r="R2150" t="inlineStr">
        <is>
          <t xml:space="preserve">E  </t>
        </is>
      </c>
      <c r="S2150" t="n">
        <v>6</v>
      </c>
      <c r="T2150" t="n">
        <v>6</v>
      </c>
      <c r="U2150" t="inlineStr">
        <is>
          <t>1996-09-21</t>
        </is>
      </c>
      <c r="V2150" t="inlineStr">
        <is>
          <t>1996-09-21</t>
        </is>
      </c>
      <c r="W2150" t="inlineStr">
        <is>
          <t>1991-06-21</t>
        </is>
      </c>
      <c r="X2150" t="inlineStr">
        <is>
          <t>1991-06-21</t>
        </is>
      </c>
      <c r="Y2150" t="n">
        <v>655</v>
      </c>
      <c r="Z2150" t="n">
        <v>513</v>
      </c>
      <c r="AA2150" t="n">
        <v>547</v>
      </c>
      <c r="AB2150" t="n">
        <v>7</v>
      </c>
      <c r="AC2150" t="n">
        <v>7</v>
      </c>
      <c r="AD2150" t="n">
        <v>29</v>
      </c>
      <c r="AE2150" t="n">
        <v>33</v>
      </c>
      <c r="AF2150" t="n">
        <v>13</v>
      </c>
      <c r="AG2150" t="n">
        <v>16</v>
      </c>
      <c r="AH2150" t="n">
        <v>5</v>
      </c>
      <c r="AI2150" t="n">
        <v>6</v>
      </c>
      <c r="AJ2150" t="n">
        <v>13</v>
      </c>
      <c r="AK2150" t="n">
        <v>14</v>
      </c>
      <c r="AL2150" t="n">
        <v>6</v>
      </c>
      <c r="AM2150" t="n">
        <v>6</v>
      </c>
      <c r="AN2150" t="n">
        <v>0</v>
      </c>
      <c r="AO2150" t="n">
        <v>0</v>
      </c>
      <c r="AP2150" t="inlineStr">
        <is>
          <t>No</t>
        </is>
      </c>
      <c r="AQ2150" t="inlineStr">
        <is>
          <t>No</t>
        </is>
      </c>
      <c r="AS2150">
        <f>HYPERLINK("https://creighton-primo.hosted.exlibrisgroup.com/primo-explore/search?tab=default_tab&amp;search_scope=EVERYTHING&amp;vid=01CRU&amp;lang=en_US&amp;offset=0&amp;query=any,contains,991000263319702656","Catalog Record")</f>
        <v/>
      </c>
      <c r="AT2150">
        <f>HYPERLINK("http://www.worldcat.org/oclc/9827509","WorldCat Record")</f>
        <v/>
      </c>
      <c r="AU2150" t="inlineStr">
        <is>
          <t>836627152:eng</t>
        </is>
      </c>
      <c r="AV2150" t="inlineStr">
        <is>
          <t>9827509</t>
        </is>
      </c>
      <c r="AW2150" t="inlineStr">
        <is>
          <t>991000263319702656</t>
        </is>
      </c>
      <c r="AX2150" t="inlineStr">
        <is>
          <t>991000263319702656</t>
        </is>
      </c>
      <c r="AY2150" t="inlineStr">
        <is>
          <t>2269168300002656</t>
        </is>
      </c>
      <c r="AZ2150" t="inlineStr">
        <is>
          <t>BOOK</t>
        </is>
      </c>
      <c r="BB2150" t="inlineStr">
        <is>
          <t>9780521250948</t>
        </is>
      </c>
      <c r="BC2150" t="inlineStr">
        <is>
          <t>32285000671080</t>
        </is>
      </c>
      <c r="BD2150" t="inlineStr">
        <is>
          <t>893784102</t>
        </is>
      </c>
    </row>
    <row r="2151">
      <c r="A2151" t="inlineStr">
        <is>
          <t>No</t>
        </is>
      </c>
      <c r="B2151" t="inlineStr">
        <is>
          <t>E855 .N4747</t>
        </is>
      </c>
      <c r="C2151" t="inlineStr">
        <is>
          <t>0                      E  0855000N  4747</t>
        </is>
      </c>
      <c r="D2151" t="inlineStr">
        <is>
          <t>The Nixon presidential press conferences / introd. by Helen Thomas.</t>
        </is>
      </c>
      <c r="F2151" t="inlineStr">
        <is>
          <t>No</t>
        </is>
      </c>
      <c r="G2151" t="inlineStr">
        <is>
          <t>1</t>
        </is>
      </c>
      <c r="H2151" t="inlineStr">
        <is>
          <t>No</t>
        </is>
      </c>
      <c r="I2151" t="inlineStr">
        <is>
          <t>No</t>
        </is>
      </c>
      <c r="J2151" t="inlineStr">
        <is>
          <t>0</t>
        </is>
      </c>
      <c r="K2151" t="inlineStr">
        <is>
          <t>Nixon, Richard M. (Richard Milhous), 1913-1994.</t>
        </is>
      </c>
      <c r="L2151" t="inlineStr">
        <is>
          <t>New York : E. M. Coleman Enterprises, 1978.</t>
        </is>
      </c>
      <c r="M2151" t="inlineStr">
        <is>
          <t>1978</t>
        </is>
      </c>
      <c r="O2151" t="inlineStr">
        <is>
          <t>eng</t>
        </is>
      </c>
      <c r="P2151" t="inlineStr">
        <is>
          <t>nyu</t>
        </is>
      </c>
      <c r="R2151" t="inlineStr">
        <is>
          <t xml:space="preserve">E  </t>
        </is>
      </c>
      <c r="S2151" t="n">
        <v>8</v>
      </c>
      <c r="T2151" t="n">
        <v>8</v>
      </c>
      <c r="U2151" t="inlineStr">
        <is>
          <t>1999-04-27</t>
        </is>
      </c>
      <c r="V2151" t="inlineStr">
        <is>
          <t>1999-04-27</t>
        </is>
      </c>
      <c r="W2151" t="inlineStr">
        <is>
          <t>1991-06-21</t>
        </is>
      </c>
      <c r="X2151" t="inlineStr">
        <is>
          <t>1991-06-21</t>
        </is>
      </c>
      <c r="Y2151" t="n">
        <v>309</v>
      </c>
      <c r="Z2151" t="n">
        <v>269</v>
      </c>
      <c r="AA2151" t="n">
        <v>275</v>
      </c>
      <c r="AB2151" t="n">
        <v>4</v>
      </c>
      <c r="AC2151" t="n">
        <v>4</v>
      </c>
      <c r="AD2151" t="n">
        <v>13</v>
      </c>
      <c r="AE2151" t="n">
        <v>13</v>
      </c>
      <c r="AF2151" t="n">
        <v>7</v>
      </c>
      <c r="AG2151" t="n">
        <v>7</v>
      </c>
      <c r="AH2151" t="n">
        <v>2</v>
      </c>
      <c r="AI2151" t="n">
        <v>2</v>
      </c>
      <c r="AJ2151" t="n">
        <v>4</v>
      </c>
      <c r="AK2151" t="n">
        <v>4</v>
      </c>
      <c r="AL2151" t="n">
        <v>3</v>
      </c>
      <c r="AM2151" t="n">
        <v>3</v>
      </c>
      <c r="AN2151" t="n">
        <v>0</v>
      </c>
      <c r="AO2151" t="n">
        <v>0</v>
      </c>
      <c r="AP2151" t="inlineStr">
        <is>
          <t>No</t>
        </is>
      </c>
      <c r="AQ2151" t="inlineStr">
        <is>
          <t>Yes</t>
        </is>
      </c>
      <c r="AR2151">
        <f>HYPERLINK("http://catalog.hathitrust.org/Record/000221467","HathiTrust Record")</f>
        <v/>
      </c>
      <c r="AS2151">
        <f>HYPERLINK("https://creighton-primo.hosted.exlibrisgroup.com/primo-explore/search?tab=default_tab&amp;search_scope=EVERYTHING&amp;vid=01CRU&amp;lang=en_US&amp;offset=0&amp;query=any,contains,991004411599702656","Catalog Record")</f>
        <v/>
      </c>
      <c r="AT2151">
        <f>HYPERLINK("http://www.worldcat.org/oclc/3345411","WorldCat Record")</f>
        <v/>
      </c>
      <c r="AU2151" t="inlineStr">
        <is>
          <t>366274332:eng</t>
        </is>
      </c>
      <c r="AV2151" t="inlineStr">
        <is>
          <t>3345411</t>
        </is>
      </c>
      <c r="AW2151" t="inlineStr">
        <is>
          <t>991004411599702656</t>
        </is>
      </c>
      <c r="AX2151" t="inlineStr">
        <is>
          <t>991004411599702656</t>
        </is>
      </c>
      <c r="AY2151" t="inlineStr">
        <is>
          <t>2255498040002656</t>
        </is>
      </c>
      <c r="AZ2151" t="inlineStr">
        <is>
          <t>BOOK</t>
        </is>
      </c>
      <c r="BB2151" t="inlineStr">
        <is>
          <t>9780930576004</t>
        </is>
      </c>
      <c r="BC2151" t="inlineStr">
        <is>
          <t>32285000671098</t>
        </is>
      </c>
      <c r="BD2151" t="inlineStr">
        <is>
          <t>893417597</t>
        </is>
      </c>
    </row>
    <row r="2152">
      <c r="A2152" t="inlineStr">
        <is>
          <t>No</t>
        </is>
      </c>
      <c r="B2152" t="inlineStr">
        <is>
          <t>E855 .N477</t>
        </is>
      </c>
      <c r="C2152" t="inlineStr">
        <is>
          <t>0                      E  0855000N  477</t>
        </is>
      </c>
      <c r="D2152" t="inlineStr">
        <is>
          <t>The Nixon doctrine : [proceedings / by Melvin R. Laird [and others].</t>
        </is>
      </c>
      <c r="F2152" t="inlineStr">
        <is>
          <t>No</t>
        </is>
      </c>
      <c r="G2152" t="inlineStr">
        <is>
          <t>1</t>
        </is>
      </c>
      <c r="H2152" t="inlineStr">
        <is>
          <t>No</t>
        </is>
      </c>
      <c r="I2152" t="inlineStr">
        <is>
          <t>No</t>
        </is>
      </c>
      <c r="J2152" t="inlineStr">
        <is>
          <t>0</t>
        </is>
      </c>
      <c r="L2152" t="inlineStr">
        <is>
          <t>Washington : American Enterprise Institute for Public Policy Research, [1972]</t>
        </is>
      </c>
      <c r="M2152" t="inlineStr">
        <is>
          <t>1972</t>
        </is>
      </c>
      <c r="O2152" t="inlineStr">
        <is>
          <t>eng</t>
        </is>
      </c>
      <c r="P2152" t="inlineStr">
        <is>
          <t>dcu</t>
        </is>
      </c>
      <c r="R2152" t="inlineStr">
        <is>
          <t xml:space="preserve">E  </t>
        </is>
      </c>
      <c r="S2152" t="n">
        <v>9</v>
      </c>
      <c r="T2152" t="n">
        <v>9</v>
      </c>
      <c r="U2152" t="inlineStr">
        <is>
          <t>1997-03-12</t>
        </is>
      </c>
      <c r="V2152" t="inlineStr">
        <is>
          <t>1997-03-12</t>
        </is>
      </c>
      <c r="W2152" t="inlineStr">
        <is>
          <t>1993-05-10</t>
        </is>
      </c>
      <c r="X2152" t="inlineStr">
        <is>
          <t>1993-05-10</t>
        </is>
      </c>
      <c r="Y2152" t="n">
        <v>508</v>
      </c>
      <c r="Z2152" t="n">
        <v>467</v>
      </c>
      <c r="AA2152" t="n">
        <v>582</v>
      </c>
      <c r="AB2152" t="n">
        <v>4</v>
      </c>
      <c r="AC2152" t="n">
        <v>6</v>
      </c>
      <c r="AD2152" t="n">
        <v>24</v>
      </c>
      <c r="AE2152" t="n">
        <v>32</v>
      </c>
      <c r="AF2152" t="n">
        <v>7</v>
      </c>
      <c r="AG2152" t="n">
        <v>9</v>
      </c>
      <c r="AH2152" t="n">
        <v>7</v>
      </c>
      <c r="AI2152" t="n">
        <v>7</v>
      </c>
      <c r="AJ2152" t="n">
        <v>8</v>
      </c>
      <c r="AK2152" t="n">
        <v>8</v>
      </c>
      <c r="AL2152" t="n">
        <v>3</v>
      </c>
      <c r="AM2152" t="n">
        <v>4</v>
      </c>
      <c r="AN2152" t="n">
        <v>3</v>
      </c>
      <c r="AO2152" t="n">
        <v>8</v>
      </c>
      <c r="AP2152" t="inlineStr">
        <is>
          <t>No</t>
        </is>
      </c>
      <c r="AQ2152" t="inlineStr">
        <is>
          <t>Yes</t>
        </is>
      </c>
      <c r="AR2152">
        <f>HYPERLINK("http://catalog.hathitrust.org/Record/000470657","HathiTrust Record")</f>
        <v/>
      </c>
      <c r="AS2152">
        <f>HYPERLINK("https://creighton-primo.hosted.exlibrisgroup.com/primo-explore/search?tab=default_tab&amp;search_scope=EVERYTHING&amp;vid=01CRU&amp;lang=en_US&amp;offset=0&amp;query=any,contains,991002897929702656","Catalog Record")</f>
        <v/>
      </c>
      <c r="AT2152">
        <f>HYPERLINK("http://www.worldcat.org/oclc/514856","WorldCat Record")</f>
        <v/>
      </c>
      <c r="AU2152" t="inlineStr">
        <is>
          <t>4020568576:eng</t>
        </is>
      </c>
      <c r="AV2152" t="inlineStr">
        <is>
          <t>514856</t>
        </is>
      </c>
      <c r="AW2152" t="inlineStr">
        <is>
          <t>991002897929702656</t>
        </is>
      </c>
      <c r="AX2152" t="inlineStr">
        <is>
          <t>991002897929702656</t>
        </is>
      </c>
      <c r="AY2152" t="inlineStr">
        <is>
          <t>2262049990002656</t>
        </is>
      </c>
      <c r="AZ2152" t="inlineStr">
        <is>
          <t>BOOK</t>
        </is>
      </c>
      <c r="BC2152" t="inlineStr">
        <is>
          <t>32285001652642</t>
        </is>
      </c>
      <c r="BD2152" t="inlineStr">
        <is>
          <t>893591931</t>
        </is>
      </c>
    </row>
    <row r="2153">
      <c r="A2153" t="inlineStr">
        <is>
          <t>No</t>
        </is>
      </c>
      <c r="B2153" t="inlineStr">
        <is>
          <t>E855 .S23</t>
        </is>
      </c>
      <c r="C2153" t="inlineStr">
        <is>
          <t>0                      E  0855000S  23</t>
        </is>
      </c>
      <c r="D2153" t="inlineStr">
        <is>
          <t>Before the fall : an inside view of the pre-Watergate White House / William Safire.</t>
        </is>
      </c>
      <c r="F2153" t="inlineStr">
        <is>
          <t>No</t>
        </is>
      </c>
      <c r="G2153" t="inlineStr">
        <is>
          <t>1</t>
        </is>
      </c>
      <c r="H2153" t="inlineStr">
        <is>
          <t>No</t>
        </is>
      </c>
      <c r="I2153" t="inlineStr">
        <is>
          <t>No</t>
        </is>
      </c>
      <c r="J2153" t="inlineStr">
        <is>
          <t>0</t>
        </is>
      </c>
      <c r="K2153" t="inlineStr">
        <is>
          <t>Safire, William, 1929-2009.</t>
        </is>
      </c>
      <c r="L2153" t="inlineStr">
        <is>
          <t>Garden City, N.Y. : Doubleday, 1975.</t>
        </is>
      </c>
      <c r="M2153" t="inlineStr">
        <is>
          <t>1975</t>
        </is>
      </c>
      <c r="N2153" t="inlineStr">
        <is>
          <t>1st ed.</t>
        </is>
      </c>
      <c r="O2153" t="inlineStr">
        <is>
          <t>eng</t>
        </is>
      </c>
      <c r="P2153" t="inlineStr">
        <is>
          <t>nyu</t>
        </is>
      </c>
      <c r="R2153" t="inlineStr">
        <is>
          <t xml:space="preserve">E  </t>
        </is>
      </c>
      <c r="S2153" t="n">
        <v>1</v>
      </c>
      <c r="T2153" t="n">
        <v>1</v>
      </c>
      <c r="U2153" t="inlineStr">
        <is>
          <t>2002-03-09</t>
        </is>
      </c>
      <c r="V2153" t="inlineStr">
        <is>
          <t>2002-03-09</t>
        </is>
      </c>
      <c r="W2153" t="inlineStr">
        <is>
          <t>1997-04-29</t>
        </is>
      </c>
      <c r="X2153" t="inlineStr">
        <is>
          <t>1997-04-29</t>
        </is>
      </c>
      <c r="Y2153" t="n">
        <v>1576</v>
      </c>
      <c r="Z2153" t="n">
        <v>1475</v>
      </c>
      <c r="AA2153" t="n">
        <v>1642</v>
      </c>
      <c r="AB2153" t="n">
        <v>12</v>
      </c>
      <c r="AC2153" t="n">
        <v>12</v>
      </c>
      <c r="AD2153" t="n">
        <v>47</v>
      </c>
      <c r="AE2153" t="n">
        <v>52</v>
      </c>
      <c r="AF2153" t="n">
        <v>17</v>
      </c>
      <c r="AG2153" t="n">
        <v>20</v>
      </c>
      <c r="AH2153" t="n">
        <v>8</v>
      </c>
      <c r="AI2153" t="n">
        <v>8</v>
      </c>
      <c r="AJ2153" t="n">
        <v>18</v>
      </c>
      <c r="AK2153" t="n">
        <v>22</v>
      </c>
      <c r="AL2153" t="n">
        <v>9</v>
      </c>
      <c r="AM2153" t="n">
        <v>9</v>
      </c>
      <c r="AN2153" t="n">
        <v>3</v>
      </c>
      <c r="AO2153" t="n">
        <v>3</v>
      </c>
      <c r="AP2153" t="inlineStr">
        <is>
          <t>No</t>
        </is>
      </c>
      <c r="AQ2153" t="inlineStr">
        <is>
          <t>No</t>
        </is>
      </c>
      <c r="AS2153">
        <f>HYPERLINK("https://creighton-primo.hosted.exlibrisgroup.com/primo-explore/search?tab=default_tab&amp;search_scope=EVERYTHING&amp;vid=01CRU&amp;lang=en_US&amp;offset=0&amp;query=any,contains,991003609539702656","Catalog Record")</f>
        <v/>
      </c>
      <c r="AT2153">
        <f>HYPERLINK("http://www.worldcat.org/oclc/1191758","WorldCat Record")</f>
        <v/>
      </c>
      <c r="AU2153" t="inlineStr">
        <is>
          <t>327345100:eng</t>
        </is>
      </c>
      <c r="AV2153" t="inlineStr">
        <is>
          <t>1191758</t>
        </is>
      </c>
      <c r="AW2153" t="inlineStr">
        <is>
          <t>991003609539702656</t>
        </is>
      </c>
      <c r="AX2153" t="inlineStr">
        <is>
          <t>991003609539702656</t>
        </is>
      </c>
      <c r="AY2153" t="inlineStr">
        <is>
          <t>2261847420002656</t>
        </is>
      </c>
      <c r="AZ2153" t="inlineStr">
        <is>
          <t>BOOK</t>
        </is>
      </c>
      <c r="BB2153" t="inlineStr">
        <is>
          <t>9780385085953</t>
        </is>
      </c>
      <c r="BC2153" t="inlineStr">
        <is>
          <t>32285002568979</t>
        </is>
      </c>
      <c r="BD2153" t="inlineStr">
        <is>
          <t>893525010</t>
        </is>
      </c>
    </row>
    <row r="2154">
      <c r="A2154" t="inlineStr">
        <is>
          <t>No</t>
        </is>
      </c>
      <c r="B2154" t="inlineStr">
        <is>
          <t>E855 .S76 1976</t>
        </is>
      </c>
      <c r="C2154" t="inlineStr">
        <is>
          <t>0                      E  0855000S  76          1976</t>
        </is>
      </c>
      <c r="D2154" t="inlineStr">
        <is>
          <t>Henry Kissinger : the anguish of power / John G. Stoessinger.</t>
        </is>
      </c>
      <c r="F2154" t="inlineStr">
        <is>
          <t>No</t>
        </is>
      </c>
      <c r="G2154" t="inlineStr">
        <is>
          <t>1</t>
        </is>
      </c>
      <c r="H2154" t="inlineStr">
        <is>
          <t>No</t>
        </is>
      </c>
      <c r="I2154" t="inlineStr">
        <is>
          <t>No</t>
        </is>
      </c>
      <c r="J2154" t="inlineStr">
        <is>
          <t>0</t>
        </is>
      </c>
      <c r="K2154" t="inlineStr">
        <is>
          <t>Stoessinger, John George.</t>
        </is>
      </c>
      <c r="L2154" t="inlineStr">
        <is>
          <t>New York : Norton, c1976.</t>
        </is>
      </c>
      <c r="M2154" t="inlineStr">
        <is>
          <t>1976</t>
        </is>
      </c>
      <c r="N2154" t="inlineStr">
        <is>
          <t>1st ed.</t>
        </is>
      </c>
      <c r="O2154" t="inlineStr">
        <is>
          <t>eng</t>
        </is>
      </c>
      <c r="P2154" t="inlineStr">
        <is>
          <t>nyu</t>
        </is>
      </c>
      <c r="R2154" t="inlineStr">
        <is>
          <t xml:space="preserve">E  </t>
        </is>
      </c>
      <c r="S2154" t="n">
        <v>2</v>
      </c>
      <c r="T2154" t="n">
        <v>2</v>
      </c>
      <c r="U2154" t="inlineStr">
        <is>
          <t>2001-02-18</t>
        </is>
      </c>
      <c r="V2154" t="inlineStr">
        <is>
          <t>2001-02-18</t>
        </is>
      </c>
      <c r="W2154" t="inlineStr">
        <is>
          <t>1997-04-29</t>
        </is>
      </c>
      <c r="X2154" t="inlineStr">
        <is>
          <t>1997-04-29</t>
        </is>
      </c>
      <c r="Y2154" t="n">
        <v>950</v>
      </c>
      <c r="Z2154" t="n">
        <v>836</v>
      </c>
      <c r="AA2154" t="n">
        <v>841</v>
      </c>
      <c r="AB2154" t="n">
        <v>8</v>
      </c>
      <c r="AC2154" t="n">
        <v>8</v>
      </c>
      <c r="AD2154" t="n">
        <v>32</v>
      </c>
      <c r="AE2154" t="n">
        <v>32</v>
      </c>
      <c r="AF2154" t="n">
        <v>10</v>
      </c>
      <c r="AG2154" t="n">
        <v>10</v>
      </c>
      <c r="AH2154" t="n">
        <v>8</v>
      </c>
      <c r="AI2154" t="n">
        <v>8</v>
      </c>
      <c r="AJ2154" t="n">
        <v>14</v>
      </c>
      <c r="AK2154" t="n">
        <v>14</v>
      </c>
      <c r="AL2154" t="n">
        <v>7</v>
      </c>
      <c r="AM2154" t="n">
        <v>7</v>
      </c>
      <c r="AN2154" t="n">
        <v>0</v>
      </c>
      <c r="AO2154" t="n">
        <v>0</v>
      </c>
      <c r="AP2154" t="inlineStr">
        <is>
          <t>No</t>
        </is>
      </c>
      <c r="AQ2154" t="inlineStr">
        <is>
          <t>No</t>
        </is>
      </c>
      <c r="AS2154">
        <f>HYPERLINK("https://creighton-primo.hosted.exlibrisgroup.com/primo-explore/search?tab=default_tab&amp;search_scope=EVERYTHING&amp;vid=01CRU&amp;lang=en_US&amp;offset=0&amp;query=any,contains,991004083989702656","Catalog Record")</f>
        <v/>
      </c>
      <c r="AT2154">
        <f>HYPERLINK("http://www.worldcat.org/oclc/2331556","WorldCat Record")</f>
        <v/>
      </c>
      <c r="AU2154" t="inlineStr">
        <is>
          <t>866850736:eng</t>
        </is>
      </c>
      <c r="AV2154" t="inlineStr">
        <is>
          <t>2331556</t>
        </is>
      </c>
      <c r="AW2154" t="inlineStr">
        <is>
          <t>991004083989702656</t>
        </is>
      </c>
      <c r="AX2154" t="inlineStr">
        <is>
          <t>991004083989702656</t>
        </is>
      </c>
      <c r="AY2154" t="inlineStr">
        <is>
          <t>2264186410002656</t>
        </is>
      </c>
      <c r="AZ2154" t="inlineStr">
        <is>
          <t>BOOK</t>
        </is>
      </c>
      <c r="BB2154" t="inlineStr">
        <is>
          <t>9780393055894</t>
        </is>
      </c>
      <c r="BC2154" t="inlineStr">
        <is>
          <t>32285002568995</t>
        </is>
      </c>
      <c r="BD2154" t="inlineStr">
        <is>
          <t>893337311</t>
        </is>
      </c>
    </row>
    <row r="2155">
      <c r="A2155" t="inlineStr">
        <is>
          <t>No</t>
        </is>
      </c>
      <c r="B2155" t="inlineStr">
        <is>
          <t>E855 .S98 1978</t>
        </is>
      </c>
      <c r="C2155" t="inlineStr">
        <is>
          <t>0                      E  0855000S  98          1978</t>
        </is>
      </c>
      <c r="D2155" t="inlineStr">
        <is>
          <t>The illusion of peace : foreign policy in the Nixon years / Tad Szulc.</t>
        </is>
      </c>
      <c r="F2155" t="inlineStr">
        <is>
          <t>No</t>
        </is>
      </c>
      <c r="G2155" t="inlineStr">
        <is>
          <t>1</t>
        </is>
      </c>
      <c r="H2155" t="inlineStr">
        <is>
          <t>No</t>
        </is>
      </c>
      <c r="I2155" t="inlineStr">
        <is>
          <t>No</t>
        </is>
      </c>
      <c r="J2155" t="inlineStr">
        <is>
          <t>0</t>
        </is>
      </c>
      <c r="K2155" t="inlineStr">
        <is>
          <t>Szulc, Tad.</t>
        </is>
      </c>
      <c r="L2155" t="inlineStr">
        <is>
          <t>New York : Viking Press, 1978.</t>
        </is>
      </c>
      <c r="M2155" t="inlineStr">
        <is>
          <t>1978</t>
        </is>
      </c>
      <c r="O2155" t="inlineStr">
        <is>
          <t>eng</t>
        </is>
      </c>
      <c r="P2155" t="inlineStr">
        <is>
          <t>nyu</t>
        </is>
      </c>
      <c r="R2155" t="inlineStr">
        <is>
          <t xml:space="preserve">E  </t>
        </is>
      </c>
      <c r="S2155" t="n">
        <v>1</v>
      </c>
      <c r="T2155" t="n">
        <v>1</v>
      </c>
      <c r="U2155" t="inlineStr">
        <is>
          <t>2005-02-24</t>
        </is>
      </c>
      <c r="V2155" t="inlineStr">
        <is>
          <t>2005-02-24</t>
        </is>
      </c>
      <c r="W2155" t="inlineStr">
        <is>
          <t>1997-04-29</t>
        </is>
      </c>
      <c r="X2155" t="inlineStr">
        <is>
          <t>1997-04-29</t>
        </is>
      </c>
      <c r="Y2155" t="n">
        <v>1043</v>
      </c>
      <c r="Z2155" t="n">
        <v>941</v>
      </c>
      <c r="AA2155" t="n">
        <v>950</v>
      </c>
      <c r="AB2155" t="n">
        <v>8</v>
      </c>
      <c r="AC2155" t="n">
        <v>8</v>
      </c>
      <c r="AD2155" t="n">
        <v>28</v>
      </c>
      <c r="AE2155" t="n">
        <v>28</v>
      </c>
      <c r="AF2155" t="n">
        <v>6</v>
      </c>
      <c r="AG2155" t="n">
        <v>6</v>
      </c>
      <c r="AH2155" t="n">
        <v>9</v>
      </c>
      <c r="AI2155" t="n">
        <v>9</v>
      </c>
      <c r="AJ2155" t="n">
        <v>15</v>
      </c>
      <c r="AK2155" t="n">
        <v>15</v>
      </c>
      <c r="AL2155" t="n">
        <v>5</v>
      </c>
      <c r="AM2155" t="n">
        <v>5</v>
      </c>
      <c r="AN2155" t="n">
        <v>1</v>
      </c>
      <c r="AO2155" t="n">
        <v>1</v>
      </c>
      <c r="AP2155" t="inlineStr">
        <is>
          <t>No</t>
        </is>
      </c>
      <c r="AQ2155" t="inlineStr">
        <is>
          <t>Yes</t>
        </is>
      </c>
      <c r="AR2155">
        <f>HYPERLINK("http://catalog.hathitrust.org/Record/000088684","HathiTrust Record")</f>
        <v/>
      </c>
      <c r="AS2155">
        <f>HYPERLINK("https://creighton-primo.hosted.exlibrisgroup.com/primo-explore/search?tab=default_tab&amp;search_scope=EVERYTHING&amp;vid=01CRU&amp;lang=en_US&amp;offset=0&amp;query=any,contains,991004454439702656","Catalog Record")</f>
        <v/>
      </c>
      <c r="AT2155">
        <f>HYPERLINK("http://www.worldcat.org/oclc/3517093","WorldCat Record")</f>
        <v/>
      </c>
      <c r="AU2155" t="inlineStr">
        <is>
          <t>3296279:eng</t>
        </is>
      </c>
      <c r="AV2155" t="inlineStr">
        <is>
          <t>3517093</t>
        </is>
      </c>
      <c r="AW2155" t="inlineStr">
        <is>
          <t>991004454439702656</t>
        </is>
      </c>
      <c r="AX2155" t="inlineStr">
        <is>
          <t>991004454439702656</t>
        </is>
      </c>
      <c r="AY2155" t="inlineStr">
        <is>
          <t>2271049720002656</t>
        </is>
      </c>
      <c r="AZ2155" t="inlineStr">
        <is>
          <t>BOOK</t>
        </is>
      </c>
      <c r="BB2155" t="inlineStr">
        <is>
          <t>9780670392551</t>
        </is>
      </c>
      <c r="BC2155" t="inlineStr">
        <is>
          <t>32285002569001</t>
        </is>
      </c>
      <c r="BD2155" t="inlineStr">
        <is>
          <t>893782259</t>
        </is>
      </c>
    </row>
    <row r="2156">
      <c r="A2156" t="inlineStr">
        <is>
          <t>No</t>
        </is>
      </c>
      <c r="B2156" t="inlineStr">
        <is>
          <t>E855 .T52 1989</t>
        </is>
      </c>
      <c r="C2156" t="inlineStr">
        <is>
          <t>0                      E  0855000T  52          1989</t>
        </is>
      </c>
      <c r="D2156" t="inlineStr">
        <is>
          <t>The Nixon-Kissinger years : reshaping America's foreign policy / Richard C. Thornton.</t>
        </is>
      </c>
      <c r="F2156" t="inlineStr">
        <is>
          <t>No</t>
        </is>
      </c>
      <c r="G2156" t="inlineStr">
        <is>
          <t>1</t>
        </is>
      </c>
      <c r="H2156" t="inlineStr">
        <is>
          <t>No</t>
        </is>
      </c>
      <c r="I2156" t="inlineStr">
        <is>
          <t>No</t>
        </is>
      </c>
      <c r="J2156" t="inlineStr">
        <is>
          <t>0</t>
        </is>
      </c>
      <c r="K2156" t="inlineStr">
        <is>
          <t>Thornton, Richard C.</t>
        </is>
      </c>
      <c r="L2156" t="inlineStr">
        <is>
          <t>New York : Paragon House, 1989.</t>
        </is>
      </c>
      <c r="M2156" t="inlineStr">
        <is>
          <t>1989</t>
        </is>
      </c>
      <c r="N2156" t="inlineStr">
        <is>
          <t>1st ed.</t>
        </is>
      </c>
      <c r="O2156" t="inlineStr">
        <is>
          <t>eng</t>
        </is>
      </c>
      <c r="P2156" t="inlineStr">
        <is>
          <t>nyu</t>
        </is>
      </c>
      <c r="R2156" t="inlineStr">
        <is>
          <t xml:space="preserve">E  </t>
        </is>
      </c>
      <c r="S2156" t="n">
        <v>12</v>
      </c>
      <c r="T2156" t="n">
        <v>12</v>
      </c>
      <c r="U2156" t="inlineStr">
        <is>
          <t>1996-09-21</t>
        </is>
      </c>
      <c r="V2156" t="inlineStr">
        <is>
          <t>1996-09-21</t>
        </is>
      </c>
      <c r="W2156" t="inlineStr">
        <is>
          <t>1990-08-15</t>
        </is>
      </c>
      <c r="X2156" t="inlineStr">
        <is>
          <t>1990-08-15</t>
        </is>
      </c>
      <c r="Y2156" t="n">
        <v>463</v>
      </c>
      <c r="Z2156" t="n">
        <v>415</v>
      </c>
      <c r="AA2156" t="n">
        <v>489</v>
      </c>
      <c r="AB2156" t="n">
        <v>4</v>
      </c>
      <c r="AC2156" t="n">
        <v>4</v>
      </c>
      <c r="AD2156" t="n">
        <v>22</v>
      </c>
      <c r="AE2156" t="n">
        <v>25</v>
      </c>
      <c r="AF2156" t="n">
        <v>7</v>
      </c>
      <c r="AG2156" t="n">
        <v>8</v>
      </c>
      <c r="AH2156" t="n">
        <v>5</v>
      </c>
      <c r="AI2156" t="n">
        <v>6</v>
      </c>
      <c r="AJ2156" t="n">
        <v>9</v>
      </c>
      <c r="AK2156" t="n">
        <v>11</v>
      </c>
      <c r="AL2156" t="n">
        <v>3</v>
      </c>
      <c r="AM2156" t="n">
        <v>3</v>
      </c>
      <c r="AN2156" t="n">
        <v>1</v>
      </c>
      <c r="AO2156" t="n">
        <v>1</v>
      </c>
      <c r="AP2156" t="inlineStr">
        <is>
          <t>No</t>
        </is>
      </c>
      <c r="AQ2156" t="inlineStr">
        <is>
          <t>Yes</t>
        </is>
      </c>
      <c r="AR2156">
        <f>HYPERLINK("http://catalog.hathitrust.org/Record/002054640","HathiTrust Record")</f>
        <v/>
      </c>
      <c r="AS2156">
        <f>HYPERLINK("https://creighton-primo.hosted.exlibrisgroup.com/primo-explore/search?tab=default_tab&amp;search_scope=EVERYTHING&amp;vid=01CRU&amp;lang=en_US&amp;offset=0&amp;query=any,contains,991001577859702656","Catalog Record")</f>
        <v/>
      </c>
      <c r="AT2156">
        <f>HYPERLINK("http://www.worldcat.org/oclc/20453666","WorldCat Record")</f>
        <v/>
      </c>
      <c r="AU2156" t="inlineStr">
        <is>
          <t>22012270:eng</t>
        </is>
      </c>
      <c r="AV2156" t="inlineStr">
        <is>
          <t>20453666</t>
        </is>
      </c>
      <c r="AW2156" t="inlineStr">
        <is>
          <t>991001577859702656</t>
        </is>
      </c>
      <c r="AX2156" t="inlineStr">
        <is>
          <t>991001577859702656</t>
        </is>
      </c>
      <c r="AY2156" t="inlineStr">
        <is>
          <t>2255796310002656</t>
        </is>
      </c>
      <c r="AZ2156" t="inlineStr">
        <is>
          <t>BOOK</t>
        </is>
      </c>
      <c r="BB2156" t="inlineStr">
        <is>
          <t>9780887020513</t>
        </is>
      </c>
      <c r="BC2156" t="inlineStr">
        <is>
          <t>32285000243658</t>
        </is>
      </c>
      <c r="BD2156" t="inlineStr">
        <is>
          <t>893408216</t>
        </is>
      </c>
    </row>
    <row r="2157">
      <c r="A2157" t="inlineStr">
        <is>
          <t>No</t>
        </is>
      </c>
      <c r="B2157" t="inlineStr">
        <is>
          <t>E855 .V34</t>
        </is>
      </c>
      <c r="C2157" t="inlineStr">
        <is>
          <t>0                      E  0855000V  34</t>
        </is>
      </c>
      <c r="D2157" t="inlineStr">
        <is>
          <t>Nixon's quest for peace.</t>
        </is>
      </c>
      <c r="F2157" t="inlineStr">
        <is>
          <t>No</t>
        </is>
      </c>
      <c r="G2157" t="inlineStr">
        <is>
          <t>1</t>
        </is>
      </c>
      <c r="H2157" t="inlineStr">
        <is>
          <t>No</t>
        </is>
      </c>
      <c r="I2157" t="inlineStr">
        <is>
          <t>No</t>
        </is>
      </c>
      <c r="J2157" t="inlineStr">
        <is>
          <t>0</t>
        </is>
      </c>
      <c r="K2157" t="inlineStr">
        <is>
          <t>Van der Linden, Frank.</t>
        </is>
      </c>
      <c r="L2157" t="inlineStr">
        <is>
          <t>Washington : R. B. Luce, [1972]</t>
        </is>
      </c>
      <c r="M2157" t="inlineStr">
        <is>
          <t>1972</t>
        </is>
      </c>
      <c r="O2157" t="inlineStr">
        <is>
          <t>eng</t>
        </is>
      </c>
      <c r="P2157" t="inlineStr">
        <is>
          <t>dcu</t>
        </is>
      </c>
      <c r="R2157" t="inlineStr">
        <is>
          <t xml:space="preserve">E  </t>
        </is>
      </c>
      <c r="S2157" t="n">
        <v>11</v>
      </c>
      <c r="T2157" t="n">
        <v>11</v>
      </c>
      <c r="U2157" t="inlineStr">
        <is>
          <t>1999-04-27</t>
        </is>
      </c>
      <c r="V2157" t="inlineStr">
        <is>
          <t>1999-04-27</t>
        </is>
      </c>
      <c r="W2157" t="inlineStr">
        <is>
          <t>1991-04-10</t>
        </is>
      </c>
      <c r="X2157" t="inlineStr">
        <is>
          <t>1991-04-10</t>
        </is>
      </c>
      <c r="Y2157" t="n">
        <v>644</v>
      </c>
      <c r="Z2157" t="n">
        <v>597</v>
      </c>
      <c r="AA2157" t="n">
        <v>599</v>
      </c>
      <c r="AB2157" t="n">
        <v>5</v>
      </c>
      <c r="AC2157" t="n">
        <v>5</v>
      </c>
      <c r="AD2157" t="n">
        <v>25</v>
      </c>
      <c r="AE2157" t="n">
        <v>25</v>
      </c>
      <c r="AF2157" t="n">
        <v>9</v>
      </c>
      <c r="AG2157" t="n">
        <v>9</v>
      </c>
      <c r="AH2157" t="n">
        <v>5</v>
      </c>
      <c r="AI2157" t="n">
        <v>5</v>
      </c>
      <c r="AJ2157" t="n">
        <v>12</v>
      </c>
      <c r="AK2157" t="n">
        <v>12</v>
      </c>
      <c r="AL2157" t="n">
        <v>4</v>
      </c>
      <c r="AM2157" t="n">
        <v>4</v>
      </c>
      <c r="AN2157" t="n">
        <v>0</v>
      </c>
      <c r="AO2157" t="n">
        <v>0</v>
      </c>
      <c r="AP2157" t="inlineStr">
        <is>
          <t>No</t>
        </is>
      </c>
      <c r="AQ2157" t="inlineStr">
        <is>
          <t>Yes</t>
        </is>
      </c>
      <c r="AR2157">
        <f>HYPERLINK("http://catalog.hathitrust.org/Record/000006458","HathiTrust Record")</f>
        <v/>
      </c>
      <c r="AS2157">
        <f>HYPERLINK("https://creighton-primo.hosted.exlibrisgroup.com/primo-explore/search?tab=default_tab&amp;search_scope=EVERYTHING&amp;vid=01CRU&amp;lang=en_US&amp;offset=0&amp;query=any,contains,991004239159702656","Catalog Record")</f>
        <v/>
      </c>
      <c r="AT2157">
        <f>HYPERLINK("http://www.worldcat.org/oclc/2780183","WorldCat Record")</f>
        <v/>
      </c>
      <c r="AU2157" t="inlineStr">
        <is>
          <t>6092387:eng</t>
        </is>
      </c>
      <c r="AV2157" t="inlineStr">
        <is>
          <t>2780183</t>
        </is>
      </c>
      <c r="AW2157" t="inlineStr">
        <is>
          <t>991004239159702656</t>
        </is>
      </c>
      <c r="AX2157" t="inlineStr">
        <is>
          <t>991004239159702656</t>
        </is>
      </c>
      <c r="AY2157" t="inlineStr">
        <is>
          <t>2262885070002656</t>
        </is>
      </c>
      <c r="AZ2157" t="inlineStr">
        <is>
          <t>BOOK</t>
        </is>
      </c>
      <c r="BC2157" t="inlineStr">
        <is>
          <t>32285000580257</t>
        </is>
      </c>
      <c r="BD2157" t="inlineStr">
        <is>
          <t>893788460</t>
        </is>
      </c>
    </row>
    <row r="2158">
      <c r="A2158" t="inlineStr">
        <is>
          <t>No</t>
        </is>
      </c>
      <c r="B2158" t="inlineStr">
        <is>
          <t>E856 .A25 1984</t>
        </is>
      </c>
      <c r="C2158" t="inlineStr">
        <is>
          <t>0                      E  0856000A  25          1984</t>
        </is>
      </c>
      <c r="D2158" t="inlineStr">
        <is>
          <t>Exile : the unquiet oblivion of Richard M. Nixon / Robert Sam Anson.</t>
        </is>
      </c>
      <c r="F2158" t="inlineStr">
        <is>
          <t>No</t>
        </is>
      </c>
      <c r="G2158" t="inlineStr">
        <is>
          <t>1</t>
        </is>
      </c>
      <c r="H2158" t="inlineStr">
        <is>
          <t>No</t>
        </is>
      </c>
      <c r="I2158" t="inlineStr">
        <is>
          <t>No</t>
        </is>
      </c>
      <c r="J2158" t="inlineStr">
        <is>
          <t>0</t>
        </is>
      </c>
      <c r="K2158" t="inlineStr">
        <is>
          <t>Anson, Robert Sam, 1945-</t>
        </is>
      </c>
      <c r="L2158" t="inlineStr">
        <is>
          <t>New York, N.Y. : Simon and Schuster, c1984.</t>
        </is>
      </c>
      <c r="M2158" t="inlineStr">
        <is>
          <t>1984</t>
        </is>
      </c>
      <c r="O2158" t="inlineStr">
        <is>
          <t>eng</t>
        </is>
      </c>
      <c r="P2158" t="inlineStr">
        <is>
          <t>nyu</t>
        </is>
      </c>
      <c r="R2158" t="inlineStr">
        <is>
          <t xml:space="preserve">E  </t>
        </is>
      </c>
      <c r="S2158" t="n">
        <v>3</v>
      </c>
      <c r="T2158" t="n">
        <v>3</v>
      </c>
      <c r="U2158" t="inlineStr">
        <is>
          <t>1998-11-24</t>
        </is>
      </c>
      <c r="V2158" t="inlineStr">
        <is>
          <t>1998-11-24</t>
        </is>
      </c>
      <c r="W2158" t="inlineStr">
        <is>
          <t>1991-06-25</t>
        </is>
      </c>
      <c r="X2158" t="inlineStr">
        <is>
          <t>1991-06-25</t>
        </is>
      </c>
      <c r="Y2158" t="n">
        <v>1146</v>
      </c>
      <c r="Z2158" t="n">
        <v>1076</v>
      </c>
      <c r="AA2158" t="n">
        <v>1092</v>
      </c>
      <c r="AB2158" t="n">
        <v>7</v>
      </c>
      <c r="AC2158" t="n">
        <v>7</v>
      </c>
      <c r="AD2158" t="n">
        <v>33</v>
      </c>
      <c r="AE2158" t="n">
        <v>33</v>
      </c>
      <c r="AF2158" t="n">
        <v>13</v>
      </c>
      <c r="AG2158" t="n">
        <v>13</v>
      </c>
      <c r="AH2158" t="n">
        <v>7</v>
      </c>
      <c r="AI2158" t="n">
        <v>7</v>
      </c>
      <c r="AJ2158" t="n">
        <v>19</v>
      </c>
      <c r="AK2158" t="n">
        <v>19</v>
      </c>
      <c r="AL2158" t="n">
        <v>4</v>
      </c>
      <c r="AM2158" t="n">
        <v>4</v>
      </c>
      <c r="AN2158" t="n">
        <v>0</v>
      </c>
      <c r="AO2158" t="n">
        <v>0</v>
      </c>
      <c r="AP2158" t="inlineStr">
        <is>
          <t>No</t>
        </is>
      </c>
      <c r="AQ2158" t="inlineStr">
        <is>
          <t>Yes</t>
        </is>
      </c>
      <c r="AR2158">
        <f>HYPERLINK("http://catalog.hathitrust.org/Record/000120894","HathiTrust Record")</f>
        <v/>
      </c>
      <c r="AS2158">
        <f>HYPERLINK("https://creighton-primo.hosted.exlibrisgroup.com/primo-explore/search?tab=default_tab&amp;search_scope=EVERYTHING&amp;vid=01CRU&amp;lang=en_US&amp;offset=0&amp;query=any,contains,991000418049702656","Catalog Record")</f>
        <v/>
      </c>
      <c r="AT2158">
        <f>HYPERLINK("http://www.worldcat.org/oclc/10726661","WorldCat Record")</f>
        <v/>
      </c>
      <c r="AU2158" t="inlineStr">
        <is>
          <t>3503110:eng</t>
        </is>
      </c>
      <c r="AV2158" t="inlineStr">
        <is>
          <t>10726661</t>
        </is>
      </c>
      <c r="AW2158" t="inlineStr">
        <is>
          <t>991000418049702656</t>
        </is>
      </c>
      <c r="AX2158" t="inlineStr">
        <is>
          <t>991000418049702656</t>
        </is>
      </c>
      <c r="AY2158" t="inlineStr">
        <is>
          <t>2264175970002656</t>
        </is>
      </c>
      <c r="AZ2158" t="inlineStr">
        <is>
          <t>BOOK</t>
        </is>
      </c>
      <c r="BB2158" t="inlineStr">
        <is>
          <t>9780671440213</t>
        </is>
      </c>
      <c r="BC2158" t="inlineStr">
        <is>
          <t>32285000671205</t>
        </is>
      </c>
      <c r="BD2158" t="inlineStr">
        <is>
          <t>893884361</t>
        </is>
      </c>
    </row>
    <row r="2159">
      <c r="A2159" t="inlineStr">
        <is>
          <t>No</t>
        </is>
      </c>
      <c r="B2159" t="inlineStr">
        <is>
          <t>E856 .A65 1978</t>
        </is>
      </c>
      <c r="C2159" t="inlineStr">
        <is>
          <t>0                      E  0856000A  65          1978</t>
        </is>
      </c>
      <c r="D2159" t="inlineStr">
        <is>
          <t>Nixon vs. Nixon : an emotional tragedy / by David Abrahamsen. --</t>
        </is>
      </c>
      <c r="F2159" t="inlineStr">
        <is>
          <t>No</t>
        </is>
      </c>
      <c r="G2159" t="inlineStr">
        <is>
          <t>1</t>
        </is>
      </c>
      <c r="H2159" t="inlineStr">
        <is>
          <t>No</t>
        </is>
      </c>
      <c r="I2159" t="inlineStr">
        <is>
          <t>Yes</t>
        </is>
      </c>
      <c r="J2159" t="inlineStr">
        <is>
          <t>0</t>
        </is>
      </c>
      <c r="K2159" t="inlineStr">
        <is>
          <t>Abrahamsen, David, 1903-2002.</t>
        </is>
      </c>
      <c r="L2159" t="inlineStr">
        <is>
          <t>New York : New American Library, 1978.</t>
        </is>
      </c>
      <c r="M2159" t="inlineStr">
        <is>
          <t>1978</t>
        </is>
      </c>
      <c r="O2159" t="inlineStr">
        <is>
          <t>eng</t>
        </is>
      </c>
      <c r="P2159" t="inlineStr">
        <is>
          <t>nyu</t>
        </is>
      </c>
      <c r="R2159" t="inlineStr">
        <is>
          <t xml:space="preserve">E  </t>
        </is>
      </c>
      <c r="S2159" t="n">
        <v>8</v>
      </c>
      <c r="T2159" t="n">
        <v>8</v>
      </c>
      <c r="U2159" t="inlineStr">
        <is>
          <t>2002-04-15</t>
        </is>
      </c>
      <c r="V2159" t="inlineStr">
        <is>
          <t>2002-04-15</t>
        </is>
      </c>
      <c r="W2159" t="inlineStr">
        <is>
          <t>1991-06-25</t>
        </is>
      </c>
      <c r="X2159" t="inlineStr">
        <is>
          <t>1991-06-25</t>
        </is>
      </c>
      <c r="Y2159" t="n">
        <v>33</v>
      </c>
      <c r="Z2159" t="n">
        <v>31</v>
      </c>
      <c r="AA2159" t="n">
        <v>777</v>
      </c>
      <c r="AB2159" t="n">
        <v>1</v>
      </c>
      <c r="AC2159" t="n">
        <v>6</v>
      </c>
      <c r="AD2159" t="n">
        <v>1</v>
      </c>
      <c r="AE2159" t="n">
        <v>25</v>
      </c>
      <c r="AF2159" t="n">
        <v>0</v>
      </c>
      <c r="AG2159" t="n">
        <v>7</v>
      </c>
      <c r="AH2159" t="n">
        <v>0</v>
      </c>
      <c r="AI2159" t="n">
        <v>6</v>
      </c>
      <c r="AJ2159" t="n">
        <v>1</v>
      </c>
      <c r="AK2159" t="n">
        <v>10</v>
      </c>
      <c r="AL2159" t="n">
        <v>0</v>
      </c>
      <c r="AM2159" t="n">
        <v>5</v>
      </c>
      <c r="AN2159" t="n">
        <v>0</v>
      </c>
      <c r="AO2159" t="n">
        <v>2</v>
      </c>
      <c r="AP2159" t="inlineStr">
        <is>
          <t>No</t>
        </is>
      </c>
      <c r="AQ2159" t="inlineStr">
        <is>
          <t>No</t>
        </is>
      </c>
      <c r="AS2159">
        <f>HYPERLINK("https://creighton-primo.hosted.exlibrisgroup.com/primo-explore/search?tab=default_tab&amp;search_scope=EVERYTHING&amp;vid=01CRU&amp;lang=en_US&amp;offset=0&amp;query=any,contains,991004548009702656","Catalog Record")</f>
        <v/>
      </c>
      <c r="AT2159">
        <f>HYPERLINK("http://www.worldcat.org/oclc/3921732","WorldCat Record")</f>
        <v/>
      </c>
      <c r="AU2159" t="inlineStr">
        <is>
          <t>289131036:eng</t>
        </is>
      </c>
      <c r="AV2159" t="inlineStr">
        <is>
          <t>3921732</t>
        </is>
      </c>
      <c r="AW2159" t="inlineStr">
        <is>
          <t>991004548009702656</t>
        </is>
      </c>
      <c r="AX2159" t="inlineStr">
        <is>
          <t>991004548009702656</t>
        </is>
      </c>
      <c r="AY2159" t="inlineStr">
        <is>
          <t>2266678890002656</t>
        </is>
      </c>
      <c r="AZ2159" t="inlineStr">
        <is>
          <t>BOOK</t>
        </is>
      </c>
      <c r="BC2159" t="inlineStr">
        <is>
          <t>32285000671221</t>
        </is>
      </c>
      <c r="BD2159" t="inlineStr">
        <is>
          <t>893343973</t>
        </is>
      </c>
    </row>
    <row r="2160">
      <c r="A2160" t="inlineStr">
        <is>
          <t>No</t>
        </is>
      </c>
      <c r="B2160" t="inlineStr">
        <is>
          <t>E856 .A68 1993</t>
        </is>
      </c>
      <c r="C2160" t="inlineStr">
        <is>
          <t>0                      E  0856000A  68          1993</t>
        </is>
      </c>
      <c r="D2160" t="inlineStr">
        <is>
          <t>Nixon--a life / Jonathan Aitken.</t>
        </is>
      </c>
      <c r="F2160" t="inlineStr">
        <is>
          <t>No</t>
        </is>
      </c>
      <c r="G2160" t="inlineStr">
        <is>
          <t>1</t>
        </is>
      </c>
      <c r="H2160" t="inlineStr">
        <is>
          <t>No</t>
        </is>
      </c>
      <c r="I2160" t="inlineStr">
        <is>
          <t>No</t>
        </is>
      </c>
      <c r="J2160" t="inlineStr">
        <is>
          <t>0</t>
        </is>
      </c>
      <c r="K2160" t="inlineStr">
        <is>
          <t>Aitken, Jonathan, 1942-</t>
        </is>
      </c>
      <c r="L2160" t="inlineStr">
        <is>
          <t>Washington, D.C. : Regnery Pub. ; Lanham, MD : Distributed to the trade by National Book Network, c1993.</t>
        </is>
      </c>
      <c r="M2160" t="inlineStr">
        <is>
          <t>1993</t>
        </is>
      </c>
      <c r="O2160" t="inlineStr">
        <is>
          <t>eng</t>
        </is>
      </c>
      <c r="P2160" t="inlineStr">
        <is>
          <t>dcu</t>
        </is>
      </c>
      <c r="R2160" t="inlineStr">
        <is>
          <t xml:space="preserve">E  </t>
        </is>
      </c>
      <c r="S2160" t="n">
        <v>10</v>
      </c>
      <c r="T2160" t="n">
        <v>10</v>
      </c>
      <c r="U2160" t="inlineStr">
        <is>
          <t>2005-02-24</t>
        </is>
      </c>
      <c r="V2160" t="inlineStr">
        <is>
          <t>2005-02-24</t>
        </is>
      </c>
      <c r="W2160" t="inlineStr">
        <is>
          <t>1994-07-25</t>
        </is>
      </c>
      <c r="X2160" t="inlineStr">
        <is>
          <t>1994-07-25</t>
        </is>
      </c>
      <c r="Y2160" t="n">
        <v>1466</v>
      </c>
      <c r="Z2160" t="n">
        <v>1413</v>
      </c>
      <c r="AA2160" t="n">
        <v>1536</v>
      </c>
      <c r="AB2160" t="n">
        <v>15</v>
      </c>
      <c r="AC2160" t="n">
        <v>16</v>
      </c>
      <c r="AD2160" t="n">
        <v>39</v>
      </c>
      <c r="AE2160" t="n">
        <v>44</v>
      </c>
      <c r="AF2160" t="n">
        <v>16</v>
      </c>
      <c r="AG2160" t="n">
        <v>17</v>
      </c>
      <c r="AH2160" t="n">
        <v>6</v>
      </c>
      <c r="AI2160" t="n">
        <v>7</v>
      </c>
      <c r="AJ2160" t="n">
        <v>16</v>
      </c>
      <c r="AK2160" t="n">
        <v>19</v>
      </c>
      <c r="AL2160" t="n">
        <v>7</v>
      </c>
      <c r="AM2160" t="n">
        <v>8</v>
      </c>
      <c r="AN2160" t="n">
        <v>0</v>
      </c>
      <c r="AO2160" t="n">
        <v>1</v>
      </c>
      <c r="AP2160" t="inlineStr">
        <is>
          <t>No</t>
        </is>
      </c>
      <c r="AQ2160" t="inlineStr">
        <is>
          <t>Yes</t>
        </is>
      </c>
      <c r="AR2160">
        <f>HYPERLINK("http://catalog.hathitrust.org/Record/002873243","HathiTrust Record")</f>
        <v/>
      </c>
      <c r="AS2160">
        <f>HYPERLINK("https://creighton-primo.hosted.exlibrisgroup.com/primo-explore/search?tab=default_tab&amp;search_scope=EVERYTHING&amp;vid=01CRU&amp;lang=en_US&amp;offset=0&amp;query=any,contains,991002301019702656","Catalog Record")</f>
        <v/>
      </c>
      <c r="AT2160">
        <f>HYPERLINK("http://www.worldcat.org/oclc/29846682","WorldCat Record")</f>
        <v/>
      </c>
      <c r="AU2160" t="inlineStr">
        <is>
          <t>1808610895:eng</t>
        </is>
      </c>
      <c r="AV2160" t="inlineStr">
        <is>
          <t>29846682</t>
        </is>
      </c>
      <c r="AW2160" t="inlineStr">
        <is>
          <t>991002301019702656</t>
        </is>
      </c>
      <c r="AX2160" t="inlineStr">
        <is>
          <t>991002301019702656</t>
        </is>
      </c>
      <c r="AY2160" t="inlineStr">
        <is>
          <t>2265979010002656</t>
        </is>
      </c>
      <c r="AZ2160" t="inlineStr">
        <is>
          <t>BOOK</t>
        </is>
      </c>
      <c r="BB2160" t="inlineStr">
        <is>
          <t>9780895264893</t>
        </is>
      </c>
      <c r="BC2160" t="inlineStr">
        <is>
          <t>32285001933463</t>
        </is>
      </c>
      <c r="BD2160" t="inlineStr">
        <is>
          <t>893534949</t>
        </is>
      </c>
    </row>
    <row r="2161">
      <c r="A2161" t="inlineStr">
        <is>
          <t>No</t>
        </is>
      </c>
      <c r="B2161" t="inlineStr">
        <is>
          <t>E856 .D4</t>
        </is>
      </c>
      <c r="C2161" t="inlineStr">
        <is>
          <t>0                      E  0856000D  4</t>
        </is>
      </c>
      <c r="D2161" t="inlineStr">
        <is>
          <t>One man alone, Richard Nixon.</t>
        </is>
      </c>
      <c r="F2161" t="inlineStr">
        <is>
          <t>No</t>
        </is>
      </c>
      <c r="G2161" t="inlineStr">
        <is>
          <t>1</t>
        </is>
      </c>
      <c r="H2161" t="inlineStr">
        <is>
          <t>No</t>
        </is>
      </c>
      <c r="I2161" t="inlineStr">
        <is>
          <t>No</t>
        </is>
      </c>
      <c r="J2161" t="inlineStr">
        <is>
          <t>0</t>
        </is>
      </c>
      <c r="K2161" t="inlineStr">
        <is>
          <t>Toledano, Ralph de, 1916-2007.</t>
        </is>
      </c>
      <c r="L2161" t="inlineStr">
        <is>
          <t>New York : Funk &amp; Wagnalls, [1969]</t>
        </is>
      </c>
      <c r="M2161" t="inlineStr">
        <is>
          <t>1969</t>
        </is>
      </c>
      <c r="O2161" t="inlineStr">
        <is>
          <t>eng</t>
        </is>
      </c>
      <c r="P2161" t="inlineStr">
        <is>
          <t>nyu</t>
        </is>
      </c>
      <c r="R2161" t="inlineStr">
        <is>
          <t xml:space="preserve">E  </t>
        </is>
      </c>
      <c r="S2161" t="n">
        <v>6</v>
      </c>
      <c r="T2161" t="n">
        <v>6</v>
      </c>
      <c r="U2161" t="inlineStr">
        <is>
          <t>2002-04-15</t>
        </is>
      </c>
      <c r="V2161" t="inlineStr">
        <is>
          <t>2002-04-15</t>
        </is>
      </c>
      <c r="W2161" t="inlineStr">
        <is>
          <t>1991-02-25</t>
        </is>
      </c>
      <c r="X2161" t="inlineStr">
        <is>
          <t>1991-02-25</t>
        </is>
      </c>
      <c r="Y2161" t="n">
        <v>845</v>
      </c>
      <c r="Z2161" t="n">
        <v>795</v>
      </c>
      <c r="AA2161" t="n">
        <v>804</v>
      </c>
      <c r="AB2161" t="n">
        <v>8</v>
      </c>
      <c r="AC2161" t="n">
        <v>8</v>
      </c>
      <c r="AD2161" t="n">
        <v>26</v>
      </c>
      <c r="AE2161" t="n">
        <v>26</v>
      </c>
      <c r="AF2161" t="n">
        <v>9</v>
      </c>
      <c r="AG2161" t="n">
        <v>9</v>
      </c>
      <c r="AH2161" t="n">
        <v>3</v>
      </c>
      <c r="AI2161" t="n">
        <v>3</v>
      </c>
      <c r="AJ2161" t="n">
        <v>12</v>
      </c>
      <c r="AK2161" t="n">
        <v>12</v>
      </c>
      <c r="AL2161" t="n">
        <v>7</v>
      </c>
      <c r="AM2161" t="n">
        <v>7</v>
      </c>
      <c r="AN2161" t="n">
        <v>0</v>
      </c>
      <c r="AO2161" t="n">
        <v>0</v>
      </c>
      <c r="AP2161" t="inlineStr">
        <is>
          <t>No</t>
        </is>
      </c>
      <c r="AQ2161" t="inlineStr">
        <is>
          <t>Yes</t>
        </is>
      </c>
      <c r="AR2161">
        <f>HYPERLINK("http://catalog.hathitrust.org/Record/000576001","HathiTrust Record")</f>
        <v/>
      </c>
      <c r="AS2161">
        <f>HYPERLINK("https://creighton-primo.hosted.exlibrisgroup.com/primo-explore/search?tab=default_tab&amp;search_scope=EVERYTHING&amp;vid=01CRU&amp;lang=en_US&amp;offset=0&amp;query=any,contains,991000065639702656","Catalog Record")</f>
        <v/>
      </c>
      <c r="AT2161">
        <f>HYPERLINK("http://www.worldcat.org/oclc/26365","WorldCat Record")</f>
        <v/>
      </c>
      <c r="AU2161" t="inlineStr">
        <is>
          <t>4160063363:eng</t>
        </is>
      </c>
      <c r="AV2161" t="inlineStr">
        <is>
          <t>26365</t>
        </is>
      </c>
      <c r="AW2161" t="inlineStr">
        <is>
          <t>991000065639702656</t>
        </is>
      </c>
      <c r="AX2161" t="inlineStr">
        <is>
          <t>991000065639702656</t>
        </is>
      </c>
      <c r="AY2161" t="inlineStr">
        <is>
          <t>2265645200002656</t>
        </is>
      </c>
      <c r="AZ2161" t="inlineStr">
        <is>
          <t>BOOK</t>
        </is>
      </c>
      <c r="BC2161" t="inlineStr">
        <is>
          <t>32285000515774</t>
        </is>
      </c>
      <c r="BD2161" t="inlineStr">
        <is>
          <t>893419162</t>
        </is>
      </c>
    </row>
    <row r="2162">
      <c r="A2162" t="inlineStr">
        <is>
          <t>No</t>
        </is>
      </c>
      <c r="B2162" t="inlineStr">
        <is>
          <t>E856 .H86 1997</t>
        </is>
      </c>
      <c r="C2162" t="inlineStr">
        <is>
          <t>0                      E  0856000H  86          1997</t>
        </is>
      </c>
      <c r="D2162" t="inlineStr">
        <is>
          <t>Nixon's ten commandments of statecraft / James C. Humes.</t>
        </is>
      </c>
      <c r="F2162" t="inlineStr">
        <is>
          <t>No</t>
        </is>
      </c>
      <c r="G2162" t="inlineStr">
        <is>
          <t>1</t>
        </is>
      </c>
      <c r="H2162" t="inlineStr">
        <is>
          <t>No</t>
        </is>
      </c>
      <c r="I2162" t="inlineStr">
        <is>
          <t>No</t>
        </is>
      </c>
      <c r="J2162" t="inlineStr">
        <is>
          <t>0</t>
        </is>
      </c>
      <c r="K2162" t="inlineStr">
        <is>
          <t>Humes, James C.</t>
        </is>
      </c>
      <c r="L2162" t="inlineStr">
        <is>
          <t>New York : Scribner, c1997.</t>
        </is>
      </c>
      <c r="M2162" t="inlineStr">
        <is>
          <t>1997</t>
        </is>
      </c>
      <c r="O2162" t="inlineStr">
        <is>
          <t>eng</t>
        </is>
      </c>
      <c r="P2162" t="inlineStr">
        <is>
          <t>nyu</t>
        </is>
      </c>
      <c r="R2162" t="inlineStr">
        <is>
          <t xml:space="preserve">E  </t>
        </is>
      </c>
      <c r="S2162" t="n">
        <v>3</v>
      </c>
      <c r="T2162" t="n">
        <v>3</v>
      </c>
      <c r="U2162" t="inlineStr">
        <is>
          <t>1999-04-27</t>
        </is>
      </c>
      <c r="V2162" t="inlineStr">
        <is>
          <t>1999-04-27</t>
        </is>
      </c>
      <c r="W2162" t="inlineStr">
        <is>
          <t>1997-11-17</t>
        </is>
      </c>
      <c r="X2162" t="inlineStr">
        <is>
          <t>1997-11-17</t>
        </is>
      </c>
      <c r="Y2162" t="n">
        <v>444</v>
      </c>
      <c r="Z2162" t="n">
        <v>413</v>
      </c>
      <c r="AA2162" t="n">
        <v>421</v>
      </c>
      <c r="AB2162" t="n">
        <v>3</v>
      </c>
      <c r="AC2162" t="n">
        <v>3</v>
      </c>
      <c r="AD2162" t="n">
        <v>16</v>
      </c>
      <c r="AE2162" t="n">
        <v>16</v>
      </c>
      <c r="AF2162" t="n">
        <v>5</v>
      </c>
      <c r="AG2162" t="n">
        <v>5</v>
      </c>
      <c r="AH2162" t="n">
        <v>4</v>
      </c>
      <c r="AI2162" t="n">
        <v>4</v>
      </c>
      <c r="AJ2162" t="n">
        <v>8</v>
      </c>
      <c r="AK2162" t="n">
        <v>8</v>
      </c>
      <c r="AL2162" t="n">
        <v>2</v>
      </c>
      <c r="AM2162" t="n">
        <v>2</v>
      </c>
      <c r="AN2162" t="n">
        <v>0</v>
      </c>
      <c r="AO2162" t="n">
        <v>0</v>
      </c>
      <c r="AP2162" t="inlineStr">
        <is>
          <t>No</t>
        </is>
      </c>
      <c r="AQ2162" t="inlineStr">
        <is>
          <t>Yes</t>
        </is>
      </c>
      <c r="AR2162">
        <f>HYPERLINK("http://catalog.hathitrust.org/Record/003946092","HathiTrust Record")</f>
        <v/>
      </c>
      <c r="AS2162">
        <f>HYPERLINK("https://creighton-primo.hosted.exlibrisgroup.com/primo-explore/search?tab=default_tab&amp;search_scope=EVERYTHING&amp;vid=01CRU&amp;lang=en_US&amp;offset=0&amp;query=any,contains,991002814269702656","Catalog Record")</f>
        <v/>
      </c>
      <c r="AT2162">
        <f>HYPERLINK("http://www.worldcat.org/oclc/36969677","WorldCat Record")</f>
        <v/>
      </c>
      <c r="AU2162" t="inlineStr">
        <is>
          <t>572657:eng</t>
        </is>
      </c>
      <c r="AV2162" t="inlineStr">
        <is>
          <t>36969677</t>
        </is>
      </c>
      <c r="AW2162" t="inlineStr">
        <is>
          <t>991002814269702656</t>
        </is>
      </c>
      <c r="AX2162" t="inlineStr">
        <is>
          <t>991002814269702656</t>
        </is>
      </c>
      <c r="AY2162" t="inlineStr">
        <is>
          <t>2271055820002656</t>
        </is>
      </c>
      <c r="AZ2162" t="inlineStr">
        <is>
          <t>BOOK</t>
        </is>
      </c>
      <c r="BB2162" t="inlineStr">
        <is>
          <t>9780684837956</t>
        </is>
      </c>
      <c r="BC2162" t="inlineStr">
        <is>
          <t>32285003270559</t>
        </is>
      </c>
      <c r="BD2162" t="inlineStr">
        <is>
          <t>893498570</t>
        </is>
      </c>
    </row>
    <row r="2163">
      <c r="A2163" t="inlineStr">
        <is>
          <t>No</t>
        </is>
      </c>
      <c r="B2163" t="inlineStr">
        <is>
          <t>E856 .M26 1973</t>
        </is>
      </c>
      <c r="C2163" t="inlineStr">
        <is>
          <t>0                      E  0856000M  26          1973</t>
        </is>
      </c>
      <c r="D2163" t="inlineStr">
        <is>
          <t>Perfectly clear : Nixon from Whittier to Watergate.</t>
        </is>
      </c>
      <c r="F2163" t="inlineStr">
        <is>
          <t>No</t>
        </is>
      </c>
      <c r="G2163" t="inlineStr">
        <is>
          <t>1</t>
        </is>
      </c>
      <c r="H2163" t="inlineStr">
        <is>
          <t>No</t>
        </is>
      </c>
      <c r="I2163" t="inlineStr">
        <is>
          <t>No</t>
        </is>
      </c>
      <c r="J2163" t="inlineStr">
        <is>
          <t>0</t>
        </is>
      </c>
      <c r="K2163" t="inlineStr">
        <is>
          <t>Mankiewicz, Frank, 1924-2014.</t>
        </is>
      </c>
      <c r="L2163" t="inlineStr">
        <is>
          <t>[New York] Quadrangle [1973]</t>
        </is>
      </c>
      <c r="M2163" t="inlineStr">
        <is>
          <t>1973</t>
        </is>
      </c>
      <c r="O2163" t="inlineStr">
        <is>
          <t>eng</t>
        </is>
      </c>
      <c r="P2163" t="inlineStr">
        <is>
          <t>nyu</t>
        </is>
      </c>
      <c r="R2163" t="inlineStr">
        <is>
          <t xml:space="preserve">E  </t>
        </is>
      </c>
      <c r="S2163" t="n">
        <v>1</v>
      </c>
      <c r="T2163" t="n">
        <v>1</v>
      </c>
      <c r="U2163" t="inlineStr">
        <is>
          <t>2002-04-15</t>
        </is>
      </c>
      <c r="V2163" t="inlineStr">
        <is>
          <t>2002-04-15</t>
        </is>
      </c>
      <c r="W2163" t="inlineStr">
        <is>
          <t>1997-04-02</t>
        </is>
      </c>
      <c r="X2163" t="inlineStr">
        <is>
          <t>1997-04-02</t>
        </is>
      </c>
      <c r="Y2163" t="n">
        <v>1141</v>
      </c>
      <c r="Z2163" t="n">
        <v>1093</v>
      </c>
      <c r="AA2163" t="n">
        <v>1131</v>
      </c>
      <c r="AB2163" t="n">
        <v>9</v>
      </c>
      <c r="AC2163" t="n">
        <v>9</v>
      </c>
      <c r="AD2163" t="n">
        <v>29</v>
      </c>
      <c r="AE2163" t="n">
        <v>29</v>
      </c>
      <c r="AF2163" t="n">
        <v>7</v>
      </c>
      <c r="AG2163" t="n">
        <v>7</v>
      </c>
      <c r="AH2163" t="n">
        <v>3</v>
      </c>
      <c r="AI2163" t="n">
        <v>3</v>
      </c>
      <c r="AJ2163" t="n">
        <v>13</v>
      </c>
      <c r="AK2163" t="n">
        <v>13</v>
      </c>
      <c r="AL2163" t="n">
        <v>6</v>
      </c>
      <c r="AM2163" t="n">
        <v>6</v>
      </c>
      <c r="AN2163" t="n">
        <v>4</v>
      </c>
      <c r="AO2163" t="n">
        <v>4</v>
      </c>
      <c r="AP2163" t="inlineStr">
        <is>
          <t>No</t>
        </is>
      </c>
      <c r="AQ2163" t="inlineStr">
        <is>
          <t>No</t>
        </is>
      </c>
      <c r="AS2163">
        <f>HYPERLINK("https://creighton-primo.hosted.exlibrisgroup.com/primo-explore/search?tab=default_tab&amp;search_scope=EVERYTHING&amp;vid=01CRU&amp;lang=en_US&amp;offset=0&amp;query=any,contains,991003671549702656","Catalog Record")</f>
        <v/>
      </c>
      <c r="AT2163">
        <f>HYPERLINK("http://www.worldcat.org/oclc/1288991","WorldCat Record")</f>
        <v/>
      </c>
      <c r="AU2163" t="inlineStr">
        <is>
          <t>2159230:eng</t>
        </is>
      </c>
      <c r="AV2163" t="inlineStr">
        <is>
          <t>1288991</t>
        </is>
      </c>
      <c r="AW2163" t="inlineStr">
        <is>
          <t>991003671549702656</t>
        </is>
      </c>
      <c r="AX2163" t="inlineStr">
        <is>
          <t>991003671549702656</t>
        </is>
      </c>
      <c r="AY2163" t="inlineStr">
        <is>
          <t>2266791050002656</t>
        </is>
      </c>
      <c r="AZ2163" t="inlineStr">
        <is>
          <t>BOOK</t>
        </is>
      </c>
      <c r="BB2163" t="inlineStr">
        <is>
          <t>9780812904055</t>
        </is>
      </c>
      <c r="BC2163" t="inlineStr">
        <is>
          <t>32285002487238</t>
        </is>
      </c>
      <c r="BD2163" t="inlineStr">
        <is>
          <t>893318243</t>
        </is>
      </c>
    </row>
    <row r="2164">
      <c r="A2164" t="inlineStr">
        <is>
          <t>No</t>
        </is>
      </c>
      <c r="B2164" t="inlineStr">
        <is>
          <t>E856 .M27</t>
        </is>
      </c>
      <c r="C2164" t="inlineStr">
        <is>
          <t>0                      E  0856000M  27</t>
        </is>
      </c>
      <c r="D2164" t="inlineStr">
        <is>
          <t>In search of Nixon : a psychohistorical inquiry.</t>
        </is>
      </c>
      <c r="F2164" t="inlineStr">
        <is>
          <t>No</t>
        </is>
      </c>
      <c r="G2164" t="inlineStr">
        <is>
          <t>1</t>
        </is>
      </c>
      <c r="H2164" t="inlineStr">
        <is>
          <t>No</t>
        </is>
      </c>
      <c r="I2164" t="inlineStr">
        <is>
          <t>No</t>
        </is>
      </c>
      <c r="J2164" t="inlineStr">
        <is>
          <t>0</t>
        </is>
      </c>
      <c r="K2164" t="inlineStr">
        <is>
          <t>Mazlish, Bruce, 1923-2016.</t>
        </is>
      </c>
      <c r="L2164" t="inlineStr">
        <is>
          <t>New York : Basic Books, [1972]</t>
        </is>
      </c>
      <c r="M2164" t="inlineStr">
        <is>
          <t>1972</t>
        </is>
      </c>
      <c r="O2164" t="inlineStr">
        <is>
          <t>eng</t>
        </is>
      </c>
      <c r="P2164" t="inlineStr">
        <is>
          <t>nyu</t>
        </is>
      </c>
      <c r="R2164" t="inlineStr">
        <is>
          <t xml:space="preserve">E  </t>
        </is>
      </c>
      <c r="S2164" t="n">
        <v>9</v>
      </c>
      <c r="T2164" t="n">
        <v>9</v>
      </c>
      <c r="U2164" t="inlineStr">
        <is>
          <t>2002-04-15</t>
        </is>
      </c>
      <c r="V2164" t="inlineStr">
        <is>
          <t>2002-04-15</t>
        </is>
      </c>
      <c r="W2164" t="inlineStr">
        <is>
          <t>1991-05-16</t>
        </is>
      </c>
      <c r="X2164" t="inlineStr">
        <is>
          <t>1991-05-16</t>
        </is>
      </c>
      <c r="Y2164" t="n">
        <v>1081</v>
      </c>
      <c r="Z2164" t="n">
        <v>988</v>
      </c>
      <c r="AA2164" t="n">
        <v>1144</v>
      </c>
      <c r="AB2164" t="n">
        <v>10</v>
      </c>
      <c r="AC2164" t="n">
        <v>10</v>
      </c>
      <c r="AD2164" t="n">
        <v>36</v>
      </c>
      <c r="AE2164" t="n">
        <v>38</v>
      </c>
      <c r="AF2164" t="n">
        <v>12</v>
      </c>
      <c r="AG2164" t="n">
        <v>13</v>
      </c>
      <c r="AH2164" t="n">
        <v>4</v>
      </c>
      <c r="AI2164" t="n">
        <v>4</v>
      </c>
      <c r="AJ2164" t="n">
        <v>20</v>
      </c>
      <c r="AK2164" t="n">
        <v>21</v>
      </c>
      <c r="AL2164" t="n">
        <v>8</v>
      </c>
      <c r="AM2164" t="n">
        <v>8</v>
      </c>
      <c r="AN2164" t="n">
        <v>0</v>
      </c>
      <c r="AO2164" t="n">
        <v>1</v>
      </c>
      <c r="AP2164" t="inlineStr">
        <is>
          <t>No</t>
        </is>
      </c>
      <c r="AQ2164" t="inlineStr">
        <is>
          <t>Yes</t>
        </is>
      </c>
      <c r="AR2164">
        <f>HYPERLINK("http://catalog.hathitrust.org/Record/000579510","HathiTrust Record")</f>
        <v/>
      </c>
      <c r="AS2164">
        <f>HYPERLINK("https://creighton-primo.hosted.exlibrisgroup.com/primo-explore/search?tab=default_tab&amp;search_scope=EVERYTHING&amp;vid=01CRU&amp;lang=en_US&amp;offset=0&amp;query=any,contains,991002342839702656","Catalog Record")</f>
        <v/>
      </c>
      <c r="AT2164">
        <f>HYPERLINK("http://www.worldcat.org/oclc/323777","WorldCat Record")</f>
        <v/>
      </c>
      <c r="AU2164" t="inlineStr">
        <is>
          <t>487430:eng</t>
        </is>
      </c>
      <c r="AV2164" t="inlineStr">
        <is>
          <t>323777</t>
        </is>
      </c>
      <c r="AW2164" t="inlineStr">
        <is>
          <t>991002342839702656</t>
        </is>
      </c>
      <c r="AX2164" t="inlineStr">
        <is>
          <t>991002342839702656</t>
        </is>
      </c>
      <c r="AY2164" t="inlineStr">
        <is>
          <t>2256534630002656</t>
        </is>
      </c>
      <c r="AZ2164" t="inlineStr">
        <is>
          <t>BOOK</t>
        </is>
      </c>
      <c r="BB2164" t="inlineStr">
        <is>
          <t>9780465032198</t>
        </is>
      </c>
      <c r="BC2164" t="inlineStr">
        <is>
          <t>32285000604909</t>
        </is>
      </c>
      <c r="BD2164" t="inlineStr">
        <is>
          <t>893804504</t>
        </is>
      </c>
    </row>
    <row r="2165">
      <c r="A2165" t="inlineStr">
        <is>
          <t>No</t>
        </is>
      </c>
      <c r="B2165" t="inlineStr">
        <is>
          <t>E856 .M67 1990</t>
        </is>
      </c>
      <c r="C2165" t="inlineStr">
        <is>
          <t>0                      E  0856000M  67          1990</t>
        </is>
      </c>
      <c r="D2165" t="inlineStr">
        <is>
          <t>Richard Milhous Nixon : the rise of an American politician / Roger Morris.</t>
        </is>
      </c>
      <c r="F2165" t="inlineStr">
        <is>
          <t>No</t>
        </is>
      </c>
      <c r="G2165" t="inlineStr">
        <is>
          <t>1</t>
        </is>
      </c>
      <c r="H2165" t="inlineStr">
        <is>
          <t>No</t>
        </is>
      </c>
      <c r="I2165" t="inlineStr">
        <is>
          <t>No</t>
        </is>
      </c>
      <c r="J2165" t="inlineStr">
        <is>
          <t>0</t>
        </is>
      </c>
      <c r="K2165" t="inlineStr">
        <is>
          <t>Morris, Roger, 1938-</t>
        </is>
      </c>
      <c r="L2165" t="inlineStr">
        <is>
          <t>New York : Henry Holt, c1990.</t>
        </is>
      </c>
      <c r="M2165" t="inlineStr">
        <is>
          <t>1990</t>
        </is>
      </c>
      <c r="N2165" t="inlineStr">
        <is>
          <t>1st ed.</t>
        </is>
      </c>
      <c r="O2165" t="inlineStr">
        <is>
          <t>eng</t>
        </is>
      </c>
      <c r="P2165" t="inlineStr">
        <is>
          <t>nyu</t>
        </is>
      </c>
      <c r="R2165" t="inlineStr">
        <is>
          <t xml:space="preserve">E  </t>
        </is>
      </c>
      <c r="S2165" t="n">
        <v>2</v>
      </c>
      <c r="T2165" t="n">
        <v>2</v>
      </c>
      <c r="U2165" t="inlineStr">
        <is>
          <t>1998-01-25</t>
        </is>
      </c>
      <c r="V2165" t="inlineStr">
        <is>
          <t>1998-01-25</t>
        </is>
      </c>
      <c r="W2165" t="inlineStr">
        <is>
          <t>1990-01-14</t>
        </is>
      </c>
      <c r="X2165" t="inlineStr">
        <is>
          <t>1990-01-14</t>
        </is>
      </c>
      <c r="Y2165" t="n">
        <v>1620</v>
      </c>
      <c r="Z2165" t="n">
        <v>1515</v>
      </c>
      <c r="AA2165" t="n">
        <v>1530</v>
      </c>
      <c r="AB2165" t="n">
        <v>8</v>
      </c>
      <c r="AC2165" t="n">
        <v>8</v>
      </c>
      <c r="AD2165" t="n">
        <v>43</v>
      </c>
      <c r="AE2165" t="n">
        <v>43</v>
      </c>
      <c r="AF2165" t="n">
        <v>19</v>
      </c>
      <c r="AG2165" t="n">
        <v>19</v>
      </c>
      <c r="AH2165" t="n">
        <v>9</v>
      </c>
      <c r="AI2165" t="n">
        <v>9</v>
      </c>
      <c r="AJ2165" t="n">
        <v>21</v>
      </c>
      <c r="AK2165" t="n">
        <v>21</v>
      </c>
      <c r="AL2165" t="n">
        <v>4</v>
      </c>
      <c r="AM2165" t="n">
        <v>4</v>
      </c>
      <c r="AN2165" t="n">
        <v>3</v>
      </c>
      <c r="AO2165" t="n">
        <v>3</v>
      </c>
      <c r="AP2165" t="inlineStr">
        <is>
          <t>No</t>
        </is>
      </c>
      <c r="AQ2165" t="inlineStr">
        <is>
          <t>Yes</t>
        </is>
      </c>
      <c r="AR2165">
        <f>HYPERLINK("http://catalog.hathitrust.org/Record/001824690","HathiTrust Record")</f>
        <v/>
      </c>
      <c r="AS2165">
        <f>HYPERLINK("https://creighton-primo.hosted.exlibrisgroup.com/primo-explore/search?tab=default_tab&amp;search_scope=EVERYTHING&amp;vid=01CRU&amp;lang=en_US&amp;offset=0&amp;query=any,contains,991001471869702656","Catalog Record")</f>
        <v/>
      </c>
      <c r="AT2165">
        <f>HYPERLINK("http://www.worldcat.org/oclc/19553810","WorldCat Record")</f>
        <v/>
      </c>
      <c r="AU2165" t="inlineStr">
        <is>
          <t>346213425:eng</t>
        </is>
      </c>
      <c r="AV2165" t="inlineStr">
        <is>
          <t>19553810</t>
        </is>
      </c>
      <c r="AW2165" t="inlineStr">
        <is>
          <t>991001471869702656</t>
        </is>
      </c>
      <c r="AX2165" t="inlineStr">
        <is>
          <t>991001471869702656</t>
        </is>
      </c>
      <c r="AY2165" t="inlineStr">
        <is>
          <t>2272143250002656</t>
        </is>
      </c>
      <c r="AZ2165" t="inlineStr">
        <is>
          <t>BOOK</t>
        </is>
      </c>
      <c r="BB2165" t="inlineStr">
        <is>
          <t>9780805011210</t>
        </is>
      </c>
      <c r="BC2165" t="inlineStr">
        <is>
          <t>32285000027887</t>
        </is>
      </c>
      <c r="BD2165" t="inlineStr">
        <is>
          <t>893684345</t>
        </is>
      </c>
    </row>
    <row r="2166">
      <c r="A2166" t="inlineStr">
        <is>
          <t>No</t>
        </is>
      </c>
      <c r="B2166" t="inlineStr">
        <is>
          <t>E856 .N59</t>
        </is>
      </c>
      <c r="C2166" t="inlineStr">
        <is>
          <t>0                      E  0856000N  59</t>
        </is>
      </c>
      <c r="D2166" t="inlineStr">
        <is>
          <t>RN, the memoirs of Richard Nixon. --</t>
        </is>
      </c>
      <c r="F2166" t="inlineStr">
        <is>
          <t>No</t>
        </is>
      </c>
      <c r="G2166" t="inlineStr">
        <is>
          <t>1</t>
        </is>
      </c>
      <c r="H2166" t="inlineStr">
        <is>
          <t>No</t>
        </is>
      </c>
      <c r="I2166" t="inlineStr">
        <is>
          <t>No</t>
        </is>
      </c>
      <c r="J2166" t="inlineStr">
        <is>
          <t>0</t>
        </is>
      </c>
      <c r="K2166" t="inlineStr">
        <is>
          <t>Nixon, Richard M. (Richard Milhous), 1913-1994.</t>
        </is>
      </c>
      <c r="L2166" t="inlineStr">
        <is>
          <t>New York : Grosset &amp; Dunlap, 1978.</t>
        </is>
      </c>
      <c r="M2166" t="inlineStr">
        <is>
          <t>1978</t>
        </is>
      </c>
      <c r="O2166" t="inlineStr">
        <is>
          <t>eng</t>
        </is>
      </c>
      <c r="P2166" t="inlineStr">
        <is>
          <t>nyu</t>
        </is>
      </c>
      <c r="R2166" t="inlineStr">
        <is>
          <t xml:space="preserve">E  </t>
        </is>
      </c>
      <c r="S2166" t="n">
        <v>6</v>
      </c>
      <c r="T2166" t="n">
        <v>6</v>
      </c>
      <c r="U2166" t="inlineStr">
        <is>
          <t>1998-03-26</t>
        </is>
      </c>
      <c r="V2166" t="inlineStr">
        <is>
          <t>1998-03-26</t>
        </is>
      </c>
      <c r="W2166" t="inlineStr">
        <is>
          <t>1991-06-25</t>
        </is>
      </c>
      <c r="X2166" t="inlineStr">
        <is>
          <t>1991-06-25</t>
        </is>
      </c>
      <c r="Y2166" t="n">
        <v>2876</v>
      </c>
      <c r="Z2166" t="n">
        <v>2722</v>
      </c>
      <c r="AA2166" t="n">
        <v>2978</v>
      </c>
      <c r="AB2166" t="n">
        <v>33</v>
      </c>
      <c r="AC2166" t="n">
        <v>36</v>
      </c>
      <c r="AD2166" t="n">
        <v>62</v>
      </c>
      <c r="AE2166" t="n">
        <v>71</v>
      </c>
      <c r="AF2166" t="n">
        <v>24</v>
      </c>
      <c r="AG2166" t="n">
        <v>27</v>
      </c>
      <c r="AH2166" t="n">
        <v>10</v>
      </c>
      <c r="AI2166" t="n">
        <v>11</v>
      </c>
      <c r="AJ2166" t="n">
        <v>22</v>
      </c>
      <c r="AK2166" t="n">
        <v>26</v>
      </c>
      <c r="AL2166" t="n">
        <v>14</v>
      </c>
      <c r="AM2166" t="n">
        <v>16</v>
      </c>
      <c r="AN2166" t="n">
        <v>5</v>
      </c>
      <c r="AO2166" t="n">
        <v>5</v>
      </c>
      <c r="AP2166" t="inlineStr">
        <is>
          <t>No</t>
        </is>
      </c>
      <c r="AQ2166" t="inlineStr">
        <is>
          <t>Yes</t>
        </is>
      </c>
      <c r="AR2166">
        <f>HYPERLINK("http://catalog.hathitrust.org/Record/000102600","HathiTrust Record")</f>
        <v/>
      </c>
      <c r="AS2166">
        <f>HYPERLINK("https://creighton-primo.hosted.exlibrisgroup.com/primo-explore/search?tab=default_tab&amp;search_scope=EVERYTHING&amp;vid=01CRU&amp;lang=en_US&amp;offset=0&amp;query=any,contains,991004538249702656","Catalog Record")</f>
        <v/>
      </c>
      <c r="AT2166">
        <f>HYPERLINK("http://www.worldcat.org/oclc/4499756","WorldCat Record")</f>
        <v/>
      </c>
      <c r="AU2166" t="inlineStr">
        <is>
          <t>3855316034:eng</t>
        </is>
      </c>
      <c r="AV2166" t="inlineStr">
        <is>
          <t>4499756</t>
        </is>
      </c>
      <c r="AW2166" t="inlineStr">
        <is>
          <t>991004538249702656</t>
        </is>
      </c>
      <c r="AX2166" t="inlineStr">
        <is>
          <t>991004538249702656</t>
        </is>
      </c>
      <c r="AY2166" t="inlineStr">
        <is>
          <t>2255654910002656</t>
        </is>
      </c>
      <c r="AZ2166" t="inlineStr">
        <is>
          <t>BOOK</t>
        </is>
      </c>
      <c r="BB2166" t="inlineStr">
        <is>
          <t>9780448143743</t>
        </is>
      </c>
      <c r="BC2166" t="inlineStr">
        <is>
          <t>32285000671239</t>
        </is>
      </c>
      <c r="BD2166" t="inlineStr">
        <is>
          <t>893687844</t>
        </is>
      </c>
    </row>
    <row r="2167">
      <c r="A2167" t="inlineStr">
        <is>
          <t>No</t>
        </is>
      </c>
      <c r="B2167" t="inlineStr">
        <is>
          <t>E856 .P35 1990</t>
        </is>
      </c>
      <c r="C2167" t="inlineStr">
        <is>
          <t>0                      E  0856000P  35          1990</t>
        </is>
      </c>
      <c r="D2167" t="inlineStr">
        <is>
          <t>Richard Nixon and his America / Herbert S. Parmet.</t>
        </is>
      </c>
      <c r="F2167" t="inlineStr">
        <is>
          <t>No</t>
        </is>
      </c>
      <c r="G2167" t="inlineStr">
        <is>
          <t>1</t>
        </is>
      </c>
      <c r="H2167" t="inlineStr">
        <is>
          <t>No</t>
        </is>
      </c>
      <c r="I2167" t="inlineStr">
        <is>
          <t>No</t>
        </is>
      </c>
      <c r="J2167" t="inlineStr">
        <is>
          <t>0</t>
        </is>
      </c>
      <c r="K2167" t="inlineStr">
        <is>
          <t>Parmet, Herbert S.</t>
        </is>
      </c>
      <c r="L2167" t="inlineStr">
        <is>
          <t>Boston : Little, Brown, c1990.</t>
        </is>
      </c>
      <c r="M2167" t="inlineStr">
        <is>
          <t>1990</t>
        </is>
      </c>
      <c r="N2167" t="inlineStr">
        <is>
          <t>1st ed.</t>
        </is>
      </c>
      <c r="O2167" t="inlineStr">
        <is>
          <t>eng</t>
        </is>
      </c>
      <c r="P2167" t="inlineStr">
        <is>
          <t>mau</t>
        </is>
      </c>
      <c r="R2167" t="inlineStr">
        <is>
          <t xml:space="preserve">E  </t>
        </is>
      </c>
      <c r="S2167" t="n">
        <v>9</v>
      </c>
      <c r="T2167" t="n">
        <v>9</v>
      </c>
      <c r="U2167" t="inlineStr">
        <is>
          <t>1999-10-18</t>
        </is>
      </c>
      <c r="V2167" t="inlineStr">
        <is>
          <t>1999-10-18</t>
        </is>
      </c>
      <c r="W2167" t="inlineStr">
        <is>
          <t>1990-05-10</t>
        </is>
      </c>
      <c r="X2167" t="inlineStr">
        <is>
          <t>1990-05-10</t>
        </is>
      </c>
      <c r="Y2167" t="n">
        <v>1412</v>
      </c>
      <c r="Z2167" t="n">
        <v>1291</v>
      </c>
      <c r="AA2167" t="n">
        <v>1367</v>
      </c>
      <c r="AB2167" t="n">
        <v>11</v>
      </c>
      <c r="AC2167" t="n">
        <v>12</v>
      </c>
      <c r="AD2167" t="n">
        <v>44</v>
      </c>
      <c r="AE2167" t="n">
        <v>44</v>
      </c>
      <c r="AF2167" t="n">
        <v>16</v>
      </c>
      <c r="AG2167" t="n">
        <v>16</v>
      </c>
      <c r="AH2167" t="n">
        <v>9</v>
      </c>
      <c r="AI2167" t="n">
        <v>9</v>
      </c>
      <c r="AJ2167" t="n">
        <v>18</v>
      </c>
      <c r="AK2167" t="n">
        <v>18</v>
      </c>
      <c r="AL2167" t="n">
        <v>9</v>
      </c>
      <c r="AM2167" t="n">
        <v>9</v>
      </c>
      <c r="AN2167" t="n">
        <v>1</v>
      </c>
      <c r="AO2167" t="n">
        <v>1</v>
      </c>
      <c r="AP2167" t="inlineStr">
        <is>
          <t>No</t>
        </is>
      </c>
      <c r="AQ2167" t="inlineStr">
        <is>
          <t>No</t>
        </is>
      </c>
      <c r="AS2167">
        <f>HYPERLINK("https://creighton-primo.hosted.exlibrisgroup.com/primo-explore/search?tab=default_tab&amp;search_scope=EVERYTHING&amp;vid=01CRU&amp;lang=en_US&amp;offset=0&amp;query=any,contains,991001553919702656","Catalog Record")</f>
        <v/>
      </c>
      <c r="AT2167">
        <f>HYPERLINK("http://www.worldcat.org/oclc/20260709","WorldCat Record")</f>
        <v/>
      </c>
      <c r="AU2167" t="inlineStr">
        <is>
          <t>22064131:eng</t>
        </is>
      </c>
      <c r="AV2167" t="inlineStr">
        <is>
          <t>20260709</t>
        </is>
      </c>
      <c r="AW2167" t="inlineStr">
        <is>
          <t>991001553919702656</t>
        </is>
      </c>
      <c r="AX2167" t="inlineStr">
        <is>
          <t>991001553919702656</t>
        </is>
      </c>
      <c r="AY2167" t="inlineStr">
        <is>
          <t>2259355760002656</t>
        </is>
      </c>
      <c r="AZ2167" t="inlineStr">
        <is>
          <t>BOOK</t>
        </is>
      </c>
      <c r="BB2167" t="inlineStr">
        <is>
          <t>9780316692328</t>
        </is>
      </c>
      <c r="BC2167" t="inlineStr">
        <is>
          <t>32285000136001</t>
        </is>
      </c>
      <c r="BD2167" t="inlineStr">
        <is>
          <t>893256306</t>
        </is>
      </c>
    </row>
    <row r="2168">
      <c r="A2168" t="inlineStr">
        <is>
          <t>No</t>
        </is>
      </c>
      <c r="B2168" t="inlineStr">
        <is>
          <t>E856 .S77 1994</t>
        </is>
      </c>
      <c r="C2168" t="inlineStr">
        <is>
          <t>0                      E  0856000S  77          1994</t>
        </is>
      </c>
      <c r="D2168" t="inlineStr">
        <is>
          <t>Nixon, an oral history of his presidency / Gerald S. and Deborah H. Strober.</t>
        </is>
      </c>
      <c r="F2168" t="inlineStr">
        <is>
          <t>No</t>
        </is>
      </c>
      <c r="G2168" t="inlineStr">
        <is>
          <t>1</t>
        </is>
      </c>
      <c r="H2168" t="inlineStr">
        <is>
          <t>No</t>
        </is>
      </c>
      <c r="I2168" t="inlineStr">
        <is>
          <t>No</t>
        </is>
      </c>
      <c r="J2168" t="inlineStr">
        <is>
          <t>0</t>
        </is>
      </c>
      <c r="K2168" t="inlineStr">
        <is>
          <t>Strober, Gerald S.</t>
        </is>
      </c>
      <c r="L2168" t="inlineStr">
        <is>
          <t>New York : HarperCollins, c1994.</t>
        </is>
      </c>
      <c r="M2168" t="inlineStr">
        <is>
          <t>1994</t>
        </is>
      </c>
      <c r="N2168" t="inlineStr">
        <is>
          <t>1st ed.</t>
        </is>
      </c>
      <c r="O2168" t="inlineStr">
        <is>
          <t>eng</t>
        </is>
      </c>
      <c r="P2168" t="inlineStr">
        <is>
          <t>nyu</t>
        </is>
      </c>
      <c r="R2168" t="inlineStr">
        <is>
          <t xml:space="preserve">E  </t>
        </is>
      </c>
      <c r="S2168" t="n">
        <v>7</v>
      </c>
      <c r="T2168" t="n">
        <v>7</v>
      </c>
      <c r="U2168" t="inlineStr">
        <is>
          <t>1998-11-24</t>
        </is>
      </c>
      <c r="V2168" t="inlineStr">
        <is>
          <t>1998-11-24</t>
        </is>
      </c>
      <c r="W2168" t="inlineStr">
        <is>
          <t>1996-01-17</t>
        </is>
      </c>
      <c r="X2168" t="inlineStr">
        <is>
          <t>1996-01-17</t>
        </is>
      </c>
      <c r="Y2168" t="n">
        <v>669</v>
      </c>
      <c r="Z2168" t="n">
        <v>629</v>
      </c>
      <c r="AA2168" t="n">
        <v>668</v>
      </c>
      <c r="AB2168" t="n">
        <v>6</v>
      </c>
      <c r="AC2168" t="n">
        <v>6</v>
      </c>
      <c r="AD2168" t="n">
        <v>21</v>
      </c>
      <c r="AE2168" t="n">
        <v>21</v>
      </c>
      <c r="AF2168" t="n">
        <v>8</v>
      </c>
      <c r="AG2168" t="n">
        <v>8</v>
      </c>
      <c r="AH2168" t="n">
        <v>4</v>
      </c>
      <c r="AI2168" t="n">
        <v>4</v>
      </c>
      <c r="AJ2168" t="n">
        <v>10</v>
      </c>
      <c r="AK2168" t="n">
        <v>10</v>
      </c>
      <c r="AL2168" t="n">
        <v>4</v>
      </c>
      <c r="AM2168" t="n">
        <v>4</v>
      </c>
      <c r="AN2168" t="n">
        <v>1</v>
      </c>
      <c r="AO2168" t="n">
        <v>1</v>
      </c>
      <c r="AP2168" t="inlineStr">
        <is>
          <t>No</t>
        </is>
      </c>
      <c r="AQ2168" t="inlineStr">
        <is>
          <t>Yes</t>
        </is>
      </c>
      <c r="AR2168">
        <f>HYPERLINK("http://catalog.hathitrust.org/Record/002902304","HathiTrust Record")</f>
        <v/>
      </c>
      <c r="AS2168">
        <f>HYPERLINK("https://creighton-primo.hosted.exlibrisgroup.com/primo-explore/search?tab=default_tab&amp;search_scope=EVERYTHING&amp;vid=01CRU&amp;lang=en_US&amp;offset=0&amp;query=any,contains,991002352089702656","Catalog Record")</f>
        <v/>
      </c>
      <c r="AT2168">
        <f>HYPERLINK("http://www.worldcat.org/oclc/30624279","WorldCat Record")</f>
        <v/>
      </c>
      <c r="AU2168" t="inlineStr">
        <is>
          <t>32676586:eng</t>
        </is>
      </c>
      <c r="AV2168" t="inlineStr">
        <is>
          <t>30624279</t>
        </is>
      </c>
      <c r="AW2168" t="inlineStr">
        <is>
          <t>991002352089702656</t>
        </is>
      </c>
      <c r="AX2168" t="inlineStr">
        <is>
          <t>991002352089702656</t>
        </is>
      </c>
      <c r="AY2168" t="inlineStr">
        <is>
          <t>2260357360002656</t>
        </is>
      </c>
      <c r="AZ2168" t="inlineStr">
        <is>
          <t>BOOK</t>
        </is>
      </c>
      <c r="BB2168" t="inlineStr">
        <is>
          <t>9780060170271</t>
        </is>
      </c>
      <c r="BC2168" t="inlineStr">
        <is>
          <t>32285002118122</t>
        </is>
      </c>
      <c r="BD2168" t="inlineStr">
        <is>
          <t>893691515</t>
        </is>
      </c>
    </row>
    <row r="2169">
      <c r="A2169" t="inlineStr">
        <is>
          <t>No</t>
        </is>
      </c>
      <c r="B2169" t="inlineStr">
        <is>
          <t>E856 .S86 2000</t>
        </is>
      </c>
      <c r="C2169" t="inlineStr">
        <is>
          <t>0                      E  0856000S  86          2000</t>
        </is>
      </c>
      <c r="D2169" t="inlineStr">
        <is>
          <t>The arrogance of power : the secret world of Richard Nixon / Anthony Summers with Robbyn Swan.</t>
        </is>
      </c>
      <c r="F2169" t="inlineStr">
        <is>
          <t>No</t>
        </is>
      </c>
      <c r="G2169" t="inlineStr">
        <is>
          <t>1</t>
        </is>
      </c>
      <c r="H2169" t="inlineStr">
        <is>
          <t>No</t>
        </is>
      </c>
      <c r="I2169" t="inlineStr">
        <is>
          <t>No</t>
        </is>
      </c>
      <c r="J2169" t="inlineStr">
        <is>
          <t>0</t>
        </is>
      </c>
      <c r="K2169" t="inlineStr">
        <is>
          <t>Summers, Anthony.</t>
        </is>
      </c>
      <c r="L2169" t="inlineStr">
        <is>
          <t>New York : Viking, 2000.</t>
        </is>
      </c>
      <c r="M2169" t="inlineStr">
        <is>
          <t>2000</t>
        </is>
      </c>
      <c r="O2169" t="inlineStr">
        <is>
          <t>eng</t>
        </is>
      </c>
      <c r="P2169" t="inlineStr">
        <is>
          <t>nyu</t>
        </is>
      </c>
      <c r="R2169" t="inlineStr">
        <is>
          <t xml:space="preserve">E  </t>
        </is>
      </c>
      <c r="S2169" t="n">
        <v>1</v>
      </c>
      <c r="T2169" t="n">
        <v>1</v>
      </c>
      <c r="U2169" t="inlineStr">
        <is>
          <t>2000-11-13</t>
        </is>
      </c>
      <c r="V2169" t="inlineStr">
        <is>
          <t>2000-11-13</t>
        </is>
      </c>
      <c r="W2169" t="inlineStr">
        <is>
          <t>2000-11-13</t>
        </is>
      </c>
      <c r="X2169" t="inlineStr">
        <is>
          <t>2000-11-13</t>
        </is>
      </c>
      <c r="Y2169" t="n">
        <v>1607</v>
      </c>
      <c r="Z2169" t="n">
        <v>1506</v>
      </c>
      <c r="AA2169" t="n">
        <v>1591</v>
      </c>
      <c r="AB2169" t="n">
        <v>11</v>
      </c>
      <c r="AC2169" t="n">
        <v>12</v>
      </c>
      <c r="AD2169" t="n">
        <v>36</v>
      </c>
      <c r="AE2169" t="n">
        <v>38</v>
      </c>
      <c r="AF2169" t="n">
        <v>12</v>
      </c>
      <c r="AG2169" t="n">
        <v>14</v>
      </c>
      <c r="AH2169" t="n">
        <v>7</v>
      </c>
      <c r="AI2169" t="n">
        <v>7</v>
      </c>
      <c r="AJ2169" t="n">
        <v>18</v>
      </c>
      <c r="AK2169" t="n">
        <v>19</v>
      </c>
      <c r="AL2169" t="n">
        <v>3</v>
      </c>
      <c r="AM2169" t="n">
        <v>3</v>
      </c>
      <c r="AN2169" t="n">
        <v>2</v>
      </c>
      <c r="AO2169" t="n">
        <v>2</v>
      </c>
      <c r="AP2169" t="inlineStr">
        <is>
          <t>No</t>
        </is>
      </c>
      <c r="AQ2169" t="inlineStr">
        <is>
          <t>Yes</t>
        </is>
      </c>
      <c r="AR2169">
        <f>HYPERLINK("http://catalog.hathitrust.org/Record/004118734","HathiTrust Record")</f>
        <v/>
      </c>
      <c r="AS2169">
        <f>HYPERLINK("https://creighton-primo.hosted.exlibrisgroup.com/primo-explore/search?tab=default_tab&amp;search_scope=EVERYTHING&amp;vid=01CRU&amp;lang=en_US&amp;offset=0&amp;query=any,contains,991003332069702656","Catalog Record")</f>
        <v/>
      </c>
      <c r="AT2169">
        <f>HYPERLINK("http://www.worldcat.org/oclc/44669758","WorldCat Record")</f>
        <v/>
      </c>
      <c r="AU2169" t="inlineStr">
        <is>
          <t>47826:eng</t>
        </is>
      </c>
      <c r="AV2169" t="inlineStr">
        <is>
          <t>44669758</t>
        </is>
      </c>
      <c r="AW2169" t="inlineStr">
        <is>
          <t>991003332069702656</t>
        </is>
      </c>
      <c r="AX2169" t="inlineStr">
        <is>
          <t>991003332069702656</t>
        </is>
      </c>
      <c r="AY2169" t="inlineStr">
        <is>
          <t>2267836160002656</t>
        </is>
      </c>
      <c r="AZ2169" t="inlineStr">
        <is>
          <t>BOOK</t>
        </is>
      </c>
      <c r="BB2169" t="inlineStr">
        <is>
          <t>9780670871513</t>
        </is>
      </c>
      <c r="BC2169" t="inlineStr">
        <is>
          <t>32285004265327</t>
        </is>
      </c>
      <c r="BD2169" t="inlineStr">
        <is>
          <t>893793536</t>
        </is>
      </c>
    </row>
    <row r="2170">
      <c r="A2170" t="inlineStr">
        <is>
          <t>No</t>
        </is>
      </c>
      <c r="B2170" t="inlineStr">
        <is>
          <t>E856 .W52 1991</t>
        </is>
      </c>
      <c r="C2170" t="inlineStr">
        <is>
          <t>0                      E  0856000W  52          1991</t>
        </is>
      </c>
      <c r="D2170" t="inlineStr">
        <is>
          <t>One of us : Richard Nixon and the American dream / Tom Wicker.</t>
        </is>
      </c>
      <c r="F2170" t="inlineStr">
        <is>
          <t>No</t>
        </is>
      </c>
      <c r="G2170" t="inlineStr">
        <is>
          <t>1</t>
        </is>
      </c>
      <c r="H2170" t="inlineStr">
        <is>
          <t>No</t>
        </is>
      </c>
      <c r="I2170" t="inlineStr">
        <is>
          <t>No</t>
        </is>
      </c>
      <c r="J2170" t="inlineStr">
        <is>
          <t>0</t>
        </is>
      </c>
      <c r="K2170" t="inlineStr">
        <is>
          <t>Wicker, Tom.</t>
        </is>
      </c>
      <c r="L2170" t="inlineStr">
        <is>
          <t>New York : Random House, c1991.</t>
        </is>
      </c>
      <c r="M2170" t="inlineStr">
        <is>
          <t>1991</t>
        </is>
      </c>
      <c r="N2170" t="inlineStr">
        <is>
          <t>1st ed.</t>
        </is>
      </c>
      <c r="O2170" t="inlineStr">
        <is>
          <t>eng</t>
        </is>
      </c>
      <c r="P2170" t="inlineStr">
        <is>
          <t>nyu</t>
        </is>
      </c>
      <c r="R2170" t="inlineStr">
        <is>
          <t xml:space="preserve">E  </t>
        </is>
      </c>
      <c r="S2170" t="n">
        <v>12</v>
      </c>
      <c r="T2170" t="n">
        <v>12</v>
      </c>
      <c r="U2170" t="inlineStr">
        <is>
          <t>2000-03-01</t>
        </is>
      </c>
      <c r="V2170" t="inlineStr">
        <is>
          <t>2000-03-01</t>
        </is>
      </c>
      <c r="W2170" t="inlineStr">
        <is>
          <t>1992-10-08</t>
        </is>
      </c>
      <c r="X2170" t="inlineStr">
        <is>
          <t>1992-10-08</t>
        </is>
      </c>
      <c r="Y2170" t="n">
        <v>1673</v>
      </c>
      <c r="Z2170" t="n">
        <v>1547</v>
      </c>
      <c r="AA2170" t="n">
        <v>1602</v>
      </c>
      <c r="AB2170" t="n">
        <v>15</v>
      </c>
      <c r="AC2170" t="n">
        <v>15</v>
      </c>
      <c r="AD2170" t="n">
        <v>46</v>
      </c>
      <c r="AE2170" t="n">
        <v>47</v>
      </c>
      <c r="AF2170" t="n">
        <v>19</v>
      </c>
      <c r="AG2170" t="n">
        <v>19</v>
      </c>
      <c r="AH2170" t="n">
        <v>9</v>
      </c>
      <c r="AI2170" t="n">
        <v>10</v>
      </c>
      <c r="AJ2170" t="n">
        <v>20</v>
      </c>
      <c r="AK2170" t="n">
        <v>21</v>
      </c>
      <c r="AL2170" t="n">
        <v>7</v>
      </c>
      <c r="AM2170" t="n">
        <v>7</v>
      </c>
      <c r="AN2170" t="n">
        <v>1</v>
      </c>
      <c r="AO2170" t="n">
        <v>1</v>
      </c>
      <c r="AP2170" t="inlineStr">
        <is>
          <t>No</t>
        </is>
      </c>
      <c r="AQ2170" t="inlineStr">
        <is>
          <t>Yes</t>
        </is>
      </c>
      <c r="AR2170">
        <f>HYPERLINK("http://catalog.hathitrust.org/Record/002487334","HathiTrust Record")</f>
        <v/>
      </c>
      <c r="AS2170">
        <f>HYPERLINK("https://creighton-primo.hosted.exlibrisgroup.com/primo-explore/search?tab=default_tab&amp;search_scope=EVERYTHING&amp;vid=01CRU&amp;lang=en_US&amp;offset=0&amp;query=any,contains,991001538609702656","Catalog Record")</f>
        <v/>
      </c>
      <c r="AT2170">
        <f>HYPERLINK("http://www.worldcat.org/oclc/20094543","WorldCat Record")</f>
        <v/>
      </c>
      <c r="AU2170" t="inlineStr">
        <is>
          <t>6506987:eng</t>
        </is>
      </c>
      <c r="AV2170" t="inlineStr">
        <is>
          <t>20094543</t>
        </is>
      </c>
      <c r="AW2170" t="inlineStr">
        <is>
          <t>991001538609702656</t>
        </is>
      </c>
      <c r="AX2170" t="inlineStr">
        <is>
          <t>991001538609702656</t>
        </is>
      </c>
      <c r="AY2170" t="inlineStr">
        <is>
          <t>2257216390002656</t>
        </is>
      </c>
      <c r="AZ2170" t="inlineStr">
        <is>
          <t>BOOK</t>
        </is>
      </c>
      <c r="BB2170" t="inlineStr">
        <is>
          <t>9780394550664</t>
        </is>
      </c>
      <c r="BC2170" t="inlineStr">
        <is>
          <t>32285001316792</t>
        </is>
      </c>
      <c r="BD2170" t="inlineStr">
        <is>
          <t>893497154</t>
        </is>
      </c>
    </row>
    <row r="2171">
      <c r="A2171" t="inlineStr">
        <is>
          <t>No</t>
        </is>
      </c>
      <c r="B2171" t="inlineStr">
        <is>
          <t>E856 .Y66</t>
        </is>
      </c>
      <c r="C2171" t="inlineStr">
        <is>
          <t>0                      E  0856000Y  66</t>
        </is>
      </c>
      <c r="D2171" t="inlineStr">
        <is>
          <t>The Young Nixon : an oral inquiry / edited by Renée K. Schulte.</t>
        </is>
      </c>
      <c r="F2171" t="inlineStr">
        <is>
          <t>No</t>
        </is>
      </c>
      <c r="G2171" t="inlineStr">
        <is>
          <t>1</t>
        </is>
      </c>
      <c r="H2171" t="inlineStr">
        <is>
          <t>No</t>
        </is>
      </c>
      <c r="I2171" t="inlineStr">
        <is>
          <t>No</t>
        </is>
      </c>
      <c r="J2171" t="inlineStr">
        <is>
          <t>0</t>
        </is>
      </c>
      <c r="L2171" t="inlineStr">
        <is>
          <t>Fullerton : California State University, Fullerton, Oral History Program, Richard M. Nixon Project, c1978.</t>
        </is>
      </c>
      <c r="M2171" t="inlineStr">
        <is>
          <t>1978</t>
        </is>
      </c>
      <c r="N2171" t="inlineStr">
        <is>
          <t>1st ed.</t>
        </is>
      </c>
      <c r="O2171" t="inlineStr">
        <is>
          <t>eng</t>
        </is>
      </c>
      <c r="P2171" t="inlineStr">
        <is>
          <t>cau</t>
        </is>
      </c>
      <c r="R2171" t="inlineStr">
        <is>
          <t xml:space="preserve">E  </t>
        </is>
      </c>
      <c r="S2171" t="n">
        <v>1</v>
      </c>
      <c r="T2171" t="n">
        <v>1</v>
      </c>
      <c r="U2171" t="inlineStr">
        <is>
          <t>1998-01-25</t>
        </is>
      </c>
      <c r="V2171" t="inlineStr">
        <is>
          <t>1998-01-25</t>
        </is>
      </c>
      <c r="W2171" t="inlineStr">
        <is>
          <t>1990-05-24</t>
        </is>
      </c>
      <c r="X2171" t="inlineStr">
        <is>
          <t>1990-05-24</t>
        </is>
      </c>
      <c r="Y2171" t="n">
        <v>199</v>
      </c>
      <c r="Z2171" t="n">
        <v>182</v>
      </c>
      <c r="AA2171" t="n">
        <v>184</v>
      </c>
      <c r="AB2171" t="n">
        <v>3</v>
      </c>
      <c r="AC2171" t="n">
        <v>3</v>
      </c>
      <c r="AD2171" t="n">
        <v>8</v>
      </c>
      <c r="AE2171" t="n">
        <v>8</v>
      </c>
      <c r="AF2171" t="n">
        <v>1</v>
      </c>
      <c r="AG2171" t="n">
        <v>1</v>
      </c>
      <c r="AH2171" t="n">
        <v>2</v>
      </c>
      <c r="AI2171" t="n">
        <v>2</v>
      </c>
      <c r="AJ2171" t="n">
        <v>5</v>
      </c>
      <c r="AK2171" t="n">
        <v>5</v>
      </c>
      <c r="AL2171" t="n">
        <v>2</v>
      </c>
      <c r="AM2171" t="n">
        <v>2</v>
      </c>
      <c r="AN2171" t="n">
        <v>0</v>
      </c>
      <c r="AO2171" t="n">
        <v>0</v>
      </c>
      <c r="AP2171" t="inlineStr">
        <is>
          <t>No</t>
        </is>
      </c>
      <c r="AQ2171" t="inlineStr">
        <is>
          <t>Yes</t>
        </is>
      </c>
      <c r="AR2171">
        <f>HYPERLINK("http://catalog.hathitrust.org/Record/000297414","HathiTrust Record")</f>
        <v/>
      </c>
      <c r="AS2171">
        <f>HYPERLINK("https://creighton-primo.hosted.exlibrisgroup.com/primo-explore/search?tab=default_tab&amp;search_scope=EVERYTHING&amp;vid=01CRU&amp;lang=en_US&amp;offset=0&amp;query=any,contains,991004711129702656","Catalog Record")</f>
        <v/>
      </c>
      <c r="AT2171">
        <f>HYPERLINK("http://www.worldcat.org/oclc/4766356","WorldCat Record")</f>
        <v/>
      </c>
      <c r="AU2171" t="inlineStr">
        <is>
          <t>15005128:eng</t>
        </is>
      </c>
      <c r="AV2171" t="inlineStr">
        <is>
          <t>4766356</t>
        </is>
      </c>
      <c r="AW2171" t="inlineStr">
        <is>
          <t>991004711129702656</t>
        </is>
      </c>
      <c r="AX2171" t="inlineStr">
        <is>
          <t>991004711129702656</t>
        </is>
      </c>
      <c r="AY2171" t="inlineStr">
        <is>
          <t>2260552570002656</t>
        </is>
      </c>
      <c r="AZ2171" t="inlineStr">
        <is>
          <t>BOOK</t>
        </is>
      </c>
      <c r="BB2171" t="inlineStr">
        <is>
          <t>9780930046026</t>
        </is>
      </c>
      <c r="BC2171" t="inlineStr">
        <is>
          <t>32285000164920</t>
        </is>
      </c>
      <c r="BD2171" t="inlineStr">
        <is>
          <t>893594005</t>
        </is>
      </c>
    </row>
    <row r="2172">
      <c r="A2172" t="inlineStr">
        <is>
          <t>No</t>
        </is>
      </c>
      <c r="B2172" t="inlineStr">
        <is>
          <t>E859 .H383 1973</t>
        </is>
      </c>
      <c r="C2172" t="inlineStr">
        <is>
          <t>0                      E  0859000H  383         1973</t>
        </is>
      </c>
      <c r="D2172" t="inlineStr">
        <is>
          <t>Campaign '72; the managers speak. Edited by Ernest R. May and Janet Fraser.</t>
        </is>
      </c>
      <c r="F2172" t="inlineStr">
        <is>
          <t>No</t>
        </is>
      </c>
      <c r="G2172" t="inlineStr">
        <is>
          <t>1</t>
        </is>
      </c>
      <c r="H2172" t="inlineStr">
        <is>
          <t>No</t>
        </is>
      </c>
      <c r="I2172" t="inlineStr">
        <is>
          <t>No</t>
        </is>
      </c>
      <c r="J2172" t="inlineStr">
        <is>
          <t>0</t>
        </is>
      </c>
      <c r="K2172" t="inlineStr">
        <is>
          <t>Harvard Conference on Campaign Decision-Making (1973 : Cambridge, Mass.)</t>
        </is>
      </c>
      <c r="L2172" t="inlineStr">
        <is>
          <t>Cambridge, Mass., Harvard University Press, 1973.</t>
        </is>
      </c>
      <c r="M2172" t="inlineStr">
        <is>
          <t>1973</t>
        </is>
      </c>
      <c r="O2172" t="inlineStr">
        <is>
          <t>eng</t>
        </is>
      </c>
      <c r="P2172" t="inlineStr">
        <is>
          <t>mau</t>
        </is>
      </c>
      <c r="R2172" t="inlineStr">
        <is>
          <t xml:space="preserve">E  </t>
        </is>
      </c>
      <c r="S2172" t="n">
        <v>1</v>
      </c>
      <c r="T2172" t="n">
        <v>1</v>
      </c>
      <c r="U2172" t="inlineStr">
        <is>
          <t>2001-04-09</t>
        </is>
      </c>
      <c r="V2172" t="inlineStr">
        <is>
          <t>2001-04-09</t>
        </is>
      </c>
      <c r="W2172" t="inlineStr">
        <is>
          <t>1997-04-29</t>
        </is>
      </c>
      <c r="X2172" t="inlineStr">
        <is>
          <t>1997-04-29</t>
        </is>
      </c>
      <c r="Y2172" t="n">
        <v>601</v>
      </c>
      <c r="Z2172" t="n">
        <v>540</v>
      </c>
      <c r="AA2172" t="n">
        <v>551</v>
      </c>
      <c r="AB2172" t="n">
        <v>4</v>
      </c>
      <c r="AC2172" t="n">
        <v>4</v>
      </c>
      <c r="AD2172" t="n">
        <v>21</v>
      </c>
      <c r="AE2172" t="n">
        <v>21</v>
      </c>
      <c r="AF2172" t="n">
        <v>9</v>
      </c>
      <c r="AG2172" t="n">
        <v>9</v>
      </c>
      <c r="AH2172" t="n">
        <v>6</v>
      </c>
      <c r="AI2172" t="n">
        <v>6</v>
      </c>
      <c r="AJ2172" t="n">
        <v>10</v>
      </c>
      <c r="AK2172" t="n">
        <v>10</v>
      </c>
      <c r="AL2172" t="n">
        <v>2</v>
      </c>
      <c r="AM2172" t="n">
        <v>2</v>
      </c>
      <c r="AN2172" t="n">
        <v>0</v>
      </c>
      <c r="AO2172" t="n">
        <v>0</v>
      </c>
      <c r="AP2172" t="inlineStr">
        <is>
          <t>No</t>
        </is>
      </c>
      <c r="AQ2172" t="inlineStr">
        <is>
          <t>Yes</t>
        </is>
      </c>
      <c r="AR2172">
        <f>HYPERLINK("http://catalog.hathitrust.org/Record/000577169","HathiTrust Record")</f>
        <v/>
      </c>
      <c r="AS2172">
        <f>HYPERLINK("https://creighton-primo.hosted.exlibrisgroup.com/primo-explore/search?tab=default_tab&amp;search_scope=EVERYTHING&amp;vid=01CRU&amp;lang=en_US&amp;offset=0&amp;query=any,contains,991003192099702656","Catalog Record")</f>
        <v/>
      </c>
      <c r="AT2172">
        <f>HYPERLINK("http://www.worldcat.org/oclc/717275","WorldCat Record")</f>
        <v/>
      </c>
      <c r="AU2172" t="inlineStr">
        <is>
          <t>1691048:eng</t>
        </is>
      </c>
      <c r="AV2172" t="inlineStr">
        <is>
          <t>717275</t>
        </is>
      </c>
      <c r="AW2172" t="inlineStr">
        <is>
          <t>991003192099702656</t>
        </is>
      </c>
      <c r="AX2172" t="inlineStr">
        <is>
          <t>991003192099702656</t>
        </is>
      </c>
      <c r="AY2172" t="inlineStr">
        <is>
          <t>2258906690002656</t>
        </is>
      </c>
      <c r="AZ2172" t="inlineStr">
        <is>
          <t>BOOK</t>
        </is>
      </c>
      <c r="BB2172" t="inlineStr">
        <is>
          <t>9780674091412</t>
        </is>
      </c>
      <c r="BC2172" t="inlineStr">
        <is>
          <t>32285002569035</t>
        </is>
      </c>
      <c r="BD2172" t="inlineStr">
        <is>
          <t>893805507</t>
        </is>
      </c>
    </row>
    <row r="2173">
      <c r="A2173" t="inlineStr">
        <is>
          <t>No</t>
        </is>
      </c>
      <c r="B2173" t="inlineStr">
        <is>
          <t>E859 .K55</t>
        </is>
      </c>
      <c r="C2173" t="inlineStr">
        <is>
          <t>0                      E  0859000K  55</t>
        </is>
      </c>
      <c r="D2173" t="inlineStr">
        <is>
          <t>Campaign 72; press opinion from New Hampshire to November. Editors: Edward W. Knappman, Evan Drossman [and] Robert Newman.</t>
        </is>
      </c>
      <c r="F2173" t="inlineStr">
        <is>
          <t>No</t>
        </is>
      </c>
      <c r="G2173" t="inlineStr">
        <is>
          <t>1</t>
        </is>
      </c>
      <c r="H2173" t="inlineStr">
        <is>
          <t>No</t>
        </is>
      </c>
      <c r="I2173" t="inlineStr">
        <is>
          <t>No</t>
        </is>
      </c>
      <c r="J2173" t="inlineStr">
        <is>
          <t>0</t>
        </is>
      </c>
      <c r="K2173" t="inlineStr">
        <is>
          <t>Knappman, Edward W., compiler.</t>
        </is>
      </c>
      <c r="L2173" t="inlineStr">
        <is>
          <t>New York, Facts on File [1973]</t>
        </is>
      </c>
      <c r="M2173" t="inlineStr">
        <is>
          <t>1973</t>
        </is>
      </c>
      <c r="O2173" t="inlineStr">
        <is>
          <t>eng</t>
        </is>
      </c>
      <c r="P2173" t="inlineStr">
        <is>
          <t>nyu</t>
        </is>
      </c>
      <c r="R2173" t="inlineStr">
        <is>
          <t xml:space="preserve">E  </t>
        </is>
      </c>
      <c r="S2173" t="n">
        <v>1</v>
      </c>
      <c r="T2173" t="n">
        <v>1</v>
      </c>
      <c r="U2173" t="inlineStr">
        <is>
          <t>2001-04-09</t>
        </is>
      </c>
      <c r="V2173" t="inlineStr">
        <is>
          <t>2001-04-09</t>
        </is>
      </c>
      <c r="W2173" t="inlineStr">
        <is>
          <t>1997-04-29</t>
        </is>
      </c>
      <c r="X2173" t="inlineStr">
        <is>
          <t>1997-04-29</t>
        </is>
      </c>
      <c r="Y2173" t="n">
        <v>210</v>
      </c>
      <c r="Z2173" t="n">
        <v>198</v>
      </c>
      <c r="AA2173" t="n">
        <v>200</v>
      </c>
      <c r="AB2173" t="n">
        <v>3</v>
      </c>
      <c r="AC2173" t="n">
        <v>3</v>
      </c>
      <c r="AD2173" t="n">
        <v>9</v>
      </c>
      <c r="AE2173" t="n">
        <v>9</v>
      </c>
      <c r="AF2173" t="n">
        <v>2</v>
      </c>
      <c r="AG2173" t="n">
        <v>2</v>
      </c>
      <c r="AH2173" t="n">
        <v>3</v>
      </c>
      <c r="AI2173" t="n">
        <v>3</v>
      </c>
      <c r="AJ2173" t="n">
        <v>5</v>
      </c>
      <c r="AK2173" t="n">
        <v>5</v>
      </c>
      <c r="AL2173" t="n">
        <v>2</v>
      </c>
      <c r="AM2173" t="n">
        <v>2</v>
      </c>
      <c r="AN2173" t="n">
        <v>0</v>
      </c>
      <c r="AO2173" t="n">
        <v>0</v>
      </c>
      <c r="AP2173" t="inlineStr">
        <is>
          <t>No</t>
        </is>
      </c>
      <c r="AQ2173" t="inlineStr">
        <is>
          <t>Yes</t>
        </is>
      </c>
      <c r="AR2173">
        <f>HYPERLINK("http://catalog.hathitrust.org/Record/000577171","HathiTrust Record")</f>
        <v/>
      </c>
      <c r="AS2173">
        <f>HYPERLINK("https://creighton-primo.hosted.exlibrisgroup.com/primo-explore/search?tab=default_tab&amp;search_scope=EVERYTHING&amp;vid=01CRU&amp;lang=en_US&amp;offset=0&amp;query=any,contains,991003027569702656","Catalog Record")</f>
        <v/>
      </c>
      <c r="AT2173">
        <f>HYPERLINK("http://www.worldcat.org/oclc/591010","WorldCat Record")</f>
        <v/>
      </c>
      <c r="AU2173" t="inlineStr">
        <is>
          <t>1780128:eng</t>
        </is>
      </c>
      <c r="AV2173" t="inlineStr">
        <is>
          <t>591010</t>
        </is>
      </c>
      <c r="AW2173" t="inlineStr">
        <is>
          <t>991003027569702656</t>
        </is>
      </c>
      <c r="AX2173" t="inlineStr">
        <is>
          <t>991003027569702656</t>
        </is>
      </c>
      <c r="AY2173" t="inlineStr">
        <is>
          <t>2265712910002656</t>
        </is>
      </c>
      <c r="AZ2173" t="inlineStr">
        <is>
          <t>BOOK</t>
        </is>
      </c>
      <c r="BB2173" t="inlineStr">
        <is>
          <t>9780871963512</t>
        </is>
      </c>
      <c r="BC2173" t="inlineStr">
        <is>
          <t>32285002569043</t>
        </is>
      </c>
      <c r="BD2173" t="inlineStr">
        <is>
          <t>893868009</t>
        </is>
      </c>
    </row>
    <row r="2174">
      <c r="A2174" t="inlineStr">
        <is>
          <t>No</t>
        </is>
      </c>
      <c r="B2174" t="inlineStr">
        <is>
          <t>E859 .N4</t>
        </is>
      </c>
      <c r="C2174" t="inlineStr">
        <is>
          <t>0                      E  0859000N  4</t>
        </is>
      </c>
      <c r="D2174" t="inlineStr">
        <is>
          <t>Guide to the '72 elections.</t>
        </is>
      </c>
      <c r="F2174" t="inlineStr">
        <is>
          <t>No</t>
        </is>
      </c>
      <c r="G2174" t="inlineStr">
        <is>
          <t>1</t>
        </is>
      </c>
      <c r="H2174" t="inlineStr">
        <is>
          <t>No</t>
        </is>
      </c>
      <c r="I2174" t="inlineStr">
        <is>
          <t>No</t>
        </is>
      </c>
      <c r="J2174" t="inlineStr">
        <is>
          <t>0</t>
        </is>
      </c>
      <c r="K2174" t="inlineStr">
        <is>
          <t>Newman, Joseph.</t>
        </is>
      </c>
      <c r="L2174" t="inlineStr">
        <is>
          <t>Washington, Books by U.S. News &amp; World Report [1972]</t>
        </is>
      </c>
      <c r="M2174" t="inlineStr">
        <is>
          <t>1972</t>
        </is>
      </c>
      <c r="O2174" t="inlineStr">
        <is>
          <t>eng</t>
        </is>
      </c>
      <c r="P2174" t="inlineStr">
        <is>
          <t>dcu</t>
        </is>
      </c>
      <c r="R2174" t="inlineStr">
        <is>
          <t xml:space="preserve">E  </t>
        </is>
      </c>
      <c r="S2174" t="n">
        <v>1</v>
      </c>
      <c r="T2174" t="n">
        <v>1</v>
      </c>
      <c r="U2174" t="inlineStr">
        <is>
          <t>2001-04-09</t>
        </is>
      </c>
      <c r="V2174" t="inlineStr">
        <is>
          <t>2001-04-09</t>
        </is>
      </c>
      <c r="W2174" t="inlineStr">
        <is>
          <t>1997-04-29</t>
        </is>
      </c>
      <c r="X2174" t="inlineStr">
        <is>
          <t>1997-04-29</t>
        </is>
      </c>
      <c r="Y2174" t="n">
        <v>212</v>
      </c>
      <c r="Z2174" t="n">
        <v>205</v>
      </c>
      <c r="AA2174" t="n">
        <v>222</v>
      </c>
      <c r="AB2174" t="n">
        <v>1</v>
      </c>
      <c r="AC2174" t="n">
        <v>1</v>
      </c>
      <c r="AD2174" t="n">
        <v>3</v>
      </c>
      <c r="AE2174" t="n">
        <v>4</v>
      </c>
      <c r="AF2174" t="n">
        <v>2</v>
      </c>
      <c r="AG2174" t="n">
        <v>2</v>
      </c>
      <c r="AH2174" t="n">
        <v>0</v>
      </c>
      <c r="AI2174" t="n">
        <v>1</v>
      </c>
      <c r="AJ2174" t="n">
        <v>2</v>
      </c>
      <c r="AK2174" t="n">
        <v>2</v>
      </c>
      <c r="AL2174" t="n">
        <v>0</v>
      </c>
      <c r="AM2174" t="n">
        <v>0</v>
      </c>
      <c r="AN2174" t="n">
        <v>0</v>
      </c>
      <c r="AO2174" t="n">
        <v>0</v>
      </c>
      <c r="AP2174" t="inlineStr">
        <is>
          <t>No</t>
        </is>
      </c>
      <c r="AQ2174" t="inlineStr">
        <is>
          <t>Yes</t>
        </is>
      </c>
      <c r="AR2174">
        <f>HYPERLINK("http://catalog.hathitrust.org/Record/003497981","HathiTrust Record")</f>
        <v/>
      </c>
      <c r="AS2174">
        <f>HYPERLINK("https://creighton-primo.hosted.exlibrisgroup.com/primo-explore/search?tab=default_tab&amp;search_scope=EVERYTHING&amp;vid=01CRU&amp;lang=en_US&amp;offset=0&amp;query=any,contains,991002274079702656","Catalog Record")</f>
        <v/>
      </c>
      <c r="AT2174">
        <f>HYPERLINK("http://www.worldcat.org/oclc/309626","WorldCat Record")</f>
        <v/>
      </c>
      <c r="AU2174" t="inlineStr">
        <is>
          <t>1368160:eng</t>
        </is>
      </c>
      <c r="AV2174" t="inlineStr">
        <is>
          <t>309626</t>
        </is>
      </c>
      <c r="AW2174" t="inlineStr">
        <is>
          <t>991002274079702656</t>
        </is>
      </c>
      <c r="AX2174" t="inlineStr">
        <is>
          <t>991002274079702656</t>
        </is>
      </c>
      <c r="AY2174" t="inlineStr">
        <is>
          <t>2264535120002656</t>
        </is>
      </c>
      <c r="AZ2174" t="inlineStr">
        <is>
          <t>BOOK</t>
        </is>
      </c>
      <c r="BC2174" t="inlineStr">
        <is>
          <t>32285002569050</t>
        </is>
      </c>
      <c r="BD2174" t="inlineStr">
        <is>
          <t>893591147</t>
        </is>
      </c>
    </row>
    <row r="2175">
      <c r="A2175" t="inlineStr">
        <is>
          <t>No</t>
        </is>
      </c>
      <c r="B2175" t="inlineStr">
        <is>
          <t>E859 .W47 1973</t>
        </is>
      </c>
      <c r="C2175" t="inlineStr">
        <is>
          <t>0                      E  0859000W  47          1973</t>
        </is>
      </c>
      <c r="D2175" t="inlineStr">
        <is>
          <t>The making of the President, 1972 [by] Theodore H. White.</t>
        </is>
      </c>
      <c r="F2175" t="inlineStr">
        <is>
          <t>No</t>
        </is>
      </c>
      <c r="G2175" t="inlineStr">
        <is>
          <t>1</t>
        </is>
      </c>
      <c r="H2175" t="inlineStr">
        <is>
          <t>No</t>
        </is>
      </c>
      <c r="I2175" t="inlineStr">
        <is>
          <t>Yes</t>
        </is>
      </c>
      <c r="J2175" t="inlineStr">
        <is>
          <t>0</t>
        </is>
      </c>
      <c r="K2175" t="inlineStr">
        <is>
          <t>White, Theodore H. (Theodore Harold), 1915-1986.</t>
        </is>
      </c>
      <c r="L2175" t="inlineStr">
        <is>
          <t>New York, Atheneum Publishers, 1973.</t>
        </is>
      </c>
      <c r="M2175" t="inlineStr">
        <is>
          <t>1973</t>
        </is>
      </c>
      <c r="N2175" t="inlineStr">
        <is>
          <t>[1st ed.]</t>
        </is>
      </c>
      <c r="O2175" t="inlineStr">
        <is>
          <t>eng</t>
        </is>
      </c>
      <c r="P2175" t="inlineStr">
        <is>
          <t>nyu</t>
        </is>
      </c>
      <c r="R2175" t="inlineStr">
        <is>
          <t xml:space="preserve">E  </t>
        </is>
      </c>
      <c r="S2175" t="n">
        <v>5</v>
      </c>
      <c r="T2175" t="n">
        <v>5</v>
      </c>
      <c r="U2175" t="inlineStr">
        <is>
          <t>2001-10-07</t>
        </is>
      </c>
      <c r="V2175" t="inlineStr">
        <is>
          <t>2001-10-07</t>
        </is>
      </c>
      <c r="W2175" t="inlineStr">
        <is>
          <t>1992-04-28</t>
        </is>
      </c>
      <c r="X2175" t="inlineStr">
        <is>
          <t>1992-04-28</t>
        </is>
      </c>
      <c r="Y2175" t="n">
        <v>2051</v>
      </c>
      <c r="Z2175" t="n">
        <v>1950</v>
      </c>
      <c r="AA2175" t="n">
        <v>3437</v>
      </c>
      <c r="AB2175" t="n">
        <v>19</v>
      </c>
      <c r="AC2175" t="n">
        <v>34</v>
      </c>
      <c r="AD2175" t="n">
        <v>58</v>
      </c>
      <c r="AE2175" t="n">
        <v>78</v>
      </c>
      <c r="AF2175" t="n">
        <v>23</v>
      </c>
      <c r="AG2175" t="n">
        <v>29</v>
      </c>
      <c r="AH2175" t="n">
        <v>10</v>
      </c>
      <c r="AI2175" t="n">
        <v>11</v>
      </c>
      <c r="AJ2175" t="n">
        <v>21</v>
      </c>
      <c r="AK2175" t="n">
        <v>26</v>
      </c>
      <c r="AL2175" t="n">
        <v>11</v>
      </c>
      <c r="AM2175" t="n">
        <v>16</v>
      </c>
      <c r="AN2175" t="n">
        <v>4</v>
      </c>
      <c r="AO2175" t="n">
        <v>10</v>
      </c>
      <c r="AP2175" t="inlineStr">
        <is>
          <t>No</t>
        </is>
      </c>
      <c r="AQ2175" t="inlineStr">
        <is>
          <t>Yes</t>
        </is>
      </c>
      <c r="AR2175">
        <f>HYPERLINK("http://catalog.hathitrust.org/Record/000580190","HathiTrust Record")</f>
        <v/>
      </c>
      <c r="AS2175">
        <f>HYPERLINK("https://creighton-primo.hosted.exlibrisgroup.com/primo-explore/search?tab=default_tab&amp;search_scope=EVERYTHING&amp;vid=01CRU&amp;lang=en_US&amp;offset=0&amp;query=any,contains,991003138169702656","Catalog Record")</f>
        <v/>
      </c>
      <c r="AT2175">
        <f>HYPERLINK("http://www.worldcat.org/oclc/679721","WorldCat Record")</f>
        <v/>
      </c>
      <c r="AU2175" t="inlineStr">
        <is>
          <t>4095904211:eng</t>
        </is>
      </c>
      <c r="AV2175" t="inlineStr">
        <is>
          <t>679721</t>
        </is>
      </c>
      <c r="AW2175" t="inlineStr">
        <is>
          <t>991003138169702656</t>
        </is>
      </c>
      <c r="AX2175" t="inlineStr">
        <is>
          <t>991003138169702656</t>
        </is>
      </c>
      <c r="AY2175" t="inlineStr">
        <is>
          <t>2269661810002656</t>
        </is>
      </c>
      <c r="AZ2175" t="inlineStr">
        <is>
          <t>BOOK</t>
        </is>
      </c>
      <c r="BB2175" t="inlineStr">
        <is>
          <t>9780689105531</t>
        </is>
      </c>
      <c r="BC2175" t="inlineStr">
        <is>
          <t>32285001102614</t>
        </is>
      </c>
      <c r="BD2175" t="inlineStr">
        <is>
          <t>893704947</t>
        </is>
      </c>
    </row>
    <row r="2176">
      <c r="A2176" t="inlineStr">
        <is>
          <t>No</t>
        </is>
      </c>
      <c r="B2176" t="inlineStr">
        <is>
          <t>E860 .A26 1997</t>
        </is>
      </c>
      <c r="C2176" t="inlineStr">
        <is>
          <t>0                      E  0860000A  26          1997</t>
        </is>
      </c>
      <c r="D2176" t="inlineStr">
        <is>
          <t>Abuse of power : the new Nixon tapes / edited with an introduction and commentary by Stanley I. Kutler.</t>
        </is>
      </c>
      <c r="F2176" t="inlineStr">
        <is>
          <t>No</t>
        </is>
      </c>
      <c r="G2176" t="inlineStr">
        <is>
          <t>1</t>
        </is>
      </c>
      <c r="H2176" t="inlineStr">
        <is>
          <t>No</t>
        </is>
      </c>
      <c r="I2176" t="inlineStr">
        <is>
          <t>Yes</t>
        </is>
      </c>
      <c r="J2176" t="inlineStr">
        <is>
          <t>0</t>
        </is>
      </c>
      <c r="L2176" t="inlineStr">
        <is>
          <t>New York : Free Press, c1997.</t>
        </is>
      </c>
      <c r="M2176" t="inlineStr">
        <is>
          <t>1997</t>
        </is>
      </c>
      <c r="O2176" t="inlineStr">
        <is>
          <t>eng</t>
        </is>
      </c>
      <c r="P2176" t="inlineStr">
        <is>
          <t>nyu</t>
        </is>
      </c>
      <c r="R2176" t="inlineStr">
        <is>
          <t xml:space="preserve">E  </t>
        </is>
      </c>
      <c r="S2176" t="n">
        <v>3</v>
      </c>
      <c r="T2176" t="n">
        <v>3</v>
      </c>
      <c r="U2176" t="inlineStr">
        <is>
          <t>2002-04-15</t>
        </is>
      </c>
      <c r="V2176" t="inlineStr">
        <is>
          <t>2002-04-15</t>
        </is>
      </c>
      <c r="W2176" t="inlineStr">
        <is>
          <t>1998-11-09</t>
        </is>
      </c>
      <c r="X2176" t="inlineStr">
        <is>
          <t>1998-11-09</t>
        </is>
      </c>
      <c r="Y2176" t="n">
        <v>1559</v>
      </c>
      <c r="Z2176" t="n">
        <v>1429</v>
      </c>
      <c r="AA2176" t="n">
        <v>1583</v>
      </c>
      <c r="AB2176" t="n">
        <v>11</v>
      </c>
      <c r="AC2176" t="n">
        <v>13</v>
      </c>
      <c r="AD2176" t="n">
        <v>46</v>
      </c>
      <c r="AE2176" t="n">
        <v>51</v>
      </c>
      <c r="AF2176" t="n">
        <v>15</v>
      </c>
      <c r="AG2176" t="n">
        <v>19</v>
      </c>
      <c r="AH2176" t="n">
        <v>9</v>
      </c>
      <c r="AI2176" t="n">
        <v>10</v>
      </c>
      <c r="AJ2176" t="n">
        <v>22</v>
      </c>
      <c r="AK2176" t="n">
        <v>22</v>
      </c>
      <c r="AL2176" t="n">
        <v>6</v>
      </c>
      <c r="AM2176" t="n">
        <v>7</v>
      </c>
      <c r="AN2176" t="n">
        <v>4</v>
      </c>
      <c r="AO2176" t="n">
        <v>4</v>
      </c>
      <c r="AP2176" t="inlineStr">
        <is>
          <t>No</t>
        </is>
      </c>
      <c r="AQ2176" t="inlineStr">
        <is>
          <t>Yes</t>
        </is>
      </c>
      <c r="AR2176">
        <f>HYPERLINK("http://catalog.hathitrust.org/Record/003951997","HathiTrust Record")</f>
        <v/>
      </c>
      <c r="AS2176">
        <f>HYPERLINK("https://creighton-primo.hosted.exlibrisgroup.com/primo-explore/search?tab=default_tab&amp;search_scope=EVERYTHING&amp;vid=01CRU&amp;lang=en_US&amp;offset=0&amp;query=any,contains,991002864269702656","Catalog Record")</f>
        <v/>
      </c>
      <c r="AT2176">
        <f>HYPERLINK("http://www.worldcat.org/oclc/37755068","WorldCat Record")</f>
        <v/>
      </c>
      <c r="AU2176" t="inlineStr">
        <is>
          <t>837010493:eng</t>
        </is>
      </c>
      <c r="AV2176" t="inlineStr">
        <is>
          <t>37755068</t>
        </is>
      </c>
      <c r="AW2176" t="inlineStr">
        <is>
          <t>991002864269702656</t>
        </is>
      </c>
      <c r="AX2176" t="inlineStr">
        <is>
          <t>991002864269702656</t>
        </is>
      </c>
      <c r="AY2176" t="inlineStr">
        <is>
          <t>2262903290002656</t>
        </is>
      </c>
      <c r="AZ2176" t="inlineStr">
        <is>
          <t>BOOK</t>
        </is>
      </c>
      <c r="BB2176" t="inlineStr">
        <is>
          <t>9780684841274</t>
        </is>
      </c>
      <c r="BC2176" t="inlineStr">
        <is>
          <t>32285003486734</t>
        </is>
      </c>
      <c r="BD2176" t="inlineStr">
        <is>
          <t>893352558</t>
        </is>
      </c>
    </row>
    <row r="2177">
      <c r="A2177" t="inlineStr">
        <is>
          <t>No</t>
        </is>
      </c>
      <c r="B2177" t="inlineStr">
        <is>
          <t>E860 .A26 1998</t>
        </is>
      </c>
      <c r="C2177" t="inlineStr">
        <is>
          <t>0                      E  0860000A  26          1998</t>
        </is>
      </c>
      <c r="D2177" t="inlineStr">
        <is>
          <t>Abuse of power : the new Nixon tapes / edited with an introduction and commentary by Stanley I. Kutler.</t>
        </is>
      </c>
      <c r="F2177" t="inlineStr">
        <is>
          <t>No</t>
        </is>
      </c>
      <c r="G2177" t="inlineStr">
        <is>
          <t>1</t>
        </is>
      </c>
      <c r="H2177" t="inlineStr">
        <is>
          <t>No</t>
        </is>
      </c>
      <c r="I2177" t="inlineStr">
        <is>
          <t>Yes</t>
        </is>
      </c>
      <c r="J2177" t="inlineStr">
        <is>
          <t>0</t>
        </is>
      </c>
      <c r="L2177" t="inlineStr">
        <is>
          <t>New York : Simon &amp; Schuster, 1998, c1997.</t>
        </is>
      </c>
      <c r="M2177" t="inlineStr">
        <is>
          <t>1998</t>
        </is>
      </c>
      <c r="N2177" t="inlineStr">
        <is>
          <t>1st Touchstone ed.</t>
        </is>
      </c>
      <c r="O2177" t="inlineStr">
        <is>
          <t>eng</t>
        </is>
      </c>
      <c r="P2177" t="inlineStr">
        <is>
          <t>nyu</t>
        </is>
      </c>
      <c r="R2177" t="inlineStr">
        <is>
          <t xml:space="preserve">E  </t>
        </is>
      </c>
      <c r="S2177" t="n">
        <v>8</v>
      </c>
      <c r="T2177" t="n">
        <v>8</v>
      </c>
      <c r="U2177" t="inlineStr">
        <is>
          <t>2000-03-01</t>
        </is>
      </c>
      <c r="V2177" t="inlineStr">
        <is>
          <t>2000-03-01</t>
        </is>
      </c>
      <c r="W2177" t="inlineStr">
        <is>
          <t>1998-11-03</t>
        </is>
      </c>
      <c r="X2177" t="inlineStr">
        <is>
          <t>1998-11-03</t>
        </is>
      </c>
      <c r="Y2177" t="n">
        <v>182</v>
      </c>
      <c r="Z2177" t="n">
        <v>163</v>
      </c>
      <c r="AA2177" t="n">
        <v>1583</v>
      </c>
      <c r="AB2177" t="n">
        <v>3</v>
      </c>
      <c r="AC2177" t="n">
        <v>13</v>
      </c>
      <c r="AD2177" t="n">
        <v>6</v>
      </c>
      <c r="AE2177" t="n">
        <v>51</v>
      </c>
      <c r="AF2177" t="n">
        <v>4</v>
      </c>
      <c r="AG2177" t="n">
        <v>19</v>
      </c>
      <c r="AH2177" t="n">
        <v>1</v>
      </c>
      <c r="AI2177" t="n">
        <v>10</v>
      </c>
      <c r="AJ2177" t="n">
        <v>1</v>
      </c>
      <c r="AK2177" t="n">
        <v>22</v>
      </c>
      <c r="AL2177" t="n">
        <v>1</v>
      </c>
      <c r="AM2177" t="n">
        <v>7</v>
      </c>
      <c r="AN2177" t="n">
        <v>0</v>
      </c>
      <c r="AO2177" t="n">
        <v>4</v>
      </c>
      <c r="AP2177" t="inlineStr">
        <is>
          <t>No</t>
        </is>
      </c>
      <c r="AQ2177" t="inlineStr">
        <is>
          <t>Yes</t>
        </is>
      </c>
      <c r="AR2177">
        <f>HYPERLINK("http://catalog.hathitrust.org/Record/006000743","HathiTrust Record")</f>
        <v/>
      </c>
      <c r="AS2177">
        <f>HYPERLINK("https://creighton-primo.hosted.exlibrisgroup.com/primo-explore/search?tab=default_tab&amp;search_scope=EVERYTHING&amp;vid=01CRU&amp;lang=en_US&amp;offset=0&amp;query=any,contains,991002978819702656","Catalog Record")</f>
        <v/>
      </c>
      <c r="AT2177">
        <f>HYPERLINK("http://www.worldcat.org/oclc/39985168","WorldCat Record")</f>
        <v/>
      </c>
      <c r="AU2177" t="inlineStr">
        <is>
          <t>837010493:eng</t>
        </is>
      </c>
      <c r="AV2177" t="inlineStr">
        <is>
          <t>39985168</t>
        </is>
      </c>
      <c r="AW2177" t="inlineStr">
        <is>
          <t>991002978819702656</t>
        </is>
      </c>
      <c r="AX2177" t="inlineStr">
        <is>
          <t>991002978819702656</t>
        </is>
      </c>
      <c r="AY2177" t="inlineStr">
        <is>
          <t>2258839980002656</t>
        </is>
      </c>
      <c r="AZ2177" t="inlineStr">
        <is>
          <t>BOOK</t>
        </is>
      </c>
      <c r="BB2177" t="inlineStr">
        <is>
          <t>9780684851877</t>
        </is>
      </c>
      <c r="BC2177" t="inlineStr">
        <is>
          <t>32285003479606</t>
        </is>
      </c>
      <c r="BD2177" t="inlineStr">
        <is>
          <t>893904194</t>
        </is>
      </c>
    </row>
    <row r="2178">
      <c r="A2178" t="inlineStr">
        <is>
          <t>No</t>
        </is>
      </c>
      <c r="B2178" t="inlineStr">
        <is>
          <t>E860 .D36</t>
        </is>
      </c>
      <c r="C2178" t="inlineStr">
        <is>
          <t>0                      E  0860000D  36</t>
        </is>
      </c>
      <c r="D2178" t="inlineStr">
        <is>
          <t>Chief counsel : inside the Ervin Committee--the untold story of Watergate / Samuel Dash.</t>
        </is>
      </c>
      <c r="F2178" t="inlineStr">
        <is>
          <t>No</t>
        </is>
      </c>
      <c r="G2178" t="inlineStr">
        <is>
          <t>1</t>
        </is>
      </c>
      <c r="H2178" t="inlineStr">
        <is>
          <t>No</t>
        </is>
      </c>
      <c r="I2178" t="inlineStr">
        <is>
          <t>No</t>
        </is>
      </c>
      <c r="J2178" t="inlineStr">
        <is>
          <t>0</t>
        </is>
      </c>
      <c r="K2178" t="inlineStr">
        <is>
          <t>Dash, Samuel.</t>
        </is>
      </c>
      <c r="L2178" t="inlineStr">
        <is>
          <t>New York : Random House, c1976.</t>
        </is>
      </c>
      <c r="M2178" t="inlineStr">
        <is>
          <t>1976</t>
        </is>
      </c>
      <c r="N2178" t="inlineStr">
        <is>
          <t>1st ed.</t>
        </is>
      </c>
      <c r="O2178" t="inlineStr">
        <is>
          <t>eng</t>
        </is>
      </c>
      <c r="P2178" t="inlineStr">
        <is>
          <t>nyu</t>
        </is>
      </c>
      <c r="R2178" t="inlineStr">
        <is>
          <t xml:space="preserve">E  </t>
        </is>
      </c>
      <c r="S2178" t="n">
        <v>2</v>
      </c>
      <c r="T2178" t="n">
        <v>2</v>
      </c>
      <c r="U2178" t="inlineStr">
        <is>
          <t>1994-09-25</t>
        </is>
      </c>
      <c r="V2178" t="inlineStr">
        <is>
          <t>1994-09-25</t>
        </is>
      </c>
      <c r="W2178" t="inlineStr">
        <is>
          <t>1992-12-15</t>
        </is>
      </c>
      <c r="X2178" t="inlineStr">
        <is>
          <t>1992-12-15</t>
        </is>
      </c>
      <c r="Y2178" t="n">
        <v>1159</v>
      </c>
      <c r="Z2178" t="n">
        <v>1098</v>
      </c>
      <c r="AA2178" t="n">
        <v>1104</v>
      </c>
      <c r="AB2178" t="n">
        <v>11</v>
      </c>
      <c r="AC2178" t="n">
        <v>11</v>
      </c>
      <c r="AD2178" t="n">
        <v>41</v>
      </c>
      <c r="AE2178" t="n">
        <v>41</v>
      </c>
      <c r="AF2178" t="n">
        <v>9</v>
      </c>
      <c r="AG2178" t="n">
        <v>9</v>
      </c>
      <c r="AH2178" t="n">
        <v>6</v>
      </c>
      <c r="AI2178" t="n">
        <v>6</v>
      </c>
      <c r="AJ2178" t="n">
        <v>13</v>
      </c>
      <c r="AK2178" t="n">
        <v>13</v>
      </c>
      <c r="AL2178" t="n">
        <v>5</v>
      </c>
      <c r="AM2178" t="n">
        <v>5</v>
      </c>
      <c r="AN2178" t="n">
        <v>14</v>
      </c>
      <c r="AO2178" t="n">
        <v>14</v>
      </c>
      <c r="AP2178" t="inlineStr">
        <is>
          <t>No</t>
        </is>
      </c>
      <c r="AQ2178" t="inlineStr">
        <is>
          <t>Yes</t>
        </is>
      </c>
      <c r="AR2178">
        <f>HYPERLINK("http://catalog.hathitrust.org/Record/000737041","HathiTrust Record")</f>
        <v/>
      </c>
      <c r="AS2178">
        <f>HYPERLINK("https://creighton-primo.hosted.exlibrisgroup.com/primo-explore/search?tab=default_tab&amp;search_scope=EVERYTHING&amp;vid=01CRU&amp;lang=en_US&amp;offset=0&amp;query=any,contains,991004107469702656","Catalog Record")</f>
        <v/>
      </c>
      <c r="AT2178">
        <f>HYPERLINK("http://www.worldcat.org/oclc/2388043","WorldCat Record")</f>
        <v/>
      </c>
      <c r="AU2178" t="inlineStr">
        <is>
          <t>196794502:eng</t>
        </is>
      </c>
      <c r="AV2178" t="inlineStr">
        <is>
          <t>2388043</t>
        </is>
      </c>
      <c r="AW2178" t="inlineStr">
        <is>
          <t>991004107469702656</t>
        </is>
      </c>
      <c r="AX2178" t="inlineStr">
        <is>
          <t>991004107469702656</t>
        </is>
      </c>
      <c r="AY2178" t="inlineStr">
        <is>
          <t>2259301070002656</t>
        </is>
      </c>
      <c r="AZ2178" t="inlineStr">
        <is>
          <t>BOOK</t>
        </is>
      </c>
      <c r="BB2178" t="inlineStr">
        <is>
          <t>9780394408538</t>
        </is>
      </c>
      <c r="BC2178" t="inlineStr">
        <is>
          <t>32285001442473</t>
        </is>
      </c>
      <c r="BD2178" t="inlineStr">
        <is>
          <t>893263096</t>
        </is>
      </c>
    </row>
    <row r="2179">
      <c r="A2179" t="inlineStr">
        <is>
          <t>No</t>
        </is>
      </c>
      <c r="B2179" t="inlineStr">
        <is>
          <t>E860 .D73</t>
        </is>
      </c>
      <c r="C2179" t="inlineStr">
        <is>
          <t>0                      E  0860000D  73</t>
        </is>
      </c>
      <c r="D2179" t="inlineStr">
        <is>
          <t>Washington journal : the events of 1973-1974 / Elizabeth Drew.</t>
        </is>
      </c>
      <c r="F2179" t="inlineStr">
        <is>
          <t>No</t>
        </is>
      </c>
      <c r="G2179" t="inlineStr">
        <is>
          <t>1</t>
        </is>
      </c>
      <c r="H2179" t="inlineStr">
        <is>
          <t>No</t>
        </is>
      </c>
      <c r="I2179" t="inlineStr">
        <is>
          <t>No</t>
        </is>
      </c>
      <c r="J2179" t="inlineStr">
        <is>
          <t>0</t>
        </is>
      </c>
      <c r="K2179" t="inlineStr">
        <is>
          <t>Drew, Elizabeth.</t>
        </is>
      </c>
      <c r="L2179" t="inlineStr">
        <is>
          <t>New York : Random House, [1975]</t>
        </is>
      </c>
      <c r="M2179" t="inlineStr">
        <is>
          <t>1975</t>
        </is>
      </c>
      <c r="N2179" t="inlineStr">
        <is>
          <t>1st ed.</t>
        </is>
      </c>
      <c r="O2179" t="inlineStr">
        <is>
          <t>eng</t>
        </is>
      </c>
      <c r="P2179" t="inlineStr">
        <is>
          <t>nyu</t>
        </is>
      </c>
      <c r="R2179" t="inlineStr">
        <is>
          <t xml:space="preserve">E  </t>
        </is>
      </c>
      <c r="S2179" t="n">
        <v>6</v>
      </c>
      <c r="T2179" t="n">
        <v>6</v>
      </c>
      <c r="U2179" t="inlineStr">
        <is>
          <t>2003-05-08</t>
        </is>
      </c>
      <c r="V2179" t="inlineStr">
        <is>
          <t>2003-05-08</t>
        </is>
      </c>
      <c r="W2179" t="inlineStr">
        <is>
          <t>1992-12-15</t>
        </is>
      </c>
      <c r="X2179" t="inlineStr">
        <is>
          <t>1992-12-15</t>
        </is>
      </c>
      <c r="Y2179" t="n">
        <v>1214</v>
      </c>
      <c r="Z2179" t="n">
        <v>1157</v>
      </c>
      <c r="AA2179" t="n">
        <v>1246</v>
      </c>
      <c r="AB2179" t="n">
        <v>8</v>
      </c>
      <c r="AC2179" t="n">
        <v>8</v>
      </c>
      <c r="AD2179" t="n">
        <v>38</v>
      </c>
      <c r="AE2179" t="n">
        <v>40</v>
      </c>
      <c r="AF2179" t="n">
        <v>13</v>
      </c>
      <c r="AG2179" t="n">
        <v>14</v>
      </c>
      <c r="AH2179" t="n">
        <v>8</v>
      </c>
      <c r="AI2179" t="n">
        <v>8</v>
      </c>
      <c r="AJ2179" t="n">
        <v>18</v>
      </c>
      <c r="AK2179" t="n">
        <v>20</v>
      </c>
      <c r="AL2179" t="n">
        <v>7</v>
      </c>
      <c r="AM2179" t="n">
        <v>7</v>
      </c>
      <c r="AN2179" t="n">
        <v>0</v>
      </c>
      <c r="AO2179" t="n">
        <v>0</v>
      </c>
      <c r="AP2179" t="inlineStr">
        <is>
          <t>No</t>
        </is>
      </c>
      <c r="AQ2179" t="inlineStr">
        <is>
          <t>Yes</t>
        </is>
      </c>
      <c r="AR2179">
        <f>HYPERLINK("http://catalog.hathitrust.org/Record/000035284","HathiTrust Record")</f>
        <v/>
      </c>
      <c r="AS2179">
        <f>HYPERLINK("https://creighton-primo.hosted.exlibrisgroup.com/primo-explore/search?tab=default_tab&amp;search_scope=EVERYTHING&amp;vid=01CRU&amp;lang=en_US&amp;offset=0&amp;query=any,contains,991003691669702656","Catalog Record")</f>
        <v/>
      </c>
      <c r="AT2179">
        <f>HYPERLINK("http://www.worldcat.org/oclc/1322812","WorldCat Record")</f>
        <v/>
      </c>
      <c r="AU2179" t="inlineStr">
        <is>
          <t>2201951:eng</t>
        </is>
      </c>
      <c r="AV2179" t="inlineStr">
        <is>
          <t>1322812</t>
        </is>
      </c>
      <c r="AW2179" t="inlineStr">
        <is>
          <t>991003691669702656</t>
        </is>
      </c>
      <c r="AX2179" t="inlineStr">
        <is>
          <t>991003691669702656</t>
        </is>
      </c>
      <c r="AY2179" t="inlineStr">
        <is>
          <t>2254739370002656</t>
        </is>
      </c>
      <c r="AZ2179" t="inlineStr">
        <is>
          <t>BOOK</t>
        </is>
      </c>
      <c r="BB2179" t="inlineStr">
        <is>
          <t>9780394495750</t>
        </is>
      </c>
      <c r="BC2179" t="inlineStr">
        <is>
          <t>32285001442465</t>
        </is>
      </c>
      <c r="BD2179" t="inlineStr">
        <is>
          <t>893686823</t>
        </is>
      </c>
    </row>
    <row r="2180">
      <c r="A2180" t="inlineStr">
        <is>
          <t>No</t>
        </is>
      </c>
      <c r="B2180" t="inlineStr">
        <is>
          <t>E860 .E52 1974b</t>
        </is>
      </c>
      <c r="C2180" t="inlineStr">
        <is>
          <t>0                      E  0860000E  52          1974b</t>
        </is>
      </c>
      <c r="D2180" t="inlineStr">
        <is>
          <t>The End of a Presidency / by the staff of the New York times.</t>
        </is>
      </c>
      <c r="F2180" t="inlineStr">
        <is>
          <t>No</t>
        </is>
      </c>
      <c r="G2180" t="inlineStr">
        <is>
          <t>1</t>
        </is>
      </c>
      <c r="H2180" t="inlineStr">
        <is>
          <t>No</t>
        </is>
      </c>
      <c r="I2180" t="inlineStr">
        <is>
          <t>No</t>
        </is>
      </c>
      <c r="J2180" t="inlineStr">
        <is>
          <t>0</t>
        </is>
      </c>
      <c r="L2180" t="inlineStr">
        <is>
          <t>New York : Holt, Rinehart and Winston, [1974]</t>
        </is>
      </c>
      <c r="M2180" t="inlineStr">
        <is>
          <t>1974</t>
        </is>
      </c>
      <c r="O2180" t="inlineStr">
        <is>
          <t>eng</t>
        </is>
      </c>
      <c r="P2180" t="inlineStr">
        <is>
          <t>nyu</t>
        </is>
      </c>
      <c r="R2180" t="inlineStr">
        <is>
          <t xml:space="preserve">E  </t>
        </is>
      </c>
      <c r="S2180" t="n">
        <v>6</v>
      </c>
      <c r="T2180" t="n">
        <v>6</v>
      </c>
      <c r="U2180" t="inlineStr">
        <is>
          <t>1998-11-24</t>
        </is>
      </c>
      <c r="V2180" t="inlineStr">
        <is>
          <t>1998-11-24</t>
        </is>
      </c>
      <c r="W2180" t="inlineStr">
        <is>
          <t>1991-06-25</t>
        </is>
      </c>
      <c r="X2180" t="inlineStr">
        <is>
          <t>1991-06-25</t>
        </is>
      </c>
      <c r="Y2180" t="n">
        <v>526</v>
      </c>
      <c r="Z2180" t="n">
        <v>500</v>
      </c>
      <c r="AA2180" t="n">
        <v>507</v>
      </c>
      <c r="AB2180" t="n">
        <v>4</v>
      </c>
      <c r="AC2180" t="n">
        <v>4</v>
      </c>
      <c r="AD2180" t="n">
        <v>14</v>
      </c>
      <c r="AE2180" t="n">
        <v>14</v>
      </c>
      <c r="AF2180" t="n">
        <v>4</v>
      </c>
      <c r="AG2180" t="n">
        <v>4</v>
      </c>
      <c r="AH2180" t="n">
        <v>3</v>
      </c>
      <c r="AI2180" t="n">
        <v>3</v>
      </c>
      <c r="AJ2180" t="n">
        <v>4</v>
      </c>
      <c r="AK2180" t="n">
        <v>4</v>
      </c>
      <c r="AL2180" t="n">
        <v>3</v>
      </c>
      <c r="AM2180" t="n">
        <v>3</v>
      </c>
      <c r="AN2180" t="n">
        <v>1</v>
      </c>
      <c r="AO2180" t="n">
        <v>1</v>
      </c>
      <c r="AP2180" t="inlineStr">
        <is>
          <t>No</t>
        </is>
      </c>
      <c r="AQ2180" t="inlineStr">
        <is>
          <t>Yes</t>
        </is>
      </c>
      <c r="AR2180">
        <f>HYPERLINK("http://catalog.hathitrust.org/Record/009492606","HathiTrust Record")</f>
        <v/>
      </c>
      <c r="AS2180">
        <f>HYPERLINK("https://creighton-primo.hosted.exlibrisgroup.com/primo-explore/search?tab=default_tab&amp;search_scope=EVERYTHING&amp;vid=01CRU&amp;lang=en_US&amp;offset=0&amp;query=any,contains,991003548609702656","Catalog Record")</f>
        <v/>
      </c>
      <c r="AT2180">
        <f>HYPERLINK("http://www.worldcat.org/oclc/1116019","WorldCat Record")</f>
        <v/>
      </c>
      <c r="AU2180" t="inlineStr">
        <is>
          <t>10678176594:eng</t>
        </is>
      </c>
      <c r="AV2180" t="inlineStr">
        <is>
          <t>1116019</t>
        </is>
      </c>
      <c r="AW2180" t="inlineStr">
        <is>
          <t>991003548609702656</t>
        </is>
      </c>
      <c r="AX2180" t="inlineStr">
        <is>
          <t>991003548609702656</t>
        </is>
      </c>
      <c r="AY2180" t="inlineStr">
        <is>
          <t>2269279760002656</t>
        </is>
      </c>
      <c r="AZ2180" t="inlineStr">
        <is>
          <t>BOOK</t>
        </is>
      </c>
      <c r="BB2180" t="inlineStr">
        <is>
          <t>9780030140013</t>
        </is>
      </c>
      <c r="BC2180" t="inlineStr">
        <is>
          <t>32285000671288</t>
        </is>
      </c>
      <c r="BD2180" t="inlineStr">
        <is>
          <t>893348797</t>
        </is>
      </c>
    </row>
    <row r="2181">
      <c r="A2181" t="inlineStr">
        <is>
          <t>No</t>
        </is>
      </c>
      <c r="B2181" t="inlineStr">
        <is>
          <t>E860 .F34</t>
        </is>
      </c>
      <c r="C2181" t="inlineStr">
        <is>
          <t>0                      E  0860000F  34</t>
        </is>
      </c>
      <c r="D2181" t="inlineStr">
        <is>
          <t>The Fall of a President / by the staff of the Washington post.</t>
        </is>
      </c>
      <c r="F2181" t="inlineStr">
        <is>
          <t>No</t>
        </is>
      </c>
      <c r="G2181" t="inlineStr">
        <is>
          <t>1</t>
        </is>
      </c>
      <c r="H2181" t="inlineStr">
        <is>
          <t>No</t>
        </is>
      </c>
      <c r="I2181" t="inlineStr">
        <is>
          <t>No</t>
        </is>
      </c>
      <c r="J2181" t="inlineStr">
        <is>
          <t>0</t>
        </is>
      </c>
      <c r="L2181" t="inlineStr">
        <is>
          <t>New York : Delacorte Press, [1974]</t>
        </is>
      </c>
      <c r="M2181" t="inlineStr">
        <is>
          <t>1974</t>
        </is>
      </c>
      <c r="O2181" t="inlineStr">
        <is>
          <t>eng</t>
        </is>
      </c>
      <c r="P2181" t="inlineStr">
        <is>
          <t>nyu</t>
        </is>
      </c>
      <c r="R2181" t="inlineStr">
        <is>
          <t xml:space="preserve">E  </t>
        </is>
      </c>
      <c r="S2181" t="n">
        <v>6</v>
      </c>
      <c r="T2181" t="n">
        <v>6</v>
      </c>
      <c r="U2181" t="inlineStr">
        <is>
          <t>1999-12-01</t>
        </is>
      </c>
      <c r="V2181" t="inlineStr">
        <is>
          <t>1999-12-01</t>
        </is>
      </c>
      <c r="W2181" t="inlineStr">
        <is>
          <t>1997-04-29</t>
        </is>
      </c>
      <c r="X2181" t="inlineStr">
        <is>
          <t>1997-04-29</t>
        </is>
      </c>
      <c r="Y2181" t="n">
        <v>625</v>
      </c>
      <c r="Z2181" t="n">
        <v>578</v>
      </c>
      <c r="AA2181" t="n">
        <v>585</v>
      </c>
      <c r="AB2181" t="n">
        <v>3</v>
      </c>
      <c r="AC2181" t="n">
        <v>3</v>
      </c>
      <c r="AD2181" t="n">
        <v>19</v>
      </c>
      <c r="AE2181" t="n">
        <v>19</v>
      </c>
      <c r="AF2181" t="n">
        <v>9</v>
      </c>
      <c r="AG2181" t="n">
        <v>9</v>
      </c>
      <c r="AH2181" t="n">
        <v>2</v>
      </c>
      <c r="AI2181" t="n">
        <v>2</v>
      </c>
      <c r="AJ2181" t="n">
        <v>5</v>
      </c>
      <c r="AK2181" t="n">
        <v>5</v>
      </c>
      <c r="AL2181" t="n">
        <v>2</v>
      </c>
      <c r="AM2181" t="n">
        <v>2</v>
      </c>
      <c r="AN2181" t="n">
        <v>3</v>
      </c>
      <c r="AO2181" t="n">
        <v>3</v>
      </c>
      <c r="AP2181" t="inlineStr">
        <is>
          <t>No</t>
        </is>
      </c>
      <c r="AQ2181" t="inlineStr">
        <is>
          <t>Yes</t>
        </is>
      </c>
      <c r="AR2181">
        <f>HYPERLINK("http://catalog.hathitrust.org/Record/000029837","HathiTrust Record")</f>
        <v/>
      </c>
      <c r="AS2181">
        <f>HYPERLINK("https://creighton-primo.hosted.exlibrisgroup.com/primo-explore/search?tab=default_tab&amp;search_scope=EVERYTHING&amp;vid=01CRU&amp;lang=en_US&amp;offset=0&amp;query=any,contains,991003529119702656","Catalog Record")</f>
        <v/>
      </c>
      <c r="AT2181">
        <f>HYPERLINK("http://www.worldcat.org/oclc/1092880","WorldCat Record")</f>
        <v/>
      </c>
      <c r="AU2181" t="inlineStr">
        <is>
          <t>10226803250:eng</t>
        </is>
      </c>
      <c r="AV2181" t="inlineStr">
        <is>
          <t>1092880</t>
        </is>
      </c>
      <c r="AW2181" t="inlineStr">
        <is>
          <t>991003529119702656</t>
        </is>
      </c>
      <c r="AX2181" t="inlineStr">
        <is>
          <t>991003529119702656</t>
        </is>
      </c>
      <c r="AY2181" t="inlineStr">
        <is>
          <t>2264272280002656</t>
        </is>
      </c>
      <c r="AZ2181" t="inlineStr">
        <is>
          <t>BOOK</t>
        </is>
      </c>
      <c r="BB2181" t="inlineStr">
        <is>
          <t>9780440045502</t>
        </is>
      </c>
      <c r="BC2181" t="inlineStr">
        <is>
          <t>32285002569076</t>
        </is>
      </c>
      <c r="BD2181" t="inlineStr">
        <is>
          <t>893240296</t>
        </is>
      </c>
    </row>
    <row r="2182">
      <c r="A2182" t="inlineStr">
        <is>
          <t>No</t>
        </is>
      </c>
      <c r="B2182" t="inlineStr">
        <is>
          <t>E860 .H68 1984</t>
        </is>
      </c>
      <c r="C2182" t="inlineStr">
        <is>
          <t>0                      E  0860000H  68          1984</t>
        </is>
      </c>
      <c r="D2182" t="inlineStr">
        <is>
          <t>Secret agenda : Watergate, Deep Throat, and the CIA / by James Hougan.</t>
        </is>
      </c>
      <c r="F2182" t="inlineStr">
        <is>
          <t>No</t>
        </is>
      </c>
      <c r="G2182" t="inlineStr">
        <is>
          <t>1</t>
        </is>
      </c>
      <c r="H2182" t="inlineStr">
        <is>
          <t>No</t>
        </is>
      </c>
      <c r="I2182" t="inlineStr">
        <is>
          <t>No</t>
        </is>
      </c>
      <c r="J2182" t="inlineStr">
        <is>
          <t>0</t>
        </is>
      </c>
      <c r="K2182" t="inlineStr">
        <is>
          <t>Hougan, Jim.</t>
        </is>
      </c>
      <c r="L2182" t="inlineStr">
        <is>
          <t>New York, NY : Random House, c1984.</t>
        </is>
      </c>
      <c r="M2182" t="inlineStr">
        <is>
          <t>1983</t>
        </is>
      </c>
      <c r="N2182" t="inlineStr">
        <is>
          <t>1st ed.</t>
        </is>
      </c>
      <c r="O2182" t="inlineStr">
        <is>
          <t>eng</t>
        </is>
      </c>
      <c r="P2182" t="inlineStr">
        <is>
          <t>nyu</t>
        </is>
      </c>
      <c r="R2182" t="inlineStr">
        <is>
          <t xml:space="preserve">E  </t>
        </is>
      </c>
      <c r="S2182" t="n">
        <v>11</v>
      </c>
      <c r="T2182" t="n">
        <v>11</v>
      </c>
      <c r="U2182" t="inlineStr">
        <is>
          <t>1994-09-25</t>
        </is>
      </c>
      <c r="V2182" t="inlineStr">
        <is>
          <t>1994-09-25</t>
        </is>
      </c>
      <c r="W2182" t="inlineStr">
        <is>
          <t>1991-06-25</t>
        </is>
      </c>
      <c r="X2182" t="inlineStr">
        <is>
          <t>1991-06-25</t>
        </is>
      </c>
      <c r="Y2182" t="n">
        <v>1006</v>
      </c>
      <c r="Z2182" t="n">
        <v>956</v>
      </c>
      <c r="AA2182" t="n">
        <v>1001</v>
      </c>
      <c r="AB2182" t="n">
        <v>6</v>
      </c>
      <c r="AC2182" t="n">
        <v>7</v>
      </c>
      <c r="AD2182" t="n">
        <v>26</v>
      </c>
      <c r="AE2182" t="n">
        <v>27</v>
      </c>
      <c r="AF2182" t="n">
        <v>14</v>
      </c>
      <c r="AG2182" t="n">
        <v>14</v>
      </c>
      <c r="AH2182" t="n">
        <v>3</v>
      </c>
      <c r="AI2182" t="n">
        <v>3</v>
      </c>
      <c r="AJ2182" t="n">
        <v>13</v>
      </c>
      <c r="AK2182" t="n">
        <v>14</v>
      </c>
      <c r="AL2182" t="n">
        <v>2</v>
      </c>
      <c r="AM2182" t="n">
        <v>2</v>
      </c>
      <c r="AN2182" t="n">
        <v>0</v>
      </c>
      <c r="AO2182" t="n">
        <v>0</v>
      </c>
      <c r="AP2182" t="inlineStr">
        <is>
          <t>No</t>
        </is>
      </c>
      <c r="AQ2182" t="inlineStr">
        <is>
          <t>Yes</t>
        </is>
      </c>
      <c r="AR2182">
        <f>HYPERLINK("http://catalog.hathitrust.org/Record/000331765","HathiTrust Record")</f>
        <v/>
      </c>
      <c r="AS2182">
        <f>HYPERLINK("https://creighton-primo.hosted.exlibrisgroup.com/primo-explore/search?tab=default_tab&amp;search_scope=EVERYTHING&amp;vid=01CRU&amp;lang=en_US&amp;offset=0&amp;query=any,contains,991000456529702656","Catalog Record")</f>
        <v/>
      </c>
      <c r="AT2182">
        <f>HYPERLINK("http://www.worldcat.org/oclc/10914118","WorldCat Record")</f>
        <v/>
      </c>
      <c r="AU2182" t="inlineStr">
        <is>
          <t>3187120:eng</t>
        </is>
      </c>
      <c r="AV2182" t="inlineStr">
        <is>
          <t>10914118</t>
        </is>
      </c>
      <c r="AW2182" t="inlineStr">
        <is>
          <t>991000456529702656</t>
        </is>
      </c>
      <c r="AX2182" t="inlineStr">
        <is>
          <t>991000456529702656</t>
        </is>
      </c>
      <c r="AY2182" t="inlineStr">
        <is>
          <t>2256416980002656</t>
        </is>
      </c>
      <c r="AZ2182" t="inlineStr">
        <is>
          <t>BOOK</t>
        </is>
      </c>
      <c r="BB2182" t="inlineStr">
        <is>
          <t>9780394514284</t>
        </is>
      </c>
      <c r="BC2182" t="inlineStr">
        <is>
          <t>32285000671296</t>
        </is>
      </c>
      <c r="BD2182" t="inlineStr">
        <is>
          <t>893589457</t>
        </is>
      </c>
    </row>
    <row r="2183">
      <c r="A2183" t="inlineStr">
        <is>
          <t>No</t>
        </is>
      </c>
      <c r="B2183" t="inlineStr">
        <is>
          <t>E860 .K87 1990</t>
        </is>
      </c>
      <c r="C2183" t="inlineStr">
        <is>
          <t>0                      E  0860000K  87          1990</t>
        </is>
      </c>
      <c r="D2183" t="inlineStr">
        <is>
          <t>The wars of Watergate : the last crisis of Richard Nixon / Stanley I. Kutler.</t>
        </is>
      </c>
      <c r="F2183" t="inlineStr">
        <is>
          <t>No</t>
        </is>
      </c>
      <c r="G2183" t="inlineStr">
        <is>
          <t>1</t>
        </is>
      </c>
      <c r="H2183" t="inlineStr">
        <is>
          <t>No</t>
        </is>
      </c>
      <c r="I2183" t="inlineStr">
        <is>
          <t>No</t>
        </is>
      </c>
      <c r="J2183" t="inlineStr">
        <is>
          <t>0</t>
        </is>
      </c>
      <c r="K2183" t="inlineStr">
        <is>
          <t>Kutler, Stanley I.</t>
        </is>
      </c>
      <c r="L2183" t="inlineStr">
        <is>
          <t>New York : Knopf : Distributed by Random House, 1990.</t>
        </is>
      </c>
      <c r="M2183" t="inlineStr">
        <is>
          <t>1990</t>
        </is>
      </c>
      <c r="N2183" t="inlineStr">
        <is>
          <t>1st ed.</t>
        </is>
      </c>
      <c r="O2183" t="inlineStr">
        <is>
          <t>eng</t>
        </is>
      </c>
      <c r="P2183" t="inlineStr">
        <is>
          <t>nyu</t>
        </is>
      </c>
      <c r="R2183" t="inlineStr">
        <is>
          <t xml:space="preserve">E  </t>
        </is>
      </c>
      <c r="S2183" t="n">
        <v>11</v>
      </c>
      <c r="T2183" t="n">
        <v>11</v>
      </c>
      <c r="U2183" t="inlineStr">
        <is>
          <t>1999-04-13</t>
        </is>
      </c>
      <c r="V2183" t="inlineStr">
        <is>
          <t>1999-04-13</t>
        </is>
      </c>
      <c r="W2183" t="inlineStr">
        <is>
          <t>1990-11-27</t>
        </is>
      </c>
      <c r="X2183" t="inlineStr">
        <is>
          <t>1990-11-27</t>
        </is>
      </c>
      <c r="Y2183" t="n">
        <v>1402</v>
      </c>
      <c r="Z2183" t="n">
        <v>1303</v>
      </c>
      <c r="AA2183" t="n">
        <v>1436</v>
      </c>
      <c r="AB2183" t="n">
        <v>9</v>
      </c>
      <c r="AC2183" t="n">
        <v>10</v>
      </c>
      <c r="AD2183" t="n">
        <v>41</v>
      </c>
      <c r="AE2183" t="n">
        <v>44</v>
      </c>
      <c r="AF2183" t="n">
        <v>13</v>
      </c>
      <c r="AG2183" t="n">
        <v>14</v>
      </c>
      <c r="AH2183" t="n">
        <v>8</v>
      </c>
      <c r="AI2183" t="n">
        <v>8</v>
      </c>
      <c r="AJ2183" t="n">
        <v>16</v>
      </c>
      <c r="AK2183" t="n">
        <v>18</v>
      </c>
      <c r="AL2183" t="n">
        <v>7</v>
      </c>
      <c r="AM2183" t="n">
        <v>7</v>
      </c>
      <c r="AN2183" t="n">
        <v>5</v>
      </c>
      <c r="AO2183" t="n">
        <v>6</v>
      </c>
      <c r="AP2183" t="inlineStr">
        <is>
          <t>No</t>
        </is>
      </c>
      <c r="AQ2183" t="inlineStr">
        <is>
          <t>Yes</t>
        </is>
      </c>
      <c r="AR2183">
        <f>HYPERLINK("http://catalog.hathitrust.org/Record/002058136","HathiTrust Record")</f>
        <v/>
      </c>
      <c r="AS2183">
        <f>HYPERLINK("https://creighton-primo.hosted.exlibrisgroup.com/primo-explore/search?tab=default_tab&amp;search_scope=EVERYTHING&amp;vid=01CRU&amp;lang=en_US&amp;offset=0&amp;query=any,contains,991001644919702656","Catalog Record")</f>
        <v/>
      </c>
      <c r="AT2183">
        <f>HYPERLINK("http://www.worldcat.org/oclc/21042223","WorldCat Record")</f>
        <v/>
      </c>
      <c r="AU2183" t="inlineStr">
        <is>
          <t>879816:eng</t>
        </is>
      </c>
      <c r="AV2183" t="inlineStr">
        <is>
          <t>21042223</t>
        </is>
      </c>
      <c r="AW2183" t="inlineStr">
        <is>
          <t>991001644919702656</t>
        </is>
      </c>
      <c r="AX2183" t="inlineStr">
        <is>
          <t>991001644919702656</t>
        </is>
      </c>
      <c r="AY2183" t="inlineStr">
        <is>
          <t>2269496110002656</t>
        </is>
      </c>
      <c r="AZ2183" t="inlineStr">
        <is>
          <t>BOOK</t>
        </is>
      </c>
      <c r="BB2183" t="inlineStr">
        <is>
          <t>9780394562346</t>
        </is>
      </c>
      <c r="BC2183" t="inlineStr">
        <is>
          <t>32285000357094</t>
        </is>
      </c>
      <c r="BD2183" t="inlineStr">
        <is>
          <t>893408253</t>
        </is>
      </c>
    </row>
    <row r="2184">
      <c r="A2184" t="inlineStr">
        <is>
          <t>No</t>
        </is>
      </c>
      <c r="B2184" t="inlineStr">
        <is>
          <t>E860 .L36 1983</t>
        </is>
      </c>
      <c r="C2184" t="inlineStr">
        <is>
          <t>0                      E  0860000L  36          1983</t>
        </is>
      </c>
      <c r="D2184" t="inlineStr">
        <is>
          <t>The battle for public opinion : the president, the press, and the polls during Watergate / Gladys Engel Lang and Kurt Lang.</t>
        </is>
      </c>
      <c r="F2184" t="inlineStr">
        <is>
          <t>No</t>
        </is>
      </c>
      <c r="G2184" t="inlineStr">
        <is>
          <t>1</t>
        </is>
      </c>
      <c r="H2184" t="inlineStr">
        <is>
          <t>No</t>
        </is>
      </c>
      <c r="I2184" t="inlineStr">
        <is>
          <t>No</t>
        </is>
      </c>
      <c r="J2184" t="inlineStr">
        <is>
          <t>0</t>
        </is>
      </c>
      <c r="K2184" t="inlineStr">
        <is>
          <t>Lang, Gladys Engel.</t>
        </is>
      </c>
      <c r="L2184" t="inlineStr">
        <is>
          <t>New York : Columbia University Press, 1983.</t>
        </is>
      </c>
      <c r="M2184" t="inlineStr">
        <is>
          <t>1983</t>
        </is>
      </c>
      <c r="O2184" t="inlineStr">
        <is>
          <t>eng</t>
        </is>
      </c>
      <c r="P2184" t="inlineStr">
        <is>
          <t>nyu</t>
        </is>
      </c>
      <c r="R2184" t="inlineStr">
        <is>
          <t xml:space="preserve">E  </t>
        </is>
      </c>
      <c r="S2184" t="n">
        <v>14</v>
      </c>
      <c r="T2184" t="n">
        <v>14</v>
      </c>
      <c r="U2184" t="inlineStr">
        <is>
          <t>2002-10-23</t>
        </is>
      </c>
      <c r="V2184" t="inlineStr">
        <is>
          <t>2002-10-23</t>
        </is>
      </c>
      <c r="W2184" t="inlineStr">
        <is>
          <t>1990-05-01</t>
        </is>
      </c>
      <c r="X2184" t="inlineStr">
        <is>
          <t>1990-05-01</t>
        </is>
      </c>
      <c r="Y2184" t="n">
        <v>736</v>
      </c>
      <c r="Z2184" t="n">
        <v>616</v>
      </c>
      <c r="AA2184" t="n">
        <v>617</v>
      </c>
      <c r="AB2184" t="n">
        <v>6</v>
      </c>
      <c r="AC2184" t="n">
        <v>6</v>
      </c>
      <c r="AD2184" t="n">
        <v>38</v>
      </c>
      <c r="AE2184" t="n">
        <v>38</v>
      </c>
      <c r="AF2184" t="n">
        <v>16</v>
      </c>
      <c r="AG2184" t="n">
        <v>16</v>
      </c>
      <c r="AH2184" t="n">
        <v>7</v>
      </c>
      <c r="AI2184" t="n">
        <v>7</v>
      </c>
      <c r="AJ2184" t="n">
        <v>18</v>
      </c>
      <c r="AK2184" t="n">
        <v>18</v>
      </c>
      <c r="AL2184" t="n">
        <v>5</v>
      </c>
      <c r="AM2184" t="n">
        <v>5</v>
      </c>
      <c r="AN2184" t="n">
        <v>1</v>
      </c>
      <c r="AO2184" t="n">
        <v>1</v>
      </c>
      <c r="AP2184" t="inlineStr">
        <is>
          <t>No</t>
        </is>
      </c>
      <c r="AQ2184" t="inlineStr">
        <is>
          <t>No</t>
        </is>
      </c>
      <c r="AS2184">
        <f>HYPERLINK("https://creighton-primo.hosted.exlibrisgroup.com/primo-explore/search?tab=default_tab&amp;search_scope=EVERYTHING&amp;vid=01CRU&amp;lang=en_US&amp;offset=0&amp;query=any,contains,991000038579702656","Catalog Record")</f>
        <v/>
      </c>
      <c r="AT2184">
        <f>HYPERLINK("http://www.worldcat.org/oclc/8629170","WorldCat Record")</f>
        <v/>
      </c>
      <c r="AU2184" t="inlineStr">
        <is>
          <t>420547:eng</t>
        </is>
      </c>
      <c r="AV2184" t="inlineStr">
        <is>
          <t>8629170</t>
        </is>
      </c>
      <c r="AW2184" t="inlineStr">
        <is>
          <t>991000038579702656</t>
        </is>
      </c>
      <c r="AX2184" t="inlineStr">
        <is>
          <t>991000038579702656</t>
        </is>
      </c>
      <c r="AY2184" t="inlineStr">
        <is>
          <t>2264140010002656</t>
        </is>
      </c>
      <c r="AZ2184" t="inlineStr">
        <is>
          <t>BOOK</t>
        </is>
      </c>
      <c r="BB2184" t="inlineStr">
        <is>
          <t>9780231055499</t>
        </is>
      </c>
      <c r="BC2184" t="inlineStr">
        <is>
          <t>32285000145341</t>
        </is>
      </c>
      <c r="BD2184" t="inlineStr">
        <is>
          <t>893701782</t>
        </is>
      </c>
    </row>
    <row r="2185">
      <c r="A2185" t="inlineStr">
        <is>
          <t>No</t>
        </is>
      </c>
      <c r="B2185" t="inlineStr">
        <is>
          <t>E860 .L53</t>
        </is>
      </c>
      <c r="C2185" t="inlineStr">
        <is>
          <t>0                      E  0860000L  53</t>
        </is>
      </c>
      <c r="D2185" t="inlineStr">
        <is>
          <t>Will : the autobiography of G. Gordon Liddy.</t>
        </is>
      </c>
      <c r="F2185" t="inlineStr">
        <is>
          <t>No</t>
        </is>
      </c>
      <c r="G2185" t="inlineStr">
        <is>
          <t>1</t>
        </is>
      </c>
      <c r="H2185" t="inlineStr">
        <is>
          <t>No</t>
        </is>
      </c>
      <c r="I2185" t="inlineStr">
        <is>
          <t>No</t>
        </is>
      </c>
      <c r="J2185" t="inlineStr">
        <is>
          <t>0</t>
        </is>
      </c>
      <c r="K2185" t="inlineStr">
        <is>
          <t>Liddy, G. Gordon.</t>
        </is>
      </c>
      <c r="L2185" t="inlineStr">
        <is>
          <t>New York : St. Martin's Press, c1980.</t>
        </is>
      </c>
      <c r="M2185" t="inlineStr">
        <is>
          <t>1980</t>
        </is>
      </c>
      <c r="O2185" t="inlineStr">
        <is>
          <t>eng</t>
        </is>
      </c>
      <c r="P2185" t="inlineStr">
        <is>
          <t>nyu</t>
        </is>
      </c>
      <c r="R2185" t="inlineStr">
        <is>
          <t xml:space="preserve">E  </t>
        </is>
      </c>
      <c r="S2185" t="n">
        <v>2</v>
      </c>
      <c r="T2185" t="n">
        <v>2</v>
      </c>
      <c r="U2185" t="inlineStr">
        <is>
          <t>1994-02-22</t>
        </is>
      </c>
      <c r="V2185" t="inlineStr">
        <is>
          <t>1994-02-22</t>
        </is>
      </c>
      <c r="W2185" t="inlineStr">
        <is>
          <t>1991-06-25</t>
        </is>
      </c>
      <c r="X2185" t="inlineStr">
        <is>
          <t>1991-06-25</t>
        </is>
      </c>
      <c r="Y2185" t="n">
        <v>1606</v>
      </c>
      <c r="Z2185" t="n">
        <v>1550</v>
      </c>
      <c r="AA2185" t="n">
        <v>1814</v>
      </c>
      <c r="AB2185" t="n">
        <v>16</v>
      </c>
      <c r="AC2185" t="n">
        <v>16</v>
      </c>
      <c r="AD2185" t="n">
        <v>33</v>
      </c>
      <c r="AE2185" t="n">
        <v>38</v>
      </c>
      <c r="AF2185" t="n">
        <v>13</v>
      </c>
      <c r="AG2185" t="n">
        <v>14</v>
      </c>
      <c r="AH2185" t="n">
        <v>6</v>
      </c>
      <c r="AI2185" t="n">
        <v>8</v>
      </c>
      <c r="AJ2185" t="n">
        <v>16</v>
      </c>
      <c r="AK2185" t="n">
        <v>18</v>
      </c>
      <c r="AL2185" t="n">
        <v>6</v>
      </c>
      <c r="AM2185" t="n">
        <v>6</v>
      </c>
      <c r="AN2185" t="n">
        <v>1</v>
      </c>
      <c r="AO2185" t="n">
        <v>1</v>
      </c>
      <c r="AP2185" t="inlineStr">
        <is>
          <t>No</t>
        </is>
      </c>
      <c r="AQ2185" t="inlineStr">
        <is>
          <t>No</t>
        </is>
      </c>
      <c r="AS2185">
        <f>HYPERLINK("https://creighton-primo.hosted.exlibrisgroup.com/primo-explore/search?tab=default_tab&amp;search_scope=EVERYTHING&amp;vid=01CRU&amp;lang=en_US&amp;offset=0&amp;query=any,contains,991005015919702656","Catalog Record")</f>
        <v/>
      </c>
      <c r="AT2185">
        <f>HYPERLINK("http://www.worldcat.org/oclc/6626144","WorldCat Record")</f>
        <v/>
      </c>
      <c r="AU2185" t="inlineStr">
        <is>
          <t>676709:eng</t>
        </is>
      </c>
      <c r="AV2185" t="inlineStr">
        <is>
          <t>6626144</t>
        </is>
      </c>
      <c r="AW2185" t="inlineStr">
        <is>
          <t>991005015919702656</t>
        </is>
      </c>
      <c r="AX2185" t="inlineStr">
        <is>
          <t>991005015919702656</t>
        </is>
      </c>
      <c r="AY2185" t="inlineStr">
        <is>
          <t>2255965500002656</t>
        </is>
      </c>
      <c r="AZ2185" t="inlineStr">
        <is>
          <t>BOOK</t>
        </is>
      </c>
      <c r="BB2185" t="inlineStr">
        <is>
          <t>9780312880149</t>
        </is>
      </c>
      <c r="BC2185" t="inlineStr">
        <is>
          <t>32285000671304</t>
        </is>
      </c>
      <c r="BD2185" t="inlineStr">
        <is>
          <t>893260441</t>
        </is>
      </c>
    </row>
    <row r="2186">
      <c r="A2186" t="inlineStr">
        <is>
          <t>No</t>
        </is>
      </c>
      <c r="B2186" t="inlineStr">
        <is>
          <t>E860 .L84 1976</t>
        </is>
      </c>
      <c r="C2186" t="inlineStr">
        <is>
          <t>0                      E  0860000L  84          1976</t>
        </is>
      </c>
      <c r="D2186" t="inlineStr">
        <is>
          <t>Nightmare : the underside of the Nixon years / J. Anthony Lukas.</t>
        </is>
      </c>
      <c r="F2186" t="inlineStr">
        <is>
          <t>No</t>
        </is>
      </c>
      <c r="G2186" t="inlineStr">
        <is>
          <t>1</t>
        </is>
      </c>
      <c r="H2186" t="inlineStr">
        <is>
          <t>No</t>
        </is>
      </c>
      <c r="I2186" t="inlineStr">
        <is>
          <t>No</t>
        </is>
      </c>
      <c r="J2186" t="inlineStr">
        <is>
          <t>0</t>
        </is>
      </c>
      <c r="K2186" t="inlineStr">
        <is>
          <t>Lukas, J. Anthony, 1933-1997.</t>
        </is>
      </c>
      <c r="L2186" t="inlineStr">
        <is>
          <t>New York : Viking Press, 1976.</t>
        </is>
      </c>
      <c r="M2186" t="inlineStr">
        <is>
          <t>1976</t>
        </is>
      </c>
      <c r="O2186" t="inlineStr">
        <is>
          <t>eng</t>
        </is>
      </c>
      <c r="P2186" t="inlineStr">
        <is>
          <t>nyu</t>
        </is>
      </c>
      <c r="R2186" t="inlineStr">
        <is>
          <t xml:space="preserve">E  </t>
        </is>
      </c>
      <c r="S2186" t="n">
        <v>7</v>
      </c>
      <c r="T2186" t="n">
        <v>7</v>
      </c>
      <c r="U2186" t="inlineStr">
        <is>
          <t>2002-04-15</t>
        </is>
      </c>
      <c r="V2186" t="inlineStr">
        <is>
          <t>2002-04-15</t>
        </is>
      </c>
      <c r="W2186" t="inlineStr">
        <is>
          <t>1992-12-09</t>
        </is>
      </c>
      <c r="X2186" t="inlineStr">
        <is>
          <t>1992-12-09</t>
        </is>
      </c>
      <c r="Y2186" t="n">
        <v>1311</v>
      </c>
      <c r="Z2186" t="n">
        <v>1240</v>
      </c>
      <c r="AA2186" t="n">
        <v>1449</v>
      </c>
      <c r="AB2186" t="n">
        <v>12</v>
      </c>
      <c r="AC2186" t="n">
        <v>14</v>
      </c>
      <c r="AD2186" t="n">
        <v>46</v>
      </c>
      <c r="AE2186" t="n">
        <v>50</v>
      </c>
      <c r="AF2186" t="n">
        <v>21</v>
      </c>
      <c r="AG2186" t="n">
        <v>23</v>
      </c>
      <c r="AH2186" t="n">
        <v>6</v>
      </c>
      <c r="AI2186" t="n">
        <v>7</v>
      </c>
      <c r="AJ2186" t="n">
        <v>20</v>
      </c>
      <c r="AK2186" t="n">
        <v>21</v>
      </c>
      <c r="AL2186" t="n">
        <v>7</v>
      </c>
      <c r="AM2186" t="n">
        <v>8</v>
      </c>
      <c r="AN2186" t="n">
        <v>2</v>
      </c>
      <c r="AO2186" t="n">
        <v>2</v>
      </c>
      <c r="AP2186" t="inlineStr">
        <is>
          <t>No</t>
        </is>
      </c>
      <c r="AQ2186" t="inlineStr">
        <is>
          <t>Yes</t>
        </is>
      </c>
      <c r="AR2186">
        <f>HYPERLINK("http://catalog.hathitrust.org/Record/000044245","HathiTrust Record")</f>
        <v/>
      </c>
      <c r="AS2186">
        <f>HYPERLINK("https://creighton-primo.hosted.exlibrisgroup.com/primo-explore/search?tab=default_tab&amp;search_scope=EVERYTHING&amp;vid=01CRU&amp;lang=en_US&amp;offset=0&amp;query=any,contains,991003865839702656","Catalog Record")</f>
        <v/>
      </c>
      <c r="AT2186">
        <f>HYPERLINK("http://www.worldcat.org/oclc/1676387","WorldCat Record")</f>
        <v/>
      </c>
      <c r="AU2186" t="inlineStr">
        <is>
          <t>196660339:eng</t>
        </is>
      </c>
      <c r="AV2186" t="inlineStr">
        <is>
          <t>1676387</t>
        </is>
      </c>
      <c r="AW2186" t="inlineStr">
        <is>
          <t>991003865839702656</t>
        </is>
      </c>
      <c r="AX2186" t="inlineStr">
        <is>
          <t>991003865839702656</t>
        </is>
      </c>
      <c r="AY2186" t="inlineStr">
        <is>
          <t>2265514670002656</t>
        </is>
      </c>
      <c r="AZ2186" t="inlineStr">
        <is>
          <t>BOOK</t>
        </is>
      </c>
      <c r="BB2186" t="inlineStr">
        <is>
          <t>9780670514151</t>
        </is>
      </c>
      <c r="BC2186" t="inlineStr">
        <is>
          <t>32285001413599</t>
        </is>
      </c>
      <c r="BD2186" t="inlineStr">
        <is>
          <t>893611562</t>
        </is>
      </c>
    </row>
    <row r="2187">
      <c r="A2187" t="inlineStr">
        <is>
          <t>No</t>
        </is>
      </c>
      <c r="B2187" t="inlineStr">
        <is>
          <t>E860 .M4 1975</t>
        </is>
      </c>
      <c r="C2187" t="inlineStr">
        <is>
          <t>0                      E  0860000M  4           1975</t>
        </is>
      </c>
      <c r="D2187" t="inlineStr">
        <is>
          <t>U.S. v. Richard M. Nixon : the final crisis / Frank Mankiewicz.</t>
        </is>
      </c>
      <c r="F2187" t="inlineStr">
        <is>
          <t>No</t>
        </is>
      </c>
      <c r="G2187" t="inlineStr">
        <is>
          <t>1</t>
        </is>
      </c>
      <c r="H2187" t="inlineStr">
        <is>
          <t>No</t>
        </is>
      </c>
      <c r="I2187" t="inlineStr">
        <is>
          <t>No</t>
        </is>
      </c>
      <c r="J2187" t="inlineStr">
        <is>
          <t>0</t>
        </is>
      </c>
      <c r="K2187" t="inlineStr">
        <is>
          <t>Mankiewicz, Frank, 1924-2014.</t>
        </is>
      </c>
      <c r="L2187" t="inlineStr">
        <is>
          <t>New York : Quadrangle/New York Times Book Co., [1975]</t>
        </is>
      </c>
      <c r="M2187" t="inlineStr">
        <is>
          <t>1975</t>
        </is>
      </c>
      <c r="O2187" t="inlineStr">
        <is>
          <t>eng</t>
        </is>
      </c>
      <c r="P2187" t="inlineStr">
        <is>
          <t>nyu</t>
        </is>
      </c>
      <c r="R2187" t="inlineStr">
        <is>
          <t xml:space="preserve">E  </t>
        </is>
      </c>
      <c r="S2187" t="n">
        <v>4</v>
      </c>
      <c r="T2187" t="n">
        <v>4</v>
      </c>
      <c r="U2187" t="inlineStr">
        <is>
          <t>1994-02-16</t>
        </is>
      </c>
      <c r="V2187" t="inlineStr">
        <is>
          <t>1994-02-16</t>
        </is>
      </c>
      <c r="W2187" t="inlineStr">
        <is>
          <t>1992-11-07</t>
        </is>
      </c>
      <c r="X2187" t="inlineStr">
        <is>
          <t>1992-11-07</t>
        </is>
      </c>
      <c r="Y2187" t="n">
        <v>1027</v>
      </c>
      <c r="Z2187" t="n">
        <v>966</v>
      </c>
      <c r="AA2187" t="n">
        <v>1005</v>
      </c>
      <c r="AB2187" t="n">
        <v>8</v>
      </c>
      <c r="AC2187" t="n">
        <v>8</v>
      </c>
      <c r="AD2187" t="n">
        <v>35</v>
      </c>
      <c r="AE2187" t="n">
        <v>35</v>
      </c>
      <c r="AF2187" t="n">
        <v>13</v>
      </c>
      <c r="AG2187" t="n">
        <v>13</v>
      </c>
      <c r="AH2187" t="n">
        <v>7</v>
      </c>
      <c r="AI2187" t="n">
        <v>7</v>
      </c>
      <c r="AJ2187" t="n">
        <v>16</v>
      </c>
      <c r="AK2187" t="n">
        <v>16</v>
      </c>
      <c r="AL2187" t="n">
        <v>5</v>
      </c>
      <c r="AM2187" t="n">
        <v>5</v>
      </c>
      <c r="AN2187" t="n">
        <v>3</v>
      </c>
      <c r="AO2187" t="n">
        <v>3</v>
      </c>
      <c r="AP2187" t="inlineStr">
        <is>
          <t>No</t>
        </is>
      </c>
      <c r="AQ2187" t="inlineStr">
        <is>
          <t>Yes</t>
        </is>
      </c>
      <c r="AR2187">
        <f>HYPERLINK("http://catalog.hathitrust.org/Record/000036854","HathiTrust Record")</f>
        <v/>
      </c>
      <c r="AS2187">
        <f>HYPERLINK("https://creighton-primo.hosted.exlibrisgroup.com/primo-explore/search?tab=default_tab&amp;search_scope=EVERYTHING&amp;vid=01CRU&amp;lang=en_US&amp;offset=0&amp;query=any,contains,991003565599702656","Catalog Record")</f>
        <v/>
      </c>
      <c r="AT2187">
        <f>HYPERLINK("http://www.worldcat.org/oclc/1138027","WorldCat Record")</f>
        <v/>
      </c>
      <c r="AU2187" t="inlineStr">
        <is>
          <t>2057288:eng</t>
        </is>
      </c>
      <c r="AV2187" t="inlineStr">
        <is>
          <t>1138027</t>
        </is>
      </c>
      <c r="AW2187" t="inlineStr">
        <is>
          <t>991003565599702656</t>
        </is>
      </c>
      <c r="AX2187" t="inlineStr">
        <is>
          <t>991003565599702656</t>
        </is>
      </c>
      <c r="AY2187" t="inlineStr">
        <is>
          <t>2270133160002656</t>
        </is>
      </c>
      <c r="AZ2187" t="inlineStr">
        <is>
          <t>BOOK</t>
        </is>
      </c>
      <c r="BB2187" t="inlineStr">
        <is>
          <t>9780812905052</t>
        </is>
      </c>
      <c r="BC2187" t="inlineStr">
        <is>
          <t>32285001383479</t>
        </is>
      </c>
      <c r="BD2187" t="inlineStr">
        <is>
          <t>893623626</t>
        </is>
      </c>
    </row>
    <row r="2188">
      <c r="A2188" t="inlineStr">
        <is>
          <t>No</t>
        </is>
      </c>
      <c r="B2188" t="inlineStr">
        <is>
          <t>E860 .O47 2003</t>
        </is>
      </c>
      <c r="C2188" t="inlineStr">
        <is>
          <t>0                      E  0860000O  47          2003</t>
        </is>
      </c>
      <c r="D2188" t="inlineStr">
        <is>
          <t>Watergate : the presidential scandal that shook America / Keith W. Olson.</t>
        </is>
      </c>
      <c r="F2188" t="inlineStr">
        <is>
          <t>No</t>
        </is>
      </c>
      <c r="G2188" t="inlineStr">
        <is>
          <t>1</t>
        </is>
      </c>
      <c r="H2188" t="inlineStr">
        <is>
          <t>No</t>
        </is>
      </c>
      <c r="I2188" t="inlineStr">
        <is>
          <t>No</t>
        </is>
      </c>
      <c r="J2188" t="inlineStr">
        <is>
          <t>0</t>
        </is>
      </c>
      <c r="K2188" t="inlineStr">
        <is>
          <t>Olson, Keith W., 1931-</t>
        </is>
      </c>
      <c r="L2188" t="inlineStr">
        <is>
          <t>Lawrence : University Press of Kansas, c2003.</t>
        </is>
      </c>
      <c r="M2188" t="inlineStr">
        <is>
          <t>2003</t>
        </is>
      </c>
      <c r="O2188" t="inlineStr">
        <is>
          <t>eng</t>
        </is>
      </c>
      <c r="P2188" t="inlineStr">
        <is>
          <t>ksu</t>
        </is>
      </c>
      <c r="R2188" t="inlineStr">
        <is>
          <t xml:space="preserve">E  </t>
        </is>
      </c>
      <c r="S2188" t="n">
        <v>1</v>
      </c>
      <c r="T2188" t="n">
        <v>1</v>
      </c>
      <c r="U2188" t="inlineStr">
        <is>
          <t>2005-09-30</t>
        </is>
      </c>
      <c r="V2188" t="inlineStr">
        <is>
          <t>2005-09-30</t>
        </is>
      </c>
      <c r="W2188" t="inlineStr">
        <is>
          <t>2004-09-22</t>
        </is>
      </c>
      <c r="X2188" t="inlineStr">
        <is>
          <t>2004-09-22</t>
        </is>
      </c>
      <c r="Y2188" t="n">
        <v>1439</v>
      </c>
      <c r="Z2188" t="n">
        <v>1337</v>
      </c>
      <c r="AA2188" t="n">
        <v>1416</v>
      </c>
      <c r="AB2188" t="n">
        <v>15</v>
      </c>
      <c r="AC2188" t="n">
        <v>16</v>
      </c>
      <c r="AD2188" t="n">
        <v>49</v>
      </c>
      <c r="AE2188" t="n">
        <v>55</v>
      </c>
      <c r="AF2188" t="n">
        <v>16</v>
      </c>
      <c r="AG2188" t="n">
        <v>19</v>
      </c>
      <c r="AH2188" t="n">
        <v>8</v>
      </c>
      <c r="AI2188" t="n">
        <v>9</v>
      </c>
      <c r="AJ2188" t="n">
        <v>19</v>
      </c>
      <c r="AK2188" t="n">
        <v>20</v>
      </c>
      <c r="AL2188" t="n">
        <v>11</v>
      </c>
      <c r="AM2188" t="n">
        <v>12</v>
      </c>
      <c r="AN2188" t="n">
        <v>4</v>
      </c>
      <c r="AO2188" t="n">
        <v>4</v>
      </c>
      <c r="AP2188" t="inlineStr">
        <is>
          <t>No</t>
        </is>
      </c>
      <c r="AQ2188" t="inlineStr">
        <is>
          <t>Yes</t>
        </is>
      </c>
      <c r="AR2188">
        <f>HYPERLINK("http://catalog.hathitrust.org/Record/004320038","HathiTrust Record")</f>
        <v/>
      </c>
      <c r="AS2188">
        <f>HYPERLINK("https://creighton-primo.hosted.exlibrisgroup.com/primo-explore/search?tab=default_tab&amp;search_scope=EVERYTHING&amp;vid=01CRU&amp;lang=en_US&amp;offset=0&amp;query=any,contains,991004368939702656","Catalog Record")</f>
        <v/>
      </c>
      <c r="AT2188">
        <f>HYPERLINK("http://www.worldcat.org/oclc/51020286","WorldCat Record")</f>
        <v/>
      </c>
      <c r="AU2188" t="inlineStr">
        <is>
          <t>796417175:eng</t>
        </is>
      </c>
      <c r="AV2188" t="inlineStr">
        <is>
          <t>51020286</t>
        </is>
      </c>
      <c r="AW2188" t="inlineStr">
        <is>
          <t>991004368939702656</t>
        </is>
      </c>
      <c r="AX2188" t="inlineStr">
        <is>
          <t>991004368939702656</t>
        </is>
      </c>
      <c r="AY2188" t="inlineStr">
        <is>
          <t>2269831030002656</t>
        </is>
      </c>
      <c r="AZ2188" t="inlineStr">
        <is>
          <t>BOOK</t>
        </is>
      </c>
      <c r="BB2188" t="inlineStr">
        <is>
          <t>9780700612505</t>
        </is>
      </c>
      <c r="BC2188" t="inlineStr">
        <is>
          <t>32285004988530</t>
        </is>
      </c>
      <c r="BD2188" t="inlineStr">
        <is>
          <t>893687645</t>
        </is>
      </c>
    </row>
    <row r="2189">
      <c r="A2189" t="inlineStr">
        <is>
          <t>No</t>
        </is>
      </c>
      <c r="B2189" t="inlineStr">
        <is>
          <t>E860 .R6</t>
        </is>
      </c>
      <c r="C2189" t="inlineStr">
        <is>
          <t>0                      E  0860000R  6</t>
        </is>
      </c>
      <c r="D2189" t="inlineStr">
        <is>
          <t>Watergate : an annotated bibliography / Kenyon C. Rosenberg and Judith K. Rosenberg.</t>
        </is>
      </c>
      <c r="F2189" t="inlineStr">
        <is>
          <t>No</t>
        </is>
      </c>
      <c r="G2189" t="inlineStr">
        <is>
          <t>1</t>
        </is>
      </c>
      <c r="H2189" t="inlineStr">
        <is>
          <t>No</t>
        </is>
      </c>
      <c r="I2189" t="inlineStr">
        <is>
          <t>No</t>
        </is>
      </c>
      <c r="J2189" t="inlineStr">
        <is>
          <t>0</t>
        </is>
      </c>
      <c r="K2189" t="inlineStr">
        <is>
          <t>Rosenberg, Kenyon C.</t>
        </is>
      </c>
      <c r="L2189" t="inlineStr">
        <is>
          <t>Littleton, Colo. : Libraries Unlimited, 1975.</t>
        </is>
      </c>
      <c r="M2189" t="inlineStr">
        <is>
          <t>1975</t>
        </is>
      </c>
      <c r="O2189" t="inlineStr">
        <is>
          <t>eng</t>
        </is>
      </c>
      <c r="P2189" t="inlineStr">
        <is>
          <t>cou</t>
        </is>
      </c>
      <c r="R2189" t="inlineStr">
        <is>
          <t xml:space="preserve">E  </t>
        </is>
      </c>
      <c r="S2189" t="n">
        <v>2</v>
      </c>
      <c r="T2189" t="n">
        <v>2</v>
      </c>
      <c r="U2189" t="inlineStr">
        <is>
          <t>2002-10-23</t>
        </is>
      </c>
      <c r="V2189" t="inlineStr">
        <is>
          <t>2002-10-23</t>
        </is>
      </c>
      <c r="W2189" t="inlineStr">
        <is>
          <t>1998-03-18</t>
        </is>
      </c>
      <c r="X2189" t="inlineStr">
        <is>
          <t>1998-03-18</t>
        </is>
      </c>
      <c r="Y2189" t="n">
        <v>474</v>
      </c>
      <c r="Z2189" t="n">
        <v>434</v>
      </c>
      <c r="AA2189" t="n">
        <v>441</v>
      </c>
      <c r="AB2189" t="n">
        <v>3</v>
      </c>
      <c r="AC2189" t="n">
        <v>3</v>
      </c>
      <c r="AD2189" t="n">
        <v>13</v>
      </c>
      <c r="AE2189" t="n">
        <v>13</v>
      </c>
      <c r="AF2189" t="n">
        <v>1</v>
      </c>
      <c r="AG2189" t="n">
        <v>1</v>
      </c>
      <c r="AH2189" t="n">
        <v>4</v>
      </c>
      <c r="AI2189" t="n">
        <v>4</v>
      </c>
      <c r="AJ2189" t="n">
        <v>4</v>
      </c>
      <c r="AK2189" t="n">
        <v>4</v>
      </c>
      <c r="AL2189" t="n">
        <v>2</v>
      </c>
      <c r="AM2189" t="n">
        <v>2</v>
      </c>
      <c r="AN2189" t="n">
        <v>3</v>
      </c>
      <c r="AO2189" t="n">
        <v>3</v>
      </c>
      <c r="AP2189" t="inlineStr">
        <is>
          <t>No</t>
        </is>
      </c>
      <c r="AQ2189" t="inlineStr">
        <is>
          <t>Yes</t>
        </is>
      </c>
      <c r="AR2189">
        <f>HYPERLINK("http://catalog.hathitrust.org/Record/000029011","HathiTrust Record")</f>
        <v/>
      </c>
      <c r="AS2189">
        <f>HYPERLINK("https://creighton-primo.hosted.exlibrisgroup.com/primo-explore/search?tab=default_tab&amp;search_scope=EVERYTHING&amp;vid=01CRU&amp;lang=en_US&amp;offset=0&amp;query=any,contains,991001388149702656","Catalog Record")</f>
        <v/>
      </c>
      <c r="AT2189">
        <f>HYPERLINK("http://www.worldcat.org/oclc/1273377","WorldCat Record")</f>
        <v/>
      </c>
      <c r="AU2189" t="inlineStr">
        <is>
          <t>2200553:eng</t>
        </is>
      </c>
      <c r="AV2189" t="inlineStr">
        <is>
          <t>1273377</t>
        </is>
      </c>
      <c r="AW2189" t="inlineStr">
        <is>
          <t>991001388149702656</t>
        </is>
      </c>
      <c r="AX2189" t="inlineStr">
        <is>
          <t>991001388149702656</t>
        </is>
      </c>
      <c r="AY2189" t="inlineStr">
        <is>
          <t>2267755410002656</t>
        </is>
      </c>
      <c r="AZ2189" t="inlineStr">
        <is>
          <t>BOOK</t>
        </is>
      </c>
      <c r="BB2189" t="inlineStr">
        <is>
          <t>9780872871168</t>
        </is>
      </c>
      <c r="BC2189" t="inlineStr">
        <is>
          <t>32285003362620</t>
        </is>
      </c>
      <c r="BD2189" t="inlineStr">
        <is>
          <t>893709219</t>
        </is>
      </c>
    </row>
    <row r="2190">
      <c r="A2190" t="inlineStr">
        <is>
          <t>No</t>
        </is>
      </c>
      <c r="B2190" t="inlineStr">
        <is>
          <t>E860 .S8 1978</t>
        </is>
      </c>
      <c r="C2190" t="inlineStr">
        <is>
          <t>0                      E  0860000S  8           1978</t>
        </is>
      </c>
      <c r="D2190" t="inlineStr">
        <is>
          <t>The terrors of justice : the untold side of Watergate / Maurice H. Stans.</t>
        </is>
      </c>
      <c r="F2190" t="inlineStr">
        <is>
          <t>No</t>
        </is>
      </c>
      <c r="G2190" t="inlineStr">
        <is>
          <t>1</t>
        </is>
      </c>
      <c r="H2190" t="inlineStr">
        <is>
          <t>Yes</t>
        </is>
      </c>
      <c r="I2190" t="inlineStr">
        <is>
          <t>No</t>
        </is>
      </c>
      <c r="J2190" t="inlineStr">
        <is>
          <t>0</t>
        </is>
      </c>
      <c r="K2190" t="inlineStr">
        <is>
          <t>Stans, Maurice H., 1908-1998.</t>
        </is>
      </c>
      <c r="L2190" t="inlineStr">
        <is>
          <t>New York : Everest House, c1978.</t>
        </is>
      </c>
      <c r="M2190" t="inlineStr">
        <is>
          <t>1978</t>
        </is>
      </c>
      <c r="N2190" t="inlineStr">
        <is>
          <t>1st ed.</t>
        </is>
      </c>
      <c r="O2190" t="inlineStr">
        <is>
          <t>eng</t>
        </is>
      </c>
      <c r="P2190" t="inlineStr">
        <is>
          <t>nyu</t>
        </is>
      </c>
      <c r="R2190" t="inlineStr">
        <is>
          <t xml:space="preserve">E  </t>
        </is>
      </c>
      <c r="S2190" t="n">
        <v>1</v>
      </c>
      <c r="T2190" t="n">
        <v>1</v>
      </c>
      <c r="U2190" t="inlineStr">
        <is>
          <t>1994-01-25</t>
        </is>
      </c>
      <c r="V2190" t="inlineStr">
        <is>
          <t>1994-01-25</t>
        </is>
      </c>
      <c r="W2190" t="inlineStr">
        <is>
          <t>1991-06-25</t>
        </is>
      </c>
      <c r="X2190" t="inlineStr">
        <is>
          <t>1991-08-08</t>
        </is>
      </c>
      <c r="Y2190" t="n">
        <v>1219</v>
      </c>
      <c r="Z2190" t="n">
        <v>1174</v>
      </c>
      <c r="AA2190" t="n">
        <v>1214</v>
      </c>
      <c r="AB2190" t="n">
        <v>16</v>
      </c>
      <c r="AC2190" t="n">
        <v>16</v>
      </c>
      <c r="AD2190" t="n">
        <v>49</v>
      </c>
      <c r="AE2190" t="n">
        <v>50</v>
      </c>
      <c r="AF2190" t="n">
        <v>10</v>
      </c>
      <c r="AG2190" t="n">
        <v>11</v>
      </c>
      <c r="AH2190" t="n">
        <v>7</v>
      </c>
      <c r="AI2190" t="n">
        <v>7</v>
      </c>
      <c r="AJ2190" t="n">
        <v>14</v>
      </c>
      <c r="AK2190" t="n">
        <v>14</v>
      </c>
      <c r="AL2190" t="n">
        <v>9</v>
      </c>
      <c r="AM2190" t="n">
        <v>9</v>
      </c>
      <c r="AN2190" t="n">
        <v>16</v>
      </c>
      <c r="AO2190" t="n">
        <v>16</v>
      </c>
      <c r="AP2190" t="inlineStr">
        <is>
          <t>No</t>
        </is>
      </c>
      <c r="AQ2190" t="inlineStr">
        <is>
          <t>Yes</t>
        </is>
      </c>
      <c r="AR2190">
        <f>HYPERLINK("http://catalog.hathitrust.org/Record/000257295","HathiTrust Record")</f>
        <v/>
      </c>
      <c r="AS2190">
        <f>HYPERLINK("https://creighton-primo.hosted.exlibrisgroup.com/primo-explore/search?tab=default_tab&amp;search_scope=EVERYTHING&amp;vid=01CRU&amp;lang=en_US&amp;offset=0&amp;query=any,contains,991001794119702656","Catalog Record")</f>
        <v/>
      </c>
      <c r="AT2190">
        <f>HYPERLINK("http://www.worldcat.org/oclc/4507464","WorldCat Record")</f>
        <v/>
      </c>
      <c r="AU2190" t="inlineStr">
        <is>
          <t>896237021:eng</t>
        </is>
      </c>
      <c r="AV2190" t="inlineStr">
        <is>
          <t>4507464</t>
        </is>
      </c>
      <c r="AW2190" t="inlineStr">
        <is>
          <t>991001794119702656</t>
        </is>
      </c>
      <c r="AX2190" t="inlineStr">
        <is>
          <t>991001794119702656</t>
        </is>
      </c>
      <c r="AY2190" t="inlineStr">
        <is>
          <t>2265560310002656</t>
        </is>
      </c>
      <c r="AZ2190" t="inlineStr">
        <is>
          <t>BOOK</t>
        </is>
      </c>
      <c r="BB2190" t="inlineStr">
        <is>
          <t>9780896960206</t>
        </is>
      </c>
      <c r="BC2190" t="inlineStr">
        <is>
          <t>32285000671338</t>
        </is>
      </c>
      <c r="BD2190" t="inlineStr">
        <is>
          <t>893414519</t>
        </is>
      </c>
    </row>
    <row r="2191">
      <c r="A2191" t="inlineStr">
        <is>
          <t>No</t>
        </is>
      </c>
      <c r="B2191" t="inlineStr">
        <is>
          <t>E860 .S97 1974b</t>
        </is>
      </c>
      <c r="C2191" t="inlineStr">
        <is>
          <t>0                      E  0860000S  97          1974b</t>
        </is>
      </c>
      <c r="D2191" t="inlineStr">
        <is>
          <t>The great coverup : Nixon and the scandal of Watergate.</t>
        </is>
      </c>
      <c r="F2191" t="inlineStr">
        <is>
          <t>No</t>
        </is>
      </c>
      <c r="G2191" t="inlineStr">
        <is>
          <t>1</t>
        </is>
      </c>
      <c r="H2191" t="inlineStr">
        <is>
          <t>No</t>
        </is>
      </c>
      <c r="I2191" t="inlineStr">
        <is>
          <t>No</t>
        </is>
      </c>
      <c r="J2191" t="inlineStr">
        <is>
          <t>0</t>
        </is>
      </c>
      <c r="K2191" t="inlineStr">
        <is>
          <t>Sussman, Barry.</t>
        </is>
      </c>
      <c r="L2191" t="inlineStr">
        <is>
          <t>New York : Crowell, [c1974]</t>
        </is>
      </c>
      <c r="M2191" t="inlineStr">
        <is>
          <t>1974</t>
        </is>
      </c>
      <c r="O2191" t="inlineStr">
        <is>
          <t>eng</t>
        </is>
      </c>
      <c r="P2191" t="inlineStr">
        <is>
          <t>nyu</t>
        </is>
      </c>
      <c r="R2191" t="inlineStr">
        <is>
          <t xml:space="preserve">E  </t>
        </is>
      </c>
      <c r="S2191" t="n">
        <v>11</v>
      </c>
      <c r="T2191" t="n">
        <v>11</v>
      </c>
      <c r="U2191" t="inlineStr">
        <is>
          <t>1999-11-30</t>
        </is>
      </c>
      <c r="V2191" t="inlineStr">
        <is>
          <t>1999-11-30</t>
        </is>
      </c>
      <c r="W2191" t="inlineStr">
        <is>
          <t>1991-11-19</t>
        </is>
      </c>
      <c r="X2191" t="inlineStr">
        <is>
          <t>1991-11-19</t>
        </is>
      </c>
      <c r="Y2191" t="n">
        <v>465</v>
      </c>
      <c r="Z2191" t="n">
        <v>433</v>
      </c>
      <c r="AA2191" t="n">
        <v>734</v>
      </c>
      <c r="AB2191" t="n">
        <v>4</v>
      </c>
      <c r="AC2191" t="n">
        <v>7</v>
      </c>
      <c r="AD2191" t="n">
        <v>11</v>
      </c>
      <c r="AE2191" t="n">
        <v>25</v>
      </c>
      <c r="AF2191" t="n">
        <v>4</v>
      </c>
      <c r="AG2191" t="n">
        <v>9</v>
      </c>
      <c r="AH2191" t="n">
        <v>0</v>
      </c>
      <c r="AI2191" t="n">
        <v>5</v>
      </c>
      <c r="AJ2191" t="n">
        <v>4</v>
      </c>
      <c r="AK2191" t="n">
        <v>10</v>
      </c>
      <c r="AL2191" t="n">
        <v>3</v>
      </c>
      <c r="AM2191" t="n">
        <v>5</v>
      </c>
      <c r="AN2191" t="n">
        <v>1</v>
      </c>
      <c r="AO2191" t="n">
        <v>1</v>
      </c>
      <c r="AP2191" t="inlineStr">
        <is>
          <t>No</t>
        </is>
      </c>
      <c r="AQ2191" t="inlineStr">
        <is>
          <t>Yes</t>
        </is>
      </c>
      <c r="AR2191">
        <f>HYPERLINK("http://catalog.hathitrust.org/Record/000577196","HathiTrust Record")</f>
        <v/>
      </c>
      <c r="AS2191">
        <f>HYPERLINK("https://creighton-primo.hosted.exlibrisgroup.com/primo-explore/search?tab=default_tab&amp;search_scope=EVERYTHING&amp;vid=01CRU&amp;lang=en_US&amp;offset=0&amp;query=any,contains,991004388879702656","Catalog Record")</f>
        <v/>
      </c>
      <c r="AT2191">
        <f>HYPERLINK("http://www.worldcat.org/oclc/3255359","WorldCat Record")</f>
        <v/>
      </c>
      <c r="AU2191" t="inlineStr">
        <is>
          <t>8613276:eng</t>
        </is>
      </c>
      <c r="AV2191" t="inlineStr">
        <is>
          <t>3255359</t>
        </is>
      </c>
      <c r="AW2191" t="inlineStr">
        <is>
          <t>991004388879702656</t>
        </is>
      </c>
      <c r="AX2191" t="inlineStr">
        <is>
          <t>991004388879702656</t>
        </is>
      </c>
      <c r="AY2191" t="inlineStr">
        <is>
          <t>2272475630002656</t>
        </is>
      </c>
      <c r="AZ2191" t="inlineStr">
        <is>
          <t>BOOK</t>
        </is>
      </c>
      <c r="BB2191" t="inlineStr">
        <is>
          <t>9780690007299</t>
        </is>
      </c>
      <c r="BC2191" t="inlineStr">
        <is>
          <t>32285000795582</t>
        </is>
      </c>
      <c r="BD2191" t="inlineStr">
        <is>
          <t>893331537</t>
        </is>
      </c>
    </row>
    <row r="2192">
      <c r="A2192" t="inlineStr">
        <is>
          <t>No</t>
        </is>
      </c>
      <c r="B2192" t="inlineStr">
        <is>
          <t>E860 .W335 2004</t>
        </is>
      </c>
      <c r="C2192" t="inlineStr">
        <is>
          <t>0                      E  0860000W  335         2004</t>
        </is>
      </c>
      <c r="D2192" t="inlineStr">
        <is>
          <t>Watergate / edited by Kevin Hillstrom.</t>
        </is>
      </c>
      <c r="F2192" t="inlineStr">
        <is>
          <t>No</t>
        </is>
      </c>
      <c r="G2192" t="inlineStr">
        <is>
          <t>1</t>
        </is>
      </c>
      <c r="H2192" t="inlineStr">
        <is>
          <t>No</t>
        </is>
      </c>
      <c r="I2192" t="inlineStr">
        <is>
          <t>No</t>
        </is>
      </c>
      <c r="J2192" t="inlineStr">
        <is>
          <t>0</t>
        </is>
      </c>
      <c r="L2192" t="inlineStr">
        <is>
          <t>Detroit, MI : Omnigraphics, c2004.</t>
        </is>
      </c>
      <c r="M2192" t="inlineStr">
        <is>
          <t>2004</t>
        </is>
      </c>
      <c r="O2192" t="inlineStr">
        <is>
          <t>eng</t>
        </is>
      </c>
      <c r="P2192" t="inlineStr">
        <is>
          <t>miu</t>
        </is>
      </c>
      <c r="Q2192" t="inlineStr">
        <is>
          <t>Defining moments</t>
        </is>
      </c>
      <c r="R2192" t="inlineStr">
        <is>
          <t xml:space="preserve">E  </t>
        </is>
      </c>
      <c r="S2192" t="n">
        <v>2</v>
      </c>
      <c r="T2192" t="n">
        <v>2</v>
      </c>
      <c r="U2192" t="inlineStr">
        <is>
          <t>2005-07-14</t>
        </is>
      </c>
      <c r="V2192" t="inlineStr">
        <is>
          <t>2005-07-14</t>
        </is>
      </c>
      <c r="W2192" t="inlineStr">
        <is>
          <t>2004-12-13</t>
        </is>
      </c>
      <c r="X2192" t="inlineStr">
        <is>
          <t>2004-12-13</t>
        </is>
      </c>
      <c r="Y2192" t="n">
        <v>471</v>
      </c>
      <c r="Z2192" t="n">
        <v>464</v>
      </c>
      <c r="AA2192" t="n">
        <v>464</v>
      </c>
      <c r="AB2192" t="n">
        <v>1</v>
      </c>
      <c r="AC2192" t="n">
        <v>1</v>
      </c>
      <c r="AD2192" t="n">
        <v>3</v>
      </c>
      <c r="AE2192" t="n">
        <v>3</v>
      </c>
      <c r="AF2192" t="n">
        <v>2</v>
      </c>
      <c r="AG2192" t="n">
        <v>2</v>
      </c>
      <c r="AH2192" t="n">
        <v>1</v>
      </c>
      <c r="AI2192" t="n">
        <v>1</v>
      </c>
      <c r="AJ2192" t="n">
        <v>1</v>
      </c>
      <c r="AK2192" t="n">
        <v>1</v>
      </c>
      <c r="AL2192" t="n">
        <v>0</v>
      </c>
      <c r="AM2192" t="n">
        <v>0</v>
      </c>
      <c r="AN2192" t="n">
        <v>0</v>
      </c>
      <c r="AO2192" t="n">
        <v>0</v>
      </c>
      <c r="AP2192" t="inlineStr">
        <is>
          <t>No</t>
        </is>
      </c>
      <c r="AQ2192" t="inlineStr">
        <is>
          <t>No</t>
        </is>
      </c>
      <c r="AS2192">
        <f>HYPERLINK("https://creighton-primo.hosted.exlibrisgroup.com/primo-explore/search?tab=default_tab&amp;search_scope=EVERYTHING&amp;vid=01CRU&amp;lang=en_US&amp;offset=0&amp;query=any,contains,991004422049702656","Catalog Record")</f>
        <v/>
      </c>
      <c r="AT2192">
        <f>HYPERLINK("http://www.worldcat.org/oclc/55947925","WorldCat Record")</f>
        <v/>
      </c>
      <c r="AU2192" t="inlineStr">
        <is>
          <t>10274746843:eng</t>
        </is>
      </c>
      <c r="AV2192" t="inlineStr">
        <is>
          <t>55947925</t>
        </is>
      </c>
      <c r="AW2192" t="inlineStr">
        <is>
          <t>991004422049702656</t>
        </is>
      </c>
      <c r="AX2192" t="inlineStr">
        <is>
          <t>991004422049702656</t>
        </is>
      </c>
      <c r="AY2192" t="inlineStr">
        <is>
          <t>2264293320002656</t>
        </is>
      </c>
      <c r="AZ2192" t="inlineStr">
        <is>
          <t>BOOK</t>
        </is>
      </c>
      <c r="BB2192" t="inlineStr">
        <is>
          <t>9780780807693</t>
        </is>
      </c>
      <c r="BC2192" t="inlineStr">
        <is>
          <t>32285004956669</t>
        </is>
      </c>
      <c r="BD2192" t="inlineStr">
        <is>
          <t>893235476</t>
        </is>
      </c>
    </row>
    <row r="2193">
      <c r="A2193" t="inlineStr">
        <is>
          <t>No</t>
        </is>
      </c>
      <c r="B2193" t="inlineStr">
        <is>
          <t>E860 .W365 1973</t>
        </is>
      </c>
      <c r="C2193" t="inlineStr">
        <is>
          <t>0                      E  0860000W  365         1973</t>
        </is>
      </c>
      <c r="D2193" t="inlineStr">
        <is>
          <t>Watergate and the White House / editor: Edward W. Knappman. Contributing editors: Mary Elizabeth Clifford [and others]</t>
        </is>
      </c>
      <c r="E2193" t="inlineStr">
        <is>
          <t>V. 3</t>
        </is>
      </c>
      <c r="F2193" t="inlineStr">
        <is>
          <t>Yes</t>
        </is>
      </c>
      <c r="G2193" t="inlineStr">
        <is>
          <t>1</t>
        </is>
      </c>
      <c r="H2193" t="inlineStr">
        <is>
          <t>No</t>
        </is>
      </c>
      <c r="I2193" t="inlineStr">
        <is>
          <t>No</t>
        </is>
      </c>
      <c r="J2193" t="inlineStr">
        <is>
          <t>0</t>
        </is>
      </c>
      <c r="L2193" t="inlineStr">
        <is>
          <t>New York : Facts on File, [1973-74]</t>
        </is>
      </c>
      <c r="M2193" t="inlineStr">
        <is>
          <t>1973</t>
        </is>
      </c>
      <c r="O2193" t="inlineStr">
        <is>
          <t>eng</t>
        </is>
      </c>
      <c r="P2193" t="inlineStr">
        <is>
          <t>nyu</t>
        </is>
      </c>
      <c r="R2193" t="inlineStr">
        <is>
          <t xml:space="preserve">E  </t>
        </is>
      </c>
      <c r="S2193" t="n">
        <v>2</v>
      </c>
      <c r="T2193" t="n">
        <v>6</v>
      </c>
      <c r="U2193" t="inlineStr">
        <is>
          <t>2002-10-23</t>
        </is>
      </c>
      <c r="V2193" t="inlineStr">
        <is>
          <t>2002-10-23</t>
        </is>
      </c>
      <c r="W2193" t="inlineStr">
        <is>
          <t>2002-07-16</t>
        </is>
      </c>
      <c r="X2193" t="inlineStr">
        <is>
          <t>2002-07-16</t>
        </is>
      </c>
      <c r="Y2193" t="n">
        <v>1160</v>
      </c>
      <c r="Z2193" t="n">
        <v>1088</v>
      </c>
      <c r="AA2193" t="n">
        <v>1105</v>
      </c>
      <c r="AB2193" t="n">
        <v>10</v>
      </c>
      <c r="AC2193" t="n">
        <v>10</v>
      </c>
      <c r="AD2193" t="n">
        <v>37</v>
      </c>
      <c r="AE2193" t="n">
        <v>37</v>
      </c>
      <c r="AF2193" t="n">
        <v>12</v>
      </c>
      <c r="AG2193" t="n">
        <v>12</v>
      </c>
      <c r="AH2193" t="n">
        <v>6</v>
      </c>
      <c r="AI2193" t="n">
        <v>6</v>
      </c>
      <c r="AJ2193" t="n">
        <v>13</v>
      </c>
      <c r="AK2193" t="n">
        <v>13</v>
      </c>
      <c r="AL2193" t="n">
        <v>7</v>
      </c>
      <c r="AM2193" t="n">
        <v>7</v>
      </c>
      <c r="AN2193" t="n">
        <v>7</v>
      </c>
      <c r="AO2193" t="n">
        <v>7</v>
      </c>
      <c r="AP2193" t="inlineStr">
        <is>
          <t>No</t>
        </is>
      </c>
      <c r="AQ2193" t="inlineStr">
        <is>
          <t>Yes</t>
        </is>
      </c>
      <c r="AR2193">
        <f>HYPERLINK("http://catalog.hathitrust.org/Record/000625272","HathiTrust Record")</f>
        <v/>
      </c>
      <c r="AS2193">
        <f>HYPERLINK("https://creighton-primo.hosted.exlibrisgroup.com/primo-explore/search?tab=default_tab&amp;search_scope=EVERYTHING&amp;vid=01CRU&amp;lang=en_US&amp;offset=0&amp;query=any,contains,991003843539702656","Catalog Record")</f>
        <v/>
      </c>
      <c r="AT2193">
        <f>HYPERLINK("http://www.worldcat.org/oclc/730933","WorldCat Record")</f>
        <v/>
      </c>
      <c r="AU2193" t="inlineStr">
        <is>
          <t>366979748:eng</t>
        </is>
      </c>
      <c r="AV2193" t="inlineStr">
        <is>
          <t>730933</t>
        </is>
      </c>
      <c r="AW2193" t="inlineStr">
        <is>
          <t>991003843539702656</t>
        </is>
      </c>
      <c r="AX2193" t="inlineStr">
        <is>
          <t>991003843539702656</t>
        </is>
      </c>
      <c r="AY2193" t="inlineStr">
        <is>
          <t>2267125190002656</t>
        </is>
      </c>
      <c r="AZ2193" t="inlineStr">
        <is>
          <t>BOOK</t>
        </is>
      </c>
      <c r="BB2193" t="inlineStr">
        <is>
          <t>9780871963529</t>
        </is>
      </c>
      <c r="BC2193" t="inlineStr">
        <is>
          <t>32285004498472</t>
        </is>
      </c>
      <c r="BD2193" t="inlineStr">
        <is>
          <t>893718133</t>
        </is>
      </c>
    </row>
    <row r="2194">
      <c r="A2194" t="inlineStr">
        <is>
          <t>No</t>
        </is>
      </c>
      <c r="B2194" t="inlineStr">
        <is>
          <t>E860 .W365 1973</t>
        </is>
      </c>
      <c r="C2194" t="inlineStr">
        <is>
          <t>0                      E  0860000W  365         1973</t>
        </is>
      </c>
      <c r="D2194" t="inlineStr">
        <is>
          <t>Watergate and the White House / editor: Edward W. Knappman. Contributing editors: Mary Elizabeth Clifford [and others]</t>
        </is>
      </c>
      <c r="E2194" t="inlineStr">
        <is>
          <t>V. 1</t>
        </is>
      </c>
      <c r="F2194" t="inlineStr">
        <is>
          <t>Yes</t>
        </is>
      </c>
      <c r="G2194" t="inlineStr">
        <is>
          <t>1</t>
        </is>
      </c>
      <c r="H2194" t="inlineStr">
        <is>
          <t>No</t>
        </is>
      </c>
      <c r="I2194" t="inlineStr">
        <is>
          <t>No</t>
        </is>
      </c>
      <c r="J2194" t="inlineStr">
        <is>
          <t>0</t>
        </is>
      </c>
      <c r="L2194" t="inlineStr">
        <is>
          <t>New York : Facts on File, [1973-74]</t>
        </is>
      </c>
      <c r="M2194" t="inlineStr">
        <is>
          <t>1973</t>
        </is>
      </c>
      <c r="O2194" t="inlineStr">
        <is>
          <t>eng</t>
        </is>
      </c>
      <c r="P2194" t="inlineStr">
        <is>
          <t>nyu</t>
        </is>
      </c>
      <c r="R2194" t="inlineStr">
        <is>
          <t xml:space="preserve">E  </t>
        </is>
      </c>
      <c r="S2194" t="n">
        <v>2</v>
      </c>
      <c r="T2194" t="n">
        <v>6</v>
      </c>
      <c r="U2194" t="inlineStr">
        <is>
          <t>2002-10-23</t>
        </is>
      </c>
      <c r="V2194" t="inlineStr">
        <is>
          <t>2002-10-23</t>
        </is>
      </c>
      <c r="W2194" t="inlineStr">
        <is>
          <t>2002-07-16</t>
        </is>
      </c>
      <c r="X2194" t="inlineStr">
        <is>
          <t>2002-07-16</t>
        </is>
      </c>
      <c r="Y2194" t="n">
        <v>1160</v>
      </c>
      <c r="Z2194" t="n">
        <v>1088</v>
      </c>
      <c r="AA2194" t="n">
        <v>1105</v>
      </c>
      <c r="AB2194" t="n">
        <v>10</v>
      </c>
      <c r="AC2194" t="n">
        <v>10</v>
      </c>
      <c r="AD2194" t="n">
        <v>37</v>
      </c>
      <c r="AE2194" t="n">
        <v>37</v>
      </c>
      <c r="AF2194" t="n">
        <v>12</v>
      </c>
      <c r="AG2194" t="n">
        <v>12</v>
      </c>
      <c r="AH2194" t="n">
        <v>6</v>
      </c>
      <c r="AI2194" t="n">
        <v>6</v>
      </c>
      <c r="AJ2194" t="n">
        <v>13</v>
      </c>
      <c r="AK2194" t="n">
        <v>13</v>
      </c>
      <c r="AL2194" t="n">
        <v>7</v>
      </c>
      <c r="AM2194" t="n">
        <v>7</v>
      </c>
      <c r="AN2194" t="n">
        <v>7</v>
      </c>
      <c r="AO2194" t="n">
        <v>7</v>
      </c>
      <c r="AP2194" t="inlineStr">
        <is>
          <t>No</t>
        </is>
      </c>
      <c r="AQ2194" t="inlineStr">
        <is>
          <t>Yes</t>
        </is>
      </c>
      <c r="AR2194">
        <f>HYPERLINK("http://catalog.hathitrust.org/Record/000625272","HathiTrust Record")</f>
        <v/>
      </c>
      <c r="AS2194">
        <f>HYPERLINK("https://creighton-primo.hosted.exlibrisgroup.com/primo-explore/search?tab=default_tab&amp;search_scope=EVERYTHING&amp;vid=01CRU&amp;lang=en_US&amp;offset=0&amp;query=any,contains,991003843539702656","Catalog Record")</f>
        <v/>
      </c>
      <c r="AT2194">
        <f>HYPERLINK("http://www.worldcat.org/oclc/730933","WorldCat Record")</f>
        <v/>
      </c>
      <c r="AU2194" t="inlineStr">
        <is>
          <t>366979748:eng</t>
        </is>
      </c>
      <c r="AV2194" t="inlineStr">
        <is>
          <t>730933</t>
        </is>
      </c>
      <c r="AW2194" t="inlineStr">
        <is>
          <t>991003843539702656</t>
        </is>
      </c>
      <c r="AX2194" t="inlineStr">
        <is>
          <t>991003843539702656</t>
        </is>
      </c>
      <c r="AY2194" t="inlineStr">
        <is>
          <t>2267125190002656</t>
        </is>
      </c>
      <c r="AZ2194" t="inlineStr">
        <is>
          <t>BOOK</t>
        </is>
      </c>
      <c r="BB2194" t="inlineStr">
        <is>
          <t>9780871963529</t>
        </is>
      </c>
      <c r="BC2194" t="inlineStr">
        <is>
          <t>32285004498456</t>
        </is>
      </c>
      <c r="BD2194" t="inlineStr">
        <is>
          <t>893705690</t>
        </is>
      </c>
    </row>
    <row r="2195">
      <c r="A2195" t="inlineStr">
        <is>
          <t>No</t>
        </is>
      </c>
      <c r="B2195" t="inlineStr">
        <is>
          <t>E860 .W365 1973</t>
        </is>
      </c>
      <c r="C2195" t="inlineStr">
        <is>
          <t>0                      E  0860000W  365         1973</t>
        </is>
      </c>
      <c r="D2195" t="inlineStr">
        <is>
          <t>Watergate and the White House / editor: Edward W. Knappman. Contributing editors: Mary Elizabeth Clifford [and others]</t>
        </is>
      </c>
      <c r="E2195" t="inlineStr">
        <is>
          <t>V. 2</t>
        </is>
      </c>
      <c r="F2195" t="inlineStr">
        <is>
          <t>Yes</t>
        </is>
      </c>
      <c r="G2195" t="inlineStr">
        <is>
          <t>1</t>
        </is>
      </c>
      <c r="H2195" t="inlineStr">
        <is>
          <t>No</t>
        </is>
      </c>
      <c r="I2195" t="inlineStr">
        <is>
          <t>No</t>
        </is>
      </c>
      <c r="J2195" t="inlineStr">
        <is>
          <t>0</t>
        </is>
      </c>
      <c r="L2195" t="inlineStr">
        <is>
          <t>New York : Facts on File, [1973-74]</t>
        </is>
      </c>
      <c r="M2195" t="inlineStr">
        <is>
          <t>1973</t>
        </is>
      </c>
      <c r="O2195" t="inlineStr">
        <is>
          <t>eng</t>
        </is>
      </c>
      <c r="P2195" t="inlineStr">
        <is>
          <t>nyu</t>
        </is>
      </c>
      <c r="R2195" t="inlineStr">
        <is>
          <t xml:space="preserve">E  </t>
        </is>
      </c>
      <c r="S2195" t="n">
        <v>2</v>
      </c>
      <c r="T2195" t="n">
        <v>6</v>
      </c>
      <c r="U2195" t="inlineStr">
        <is>
          <t>2002-10-23</t>
        </is>
      </c>
      <c r="V2195" t="inlineStr">
        <is>
          <t>2002-10-23</t>
        </is>
      </c>
      <c r="W2195" t="inlineStr">
        <is>
          <t>2002-07-16</t>
        </is>
      </c>
      <c r="X2195" t="inlineStr">
        <is>
          <t>2002-07-16</t>
        </is>
      </c>
      <c r="Y2195" t="n">
        <v>1160</v>
      </c>
      <c r="Z2195" t="n">
        <v>1088</v>
      </c>
      <c r="AA2195" t="n">
        <v>1105</v>
      </c>
      <c r="AB2195" t="n">
        <v>10</v>
      </c>
      <c r="AC2195" t="n">
        <v>10</v>
      </c>
      <c r="AD2195" t="n">
        <v>37</v>
      </c>
      <c r="AE2195" t="n">
        <v>37</v>
      </c>
      <c r="AF2195" t="n">
        <v>12</v>
      </c>
      <c r="AG2195" t="n">
        <v>12</v>
      </c>
      <c r="AH2195" t="n">
        <v>6</v>
      </c>
      <c r="AI2195" t="n">
        <v>6</v>
      </c>
      <c r="AJ2195" t="n">
        <v>13</v>
      </c>
      <c r="AK2195" t="n">
        <v>13</v>
      </c>
      <c r="AL2195" t="n">
        <v>7</v>
      </c>
      <c r="AM2195" t="n">
        <v>7</v>
      </c>
      <c r="AN2195" t="n">
        <v>7</v>
      </c>
      <c r="AO2195" t="n">
        <v>7</v>
      </c>
      <c r="AP2195" t="inlineStr">
        <is>
          <t>No</t>
        </is>
      </c>
      <c r="AQ2195" t="inlineStr">
        <is>
          <t>Yes</t>
        </is>
      </c>
      <c r="AR2195">
        <f>HYPERLINK("http://catalog.hathitrust.org/Record/000625272","HathiTrust Record")</f>
        <v/>
      </c>
      <c r="AS2195">
        <f>HYPERLINK("https://creighton-primo.hosted.exlibrisgroup.com/primo-explore/search?tab=default_tab&amp;search_scope=EVERYTHING&amp;vid=01CRU&amp;lang=en_US&amp;offset=0&amp;query=any,contains,991003843539702656","Catalog Record")</f>
        <v/>
      </c>
      <c r="AT2195">
        <f>HYPERLINK("http://www.worldcat.org/oclc/730933","WorldCat Record")</f>
        <v/>
      </c>
      <c r="AU2195" t="inlineStr">
        <is>
          <t>366979748:eng</t>
        </is>
      </c>
      <c r="AV2195" t="inlineStr">
        <is>
          <t>730933</t>
        </is>
      </c>
      <c r="AW2195" t="inlineStr">
        <is>
          <t>991003843539702656</t>
        </is>
      </c>
      <c r="AX2195" t="inlineStr">
        <is>
          <t>991003843539702656</t>
        </is>
      </c>
      <c r="AY2195" t="inlineStr">
        <is>
          <t>2267125190002656</t>
        </is>
      </c>
      <c r="AZ2195" t="inlineStr">
        <is>
          <t>BOOK</t>
        </is>
      </c>
      <c r="BB2195" t="inlineStr">
        <is>
          <t>9780871963529</t>
        </is>
      </c>
      <c r="BC2195" t="inlineStr">
        <is>
          <t>32285004498464</t>
        </is>
      </c>
      <c r="BD2195" t="inlineStr">
        <is>
          <t>893711859</t>
        </is>
      </c>
    </row>
    <row r="2196">
      <c r="A2196" t="inlineStr">
        <is>
          <t>No</t>
        </is>
      </c>
      <c r="B2196" t="inlineStr">
        <is>
          <t>E860 .W48</t>
        </is>
      </c>
      <c r="C2196" t="inlineStr">
        <is>
          <t>0                      E  0860000W  48</t>
        </is>
      </c>
      <c r="D2196" t="inlineStr">
        <is>
          <t>Breach of faith : the fall of Richard Nixon / Theodore H. White.</t>
        </is>
      </c>
      <c r="F2196" t="inlineStr">
        <is>
          <t>No</t>
        </is>
      </c>
      <c r="G2196" t="inlineStr">
        <is>
          <t>1</t>
        </is>
      </c>
      <c r="H2196" t="inlineStr">
        <is>
          <t>No</t>
        </is>
      </c>
      <c r="I2196" t="inlineStr">
        <is>
          <t>No</t>
        </is>
      </c>
      <c r="J2196" t="inlineStr">
        <is>
          <t>0</t>
        </is>
      </c>
      <c r="K2196" t="inlineStr">
        <is>
          <t>White, Theodore H. (Theodore Harold), 1915-1986.</t>
        </is>
      </c>
      <c r="L2196" t="inlineStr">
        <is>
          <t>New York : Atheneum Publishers, 1975.</t>
        </is>
      </c>
      <c r="M2196" t="inlineStr">
        <is>
          <t>1975</t>
        </is>
      </c>
      <c r="N2196" t="inlineStr">
        <is>
          <t>1st ed.</t>
        </is>
      </c>
      <c r="O2196" t="inlineStr">
        <is>
          <t>eng</t>
        </is>
      </c>
      <c r="P2196" t="inlineStr">
        <is>
          <t>nyu</t>
        </is>
      </c>
      <c r="R2196" t="inlineStr">
        <is>
          <t xml:space="preserve">E  </t>
        </is>
      </c>
      <c r="S2196" t="n">
        <v>5</v>
      </c>
      <c r="T2196" t="n">
        <v>5</v>
      </c>
      <c r="U2196" t="inlineStr">
        <is>
          <t>2002-04-15</t>
        </is>
      </c>
      <c r="V2196" t="inlineStr">
        <is>
          <t>2002-04-15</t>
        </is>
      </c>
      <c r="W2196" t="inlineStr">
        <is>
          <t>1997-04-29</t>
        </is>
      </c>
      <c r="X2196" t="inlineStr">
        <is>
          <t>1997-04-29</t>
        </is>
      </c>
      <c r="Y2196" t="n">
        <v>3010</v>
      </c>
      <c r="Z2196" t="n">
        <v>2818</v>
      </c>
      <c r="AA2196" t="n">
        <v>2905</v>
      </c>
      <c r="AB2196" t="n">
        <v>32</v>
      </c>
      <c r="AC2196" t="n">
        <v>32</v>
      </c>
      <c r="AD2196" t="n">
        <v>68</v>
      </c>
      <c r="AE2196" t="n">
        <v>70</v>
      </c>
      <c r="AF2196" t="n">
        <v>24</v>
      </c>
      <c r="AG2196" t="n">
        <v>25</v>
      </c>
      <c r="AH2196" t="n">
        <v>10</v>
      </c>
      <c r="AI2196" t="n">
        <v>11</v>
      </c>
      <c r="AJ2196" t="n">
        <v>25</v>
      </c>
      <c r="AK2196" t="n">
        <v>25</v>
      </c>
      <c r="AL2196" t="n">
        <v>14</v>
      </c>
      <c r="AM2196" t="n">
        <v>14</v>
      </c>
      <c r="AN2196" t="n">
        <v>7</v>
      </c>
      <c r="AO2196" t="n">
        <v>8</v>
      </c>
      <c r="AP2196" t="inlineStr">
        <is>
          <t>No</t>
        </is>
      </c>
      <c r="AQ2196" t="inlineStr">
        <is>
          <t>Yes</t>
        </is>
      </c>
      <c r="AR2196">
        <f>HYPERLINK("http://catalog.hathitrust.org/Record/000579330","HathiTrust Record")</f>
        <v/>
      </c>
      <c r="AS2196">
        <f>HYPERLINK("https://creighton-primo.hosted.exlibrisgroup.com/primo-explore/search?tab=default_tab&amp;search_scope=EVERYTHING&amp;vid=01CRU&amp;lang=en_US&amp;offset=0&amp;query=any,contains,991003724389702656","Catalog Record")</f>
        <v/>
      </c>
      <c r="AT2196">
        <f>HYPERLINK("http://www.worldcat.org/oclc/1370091","WorldCat Record")</f>
        <v/>
      </c>
      <c r="AU2196" t="inlineStr">
        <is>
          <t>49526225:eng</t>
        </is>
      </c>
      <c r="AV2196" t="inlineStr">
        <is>
          <t>1370091</t>
        </is>
      </c>
      <c r="AW2196" t="inlineStr">
        <is>
          <t>991003724389702656</t>
        </is>
      </c>
      <c r="AX2196" t="inlineStr">
        <is>
          <t>991003724389702656</t>
        </is>
      </c>
      <c r="AY2196" t="inlineStr">
        <is>
          <t>2261611020002656</t>
        </is>
      </c>
      <c r="AZ2196" t="inlineStr">
        <is>
          <t>BOOK</t>
        </is>
      </c>
      <c r="BB2196" t="inlineStr">
        <is>
          <t>9780689106583</t>
        </is>
      </c>
      <c r="BC2196" t="inlineStr">
        <is>
          <t>32285002569100</t>
        </is>
      </c>
      <c r="BD2196" t="inlineStr">
        <is>
          <t>893793953</t>
        </is>
      </c>
    </row>
    <row r="2197">
      <c r="A2197" t="inlineStr">
        <is>
          <t>No</t>
        </is>
      </c>
      <c r="B2197" t="inlineStr">
        <is>
          <t>E861 .B73 1975</t>
        </is>
      </c>
      <c r="C2197" t="inlineStr">
        <is>
          <t>0                      E  0861000B  73          1975</t>
        </is>
      </c>
      <c r="D2197" t="inlineStr">
        <is>
          <t>How the good guys finally won : notes from an impeachment summer / Jimmy Breslin.</t>
        </is>
      </c>
      <c r="F2197" t="inlineStr">
        <is>
          <t>No</t>
        </is>
      </c>
      <c r="G2197" t="inlineStr">
        <is>
          <t>1</t>
        </is>
      </c>
      <c r="H2197" t="inlineStr">
        <is>
          <t>No</t>
        </is>
      </c>
      <c r="I2197" t="inlineStr">
        <is>
          <t>No</t>
        </is>
      </c>
      <c r="J2197" t="inlineStr">
        <is>
          <t>0</t>
        </is>
      </c>
      <c r="K2197" t="inlineStr">
        <is>
          <t>Breslin, Jimmy.</t>
        </is>
      </c>
      <c r="L2197" t="inlineStr">
        <is>
          <t>New York : Viking Press, 1975.</t>
        </is>
      </c>
      <c r="M2197" t="inlineStr">
        <is>
          <t>1975</t>
        </is>
      </c>
      <c r="O2197" t="inlineStr">
        <is>
          <t>eng</t>
        </is>
      </c>
      <c r="P2197" t="inlineStr">
        <is>
          <t>nyu</t>
        </is>
      </c>
      <c r="R2197" t="inlineStr">
        <is>
          <t xml:space="preserve">E  </t>
        </is>
      </c>
      <c r="S2197" t="n">
        <v>5</v>
      </c>
      <c r="T2197" t="n">
        <v>5</v>
      </c>
      <c r="U2197" t="inlineStr">
        <is>
          <t>2003-05-08</t>
        </is>
      </c>
      <c r="V2197" t="inlineStr">
        <is>
          <t>2003-05-08</t>
        </is>
      </c>
      <c r="W2197" t="inlineStr">
        <is>
          <t>1991-06-25</t>
        </is>
      </c>
      <c r="X2197" t="inlineStr">
        <is>
          <t>1991-06-25</t>
        </is>
      </c>
      <c r="Y2197" t="n">
        <v>1335</v>
      </c>
      <c r="Z2197" t="n">
        <v>1287</v>
      </c>
      <c r="AA2197" t="n">
        <v>1357</v>
      </c>
      <c r="AB2197" t="n">
        <v>11</v>
      </c>
      <c r="AC2197" t="n">
        <v>11</v>
      </c>
      <c r="AD2197" t="n">
        <v>34</v>
      </c>
      <c r="AE2197" t="n">
        <v>38</v>
      </c>
      <c r="AF2197" t="n">
        <v>11</v>
      </c>
      <c r="AG2197" t="n">
        <v>14</v>
      </c>
      <c r="AH2197" t="n">
        <v>7</v>
      </c>
      <c r="AI2197" t="n">
        <v>7</v>
      </c>
      <c r="AJ2197" t="n">
        <v>15</v>
      </c>
      <c r="AK2197" t="n">
        <v>15</v>
      </c>
      <c r="AL2197" t="n">
        <v>4</v>
      </c>
      <c r="AM2197" t="n">
        <v>4</v>
      </c>
      <c r="AN2197" t="n">
        <v>4</v>
      </c>
      <c r="AO2197" t="n">
        <v>5</v>
      </c>
      <c r="AP2197" t="inlineStr">
        <is>
          <t>No</t>
        </is>
      </c>
      <c r="AQ2197" t="inlineStr">
        <is>
          <t>Yes</t>
        </is>
      </c>
      <c r="AR2197">
        <f>HYPERLINK("http://catalog.hathitrust.org/Record/000577199","HathiTrust Record")</f>
        <v/>
      </c>
      <c r="AS2197">
        <f>HYPERLINK("https://creighton-primo.hosted.exlibrisgroup.com/primo-explore/search?tab=default_tab&amp;search_scope=EVERYTHING&amp;vid=01CRU&amp;lang=en_US&amp;offset=0&amp;query=any,contains,991003653169702656","Catalog Record")</f>
        <v/>
      </c>
      <c r="AT2197">
        <f>HYPERLINK("http://www.worldcat.org/oclc/1256857","WorldCat Record")</f>
        <v/>
      </c>
      <c r="AU2197" t="inlineStr">
        <is>
          <t>515735:eng</t>
        </is>
      </c>
      <c r="AV2197" t="inlineStr">
        <is>
          <t>1256857</t>
        </is>
      </c>
      <c r="AW2197" t="inlineStr">
        <is>
          <t>991003653169702656</t>
        </is>
      </c>
      <c r="AX2197" t="inlineStr">
        <is>
          <t>991003653169702656</t>
        </is>
      </c>
      <c r="AY2197" t="inlineStr">
        <is>
          <t>2258030460002656</t>
        </is>
      </c>
      <c r="AZ2197" t="inlineStr">
        <is>
          <t>BOOK</t>
        </is>
      </c>
      <c r="BB2197" t="inlineStr">
        <is>
          <t>9780670382071</t>
        </is>
      </c>
      <c r="BC2197" t="inlineStr">
        <is>
          <t>32285000671346</t>
        </is>
      </c>
      <c r="BD2197" t="inlineStr">
        <is>
          <t>893348956</t>
        </is>
      </c>
    </row>
    <row r="2198">
      <c r="A2198" t="inlineStr">
        <is>
          <t>No</t>
        </is>
      </c>
      <c r="B2198" t="inlineStr">
        <is>
          <t>E861 .W66</t>
        </is>
      </c>
      <c r="C2198" t="inlineStr">
        <is>
          <t>0                      E  0861000W  66</t>
        </is>
      </c>
      <c r="D2198" t="inlineStr">
        <is>
          <t>The final days / Bob Woodward, Carl Bernstein.</t>
        </is>
      </c>
      <c r="F2198" t="inlineStr">
        <is>
          <t>No</t>
        </is>
      </c>
      <c r="G2198" t="inlineStr">
        <is>
          <t>1</t>
        </is>
      </c>
      <c r="H2198" t="inlineStr">
        <is>
          <t>No</t>
        </is>
      </c>
      <c r="I2198" t="inlineStr">
        <is>
          <t>No</t>
        </is>
      </c>
      <c r="J2198" t="inlineStr">
        <is>
          <t>0</t>
        </is>
      </c>
      <c r="K2198" t="inlineStr">
        <is>
          <t>Woodward, Bob, 1943-</t>
        </is>
      </c>
      <c r="L2198" t="inlineStr">
        <is>
          <t>New York : Simon and Schuster, c1976.</t>
        </is>
      </c>
      <c r="M2198" t="inlineStr">
        <is>
          <t>1976</t>
        </is>
      </c>
      <c r="O2198" t="inlineStr">
        <is>
          <t>eng</t>
        </is>
      </c>
      <c r="P2198" t="inlineStr">
        <is>
          <t>nyu</t>
        </is>
      </c>
      <c r="R2198" t="inlineStr">
        <is>
          <t xml:space="preserve">E  </t>
        </is>
      </c>
      <c r="S2198" t="n">
        <v>7</v>
      </c>
      <c r="T2198" t="n">
        <v>7</v>
      </c>
      <c r="U2198" t="inlineStr">
        <is>
          <t>2002-04-15</t>
        </is>
      </c>
      <c r="V2198" t="inlineStr">
        <is>
          <t>2002-04-15</t>
        </is>
      </c>
      <c r="W2198" t="inlineStr">
        <is>
          <t>2000-03-07</t>
        </is>
      </c>
      <c r="X2198" t="inlineStr">
        <is>
          <t>2000-03-07</t>
        </is>
      </c>
      <c r="Y2198" t="n">
        <v>3779</v>
      </c>
      <c r="Z2198" t="n">
        <v>3559</v>
      </c>
      <c r="AA2198" t="n">
        <v>3949</v>
      </c>
      <c r="AB2198" t="n">
        <v>48</v>
      </c>
      <c r="AC2198" t="n">
        <v>54</v>
      </c>
      <c r="AD2198" t="n">
        <v>69</v>
      </c>
      <c r="AE2198" t="n">
        <v>75</v>
      </c>
      <c r="AF2198" t="n">
        <v>27</v>
      </c>
      <c r="AG2198" t="n">
        <v>27</v>
      </c>
      <c r="AH2198" t="n">
        <v>11</v>
      </c>
      <c r="AI2198" t="n">
        <v>11</v>
      </c>
      <c r="AJ2198" t="n">
        <v>24</v>
      </c>
      <c r="AK2198" t="n">
        <v>27</v>
      </c>
      <c r="AL2198" t="n">
        <v>13</v>
      </c>
      <c r="AM2198" t="n">
        <v>15</v>
      </c>
      <c r="AN2198" t="n">
        <v>8</v>
      </c>
      <c r="AO2198" t="n">
        <v>9</v>
      </c>
      <c r="AP2198" t="inlineStr">
        <is>
          <t>No</t>
        </is>
      </c>
      <c r="AQ2198" t="inlineStr">
        <is>
          <t>No</t>
        </is>
      </c>
      <c r="AS2198">
        <f>HYPERLINK("https://creighton-primo.hosted.exlibrisgroup.com/primo-explore/search?tab=default_tab&amp;search_scope=EVERYTHING&amp;vid=01CRU&amp;lang=en_US&amp;offset=0&amp;query=any,contains,991003961189702656","Catalog Record")</f>
        <v/>
      </c>
      <c r="AT2198">
        <f>HYPERLINK("http://www.worldcat.org/oclc/1975233","WorldCat Record")</f>
        <v/>
      </c>
      <c r="AU2198" t="inlineStr">
        <is>
          <t>516807:eng</t>
        </is>
      </c>
      <c r="AV2198" t="inlineStr">
        <is>
          <t>1975233</t>
        </is>
      </c>
      <c r="AW2198" t="inlineStr">
        <is>
          <t>991003961189702656</t>
        </is>
      </c>
      <c r="AX2198" t="inlineStr">
        <is>
          <t>991003961189702656</t>
        </is>
      </c>
      <c r="AY2198" t="inlineStr">
        <is>
          <t>2266868590002656</t>
        </is>
      </c>
      <c r="AZ2198" t="inlineStr">
        <is>
          <t>BOOK</t>
        </is>
      </c>
      <c r="BB2198" t="inlineStr">
        <is>
          <t>9780671222987</t>
        </is>
      </c>
      <c r="BC2198" t="inlineStr">
        <is>
          <t>32285003667606</t>
        </is>
      </c>
      <c r="BD2198" t="inlineStr">
        <is>
          <t>893705837</t>
        </is>
      </c>
    </row>
    <row r="2199">
      <c r="A2199" t="inlineStr">
        <is>
          <t>No</t>
        </is>
      </c>
      <c r="B2199" t="inlineStr">
        <is>
          <t>E865 .H4</t>
        </is>
      </c>
      <c r="C2199" t="inlineStr">
        <is>
          <t>0                      E  0865000H  4</t>
        </is>
      </c>
      <c r="D2199" t="inlineStr">
        <is>
          <t>Crisis resolution : Presidential decision making in the Mayaguez and Korean confrontations / Richard G. Head, Frisco W. Short, Robert C. McFarlane. --</t>
        </is>
      </c>
      <c r="F2199" t="inlineStr">
        <is>
          <t>No</t>
        </is>
      </c>
      <c r="G2199" t="inlineStr">
        <is>
          <t>1</t>
        </is>
      </c>
      <c r="H2199" t="inlineStr">
        <is>
          <t>No</t>
        </is>
      </c>
      <c r="I2199" t="inlineStr">
        <is>
          <t>No</t>
        </is>
      </c>
      <c r="J2199" t="inlineStr">
        <is>
          <t>0</t>
        </is>
      </c>
      <c r="K2199" t="inlineStr">
        <is>
          <t>Head, Richard G.</t>
        </is>
      </c>
      <c r="L2199" t="inlineStr">
        <is>
          <t>Boulder, Colo. : Westview Press, [1978]</t>
        </is>
      </c>
      <c r="M2199" t="inlineStr">
        <is>
          <t>1978</t>
        </is>
      </c>
      <c r="O2199" t="inlineStr">
        <is>
          <t>eng</t>
        </is>
      </c>
      <c r="P2199" t="inlineStr">
        <is>
          <t>cou</t>
        </is>
      </c>
      <c r="Q2199" t="inlineStr">
        <is>
          <t>Westview special studies in international relations and U.S. Foreign policy</t>
        </is>
      </c>
      <c r="R2199" t="inlineStr">
        <is>
          <t xml:space="preserve">E  </t>
        </is>
      </c>
      <c r="S2199" t="n">
        <v>5</v>
      </c>
      <c r="T2199" t="n">
        <v>5</v>
      </c>
      <c r="U2199" t="inlineStr">
        <is>
          <t>2005-12-03</t>
        </is>
      </c>
      <c r="V2199" t="inlineStr">
        <is>
          <t>2005-12-03</t>
        </is>
      </c>
      <c r="W2199" t="inlineStr">
        <is>
          <t>1991-06-25</t>
        </is>
      </c>
      <c r="X2199" t="inlineStr">
        <is>
          <t>1991-06-25</t>
        </is>
      </c>
      <c r="Y2199" t="n">
        <v>404</v>
      </c>
      <c r="Z2199" t="n">
        <v>346</v>
      </c>
      <c r="AA2199" t="n">
        <v>366</v>
      </c>
      <c r="AB2199" t="n">
        <v>3</v>
      </c>
      <c r="AC2199" t="n">
        <v>3</v>
      </c>
      <c r="AD2199" t="n">
        <v>12</v>
      </c>
      <c r="AE2199" t="n">
        <v>12</v>
      </c>
      <c r="AF2199" t="n">
        <v>3</v>
      </c>
      <c r="AG2199" t="n">
        <v>3</v>
      </c>
      <c r="AH2199" t="n">
        <v>2</v>
      </c>
      <c r="AI2199" t="n">
        <v>2</v>
      </c>
      <c r="AJ2199" t="n">
        <v>6</v>
      </c>
      <c r="AK2199" t="n">
        <v>6</v>
      </c>
      <c r="AL2199" t="n">
        <v>2</v>
      </c>
      <c r="AM2199" t="n">
        <v>2</v>
      </c>
      <c r="AN2199" t="n">
        <v>2</v>
      </c>
      <c r="AO2199" t="n">
        <v>2</v>
      </c>
      <c r="AP2199" t="inlineStr">
        <is>
          <t>No</t>
        </is>
      </c>
      <c r="AQ2199" t="inlineStr">
        <is>
          <t>Yes</t>
        </is>
      </c>
      <c r="AR2199">
        <f>HYPERLINK("http://catalog.hathitrust.org/Record/000174647","HathiTrust Record")</f>
        <v/>
      </c>
      <c r="AS2199">
        <f>HYPERLINK("https://creighton-primo.hosted.exlibrisgroup.com/primo-explore/search?tab=default_tab&amp;search_scope=EVERYTHING&amp;vid=01CRU&amp;lang=en_US&amp;offset=0&amp;query=any,contains,991004550659702656","Catalog Record")</f>
        <v/>
      </c>
      <c r="AT2199">
        <f>HYPERLINK("http://www.worldcat.org/oclc/3933627","WorldCat Record")</f>
        <v/>
      </c>
      <c r="AU2199" t="inlineStr">
        <is>
          <t>287229356:eng</t>
        </is>
      </c>
      <c r="AV2199" t="inlineStr">
        <is>
          <t>3933627</t>
        </is>
      </c>
      <c r="AW2199" t="inlineStr">
        <is>
          <t>991004550659702656</t>
        </is>
      </c>
      <c r="AX2199" t="inlineStr">
        <is>
          <t>991004550659702656</t>
        </is>
      </c>
      <c r="AY2199" t="inlineStr">
        <is>
          <t>2266965480002656</t>
        </is>
      </c>
      <c r="AZ2199" t="inlineStr">
        <is>
          <t>BOOK</t>
        </is>
      </c>
      <c r="BB2199" t="inlineStr">
        <is>
          <t>9780891581635</t>
        </is>
      </c>
      <c r="BC2199" t="inlineStr">
        <is>
          <t>32285000671379</t>
        </is>
      </c>
      <c r="BD2199" t="inlineStr">
        <is>
          <t>893801083</t>
        </is>
      </c>
    </row>
    <row r="2200">
      <c r="A2200" t="inlineStr">
        <is>
          <t>No</t>
        </is>
      </c>
      <c r="B2200" t="inlineStr">
        <is>
          <t>E866 .C36 1994</t>
        </is>
      </c>
      <c r="C2200" t="inlineStr">
        <is>
          <t>0                      E  0866000C  36          1994</t>
        </is>
      </c>
      <c r="D2200" t="inlineStr">
        <is>
          <t>Time and chance : Gerald Ford's appointment with history / James Cannon.</t>
        </is>
      </c>
      <c r="F2200" t="inlineStr">
        <is>
          <t>No</t>
        </is>
      </c>
      <c r="G2200" t="inlineStr">
        <is>
          <t>1</t>
        </is>
      </c>
      <c r="H2200" t="inlineStr">
        <is>
          <t>No</t>
        </is>
      </c>
      <c r="I2200" t="inlineStr">
        <is>
          <t>No</t>
        </is>
      </c>
      <c r="J2200" t="inlineStr">
        <is>
          <t>0</t>
        </is>
      </c>
      <c r="K2200" t="inlineStr">
        <is>
          <t>Cannon, James M., 1918-2011.</t>
        </is>
      </c>
      <c r="L2200" t="inlineStr">
        <is>
          <t>New York : HarperCollins, c1994.</t>
        </is>
      </c>
      <c r="M2200" t="inlineStr">
        <is>
          <t>1994</t>
        </is>
      </c>
      <c r="N2200" t="inlineStr">
        <is>
          <t>1st ed.</t>
        </is>
      </c>
      <c r="O2200" t="inlineStr">
        <is>
          <t>eng</t>
        </is>
      </c>
      <c r="P2200" t="inlineStr">
        <is>
          <t>nyu</t>
        </is>
      </c>
      <c r="R2200" t="inlineStr">
        <is>
          <t xml:space="preserve">E  </t>
        </is>
      </c>
      <c r="S2200" t="n">
        <v>4</v>
      </c>
      <c r="T2200" t="n">
        <v>4</v>
      </c>
      <c r="U2200" t="inlineStr">
        <is>
          <t>1994-12-01</t>
        </is>
      </c>
      <c r="V2200" t="inlineStr">
        <is>
          <t>1994-12-01</t>
        </is>
      </c>
      <c r="W2200" t="inlineStr">
        <is>
          <t>1994-03-04</t>
        </is>
      </c>
      <c r="X2200" t="inlineStr">
        <is>
          <t>1994-03-04</t>
        </is>
      </c>
      <c r="Y2200" t="n">
        <v>916</v>
      </c>
      <c r="Z2200" t="n">
        <v>870</v>
      </c>
      <c r="AA2200" t="n">
        <v>978</v>
      </c>
      <c r="AB2200" t="n">
        <v>7</v>
      </c>
      <c r="AC2200" t="n">
        <v>7</v>
      </c>
      <c r="AD2200" t="n">
        <v>25</v>
      </c>
      <c r="AE2200" t="n">
        <v>25</v>
      </c>
      <c r="AF2200" t="n">
        <v>9</v>
      </c>
      <c r="AG2200" t="n">
        <v>9</v>
      </c>
      <c r="AH2200" t="n">
        <v>6</v>
      </c>
      <c r="AI2200" t="n">
        <v>6</v>
      </c>
      <c r="AJ2200" t="n">
        <v>13</v>
      </c>
      <c r="AK2200" t="n">
        <v>13</v>
      </c>
      <c r="AL2200" t="n">
        <v>3</v>
      </c>
      <c r="AM2200" t="n">
        <v>3</v>
      </c>
      <c r="AN2200" t="n">
        <v>0</v>
      </c>
      <c r="AO2200" t="n">
        <v>0</v>
      </c>
      <c r="AP2200" t="inlineStr">
        <is>
          <t>No</t>
        </is>
      </c>
      <c r="AQ2200" t="inlineStr">
        <is>
          <t>Yes</t>
        </is>
      </c>
      <c r="AR2200">
        <f>HYPERLINK("http://catalog.hathitrust.org/Record/002780406","HathiTrust Record")</f>
        <v/>
      </c>
      <c r="AS2200">
        <f>HYPERLINK("https://creighton-primo.hosted.exlibrisgroup.com/primo-explore/search?tab=default_tab&amp;search_scope=EVERYTHING&amp;vid=01CRU&amp;lang=en_US&amp;offset=0&amp;query=any,contains,991002187669702656","Catalog Record")</f>
        <v/>
      </c>
      <c r="AT2200">
        <f>HYPERLINK("http://www.worldcat.org/oclc/28150672","WorldCat Record")</f>
        <v/>
      </c>
      <c r="AU2200" t="inlineStr">
        <is>
          <t>551702:eng</t>
        </is>
      </c>
      <c r="AV2200" t="inlineStr">
        <is>
          <t>28150672</t>
        </is>
      </c>
      <c r="AW2200" t="inlineStr">
        <is>
          <t>991002187669702656</t>
        </is>
      </c>
      <c r="AX2200" t="inlineStr">
        <is>
          <t>991002187669702656</t>
        </is>
      </c>
      <c r="AY2200" t="inlineStr">
        <is>
          <t>2260796040002656</t>
        </is>
      </c>
      <c r="AZ2200" t="inlineStr">
        <is>
          <t>BOOK</t>
        </is>
      </c>
      <c r="BB2200" t="inlineStr">
        <is>
          <t>9780060165390</t>
        </is>
      </c>
      <c r="BC2200" t="inlineStr">
        <is>
          <t>32285001844157</t>
        </is>
      </c>
      <c r="BD2200" t="inlineStr">
        <is>
          <t>893591016</t>
        </is>
      </c>
    </row>
    <row r="2201">
      <c r="A2201" t="inlineStr">
        <is>
          <t>No</t>
        </is>
      </c>
      <c r="B2201" t="inlineStr">
        <is>
          <t>E866 .F67 1979</t>
        </is>
      </c>
      <c r="C2201" t="inlineStr">
        <is>
          <t>0                      E  0866000F  67          1979</t>
        </is>
      </c>
      <c r="D2201" t="inlineStr">
        <is>
          <t>A time to heal : the autobiography of Gerald R. Ford.</t>
        </is>
      </c>
      <c r="F2201" t="inlineStr">
        <is>
          <t>No</t>
        </is>
      </c>
      <c r="G2201" t="inlineStr">
        <is>
          <t>1</t>
        </is>
      </c>
      <c r="H2201" t="inlineStr">
        <is>
          <t>No</t>
        </is>
      </c>
      <c r="I2201" t="inlineStr">
        <is>
          <t>No</t>
        </is>
      </c>
      <c r="J2201" t="inlineStr">
        <is>
          <t>0</t>
        </is>
      </c>
      <c r="K2201" t="inlineStr">
        <is>
          <t>Ford, Gerald R., 1913-2006.</t>
        </is>
      </c>
      <c r="L2201" t="inlineStr">
        <is>
          <t>New York : Harper &amp; Row, c1979.</t>
        </is>
      </c>
      <c r="M2201" t="inlineStr">
        <is>
          <t>1979</t>
        </is>
      </c>
      <c r="N2201" t="inlineStr">
        <is>
          <t>1st ed.</t>
        </is>
      </c>
      <c r="O2201" t="inlineStr">
        <is>
          <t>eng</t>
        </is>
      </c>
      <c r="P2201" t="inlineStr">
        <is>
          <t>nyu</t>
        </is>
      </c>
      <c r="R2201" t="inlineStr">
        <is>
          <t xml:space="preserve">E  </t>
        </is>
      </c>
      <c r="S2201" t="n">
        <v>5</v>
      </c>
      <c r="T2201" t="n">
        <v>5</v>
      </c>
      <c r="U2201" t="inlineStr">
        <is>
          <t>1994-12-01</t>
        </is>
      </c>
      <c r="V2201" t="inlineStr">
        <is>
          <t>1994-12-01</t>
        </is>
      </c>
      <c r="W2201" t="inlineStr">
        <is>
          <t>1991-06-25</t>
        </is>
      </c>
      <c r="X2201" t="inlineStr">
        <is>
          <t>1991-06-25</t>
        </is>
      </c>
      <c r="Y2201" t="n">
        <v>2364</v>
      </c>
      <c r="Z2201" t="n">
        <v>2261</v>
      </c>
      <c r="AA2201" t="n">
        <v>2335</v>
      </c>
      <c r="AB2201" t="n">
        <v>19</v>
      </c>
      <c r="AC2201" t="n">
        <v>20</v>
      </c>
      <c r="AD2201" t="n">
        <v>43</v>
      </c>
      <c r="AE2201" t="n">
        <v>44</v>
      </c>
      <c r="AF2201" t="n">
        <v>18</v>
      </c>
      <c r="AG2201" t="n">
        <v>19</v>
      </c>
      <c r="AH2201" t="n">
        <v>9</v>
      </c>
      <c r="AI2201" t="n">
        <v>10</v>
      </c>
      <c r="AJ2201" t="n">
        <v>21</v>
      </c>
      <c r="AK2201" t="n">
        <v>21</v>
      </c>
      <c r="AL2201" t="n">
        <v>3</v>
      </c>
      <c r="AM2201" t="n">
        <v>3</v>
      </c>
      <c r="AN2201" t="n">
        <v>2</v>
      </c>
      <c r="AO2201" t="n">
        <v>2</v>
      </c>
      <c r="AP2201" t="inlineStr">
        <is>
          <t>No</t>
        </is>
      </c>
      <c r="AQ2201" t="inlineStr">
        <is>
          <t>Yes</t>
        </is>
      </c>
      <c r="AR2201">
        <f>HYPERLINK("http://catalog.hathitrust.org/Record/000299118","HathiTrust Record")</f>
        <v/>
      </c>
      <c r="AS2201">
        <f>HYPERLINK("https://creighton-primo.hosted.exlibrisgroup.com/primo-explore/search?tab=default_tab&amp;search_scope=EVERYTHING&amp;vid=01CRU&amp;lang=en_US&amp;offset=0&amp;query=any,contains,991004731799702656","Catalog Record")</f>
        <v/>
      </c>
      <c r="AT2201">
        <f>HYPERLINK("http://www.worldcat.org/oclc/4835213","WorldCat Record")</f>
        <v/>
      </c>
      <c r="AU2201" t="inlineStr">
        <is>
          <t>63080490:eng</t>
        </is>
      </c>
      <c r="AV2201" t="inlineStr">
        <is>
          <t>4835213</t>
        </is>
      </c>
      <c r="AW2201" t="inlineStr">
        <is>
          <t>991004731799702656</t>
        </is>
      </c>
      <c r="AX2201" t="inlineStr">
        <is>
          <t>991004731799702656</t>
        </is>
      </c>
      <c r="AY2201" t="inlineStr">
        <is>
          <t>2265268220002656</t>
        </is>
      </c>
      <c r="AZ2201" t="inlineStr">
        <is>
          <t>BOOK</t>
        </is>
      </c>
      <c r="BB2201" t="inlineStr">
        <is>
          <t>9780060112974</t>
        </is>
      </c>
      <c r="BC2201" t="inlineStr">
        <is>
          <t>32285000671387</t>
        </is>
      </c>
      <c r="BD2201" t="inlineStr">
        <is>
          <t>893612704</t>
        </is>
      </c>
    </row>
    <row r="2202">
      <c r="A2202" t="inlineStr">
        <is>
          <t>No</t>
        </is>
      </c>
      <c r="B2202" t="inlineStr">
        <is>
          <t>E866 .F673 1988</t>
        </is>
      </c>
      <c r="C2202" t="inlineStr">
        <is>
          <t>0                      E  0866000F  673         1988</t>
        </is>
      </c>
      <c r="D2202" t="inlineStr">
        <is>
          <t>The Ford presidency : twenty-two intimate perspectivies of Gerald R. Ford / edited by Kenneth W. Thompson.</t>
        </is>
      </c>
      <c r="F2202" t="inlineStr">
        <is>
          <t>No</t>
        </is>
      </c>
      <c r="G2202" t="inlineStr">
        <is>
          <t>1</t>
        </is>
      </c>
      <c r="H2202" t="inlineStr">
        <is>
          <t>No</t>
        </is>
      </c>
      <c r="I2202" t="inlineStr">
        <is>
          <t>No</t>
        </is>
      </c>
      <c r="J2202" t="inlineStr">
        <is>
          <t>0</t>
        </is>
      </c>
      <c r="L2202" t="inlineStr">
        <is>
          <t>Lanham, MD : University Press of America ; Charlottesville : White Burkett Miller Center of Public Affairs, University of Virginia, c1988.</t>
        </is>
      </c>
      <c r="M2202" t="inlineStr">
        <is>
          <t>1988</t>
        </is>
      </c>
      <c r="O2202" t="inlineStr">
        <is>
          <t>eng</t>
        </is>
      </c>
      <c r="P2202" t="inlineStr">
        <is>
          <t>mdu</t>
        </is>
      </c>
      <c r="Q2202" t="inlineStr">
        <is>
          <t>Portraits of American presidents ; v. 7</t>
        </is>
      </c>
      <c r="R2202" t="inlineStr">
        <is>
          <t xml:space="preserve">E  </t>
        </is>
      </c>
      <c r="S2202" t="n">
        <v>2</v>
      </c>
      <c r="T2202" t="n">
        <v>2</v>
      </c>
      <c r="U2202" t="inlineStr">
        <is>
          <t>1993-04-14</t>
        </is>
      </c>
      <c r="V2202" t="inlineStr">
        <is>
          <t>1993-04-14</t>
        </is>
      </c>
      <c r="W2202" t="inlineStr">
        <is>
          <t>1991-06-25</t>
        </is>
      </c>
      <c r="X2202" t="inlineStr">
        <is>
          <t>1991-06-25</t>
        </is>
      </c>
      <c r="Y2202" t="n">
        <v>196</v>
      </c>
      <c r="Z2202" t="n">
        <v>170</v>
      </c>
      <c r="AA2202" t="n">
        <v>172</v>
      </c>
      <c r="AB2202" t="n">
        <v>1</v>
      </c>
      <c r="AC2202" t="n">
        <v>1</v>
      </c>
      <c r="AD2202" t="n">
        <v>8</v>
      </c>
      <c r="AE2202" t="n">
        <v>8</v>
      </c>
      <c r="AF2202" t="n">
        <v>3</v>
      </c>
      <c r="AG2202" t="n">
        <v>3</v>
      </c>
      <c r="AH2202" t="n">
        <v>3</v>
      </c>
      <c r="AI2202" t="n">
        <v>3</v>
      </c>
      <c r="AJ2202" t="n">
        <v>6</v>
      </c>
      <c r="AK2202" t="n">
        <v>6</v>
      </c>
      <c r="AL2202" t="n">
        <v>0</v>
      </c>
      <c r="AM2202" t="n">
        <v>0</v>
      </c>
      <c r="AN2202" t="n">
        <v>0</v>
      </c>
      <c r="AO2202" t="n">
        <v>0</v>
      </c>
      <c r="AP2202" t="inlineStr">
        <is>
          <t>No</t>
        </is>
      </c>
      <c r="AQ2202" t="inlineStr">
        <is>
          <t>Yes</t>
        </is>
      </c>
      <c r="AR2202">
        <f>HYPERLINK("http://catalog.hathitrust.org/Record/001103384","HathiTrust Record")</f>
        <v/>
      </c>
      <c r="AS2202">
        <f>HYPERLINK("https://creighton-primo.hosted.exlibrisgroup.com/primo-explore/search?tab=default_tab&amp;search_scope=EVERYTHING&amp;vid=01CRU&amp;lang=en_US&amp;offset=0&amp;query=any,contains,991001240049702656","Catalog Record")</f>
        <v/>
      </c>
      <c r="AT2202">
        <f>HYPERLINK("http://www.worldcat.org/oclc/17618244","WorldCat Record")</f>
        <v/>
      </c>
      <c r="AU2202" t="inlineStr">
        <is>
          <t>926604290:eng</t>
        </is>
      </c>
      <c r="AV2202" t="inlineStr">
        <is>
          <t>17618244</t>
        </is>
      </c>
      <c r="AW2202" t="inlineStr">
        <is>
          <t>991001240049702656</t>
        </is>
      </c>
      <c r="AX2202" t="inlineStr">
        <is>
          <t>991001240049702656</t>
        </is>
      </c>
      <c r="AY2202" t="inlineStr">
        <is>
          <t>2256321740002656</t>
        </is>
      </c>
      <c r="AZ2202" t="inlineStr">
        <is>
          <t>BOOK</t>
        </is>
      </c>
      <c r="BB2202" t="inlineStr">
        <is>
          <t>9780819169600</t>
        </is>
      </c>
      <c r="BC2202" t="inlineStr">
        <is>
          <t>32285000671395</t>
        </is>
      </c>
      <c r="BD2202" t="inlineStr">
        <is>
          <t>893346351</t>
        </is>
      </c>
    </row>
    <row r="2203">
      <c r="A2203" t="inlineStr">
        <is>
          <t>No</t>
        </is>
      </c>
      <c r="B2203" t="inlineStr">
        <is>
          <t>E866 .T47</t>
        </is>
      </c>
      <c r="C2203" t="inlineStr">
        <is>
          <t>0                      E  0866000T  47</t>
        </is>
      </c>
      <c r="D2203" t="inlineStr">
        <is>
          <t>Gerald Ford and the future of the presidency / by Jerald F. terHorst.</t>
        </is>
      </c>
      <c r="F2203" t="inlineStr">
        <is>
          <t>No</t>
        </is>
      </c>
      <c r="G2203" t="inlineStr">
        <is>
          <t>1</t>
        </is>
      </c>
      <c r="H2203" t="inlineStr">
        <is>
          <t>No</t>
        </is>
      </c>
      <c r="I2203" t="inlineStr">
        <is>
          <t>No</t>
        </is>
      </c>
      <c r="J2203" t="inlineStr">
        <is>
          <t>0</t>
        </is>
      </c>
      <c r="K2203" t="inlineStr">
        <is>
          <t>TerHorst, Jerald F.</t>
        </is>
      </c>
      <c r="L2203" t="inlineStr">
        <is>
          <t>New York : Third Press, [1974]</t>
        </is>
      </c>
      <c r="M2203" t="inlineStr">
        <is>
          <t>1974</t>
        </is>
      </c>
      <c r="O2203" t="inlineStr">
        <is>
          <t>eng</t>
        </is>
      </c>
      <c r="P2203" t="inlineStr">
        <is>
          <t>nyu</t>
        </is>
      </c>
      <c r="R2203" t="inlineStr">
        <is>
          <t xml:space="preserve">E  </t>
        </is>
      </c>
      <c r="S2203" t="n">
        <v>1</v>
      </c>
      <c r="T2203" t="n">
        <v>1</v>
      </c>
      <c r="U2203" t="inlineStr">
        <is>
          <t>1998-07-13</t>
        </is>
      </c>
      <c r="V2203" t="inlineStr">
        <is>
          <t>1998-07-13</t>
        </is>
      </c>
      <c r="W2203" t="inlineStr">
        <is>
          <t>1997-04-29</t>
        </is>
      </c>
      <c r="X2203" t="inlineStr">
        <is>
          <t>1997-04-29</t>
        </is>
      </c>
      <c r="Y2203" t="n">
        <v>1645</v>
      </c>
      <c r="Z2203" t="n">
        <v>1568</v>
      </c>
      <c r="AA2203" t="n">
        <v>1588</v>
      </c>
      <c r="AB2203" t="n">
        <v>14</v>
      </c>
      <c r="AC2203" t="n">
        <v>14</v>
      </c>
      <c r="AD2203" t="n">
        <v>37</v>
      </c>
      <c r="AE2203" t="n">
        <v>38</v>
      </c>
      <c r="AF2203" t="n">
        <v>12</v>
      </c>
      <c r="AG2203" t="n">
        <v>12</v>
      </c>
      <c r="AH2203" t="n">
        <v>7</v>
      </c>
      <c r="AI2203" t="n">
        <v>8</v>
      </c>
      <c r="AJ2203" t="n">
        <v>17</v>
      </c>
      <c r="AK2203" t="n">
        <v>17</v>
      </c>
      <c r="AL2203" t="n">
        <v>8</v>
      </c>
      <c r="AM2203" t="n">
        <v>8</v>
      </c>
      <c r="AN2203" t="n">
        <v>1</v>
      </c>
      <c r="AO2203" t="n">
        <v>1</v>
      </c>
      <c r="AP2203" t="inlineStr">
        <is>
          <t>No</t>
        </is>
      </c>
      <c r="AQ2203" t="inlineStr">
        <is>
          <t>Yes</t>
        </is>
      </c>
      <c r="AR2203">
        <f>HYPERLINK("http://catalog.hathitrust.org/Record/000020252","HathiTrust Record")</f>
        <v/>
      </c>
      <c r="AS2203">
        <f>HYPERLINK("https://creighton-primo.hosted.exlibrisgroup.com/primo-explore/search?tab=default_tab&amp;search_scope=EVERYTHING&amp;vid=01CRU&amp;lang=en_US&amp;offset=0&amp;query=any,contains,991003627109702656","Catalog Record")</f>
        <v/>
      </c>
      <c r="AT2203">
        <f>HYPERLINK("http://www.worldcat.org/oclc/1217606","WorldCat Record")</f>
        <v/>
      </c>
      <c r="AU2203" t="inlineStr">
        <is>
          <t>551126:eng</t>
        </is>
      </c>
      <c r="AV2203" t="inlineStr">
        <is>
          <t>1217606</t>
        </is>
      </c>
      <c r="AW2203" t="inlineStr">
        <is>
          <t>991003627109702656</t>
        </is>
      </c>
      <c r="AX2203" t="inlineStr">
        <is>
          <t>991003627109702656</t>
        </is>
      </c>
      <c r="AY2203" t="inlineStr">
        <is>
          <t>2269726280002656</t>
        </is>
      </c>
      <c r="AZ2203" t="inlineStr">
        <is>
          <t>BOOK</t>
        </is>
      </c>
      <c r="BB2203" t="inlineStr">
        <is>
          <t>9780893881917</t>
        </is>
      </c>
      <c r="BC2203" t="inlineStr">
        <is>
          <t>32285002569159</t>
        </is>
      </c>
      <c r="BD2203" t="inlineStr">
        <is>
          <t>893881364</t>
        </is>
      </c>
    </row>
    <row r="2204">
      <c r="A2204" t="inlineStr">
        <is>
          <t>No</t>
        </is>
      </c>
      <c r="B2204" t="inlineStr">
        <is>
          <t>E867 .F66 1978</t>
        </is>
      </c>
      <c r="C2204" t="inlineStr">
        <is>
          <t>0                      E  0867000F  66          1978</t>
        </is>
      </c>
      <c r="D2204" t="inlineStr">
        <is>
          <t>The times of my life / Betty Ford, with Chris Chase.</t>
        </is>
      </c>
      <c r="F2204" t="inlineStr">
        <is>
          <t>No</t>
        </is>
      </c>
      <c r="G2204" t="inlineStr">
        <is>
          <t>1</t>
        </is>
      </c>
      <c r="H2204" t="inlineStr">
        <is>
          <t>No</t>
        </is>
      </c>
      <c r="I2204" t="inlineStr">
        <is>
          <t>No</t>
        </is>
      </c>
      <c r="J2204" t="inlineStr">
        <is>
          <t>0</t>
        </is>
      </c>
      <c r="K2204" t="inlineStr">
        <is>
          <t>Ford, Betty, 1918-2011.</t>
        </is>
      </c>
      <c r="L2204" t="inlineStr">
        <is>
          <t>New York : Harper &amp; Row, c1978.</t>
        </is>
      </c>
      <c r="M2204" t="inlineStr">
        <is>
          <t>1978</t>
        </is>
      </c>
      <c r="N2204" t="inlineStr">
        <is>
          <t>1st ed.</t>
        </is>
      </c>
      <c r="O2204" t="inlineStr">
        <is>
          <t>eng</t>
        </is>
      </c>
      <c r="P2204" t="inlineStr">
        <is>
          <t>nyu</t>
        </is>
      </c>
      <c r="R2204" t="inlineStr">
        <is>
          <t xml:space="preserve">E  </t>
        </is>
      </c>
      <c r="S2204" t="n">
        <v>2</v>
      </c>
      <c r="T2204" t="n">
        <v>2</v>
      </c>
      <c r="U2204" t="inlineStr">
        <is>
          <t>1994-10-24</t>
        </is>
      </c>
      <c r="V2204" t="inlineStr">
        <is>
          <t>1994-10-24</t>
        </is>
      </c>
      <c r="W2204" t="inlineStr">
        <is>
          <t>1991-06-25</t>
        </is>
      </c>
      <c r="X2204" t="inlineStr">
        <is>
          <t>1991-06-25</t>
        </is>
      </c>
      <c r="Y2204" t="n">
        <v>1963</v>
      </c>
      <c r="Z2204" t="n">
        <v>1921</v>
      </c>
      <c r="AA2204" t="n">
        <v>1995</v>
      </c>
      <c r="AB2204" t="n">
        <v>18</v>
      </c>
      <c r="AC2204" t="n">
        <v>18</v>
      </c>
      <c r="AD2204" t="n">
        <v>25</v>
      </c>
      <c r="AE2204" t="n">
        <v>28</v>
      </c>
      <c r="AF2204" t="n">
        <v>10</v>
      </c>
      <c r="AG2204" t="n">
        <v>11</v>
      </c>
      <c r="AH2204" t="n">
        <v>4</v>
      </c>
      <c r="AI2204" t="n">
        <v>6</v>
      </c>
      <c r="AJ2204" t="n">
        <v>12</v>
      </c>
      <c r="AK2204" t="n">
        <v>13</v>
      </c>
      <c r="AL2204" t="n">
        <v>4</v>
      </c>
      <c r="AM2204" t="n">
        <v>4</v>
      </c>
      <c r="AN2204" t="n">
        <v>0</v>
      </c>
      <c r="AO2204" t="n">
        <v>0</v>
      </c>
      <c r="AP2204" t="inlineStr">
        <is>
          <t>No</t>
        </is>
      </c>
      <c r="AQ2204" t="inlineStr">
        <is>
          <t>Yes</t>
        </is>
      </c>
      <c r="AR2204">
        <f>HYPERLINK("http://catalog.hathitrust.org/Record/000214638","HathiTrust Record")</f>
        <v/>
      </c>
      <c r="AS2204">
        <f>HYPERLINK("https://creighton-primo.hosted.exlibrisgroup.com/primo-explore/search?tab=default_tab&amp;search_scope=EVERYTHING&amp;vid=01CRU&amp;lang=en_US&amp;offset=0&amp;query=any,contains,991004595769702656","Catalog Record")</f>
        <v/>
      </c>
      <c r="AT2204">
        <f>HYPERLINK("http://www.worldcat.org/oclc/4136610","WorldCat Record")</f>
        <v/>
      </c>
      <c r="AU2204" t="inlineStr">
        <is>
          <t>402272:eng</t>
        </is>
      </c>
      <c r="AV2204" t="inlineStr">
        <is>
          <t>4136610</t>
        </is>
      </c>
      <c r="AW2204" t="inlineStr">
        <is>
          <t>991004595769702656</t>
        </is>
      </c>
      <c r="AX2204" t="inlineStr">
        <is>
          <t>991004595769702656</t>
        </is>
      </c>
      <c r="AY2204" t="inlineStr">
        <is>
          <t>2258188180002656</t>
        </is>
      </c>
      <c r="AZ2204" t="inlineStr">
        <is>
          <t>BOOK</t>
        </is>
      </c>
      <c r="BB2204" t="inlineStr">
        <is>
          <t>9780060112981</t>
        </is>
      </c>
      <c r="BC2204" t="inlineStr">
        <is>
          <t>32285000671403</t>
        </is>
      </c>
      <c r="BD2204" t="inlineStr">
        <is>
          <t>893888933</t>
        </is>
      </c>
    </row>
    <row r="2205">
      <c r="A2205" t="inlineStr">
        <is>
          <t>No</t>
        </is>
      </c>
      <c r="B2205" t="inlineStr">
        <is>
          <t>E868 .M42</t>
        </is>
      </c>
      <c r="C2205" t="inlineStr">
        <is>
          <t>0                      E  0868000M  42</t>
        </is>
      </c>
      <c r="D2205" t="inlineStr">
        <is>
          <t>Media agenda-setting in a Presidential election : issues, images, and interest / David H. Weaver ... [et al.].</t>
        </is>
      </c>
      <c r="F2205" t="inlineStr">
        <is>
          <t>No</t>
        </is>
      </c>
      <c r="G2205" t="inlineStr">
        <is>
          <t>1</t>
        </is>
      </c>
      <c r="H2205" t="inlineStr">
        <is>
          <t>No</t>
        </is>
      </c>
      <c r="I2205" t="inlineStr">
        <is>
          <t>No</t>
        </is>
      </c>
      <c r="J2205" t="inlineStr">
        <is>
          <t>0</t>
        </is>
      </c>
      <c r="L2205" t="inlineStr">
        <is>
          <t>New York, N.Y. : Praeger, 1981.</t>
        </is>
      </c>
      <c r="M2205" t="inlineStr">
        <is>
          <t>1981</t>
        </is>
      </c>
      <c r="O2205" t="inlineStr">
        <is>
          <t>eng</t>
        </is>
      </c>
      <c r="P2205" t="inlineStr">
        <is>
          <t>nyu</t>
        </is>
      </c>
      <c r="R2205" t="inlineStr">
        <is>
          <t xml:space="preserve">E  </t>
        </is>
      </c>
      <c r="S2205" t="n">
        <v>8</v>
      </c>
      <c r="T2205" t="n">
        <v>8</v>
      </c>
      <c r="U2205" t="inlineStr">
        <is>
          <t>2006-03-02</t>
        </is>
      </c>
      <c r="V2205" t="inlineStr">
        <is>
          <t>2006-03-02</t>
        </is>
      </c>
      <c r="W2205" t="inlineStr">
        <is>
          <t>1991-06-25</t>
        </is>
      </c>
      <c r="X2205" t="inlineStr">
        <is>
          <t>1991-06-25</t>
        </is>
      </c>
      <c r="Y2205" t="n">
        <v>423</v>
      </c>
      <c r="Z2205" t="n">
        <v>363</v>
      </c>
      <c r="AA2205" t="n">
        <v>370</v>
      </c>
      <c r="AB2205" t="n">
        <v>3</v>
      </c>
      <c r="AC2205" t="n">
        <v>3</v>
      </c>
      <c r="AD2205" t="n">
        <v>21</v>
      </c>
      <c r="AE2205" t="n">
        <v>21</v>
      </c>
      <c r="AF2205" t="n">
        <v>11</v>
      </c>
      <c r="AG2205" t="n">
        <v>11</v>
      </c>
      <c r="AH2205" t="n">
        <v>4</v>
      </c>
      <c r="AI2205" t="n">
        <v>4</v>
      </c>
      <c r="AJ2205" t="n">
        <v>11</v>
      </c>
      <c r="AK2205" t="n">
        <v>11</v>
      </c>
      <c r="AL2205" t="n">
        <v>2</v>
      </c>
      <c r="AM2205" t="n">
        <v>2</v>
      </c>
      <c r="AN2205" t="n">
        <v>0</v>
      </c>
      <c r="AO2205" t="n">
        <v>0</v>
      </c>
      <c r="AP2205" t="inlineStr">
        <is>
          <t>No</t>
        </is>
      </c>
      <c r="AQ2205" t="inlineStr">
        <is>
          <t>Yes</t>
        </is>
      </c>
      <c r="AR2205">
        <f>HYPERLINK("http://catalog.hathitrust.org/Record/000169553","HathiTrust Record")</f>
        <v/>
      </c>
      <c r="AS2205">
        <f>HYPERLINK("https://creighton-primo.hosted.exlibrisgroup.com/primo-explore/search?tab=default_tab&amp;search_scope=EVERYTHING&amp;vid=01CRU&amp;lang=en_US&amp;offset=0&amp;query=any,contains,991005079739702656","Catalog Record")</f>
        <v/>
      </c>
      <c r="AT2205">
        <f>HYPERLINK("http://www.worldcat.org/oclc/7170136","WorldCat Record")</f>
        <v/>
      </c>
      <c r="AU2205" t="inlineStr">
        <is>
          <t>432051:eng</t>
        </is>
      </c>
      <c r="AV2205" t="inlineStr">
        <is>
          <t>7170136</t>
        </is>
      </c>
      <c r="AW2205" t="inlineStr">
        <is>
          <t>991005079739702656</t>
        </is>
      </c>
      <c r="AX2205" t="inlineStr">
        <is>
          <t>991005079739702656</t>
        </is>
      </c>
      <c r="AY2205" t="inlineStr">
        <is>
          <t>2256580420002656</t>
        </is>
      </c>
      <c r="AZ2205" t="inlineStr">
        <is>
          <t>BOOK</t>
        </is>
      </c>
      <c r="BB2205" t="inlineStr">
        <is>
          <t>9780030590665</t>
        </is>
      </c>
      <c r="BC2205" t="inlineStr">
        <is>
          <t>32285000671429</t>
        </is>
      </c>
      <c r="BD2205" t="inlineStr">
        <is>
          <t>893606790</t>
        </is>
      </c>
    </row>
    <row r="2206">
      <c r="A2206" t="inlineStr">
        <is>
          <t>No</t>
        </is>
      </c>
      <c r="B2206" t="inlineStr">
        <is>
          <t>E872 .D35 1990</t>
        </is>
      </c>
      <c r="C2206" t="inlineStr">
        <is>
          <t>0                      E  0872000D  35          1990</t>
        </is>
      </c>
      <c r="D2206" t="inlineStr">
        <is>
          <t>Creating the second cold war : the discourse of politics / Simon Dalby.</t>
        </is>
      </c>
      <c r="F2206" t="inlineStr">
        <is>
          <t>No</t>
        </is>
      </c>
      <c r="G2206" t="inlineStr">
        <is>
          <t>1</t>
        </is>
      </c>
      <c r="H2206" t="inlineStr">
        <is>
          <t>No</t>
        </is>
      </c>
      <c r="I2206" t="inlineStr">
        <is>
          <t>No</t>
        </is>
      </c>
      <c r="J2206" t="inlineStr">
        <is>
          <t>0</t>
        </is>
      </c>
      <c r="K2206" t="inlineStr">
        <is>
          <t>Dalby, Simon.</t>
        </is>
      </c>
      <c r="L2206" t="inlineStr">
        <is>
          <t>London : Pinter Publishers ; New York : Guilford Press, 1990.</t>
        </is>
      </c>
      <c r="M2206" t="inlineStr">
        <is>
          <t>1990</t>
        </is>
      </c>
      <c r="O2206" t="inlineStr">
        <is>
          <t>eng</t>
        </is>
      </c>
      <c r="P2206" t="inlineStr">
        <is>
          <t>enk</t>
        </is>
      </c>
      <c r="Q2206" t="inlineStr">
        <is>
          <t>Geography and international relations series</t>
        </is>
      </c>
      <c r="R2206" t="inlineStr">
        <is>
          <t xml:space="preserve">E  </t>
        </is>
      </c>
      <c r="S2206" t="n">
        <v>2</v>
      </c>
      <c r="T2206" t="n">
        <v>2</v>
      </c>
      <c r="U2206" t="inlineStr">
        <is>
          <t>1998-11-16</t>
        </is>
      </c>
      <c r="V2206" t="inlineStr">
        <is>
          <t>1998-11-16</t>
        </is>
      </c>
      <c r="W2206" t="inlineStr">
        <is>
          <t>1991-03-08</t>
        </is>
      </c>
      <c r="X2206" t="inlineStr">
        <is>
          <t>1991-03-08</t>
        </is>
      </c>
      <c r="Y2206" t="n">
        <v>288</v>
      </c>
      <c r="Z2206" t="n">
        <v>203</v>
      </c>
      <c r="AA2206" t="n">
        <v>223</v>
      </c>
      <c r="AB2206" t="n">
        <v>2</v>
      </c>
      <c r="AC2206" t="n">
        <v>2</v>
      </c>
      <c r="AD2206" t="n">
        <v>9</v>
      </c>
      <c r="AE2206" t="n">
        <v>9</v>
      </c>
      <c r="AF2206" t="n">
        <v>2</v>
      </c>
      <c r="AG2206" t="n">
        <v>2</v>
      </c>
      <c r="AH2206" t="n">
        <v>3</v>
      </c>
      <c r="AI2206" t="n">
        <v>3</v>
      </c>
      <c r="AJ2206" t="n">
        <v>5</v>
      </c>
      <c r="AK2206" t="n">
        <v>5</v>
      </c>
      <c r="AL2206" t="n">
        <v>1</v>
      </c>
      <c r="AM2206" t="n">
        <v>1</v>
      </c>
      <c r="AN2206" t="n">
        <v>0</v>
      </c>
      <c r="AO2206" t="n">
        <v>0</v>
      </c>
      <c r="AP2206" t="inlineStr">
        <is>
          <t>No</t>
        </is>
      </c>
      <c r="AQ2206" t="inlineStr">
        <is>
          <t>No</t>
        </is>
      </c>
      <c r="AS2206">
        <f>HYPERLINK("https://creighton-primo.hosted.exlibrisgroup.com/primo-explore/search?tab=default_tab&amp;search_scope=EVERYTHING&amp;vid=01CRU&amp;lang=en_US&amp;offset=0&amp;query=any,contains,991001683729702656","Catalog Record")</f>
        <v/>
      </c>
      <c r="AT2206">
        <f>HYPERLINK("http://www.worldcat.org/oclc/21376396","WorldCat Record")</f>
        <v/>
      </c>
      <c r="AU2206" t="inlineStr">
        <is>
          <t>836702043:eng</t>
        </is>
      </c>
      <c r="AV2206" t="inlineStr">
        <is>
          <t>21376396</t>
        </is>
      </c>
      <c r="AW2206" t="inlineStr">
        <is>
          <t>991001683729702656</t>
        </is>
      </c>
      <c r="AX2206" t="inlineStr">
        <is>
          <t>991001683729702656</t>
        </is>
      </c>
      <c r="AY2206" t="inlineStr">
        <is>
          <t>2264412200002656</t>
        </is>
      </c>
      <c r="AZ2206" t="inlineStr">
        <is>
          <t>BOOK</t>
        </is>
      </c>
      <c r="BB2206" t="inlineStr">
        <is>
          <t>9780898625370</t>
        </is>
      </c>
      <c r="BC2206" t="inlineStr">
        <is>
          <t>32285000494327</t>
        </is>
      </c>
      <c r="BD2206" t="inlineStr">
        <is>
          <t>893509802</t>
        </is>
      </c>
    </row>
    <row r="2207">
      <c r="A2207" t="inlineStr">
        <is>
          <t>No</t>
        </is>
      </c>
      <c r="B2207" t="inlineStr">
        <is>
          <t>E872 .E2</t>
        </is>
      </c>
      <c r="C2207" t="inlineStr">
        <is>
          <t>0                      E  0872000E  2</t>
        </is>
      </c>
      <c r="D2207" t="inlineStr">
        <is>
          <t>Eagle entangled : U.S. foreign policy in a complex world / edited by Kenneth A. Oye, Donald Rothchild, Robert J. Lieber.</t>
        </is>
      </c>
      <c r="F2207" t="inlineStr">
        <is>
          <t>No</t>
        </is>
      </c>
      <c r="G2207" t="inlineStr">
        <is>
          <t>1</t>
        </is>
      </c>
      <c r="H2207" t="inlineStr">
        <is>
          <t>No</t>
        </is>
      </c>
      <c r="I2207" t="inlineStr">
        <is>
          <t>No</t>
        </is>
      </c>
      <c r="J2207" t="inlineStr">
        <is>
          <t>0</t>
        </is>
      </c>
      <c r="L2207" t="inlineStr">
        <is>
          <t>New York : Longman, c1979.</t>
        </is>
      </c>
      <c r="M2207" t="inlineStr">
        <is>
          <t>1979</t>
        </is>
      </c>
      <c r="O2207" t="inlineStr">
        <is>
          <t>eng</t>
        </is>
      </c>
      <c r="P2207" t="inlineStr">
        <is>
          <t>nyu</t>
        </is>
      </c>
      <c r="R2207" t="inlineStr">
        <is>
          <t xml:space="preserve">E  </t>
        </is>
      </c>
      <c r="S2207" t="n">
        <v>1</v>
      </c>
      <c r="T2207" t="n">
        <v>1</v>
      </c>
      <c r="U2207" t="inlineStr">
        <is>
          <t>2005-07-26</t>
        </is>
      </c>
      <c r="V2207" t="inlineStr">
        <is>
          <t>2005-07-26</t>
        </is>
      </c>
      <c r="W2207" t="inlineStr">
        <is>
          <t>1991-06-25</t>
        </is>
      </c>
      <c r="X2207" t="inlineStr">
        <is>
          <t>1991-06-25</t>
        </is>
      </c>
      <c r="Y2207" t="n">
        <v>576</v>
      </c>
      <c r="Z2207" t="n">
        <v>468</v>
      </c>
      <c r="AA2207" t="n">
        <v>475</v>
      </c>
      <c r="AB2207" t="n">
        <v>1</v>
      </c>
      <c r="AC2207" t="n">
        <v>1</v>
      </c>
      <c r="AD2207" t="n">
        <v>18</v>
      </c>
      <c r="AE2207" t="n">
        <v>18</v>
      </c>
      <c r="AF2207" t="n">
        <v>8</v>
      </c>
      <c r="AG2207" t="n">
        <v>8</v>
      </c>
      <c r="AH2207" t="n">
        <v>4</v>
      </c>
      <c r="AI2207" t="n">
        <v>4</v>
      </c>
      <c r="AJ2207" t="n">
        <v>13</v>
      </c>
      <c r="AK2207" t="n">
        <v>13</v>
      </c>
      <c r="AL2207" t="n">
        <v>0</v>
      </c>
      <c r="AM2207" t="n">
        <v>0</v>
      </c>
      <c r="AN2207" t="n">
        <v>0</v>
      </c>
      <c r="AO2207" t="n">
        <v>0</v>
      </c>
      <c r="AP2207" t="inlineStr">
        <is>
          <t>No</t>
        </is>
      </c>
      <c r="AQ2207" t="inlineStr">
        <is>
          <t>Yes</t>
        </is>
      </c>
      <c r="AR2207">
        <f>HYPERLINK("http://catalog.hathitrust.org/Record/000297561","HathiTrust Record")</f>
        <v/>
      </c>
      <c r="AS2207">
        <f>HYPERLINK("https://creighton-primo.hosted.exlibrisgroup.com/primo-explore/search?tab=default_tab&amp;search_scope=EVERYTHING&amp;vid=01CRU&amp;lang=en_US&amp;offset=0&amp;query=any,contains,991004713599702656","Catalog Record")</f>
        <v/>
      </c>
      <c r="AT2207">
        <f>HYPERLINK("http://www.worldcat.org/oclc/4775233","WorldCat Record")</f>
        <v/>
      </c>
      <c r="AU2207" t="inlineStr">
        <is>
          <t>903504937:eng</t>
        </is>
      </c>
      <c r="AV2207" t="inlineStr">
        <is>
          <t>4775233</t>
        </is>
      </c>
      <c r="AW2207" t="inlineStr">
        <is>
          <t>991004713599702656</t>
        </is>
      </c>
      <c r="AX2207" t="inlineStr">
        <is>
          <t>991004713599702656</t>
        </is>
      </c>
      <c r="AY2207" t="inlineStr">
        <is>
          <t>2256431220002656</t>
        </is>
      </c>
      <c r="AZ2207" t="inlineStr">
        <is>
          <t>BOOK</t>
        </is>
      </c>
      <c r="BB2207" t="inlineStr">
        <is>
          <t>9780582290020</t>
        </is>
      </c>
      <c r="BC2207" t="inlineStr">
        <is>
          <t>32285000671528</t>
        </is>
      </c>
      <c r="BD2207" t="inlineStr">
        <is>
          <t>893706755</t>
        </is>
      </c>
    </row>
    <row r="2208">
      <c r="A2208" t="inlineStr">
        <is>
          <t>No</t>
        </is>
      </c>
      <c r="B2208" t="inlineStr">
        <is>
          <t>E872 .J67 1982</t>
        </is>
      </c>
      <c r="C2208" t="inlineStr">
        <is>
          <t>0                      E  0872000J  67          1982</t>
        </is>
      </c>
      <c r="D2208" t="inlineStr">
        <is>
          <t>Crisis : the last year of the Carter presidency / Hamilton Jordan.</t>
        </is>
      </c>
      <c r="F2208" t="inlineStr">
        <is>
          <t>No</t>
        </is>
      </c>
      <c r="G2208" t="inlineStr">
        <is>
          <t>1</t>
        </is>
      </c>
      <c r="H2208" t="inlineStr">
        <is>
          <t>No</t>
        </is>
      </c>
      <c r="I2208" t="inlineStr">
        <is>
          <t>No</t>
        </is>
      </c>
      <c r="J2208" t="inlineStr">
        <is>
          <t>0</t>
        </is>
      </c>
      <c r="K2208" t="inlineStr">
        <is>
          <t>Jordan, Hamilton.</t>
        </is>
      </c>
      <c r="L2208" t="inlineStr">
        <is>
          <t>New York : Putnam, c1982.</t>
        </is>
      </c>
      <c r="M2208" t="inlineStr">
        <is>
          <t>1982</t>
        </is>
      </c>
      <c r="O2208" t="inlineStr">
        <is>
          <t>eng</t>
        </is>
      </c>
      <c r="P2208" t="inlineStr">
        <is>
          <t>nyu</t>
        </is>
      </c>
      <c r="R2208" t="inlineStr">
        <is>
          <t xml:space="preserve">E  </t>
        </is>
      </c>
      <c r="S2208" t="n">
        <v>6</v>
      </c>
      <c r="T2208" t="n">
        <v>6</v>
      </c>
      <c r="U2208" t="inlineStr">
        <is>
          <t>2002-04-07</t>
        </is>
      </c>
      <c r="V2208" t="inlineStr">
        <is>
          <t>2002-04-07</t>
        </is>
      </c>
      <c r="W2208" t="inlineStr">
        <is>
          <t>1991-06-25</t>
        </is>
      </c>
      <c r="X2208" t="inlineStr">
        <is>
          <t>1991-06-25</t>
        </is>
      </c>
      <c r="Y2208" t="n">
        <v>1823</v>
      </c>
      <c r="Z2208" t="n">
        <v>1730</v>
      </c>
      <c r="AA2208" t="n">
        <v>1765</v>
      </c>
      <c r="AB2208" t="n">
        <v>14</v>
      </c>
      <c r="AC2208" t="n">
        <v>14</v>
      </c>
      <c r="AD2208" t="n">
        <v>40</v>
      </c>
      <c r="AE2208" t="n">
        <v>41</v>
      </c>
      <c r="AF2208" t="n">
        <v>12</v>
      </c>
      <c r="AG2208" t="n">
        <v>13</v>
      </c>
      <c r="AH2208" t="n">
        <v>7</v>
      </c>
      <c r="AI2208" t="n">
        <v>7</v>
      </c>
      <c r="AJ2208" t="n">
        <v>18</v>
      </c>
      <c r="AK2208" t="n">
        <v>18</v>
      </c>
      <c r="AL2208" t="n">
        <v>8</v>
      </c>
      <c r="AM2208" t="n">
        <v>8</v>
      </c>
      <c r="AN2208" t="n">
        <v>2</v>
      </c>
      <c r="AO2208" t="n">
        <v>2</v>
      </c>
      <c r="AP2208" t="inlineStr">
        <is>
          <t>No</t>
        </is>
      </c>
      <c r="AQ2208" t="inlineStr">
        <is>
          <t>Yes</t>
        </is>
      </c>
      <c r="AR2208">
        <f>HYPERLINK("http://catalog.hathitrust.org/Record/000190621","HathiTrust Record")</f>
        <v/>
      </c>
      <c r="AS2208">
        <f>HYPERLINK("https://creighton-primo.hosted.exlibrisgroup.com/primo-explore/search?tab=default_tab&amp;search_scope=EVERYTHING&amp;vid=01CRU&amp;lang=en_US&amp;offset=0&amp;query=any,contains,991000017779702656","Catalog Record")</f>
        <v/>
      </c>
      <c r="AT2208">
        <f>HYPERLINK("http://www.worldcat.org/oclc/8553464","WorldCat Record")</f>
        <v/>
      </c>
      <c r="AU2208" t="inlineStr">
        <is>
          <t>473210:eng</t>
        </is>
      </c>
      <c r="AV2208" t="inlineStr">
        <is>
          <t>8553464</t>
        </is>
      </c>
      <c r="AW2208" t="inlineStr">
        <is>
          <t>991000017779702656</t>
        </is>
      </c>
      <c r="AX2208" t="inlineStr">
        <is>
          <t>991000017779702656</t>
        </is>
      </c>
      <c r="AY2208" t="inlineStr">
        <is>
          <t>2259052910002656</t>
        </is>
      </c>
      <c r="AZ2208" t="inlineStr">
        <is>
          <t>BOOK</t>
        </is>
      </c>
      <c r="BB2208" t="inlineStr">
        <is>
          <t>9780399127380</t>
        </is>
      </c>
      <c r="BC2208" t="inlineStr">
        <is>
          <t>32285000671544</t>
        </is>
      </c>
      <c r="BD2208" t="inlineStr">
        <is>
          <t>893589026</t>
        </is>
      </c>
    </row>
    <row r="2209">
      <c r="A2209" t="inlineStr">
        <is>
          <t>No</t>
        </is>
      </c>
      <c r="B2209" t="inlineStr">
        <is>
          <t>E872 .K57</t>
        </is>
      </c>
      <c r="C2209" t="inlineStr">
        <is>
          <t>0                      E  0872000K  57</t>
        </is>
      </c>
      <c r="D2209" t="inlineStr">
        <is>
          <t>For the record : selected statements, 1977-1980 / Henry Kissinger.</t>
        </is>
      </c>
      <c r="F2209" t="inlineStr">
        <is>
          <t>No</t>
        </is>
      </c>
      <c r="G2209" t="inlineStr">
        <is>
          <t>1</t>
        </is>
      </c>
      <c r="H2209" t="inlineStr">
        <is>
          <t>No</t>
        </is>
      </c>
      <c r="I2209" t="inlineStr">
        <is>
          <t>No</t>
        </is>
      </c>
      <c r="J2209" t="inlineStr">
        <is>
          <t>0</t>
        </is>
      </c>
      <c r="K2209" t="inlineStr">
        <is>
          <t>Kissinger, Henry, 1923-</t>
        </is>
      </c>
      <c r="L2209" t="inlineStr">
        <is>
          <t>Boston : Little Brown, c1981.</t>
        </is>
      </c>
      <c r="M2209" t="inlineStr">
        <is>
          <t>1981</t>
        </is>
      </c>
      <c r="N2209" t="inlineStr">
        <is>
          <t>1st ed.</t>
        </is>
      </c>
      <c r="O2209" t="inlineStr">
        <is>
          <t>eng</t>
        </is>
      </c>
      <c r="P2209" t="inlineStr">
        <is>
          <t>mau</t>
        </is>
      </c>
      <c r="R2209" t="inlineStr">
        <is>
          <t xml:space="preserve">E  </t>
        </is>
      </c>
      <c r="S2209" t="n">
        <v>2</v>
      </c>
      <c r="T2209" t="n">
        <v>2</v>
      </c>
      <c r="U2209" t="inlineStr">
        <is>
          <t>2002-02-28</t>
        </is>
      </c>
      <c r="V2209" t="inlineStr">
        <is>
          <t>2002-02-28</t>
        </is>
      </c>
      <c r="W2209" t="inlineStr">
        <is>
          <t>1990-04-17</t>
        </is>
      </c>
      <c r="X2209" t="inlineStr">
        <is>
          <t>1990-04-17</t>
        </is>
      </c>
      <c r="Y2209" t="n">
        <v>844</v>
      </c>
      <c r="Z2209" t="n">
        <v>767</v>
      </c>
      <c r="AA2209" t="n">
        <v>776</v>
      </c>
      <c r="AB2209" t="n">
        <v>5</v>
      </c>
      <c r="AC2209" t="n">
        <v>5</v>
      </c>
      <c r="AD2209" t="n">
        <v>23</v>
      </c>
      <c r="AE2209" t="n">
        <v>23</v>
      </c>
      <c r="AF2209" t="n">
        <v>8</v>
      </c>
      <c r="AG2209" t="n">
        <v>8</v>
      </c>
      <c r="AH2209" t="n">
        <v>6</v>
      </c>
      <c r="AI2209" t="n">
        <v>6</v>
      </c>
      <c r="AJ2209" t="n">
        <v>8</v>
      </c>
      <c r="AK2209" t="n">
        <v>8</v>
      </c>
      <c r="AL2209" t="n">
        <v>4</v>
      </c>
      <c r="AM2209" t="n">
        <v>4</v>
      </c>
      <c r="AN2209" t="n">
        <v>1</v>
      </c>
      <c r="AO2209" t="n">
        <v>1</v>
      </c>
      <c r="AP2209" t="inlineStr">
        <is>
          <t>No</t>
        </is>
      </c>
      <c r="AQ2209" t="inlineStr">
        <is>
          <t>No</t>
        </is>
      </c>
      <c r="AS2209">
        <f>HYPERLINK("https://creighton-primo.hosted.exlibrisgroup.com/primo-explore/search?tab=default_tab&amp;search_scope=EVERYTHING&amp;vid=01CRU&amp;lang=en_US&amp;offset=0&amp;query=any,contains,991005057949702656","Catalog Record")</f>
        <v/>
      </c>
      <c r="AT2209">
        <f>HYPERLINK("http://www.worldcat.org/oclc/6914728","WorldCat Record")</f>
        <v/>
      </c>
      <c r="AU2209" t="inlineStr">
        <is>
          <t>448214:eng</t>
        </is>
      </c>
      <c r="AV2209" t="inlineStr">
        <is>
          <t>6914728</t>
        </is>
      </c>
      <c r="AW2209" t="inlineStr">
        <is>
          <t>991005057949702656</t>
        </is>
      </c>
      <c r="AX2209" t="inlineStr">
        <is>
          <t>991005057949702656</t>
        </is>
      </c>
      <c r="AY2209" t="inlineStr">
        <is>
          <t>2262693180002656</t>
        </is>
      </c>
      <c r="AZ2209" t="inlineStr">
        <is>
          <t>BOOK</t>
        </is>
      </c>
      <c r="BB2209" t="inlineStr">
        <is>
          <t>9780316496636</t>
        </is>
      </c>
      <c r="BC2209" t="inlineStr">
        <is>
          <t>32285000120989</t>
        </is>
      </c>
      <c r="BD2209" t="inlineStr">
        <is>
          <t>893412250</t>
        </is>
      </c>
    </row>
    <row r="2210">
      <c r="A2210" t="inlineStr">
        <is>
          <t>No</t>
        </is>
      </c>
      <c r="B2210" t="inlineStr">
        <is>
          <t>E872 .L4 1984</t>
        </is>
      </c>
      <c r="C2210" t="inlineStr">
        <is>
          <t>0                      E  0872000L  4           1984</t>
        </is>
      </c>
      <c r="D2210" t="inlineStr">
        <is>
          <t>Legislating foreign policy / edited by Hoyt Purvis and Steven J. Baker.</t>
        </is>
      </c>
      <c r="F2210" t="inlineStr">
        <is>
          <t>No</t>
        </is>
      </c>
      <c r="G2210" t="inlineStr">
        <is>
          <t>1</t>
        </is>
      </c>
      <c r="H2210" t="inlineStr">
        <is>
          <t>No</t>
        </is>
      </c>
      <c r="I2210" t="inlineStr">
        <is>
          <t>No</t>
        </is>
      </c>
      <c r="J2210" t="inlineStr">
        <is>
          <t>0</t>
        </is>
      </c>
      <c r="L2210" t="inlineStr">
        <is>
          <t>Boulder, Colo. : Westview Press, 1984.</t>
        </is>
      </c>
      <c r="M2210" t="inlineStr">
        <is>
          <t>1984</t>
        </is>
      </c>
      <c r="O2210" t="inlineStr">
        <is>
          <t>eng</t>
        </is>
      </c>
      <c r="P2210" t="inlineStr">
        <is>
          <t>cou</t>
        </is>
      </c>
      <c r="R2210" t="inlineStr">
        <is>
          <t xml:space="preserve">E  </t>
        </is>
      </c>
      <c r="S2210" t="n">
        <v>2</v>
      </c>
      <c r="T2210" t="n">
        <v>2</v>
      </c>
      <c r="U2210" t="inlineStr">
        <is>
          <t>1993-10-26</t>
        </is>
      </c>
      <c r="V2210" t="inlineStr">
        <is>
          <t>1993-10-26</t>
        </is>
      </c>
      <c r="W2210" t="inlineStr">
        <is>
          <t>1991-06-25</t>
        </is>
      </c>
      <c r="X2210" t="inlineStr">
        <is>
          <t>1991-06-25</t>
        </is>
      </c>
      <c r="Y2210" t="n">
        <v>415</v>
      </c>
      <c r="Z2210" t="n">
        <v>341</v>
      </c>
      <c r="AA2210" t="n">
        <v>365</v>
      </c>
      <c r="AB2210" t="n">
        <v>4</v>
      </c>
      <c r="AC2210" t="n">
        <v>4</v>
      </c>
      <c r="AD2210" t="n">
        <v>22</v>
      </c>
      <c r="AE2210" t="n">
        <v>22</v>
      </c>
      <c r="AF2210" t="n">
        <v>6</v>
      </c>
      <c r="AG2210" t="n">
        <v>6</v>
      </c>
      <c r="AH2210" t="n">
        <v>7</v>
      </c>
      <c r="AI2210" t="n">
        <v>7</v>
      </c>
      <c r="AJ2210" t="n">
        <v>12</v>
      </c>
      <c r="AK2210" t="n">
        <v>12</v>
      </c>
      <c r="AL2210" t="n">
        <v>3</v>
      </c>
      <c r="AM2210" t="n">
        <v>3</v>
      </c>
      <c r="AN2210" t="n">
        <v>1</v>
      </c>
      <c r="AO2210" t="n">
        <v>1</v>
      </c>
      <c r="AP2210" t="inlineStr">
        <is>
          <t>No</t>
        </is>
      </c>
      <c r="AQ2210" t="inlineStr">
        <is>
          <t>Yes</t>
        </is>
      </c>
      <c r="AR2210">
        <f>HYPERLINK("http://catalog.hathitrust.org/Record/000248743","HathiTrust Record")</f>
        <v/>
      </c>
      <c r="AS2210">
        <f>HYPERLINK("https://creighton-primo.hosted.exlibrisgroup.com/primo-explore/search?tab=default_tab&amp;search_scope=EVERYTHING&amp;vid=01CRU&amp;lang=en_US&amp;offset=0&amp;query=any,contains,991000466629702656","Catalog Record")</f>
        <v/>
      </c>
      <c r="AT2210">
        <f>HYPERLINK("http://www.worldcat.org/oclc/10970338","WorldCat Record")</f>
        <v/>
      </c>
      <c r="AU2210" t="inlineStr">
        <is>
          <t>350939184:eng</t>
        </is>
      </c>
      <c r="AV2210" t="inlineStr">
        <is>
          <t>10970338</t>
        </is>
      </c>
      <c r="AW2210" t="inlineStr">
        <is>
          <t>991000466629702656</t>
        </is>
      </c>
      <c r="AX2210" t="inlineStr">
        <is>
          <t>991000466629702656</t>
        </is>
      </c>
      <c r="AY2210" t="inlineStr">
        <is>
          <t>2263954280002656</t>
        </is>
      </c>
      <c r="AZ2210" t="inlineStr">
        <is>
          <t>BOOK</t>
        </is>
      </c>
      <c r="BB2210" t="inlineStr">
        <is>
          <t>9780865317949</t>
        </is>
      </c>
      <c r="BC2210" t="inlineStr">
        <is>
          <t>32285000671551</t>
        </is>
      </c>
      <c r="BD2210" t="inlineStr">
        <is>
          <t>893502503</t>
        </is>
      </c>
    </row>
    <row r="2211">
      <c r="A2211" t="inlineStr">
        <is>
          <t>No</t>
        </is>
      </c>
      <c r="B2211" t="inlineStr">
        <is>
          <t>E872 .O76 1987</t>
        </is>
      </c>
      <c r="C2211" t="inlineStr">
        <is>
          <t>0                      E  0872000O  76          1987</t>
        </is>
      </c>
      <c r="D2211" t="inlineStr">
        <is>
          <t>Comparing presidential behavior : Carter, Reagan, and the macho presidential style / John Orman.</t>
        </is>
      </c>
      <c r="F2211" t="inlineStr">
        <is>
          <t>No</t>
        </is>
      </c>
      <c r="G2211" t="inlineStr">
        <is>
          <t>1</t>
        </is>
      </c>
      <c r="H2211" t="inlineStr">
        <is>
          <t>No</t>
        </is>
      </c>
      <c r="I2211" t="inlineStr">
        <is>
          <t>No</t>
        </is>
      </c>
      <c r="J2211" t="inlineStr">
        <is>
          <t>0</t>
        </is>
      </c>
      <c r="K2211" t="inlineStr">
        <is>
          <t>Orman, John M.</t>
        </is>
      </c>
      <c r="L2211" t="inlineStr">
        <is>
          <t>New York : Greenwood Press, 1987.</t>
        </is>
      </c>
      <c r="M2211" t="inlineStr">
        <is>
          <t>1987</t>
        </is>
      </c>
      <c r="O2211" t="inlineStr">
        <is>
          <t>eng</t>
        </is>
      </c>
      <c r="P2211" t="inlineStr">
        <is>
          <t>nyu</t>
        </is>
      </c>
      <c r="Q2211" t="inlineStr">
        <is>
          <t>Contributions in political science, 0147-1066 ; no. 163</t>
        </is>
      </c>
      <c r="R2211" t="inlineStr">
        <is>
          <t xml:space="preserve">E  </t>
        </is>
      </c>
      <c r="S2211" t="n">
        <v>4</v>
      </c>
      <c r="T2211" t="n">
        <v>4</v>
      </c>
      <c r="U2211" t="inlineStr">
        <is>
          <t>1996-04-06</t>
        </is>
      </c>
      <c r="V2211" t="inlineStr">
        <is>
          <t>1996-04-06</t>
        </is>
      </c>
      <c r="W2211" t="inlineStr">
        <is>
          <t>1990-04-25</t>
        </is>
      </c>
      <c r="X2211" t="inlineStr">
        <is>
          <t>1990-04-25</t>
        </is>
      </c>
      <c r="Y2211" t="n">
        <v>401</v>
      </c>
      <c r="Z2211" t="n">
        <v>356</v>
      </c>
      <c r="AA2211" t="n">
        <v>362</v>
      </c>
      <c r="AB2211" t="n">
        <v>3</v>
      </c>
      <c r="AC2211" t="n">
        <v>3</v>
      </c>
      <c r="AD2211" t="n">
        <v>18</v>
      </c>
      <c r="AE2211" t="n">
        <v>18</v>
      </c>
      <c r="AF2211" t="n">
        <v>6</v>
      </c>
      <c r="AG2211" t="n">
        <v>6</v>
      </c>
      <c r="AH2211" t="n">
        <v>6</v>
      </c>
      <c r="AI2211" t="n">
        <v>6</v>
      </c>
      <c r="AJ2211" t="n">
        <v>10</v>
      </c>
      <c r="AK2211" t="n">
        <v>10</v>
      </c>
      <c r="AL2211" t="n">
        <v>2</v>
      </c>
      <c r="AM2211" t="n">
        <v>2</v>
      </c>
      <c r="AN2211" t="n">
        <v>0</v>
      </c>
      <c r="AO2211" t="n">
        <v>0</v>
      </c>
      <c r="AP2211" t="inlineStr">
        <is>
          <t>No</t>
        </is>
      </c>
      <c r="AQ2211" t="inlineStr">
        <is>
          <t>Yes</t>
        </is>
      </c>
      <c r="AR2211">
        <f>HYPERLINK("http://catalog.hathitrust.org/Record/000828886","HathiTrust Record")</f>
        <v/>
      </c>
      <c r="AS2211">
        <f>HYPERLINK("https://creighton-primo.hosted.exlibrisgroup.com/primo-explore/search?tab=default_tab&amp;search_scope=EVERYTHING&amp;vid=01CRU&amp;lang=en_US&amp;offset=0&amp;query=any,contains,991000906359702656","Catalog Record")</f>
        <v/>
      </c>
      <c r="AT2211">
        <f>HYPERLINK("http://www.worldcat.org/oclc/14098590","WorldCat Record")</f>
        <v/>
      </c>
      <c r="AU2211" t="inlineStr">
        <is>
          <t>836664700:eng</t>
        </is>
      </c>
      <c r="AV2211" t="inlineStr">
        <is>
          <t>14098590</t>
        </is>
      </c>
      <c r="AW2211" t="inlineStr">
        <is>
          <t>991000906359702656</t>
        </is>
      </c>
      <c r="AX2211" t="inlineStr">
        <is>
          <t>991000906359702656</t>
        </is>
      </c>
      <c r="AY2211" t="inlineStr">
        <is>
          <t>2264915110002656</t>
        </is>
      </c>
      <c r="AZ2211" t="inlineStr">
        <is>
          <t>BOOK</t>
        </is>
      </c>
      <c r="BB2211" t="inlineStr">
        <is>
          <t>9780313255168</t>
        </is>
      </c>
      <c r="BC2211" t="inlineStr">
        <is>
          <t>32285000131952</t>
        </is>
      </c>
      <c r="BD2211" t="inlineStr">
        <is>
          <t>893225430</t>
        </is>
      </c>
    </row>
    <row r="2212">
      <c r="A2212" t="inlineStr">
        <is>
          <t>No</t>
        </is>
      </c>
      <c r="B2212" t="inlineStr">
        <is>
          <t>E872 .S23 1980</t>
        </is>
      </c>
      <c r="C2212" t="inlineStr">
        <is>
          <t>0                      E  0872000S  23          1980</t>
        </is>
      </c>
      <c r="D2212" t="inlineStr">
        <is>
          <t>Safire's Washington / William Safire.</t>
        </is>
      </c>
      <c r="F2212" t="inlineStr">
        <is>
          <t>No</t>
        </is>
      </c>
      <c r="G2212" t="inlineStr">
        <is>
          <t>1</t>
        </is>
      </c>
      <c r="H2212" t="inlineStr">
        <is>
          <t>No</t>
        </is>
      </c>
      <c r="I2212" t="inlineStr">
        <is>
          <t>No</t>
        </is>
      </c>
      <c r="J2212" t="inlineStr">
        <is>
          <t>0</t>
        </is>
      </c>
      <c r="K2212" t="inlineStr">
        <is>
          <t>Safire, William, 1929-2009.</t>
        </is>
      </c>
      <c r="L2212" t="inlineStr">
        <is>
          <t>New York : Times Books, c1980.</t>
        </is>
      </c>
      <c r="M2212" t="inlineStr">
        <is>
          <t>1980</t>
        </is>
      </c>
      <c r="O2212" t="inlineStr">
        <is>
          <t>eng</t>
        </is>
      </c>
      <c r="P2212" t="inlineStr">
        <is>
          <t>nyu</t>
        </is>
      </c>
      <c r="R2212" t="inlineStr">
        <is>
          <t xml:space="preserve">E  </t>
        </is>
      </c>
      <c r="S2212" t="n">
        <v>1</v>
      </c>
      <c r="T2212" t="n">
        <v>1</v>
      </c>
      <c r="U2212" t="inlineStr">
        <is>
          <t>1993-09-18</t>
        </is>
      </c>
      <c r="V2212" t="inlineStr">
        <is>
          <t>1993-09-18</t>
        </is>
      </c>
      <c r="W2212" t="inlineStr">
        <is>
          <t>1990-06-01</t>
        </is>
      </c>
      <c r="X2212" t="inlineStr">
        <is>
          <t>1990-06-01</t>
        </is>
      </c>
      <c r="Y2212" t="n">
        <v>545</v>
      </c>
      <c r="Z2212" t="n">
        <v>521</v>
      </c>
      <c r="AA2212" t="n">
        <v>529</v>
      </c>
      <c r="AB2212" t="n">
        <v>4</v>
      </c>
      <c r="AC2212" t="n">
        <v>4</v>
      </c>
      <c r="AD2212" t="n">
        <v>15</v>
      </c>
      <c r="AE2212" t="n">
        <v>15</v>
      </c>
      <c r="AF2212" t="n">
        <v>8</v>
      </c>
      <c r="AG2212" t="n">
        <v>8</v>
      </c>
      <c r="AH2212" t="n">
        <v>3</v>
      </c>
      <c r="AI2212" t="n">
        <v>3</v>
      </c>
      <c r="AJ2212" t="n">
        <v>5</v>
      </c>
      <c r="AK2212" t="n">
        <v>5</v>
      </c>
      <c r="AL2212" t="n">
        <v>3</v>
      </c>
      <c r="AM2212" t="n">
        <v>3</v>
      </c>
      <c r="AN2212" t="n">
        <v>0</v>
      </c>
      <c r="AO2212" t="n">
        <v>0</v>
      </c>
      <c r="AP2212" t="inlineStr">
        <is>
          <t>No</t>
        </is>
      </c>
      <c r="AQ2212" t="inlineStr">
        <is>
          <t>Yes</t>
        </is>
      </c>
      <c r="AR2212">
        <f>HYPERLINK("http://catalog.hathitrust.org/Record/000740247","HathiTrust Record")</f>
        <v/>
      </c>
      <c r="AS2212">
        <f>HYPERLINK("https://creighton-primo.hosted.exlibrisgroup.com/primo-explore/search?tab=default_tab&amp;search_scope=EVERYTHING&amp;vid=01CRU&amp;lang=en_US&amp;offset=0&amp;query=any,contains,991004959419702656","Catalog Record")</f>
        <v/>
      </c>
      <c r="AT2212">
        <f>HYPERLINK("http://www.worldcat.org/oclc/6303414","WorldCat Record")</f>
        <v/>
      </c>
      <c r="AU2212" t="inlineStr">
        <is>
          <t>473488:eng</t>
        </is>
      </c>
      <c r="AV2212" t="inlineStr">
        <is>
          <t>6303414</t>
        </is>
      </c>
      <c r="AW2212" t="inlineStr">
        <is>
          <t>991004959419702656</t>
        </is>
      </c>
      <c r="AX2212" t="inlineStr">
        <is>
          <t>991004959419702656</t>
        </is>
      </c>
      <c r="AY2212" t="inlineStr">
        <is>
          <t>2257282700002656</t>
        </is>
      </c>
      <c r="AZ2212" t="inlineStr">
        <is>
          <t>BOOK</t>
        </is>
      </c>
      <c r="BB2212" t="inlineStr">
        <is>
          <t>9780812909197</t>
        </is>
      </c>
      <c r="BC2212" t="inlineStr">
        <is>
          <t>32285000169770</t>
        </is>
      </c>
      <c r="BD2212" t="inlineStr">
        <is>
          <t>893520229</t>
        </is>
      </c>
    </row>
    <row r="2213">
      <c r="A2213" t="inlineStr">
        <is>
          <t>No</t>
        </is>
      </c>
      <c r="B2213" t="inlineStr">
        <is>
          <t>E872 .T75 1985</t>
        </is>
      </c>
      <c r="C2213" t="inlineStr">
        <is>
          <t>0                      E  0872000T  75          1985</t>
        </is>
      </c>
      <c r="D2213" t="inlineStr">
        <is>
          <t>With all disrespect : more uncivil liberties / Calvin Trillin.</t>
        </is>
      </c>
      <c r="F2213" t="inlineStr">
        <is>
          <t>No</t>
        </is>
      </c>
      <c r="G2213" t="inlineStr">
        <is>
          <t>1</t>
        </is>
      </c>
      <c r="H2213" t="inlineStr">
        <is>
          <t>No</t>
        </is>
      </c>
      <c r="I2213" t="inlineStr">
        <is>
          <t>No</t>
        </is>
      </c>
      <c r="J2213" t="inlineStr">
        <is>
          <t>0</t>
        </is>
      </c>
      <c r="K2213" t="inlineStr">
        <is>
          <t>Trillin, Calvin.</t>
        </is>
      </c>
      <c r="L2213" t="inlineStr">
        <is>
          <t>New York : Ticknor &amp; Fields, 1985.</t>
        </is>
      </c>
      <c r="M2213" t="inlineStr">
        <is>
          <t>1985</t>
        </is>
      </c>
      <c r="O2213" t="inlineStr">
        <is>
          <t>eng</t>
        </is>
      </c>
      <c r="P2213" t="inlineStr">
        <is>
          <t>nyu</t>
        </is>
      </c>
      <c r="R2213" t="inlineStr">
        <is>
          <t xml:space="preserve">E  </t>
        </is>
      </c>
      <c r="S2213" t="n">
        <v>3</v>
      </c>
      <c r="T2213" t="n">
        <v>3</v>
      </c>
      <c r="U2213" t="inlineStr">
        <is>
          <t>1996-04-09</t>
        </is>
      </c>
      <c r="V2213" t="inlineStr">
        <is>
          <t>1996-04-09</t>
        </is>
      </c>
      <c r="W2213" t="inlineStr">
        <is>
          <t>1991-06-25</t>
        </is>
      </c>
      <c r="X2213" t="inlineStr">
        <is>
          <t>1991-06-25</t>
        </is>
      </c>
      <c r="Y2213" t="n">
        <v>675</v>
      </c>
      <c r="Z2213" t="n">
        <v>660</v>
      </c>
      <c r="AA2213" t="n">
        <v>698</v>
      </c>
      <c r="AB2213" t="n">
        <v>3</v>
      </c>
      <c r="AC2213" t="n">
        <v>3</v>
      </c>
      <c r="AD2213" t="n">
        <v>13</v>
      </c>
      <c r="AE2213" t="n">
        <v>15</v>
      </c>
      <c r="AF2213" t="n">
        <v>5</v>
      </c>
      <c r="AG2213" t="n">
        <v>5</v>
      </c>
      <c r="AH2213" t="n">
        <v>5</v>
      </c>
      <c r="AI2213" t="n">
        <v>5</v>
      </c>
      <c r="AJ2213" t="n">
        <v>7</v>
      </c>
      <c r="AK2213" t="n">
        <v>7</v>
      </c>
      <c r="AL2213" t="n">
        <v>2</v>
      </c>
      <c r="AM2213" t="n">
        <v>2</v>
      </c>
      <c r="AN2213" t="n">
        <v>0</v>
      </c>
      <c r="AO2213" t="n">
        <v>2</v>
      </c>
      <c r="AP2213" t="inlineStr">
        <is>
          <t>No</t>
        </is>
      </c>
      <c r="AQ2213" t="inlineStr">
        <is>
          <t>Yes</t>
        </is>
      </c>
      <c r="AR2213">
        <f>HYPERLINK("http://catalog.hathitrust.org/Record/003852098","HathiTrust Record")</f>
        <v/>
      </c>
      <c r="AS2213">
        <f>HYPERLINK("https://creighton-primo.hosted.exlibrisgroup.com/primo-explore/search?tab=default_tab&amp;search_scope=EVERYTHING&amp;vid=01CRU&amp;lang=en_US&amp;offset=0&amp;query=any,contains,991000547219702656","Catalog Record")</f>
        <v/>
      </c>
      <c r="AT2213">
        <f>HYPERLINK("http://www.worldcat.org/oclc/11519034","WorldCat Record")</f>
        <v/>
      </c>
      <c r="AU2213" t="inlineStr">
        <is>
          <t>3952963:eng</t>
        </is>
      </c>
      <c r="AV2213" t="inlineStr">
        <is>
          <t>11519034</t>
        </is>
      </c>
      <c r="AW2213" t="inlineStr">
        <is>
          <t>991000547219702656</t>
        </is>
      </c>
      <c r="AX2213" t="inlineStr">
        <is>
          <t>991000547219702656</t>
        </is>
      </c>
      <c r="AY2213" t="inlineStr">
        <is>
          <t>2267387450002656</t>
        </is>
      </c>
      <c r="AZ2213" t="inlineStr">
        <is>
          <t>BOOK</t>
        </is>
      </c>
      <c r="BB2213" t="inlineStr">
        <is>
          <t>9780899193533</t>
        </is>
      </c>
      <c r="BC2213" t="inlineStr">
        <is>
          <t>32285000671601</t>
        </is>
      </c>
      <c r="BD2213" t="inlineStr">
        <is>
          <t>893708469</t>
        </is>
      </c>
    </row>
    <row r="2214">
      <c r="A2214" t="inlineStr">
        <is>
          <t>No</t>
        </is>
      </c>
      <c r="B2214" t="inlineStr">
        <is>
          <t>E872 .U47</t>
        </is>
      </c>
      <c r="C2214" t="inlineStr">
        <is>
          <t>0                      E  0872000U  47</t>
        </is>
      </c>
      <c r="D2214" t="inlineStr">
        <is>
          <t>U.S. foreign policy : future directions / [editor, Hoyt Gimlin].</t>
        </is>
      </c>
      <c r="F2214" t="inlineStr">
        <is>
          <t>No</t>
        </is>
      </c>
      <c r="G2214" t="inlineStr">
        <is>
          <t>1</t>
        </is>
      </c>
      <c r="H2214" t="inlineStr">
        <is>
          <t>No</t>
        </is>
      </c>
      <c r="I2214" t="inlineStr">
        <is>
          <t>No</t>
        </is>
      </c>
      <c r="J2214" t="inlineStr">
        <is>
          <t>0</t>
        </is>
      </c>
      <c r="L2214" t="inlineStr">
        <is>
          <t>Washington : Congressional Quarterly, c1979.</t>
        </is>
      </c>
      <c r="M2214" t="inlineStr">
        <is>
          <t>1979</t>
        </is>
      </c>
      <c r="O2214" t="inlineStr">
        <is>
          <t>eng</t>
        </is>
      </c>
      <c r="P2214" t="inlineStr">
        <is>
          <t>dcu</t>
        </is>
      </c>
      <c r="Q2214" t="inlineStr">
        <is>
          <t>A Contemporary affairs report</t>
        </is>
      </c>
      <c r="R2214" t="inlineStr">
        <is>
          <t xml:space="preserve">E  </t>
        </is>
      </c>
      <c r="S2214" t="n">
        <v>1</v>
      </c>
      <c r="T2214" t="n">
        <v>1</v>
      </c>
      <c r="U2214" t="inlineStr">
        <is>
          <t>1992-02-25</t>
        </is>
      </c>
      <c r="V2214" t="inlineStr">
        <is>
          <t>1992-02-25</t>
        </is>
      </c>
      <c r="W2214" t="inlineStr">
        <is>
          <t>1990-02-27</t>
        </is>
      </c>
      <c r="X2214" t="inlineStr">
        <is>
          <t>1990-02-27</t>
        </is>
      </c>
      <c r="Y2214" t="n">
        <v>465</v>
      </c>
      <c r="Z2214" t="n">
        <v>440</v>
      </c>
      <c r="AA2214" t="n">
        <v>472</v>
      </c>
      <c r="AB2214" t="n">
        <v>3</v>
      </c>
      <c r="AC2214" t="n">
        <v>3</v>
      </c>
      <c r="AD2214" t="n">
        <v>20</v>
      </c>
      <c r="AE2214" t="n">
        <v>22</v>
      </c>
      <c r="AF2214" t="n">
        <v>7</v>
      </c>
      <c r="AG2214" t="n">
        <v>7</v>
      </c>
      <c r="AH2214" t="n">
        <v>5</v>
      </c>
      <c r="AI2214" t="n">
        <v>6</v>
      </c>
      <c r="AJ2214" t="n">
        <v>10</v>
      </c>
      <c r="AK2214" t="n">
        <v>11</v>
      </c>
      <c r="AL2214" t="n">
        <v>2</v>
      </c>
      <c r="AM2214" t="n">
        <v>2</v>
      </c>
      <c r="AN2214" t="n">
        <v>5</v>
      </c>
      <c r="AO2214" t="n">
        <v>5</v>
      </c>
      <c r="AP2214" t="inlineStr">
        <is>
          <t>No</t>
        </is>
      </c>
      <c r="AQ2214" t="inlineStr">
        <is>
          <t>Yes</t>
        </is>
      </c>
      <c r="AR2214">
        <f>HYPERLINK("http://catalog.hathitrust.org/Record/009518402","HathiTrust Record")</f>
        <v/>
      </c>
      <c r="AS2214">
        <f>HYPERLINK("https://creighton-primo.hosted.exlibrisgroup.com/primo-explore/search?tab=default_tab&amp;search_scope=EVERYTHING&amp;vid=01CRU&amp;lang=en_US&amp;offset=0&amp;query=any,contains,991004776969702656","Catalog Record")</f>
        <v/>
      </c>
      <c r="AT2214">
        <f>HYPERLINK("http://www.worldcat.org/oclc/5101496","WorldCat Record")</f>
        <v/>
      </c>
      <c r="AU2214" t="inlineStr">
        <is>
          <t>821920496:eng</t>
        </is>
      </c>
      <c r="AV2214" t="inlineStr">
        <is>
          <t>5101496</t>
        </is>
      </c>
      <c r="AW2214" t="inlineStr">
        <is>
          <t>991004776969702656</t>
        </is>
      </c>
      <c r="AX2214" t="inlineStr">
        <is>
          <t>991004776969702656</t>
        </is>
      </c>
      <c r="AY2214" t="inlineStr">
        <is>
          <t>2259202220002656</t>
        </is>
      </c>
      <c r="AZ2214" t="inlineStr">
        <is>
          <t>BOOK</t>
        </is>
      </c>
      <c r="BB2214" t="inlineStr">
        <is>
          <t>9780871871879</t>
        </is>
      </c>
      <c r="BC2214" t="inlineStr">
        <is>
          <t>32285000070861</t>
        </is>
      </c>
      <c r="BD2214" t="inlineStr">
        <is>
          <t>893513667</t>
        </is>
      </c>
    </row>
    <row r="2215">
      <c r="A2215" t="inlineStr">
        <is>
          <t>No</t>
        </is>
      </c>
      <c r="B2215" t="inlineStr">
        <is>
          <t>E872 .V36 1983</t>
        </is>
      </c>
      <c r="C2215" t="inlineStr">
        <is>
          <t>0                      E  0872000V  36          1983</t>
        </is>
      </c>
      <c r="D2215" t="inlineStr">
        <is>
          <t>Hard choices : critical years in America's foreign policy / Cyrus Vance.</t>
        </is>
      </c>
      <c r="F2215" t="inlineStr">
        <is>
          <t>No</t>
        </is>
      </c>
      <c r="G2215" t="inlineStr">
        <is>
          <t>1</t>
        </is>
      </c>
      <c r="H2215" t="inlineStr">
        <is>
          <t>No</t>
        </is>
      </c>
      <c r="I2215" t="inlineStr">
        <is>
          <t>No</t>
        </is>
      </c>
      <c r="J2215" t="inlineStr">
        <is>
          <t>0</t>
        </is>
      </c>
      <c r="K2215" t="inlineStr">
        <is>
          <t>Vance, Cyrus R. (Cyrus Roberts), 1917-2002.</t>
        </is>
      </c>
      <c r="L2215" t="inlineStr">
        <is>
          <t>New York : Simon and Schuster, c1983.</t>
        </is>
      </c>
      <c r="M2215" t="inlineStr">
        <is>
          <t>1983</t>
        </is>
      </c>
      <c r="O2215" t="inlineStr">
        <is>
          <t>eng</t>
        </is>
      </c>
      <c r="P2215" t="inlineStr">
        <is>
          <t>nyu</t>
        </is>
      </c>
      <c r="R2215" t="inlineStr">
        <is>
          <t xml:space="preserve">E  </t>
        </is>
      </c>
      <c r="S2215" t="n">
        <v>3</v>
      </c>
      <c r="T2215" t="n">
        <v>3</v>
      </c>
      <c r="U2215" t="inlineStr">
        <is>
          <t>2002-04-15</t>
        </is>
      </c>
      <c r="V2215" t="inlineStr">
        <is>
          <t>2002-04-15</t>
        </is>
      </c>
      <c r="W2215" t="inlineStr">
        <is>
          <t>1990-06-20</t>
        </is>
      </c>
      <c r="X2215" t="inlineStr">
        <is>
          <t>1990-06-20</t>
        </is>
      </c>
      <c r="Y2215" t="n">
        <v>1302</v>
      </c>
      <c r="Z2215" t="n">
        <v>1171</v>
      </c>
      <c r="AA2215" t="n">
        <v>1184</v>
      </c>
      <c r="AB2215" t="n">
        <v>7</v>
      </c>
      <c r="AC2215" t="n">
        <v>7</v>
      </c>
      <c r="AD2215" t="n">
        <v>44</v>
      </c>
      <c r="AE2215" t="n">
        <v>44</v>
      </c>
      <c r="AF2215" t="n">
        <v>20</v>
      </c>
      <c r="AG2215" t="n">
        <v>20</v>
      </c>
      <c r="AH2215" t="n">
        <v>10</v>
      </c>
      <c r="AI2215" t="n">
        <v>10</v>
      </c>
      <c r="AJ2215" t="n">
        <v>21</v>
      </c>
      <c r="AK2215" t="n">
        <v>21</v>
      </c>
      <c r="AL2215" t="n">
        <v>6</v>
      </c>
      <c r="AM2215" t="n">
        <v>6</v>
      </c>
      <c r="AN2215" t="n">
        <v>0</v>
      </c>
      <c r="AO2215" t="n">
        <v>0</v>
      </c>
      <c r="AP2215" t="inlineStr">
        <is>
          <t>No</t>
        </is>
      </c>
      <c r="AQ2215" t="inlineStr">
        <is>
          <t>Yes</t>
        </is>
      </c>
      <c r="AR2215">
        <f>HYPERLINK("http://catalog.hathitrust.org/Record/000274273","HathiTrust Record")</f>
        <v/>
      </c>
      <c r="AS2215">
        <f>HYPERLINK("https://creighton-primo.hosted.exlibrisgroup.com/primo-explore/search?tab=default_tab&amp;search_scope=EVERYTHING&amp;vid=01CRU&amp;lang=en_US&amp;offset=0&amp;query=any,contains,991000176439702656","Catalog Record")</f>
        <v/>
      </c>
      <c r="AT2215">
        <f>HYPERLINK("http://www.worldcat.org/oclc/9350560","WorldCat Record")</f>
        <v/>
      </c>
      <c r="AU2215" t="inlineStr">
        <is>
          <t>3943644994:eng</t>
        </is>
      </c>
      <c r="AV2215" t="inlineStr">
        <is>
          <t>9350560</t>
        </is>
      </c>
      <c r="AW2215" t="inlineStr">
        <is>
          <t>991000176439702656</t>
        </is>
      </c>
      <c r="AX2215" t="inlineStr">
        <is>
          <t>991000176439702656</t>
        </is>
      </c>
      <c r="AY2215" t="inlineStr">
        <is>
          <t>2262131490002656</t>
        </is>
      </c>
      <c r="AZ2215" t="inlineStr">
        <is>
          <t>BOOK</t>
        </is>
      </c>
      <c r="BB2215" t="inlineStr">
        <is>
          <t>9780671443399</t>
        </is>
      </c>
      <c r="BC2215" t="inlineStr">
        <is>
          <t>32285000210426</t>
        </is>
      </c>
      <c r="BD2215" t="inlineStr">
        <is>
          <t>893784033</t>
        </is>
      </c>
    </row>
    <row r="2216">
      <c r="A2216" t="inlineStr">
        <is>
          <t>No</t>
        </is>
      </c>
      <c r="B2216" t="inlineStr">
        <is>
          <t>E873 .A34 1982</t>
        </is>
      </c>
      <c r="C2216" t="inlineStr">
        <is>
          <t>0                      E  0873000A  34          1982</t>
        </is>
      </c>
      <c r="D2216" t="inlineStr">
        <is>
          <t>Keeping faith : memoirs of a president / Jimmy Carter.</t>
        </is>
      </c>
      <c r="F2216" t="inlineStr">
        <is>
          <t>No</t>
        </is>
      </c>
      <c r="G2216" t="inlineStr">
        <is>
          <t>1</t>
        </is>
      </c>
      <c r="H2216" t="inlineStr">
        <is>
          <t>No</t>
        </is>
      </c>
      <c r="I2216" t="inlineStr">
        <is>
          <t>No</t>
        </is>
      </c>
      <c r="J2216" t="inlineStr">
        <is>
          <t>0</t>
        </is>
      </c>
      <c r="K2216" t="inlineStr">
        <is>
          <t>Carter, Jimmy, 1924-</t>
        </is>
      </c>
      <c r="L2216" t="inlineStr">
        <is>
          <t>Toronto ; New York : Bantam Books, 1982.</t>
        </is>
      </c>
      <c r="M2216" t="inlineStr">
        <is>
          <t>1982</t>
        </is>
      </c>
      <c r="O2216" t="inlineStr">
        <is>
          <t>eng</t>
        </is>
      </c>
      <c r="P2216" t="inlineStr">
        <is>
          <t>onc</t>
        </is>
      </c>
      <c r="R2216" t="inlineStr">
        <is>
          <t xml:space="preserve">E  </t>
        </is>
      </c>
      <c r="S2216" t="n">
        <v>12</v>
      </c>
      <c r="T2216" t="n">
        <v>12</v>
      </c>
      <c r="U2216" t="inlineStr">
        <is>
          <t>2002-04-15</t>
        </is>
      </c>
      <c r="V2216" t="inlineStr">
        <is>
          <t>2002-04-15</t>
        </is>
      </c>
      <c r="W2216" t="inlineStr">
        <is>
          <t>1991-06-25</t>
        </is>
      </c>
      <c r="X2216" t="inlineStr">
        <is>
          <t>1991-06-25</t>
        </is>
      </c>
      <c r="Y2216" t="n">
        <v>2999</v>
      </c>
      <c r="Z2216" t="n">
        <v>2808</v>
      </c>
      <c r="AA2216" t="n">
        <v>3106</v>
      </c>
      <c r="AB2216" t="n">
        <v>26</v>
      </c>
      <c r="AC2216" t="n">
        <v>31</v>
      </c>
      <c r="AD2216" t="n">
        <v>56</v>
      </c>
      <c r="AE2216" t="n">
        <v>63</v>
      </c>
      <c r="AF2216" t="n">
        <v>22</v>
      </c>
      <c r="AG2216" t="n">
        <v>24</v>
      </c>
      <c r="AH2216" t="n">
        <v>9</v>
      </c>
      <c r="AI2216" t="n">
        <v>9</v>
      </c>
      <c r="AJ2216" t="n">
        <v>21</v>
      </c>
      <c r="AK2216" t="n">
        <v>23</v>
      </c>
      <c r="AL2216" t="n">
        <v>11</v>
      </c>
      <c r="AM2216" t="n">
        <v>15</v>
      </c>
      <c r="AN2216" t="n">
        <v>4</v>
      </c>
      <c r="AO2216" t="n">
        <v>4</v>
      </c>
      <c r="AP2216" t="inlineStr">
        <is>
          <t>No</t>
        </is>
      </c>
      <c r="AQ2216" t="inlineStr">
        <is>
          <t>Yes</t>
        </is>
      </c>
      <c r="AR2216">
        <f>HYPERLINK("http://catalog.hathitrust.org/Record/000230123","HathiTrust Record")</f>
        <v/>
      </c>
      <c r="AS2216">
        <f>HYPERLINK("https://creighton-primo.hosted.exlibrisgroup.com/primo-explore/search?tab=default_tab&amp;search_scope=EVERYTHING&amp;vid=01CRU&amp;lang=en_US&amp;offset=0&amp;query=any,contains,991000088149702656","Catalog Record")</f>
        <v/>
      </c>
      <c r="AT2216">
        <f>HYPERLINK("http://www.worldcat.org/oclc/8870495","WorldCat Record")</f>
        <v/>
      </c>
      <c r="AU2216" t="inlineStr">
        <is>
          <t>510458:eng</t>
        </is>
      </c>
      <c r="AV2216" t="inlineStr">
        <is>
          <t>8870495</t>
        </is>
      </c>
      <c r="AW2216" t="inlineStr">
        <is>
          <t>991000088149702656</t>
        </is>
      </c>
      <c r="AX2216" t="inlineStr">
        <is>
          <t>991000088149702656</t>
        </is>
      </c>
      <c r="AY2216" t="inlineStr">
        <is>
          <t>2267862110002656</t>
        </is>
      </c>
      <c r="AZ2216" t="inlineStr">
        <is>
          <t>BOOK</t>
        </is>
      </c>
      <c r="BB2216" t="inlineStr">
        <is>
          <t>9780553050233</t>
        </is>
      </c>
      <c r="BC2216" t="inlineStr">
        <is>
          <t>32285000671619</t>
        </is>
      </c>
      <c r="BD2216" t="inlineStr">
        <is>
          <t>893224718</t>
        </is>
      </c>
    </row>
    <row r="2217">
      <c r="A2217" t="inlineStr">
        <is>
          <t>No</t>
        </is>
      </c>
      <c r="B2217" t="inlineStr">
        <is>
          <t>E873 .C36 2001</t>
        </is>
      </c>
      <c r="C2217" t="inlineStr">
        <is>
          <t>0                      E  0873000C  36          2001</t>
        </is>
      </c>
      <c r="D2217" t="inlineStr">
        <is>
          <t>An hour before daylight : memories of a rural boyhood / Jimmy Carter.</t>
        </is>
      </c>
      <c r="F2217" t="inlineStr">
        <is>
          <t>No</t>
        </is>
      </c>
      <c r="G2217" t="inlineStr">
        <is>
          <t>1</t>
        </is>
      </c>
      <c r="H2217" t="inlineStr">
        <is>
          <t>No</t>
        </is>
      </c>
      <c r="I2217" t="inlineStr">
        <is>
          <t>No</t>
        </is>
      </c>
      <c r="J2217" t="inlineStr">
        <is>
          <t>0</t>
        </is>
      </c>
      <c r="K2217" t="inlineStr">
        <is>
          <t>Carter, Jimmy, 1924-</t>
        </is>
      </c>
      <c r="L2217" t="inlineStr">
        <is>
          <t>New York : Simon &amp; Schuster, c2001.</t>
        </is>
      </c>
      <c r="M2217" t="inlineStr">
        <is>
          <t>2001</t>
        </is>
      </c>
      <c r="O2217" t="inlineStr">
        <is>
          <t>eng</t>
        </is>
      </c>
      <c r="P2217" t="inlineStr">
        <is>
          <t>nyu</t>
        </is>
      </c>
      <c r="R2217" t="inlineStr">
        <is>
          <t xml:space="preserve">E  </t>
        </is>
      </c>
      <c r="S2217" t="n">
        <v>5</v>
      </c>
      <c r="T2217" t="n">
        <v>5</v>
      </c>
      <c r="U2217" t="inlineStr">
        <is>
          <t>2001-06-19</t>
        </is>
      </c>
      <c r="V2217" t="inlineStr">
        <is>
          <t>2001-06-19</t>
        </is>
      </c>
      <c r="W2217" t="inlineStr">
        <is>
          <t>2001-03-26</t>
        </is>
      </c>
      <c r="X2217" t="inlineStr">
        <is>
          <t>2001-03-26</t>
        </is>
      </c>
      <c r="Y2217" t="n">
        <v>3232</v>
      </c>
      <c r="Z2217" t="n">
        <v>3107</v>
      </c>
      <c r="AA2217" t="n">
        <v>3410</v>
      </c>
      <c r="AB2217" t="n">
        <v>49</v>
      </c>
      <c r="AC2217" t="n">
        <v>49</v>
      </c>
      <c r="AD2217" t="n">
        <v>49</v>
      </c>
      <c r="AE2217" t="n">
        <v>49</v>
      </c>
      <c r="AF2217" t="n">
        <v>21</v>
      </c>
      <c r="AG2217" t="n">
        <v>21</v>
      </c>
      <c r="AH2217" t="n">
        <v>6</v>
      </c>
      <c r="AI2217" t="n">
        <v>6</v>
      </c>
      <c r="AJ2217" t="n">
        <v>19</v>
      </c>
      <c r="AK2217" t="n">
        <v>19</v>
      </c>
      <c r="AL2217" t="n">
        <v>12</v>
      </c>
      <c r="AM2217" t="n">
        <v>12</v>
      </c>
      <c r="AN2217" t="n">
        <v>0</v>
      </c>
      <c r="AO2217" t="n">
        <v>0</v>
      </c>
      <c r="AP2217" t="inlineStr">
        <is>
          <t>No</t>
        </is>
      </c>
      <c r="AQ2217" t="inlineStr">
        <is>
          <t>No</t>
        </is>
      </c>
      <c r="AS2217">
        <f>HYPERLINK("https://creighton-primo.hosted.exlibrisgroup.com/primo-explore/search?tab=default_tab&amp;search_scope=EVERYTHING&amp;vid=01CRU&amp;lang=en_US&amp;offset=0&amp;query=any,contains,991003486429702656","Catalog Record")</f>
        <v/>
      </c>
      <c r="AT2217">
        <f>HYPERLINK("http://www.worldcat.org/oclc/45080101","WorldCat Record")</f>
        <v/>
      </c>
      <c r="AU2217" t="inlineStr">
        <is>
          <t>796319201:eng</t>
        </is>
      </c>
      <c r="AV2217" t="inlineStr">
        <is>
          <t>45080101</t>
        </is>
      </c>
      <c r="AW2217" t="inlineStr">
        <is>
          <t>991003486429702656</t>
        </is>
      </c>
      <c r="AX2217" t="inlineStr">
        <is>
          <t>991003486429702656</t>
        </is>
      </c>
      <c r="AY2217" t="inlineStr">
        <is>
          <t>2262091840002656</t>
        </is>
      </c>
      <c r="AZ2217" t="inlineStr">
        <is>
          <t>BOOK</t>
        </is>
      </c>
      <c r="BB2217" t="inlineStr">
        <is>
          <t>9780743211932</t>
        </is>
      </c>
      <c r="BC2217" t="inlineStr">
        <is>
          <t>32285004306790</t>
        </is>
      </c>
      <c r="BD2217" t="inlineStr">
        <is>
          <t>893881209</t>
        </is>
      </c>
    </row>
    <row r="2218">
      <c r="A2218" t="inlineStr">
        <is>
          <t>No</t>
        </is>
      </c>
      <c r="B2218" t="inlineStr">
        <is>
          <t>E875 .C35</t>
        </is>
      </c>
      <c r="C2218" t="inlineStr">
        <is>
          <t>0                      E  0875000C  35</t>
        </is>
      </c>
      <c r="D2218" t="inlineStr">
        <is>
          <t>The Campaign for President : 1980 in retrospect / edited by Jonathan Moore.</t>
        </is>
      </c>
      <c r="F2218" t="inlineStr">
        <is>
          <t>No</t>
        </is>
      </c>
      <c r="G2218" t="inlineStr">
        <is>
          <t>1</t>
        </is>
      </c>
      <c r="H2218" t="inlineStr">
        <is>
          <t>No</t>
        </is>
      </c>
      <c r="I2218" t="inlineStr">
        <is>
          <t>No</t>
        </is>
      </c>
      <c r="J2218" t="inlineStr">
        <is>
          <t>0</t>
        </is>
      </c>
      <c r="L2218" t="inlineStr">
        <is>
          <t>Cambridge, Mass. : Ballinger Pub. Co., c1981.</t>
        </is>
      </c>
      <c r="M2218" t="inlineStr">
        <is>
          <t>1981</t>
        </is>
      </c>
      <c r="O2218" t="inlineStr">
        <is>
          <t>eng</t>
        </is>
      </c>
      <c r="P2218" t="inlineStr">
        <is>
          <t>mau</t>
        </is>
      </c>
      <c r="R2218" t="inlineStr">
        <is>
          <t xml:space="preserve">E  </t>
        </is>
      </c>
      <c r="S2218" t="n">
        <v>2</v>
      </c>
      <c r="T2218" t="n">
        <v>2</v>
      </c>
      <c r="U2218" t="inlineStr">
        <is>
          <t>2002-04-07</t>
        </is>
      </c>
      <c r="V2218" t="inlineStr">
        <is>
          <t>2002-04-07</t>
        </is>
      </c>
      <c r="W2218" t="inlineStr">
        <is>
          <t>1991-06-26</t>
        </is>
      </c>
      <c r="X2218" t="inlineStr">
        <is>
          <t>1991-06-26</t>
        </is>
      </c>
      <c r="Y2218" t="n">
        <v>376</v>
      </c>
      <c r="Z2218" t="n">
        <v>340</v>
      </c>
      <c r="AA2218" t="n">
        <v>346</v>
      </c>
      <c r="AB2218" t="n">
        <v>3</v>
      </c>
      <c r="AC2218" t="n">
        <v>3</v>
      </c>
      <c r="AD2218" t="n">
        <v>17</v>
      </c>
      <c r="AE2218" t="n">
        <v>17</v>
      </c>
      <c r="AF2218" t="n">
        <v>7</v>
      </c>
      <c r="AG2218" t="n">
        <v>7</v>
      </c>
      <c r="AH2218" t="n">
        <v>4</v>
      </c>
      <c r="AI2218" t="n">
        <v>4</v>
      </c>
      <c r="AJ2218" t="n">
        <v>10</v>
      </c>
      <c r="AK2218" t="n">
        <v>10</v>
      </c>
      <c r="AL2218" t="n">
        <v>2</v>
      </c>
      <c r="AM2218" t="n">
        <v>2</v>
      </c>
      <c r="AN2218" t="n">
        <v>0</v>
      </c>
      <c r="AO2218" t="n">
        <v>0</v>
      </c>
      <c r="AP2218" t="inlineStr">
        <is>
          <t>No</t>
        </is>
      </c>
      <c r="AQ2218" t="inlineStr">
        <is>
          <t>Yes</t>
        </is>
      </c>
      <c r="AR2218">
        <f>HYPERLINK("http://catalog.hathitrust.org/Record/000369929","HathiTrust Record")</f>
        <v/>
      </c>
      <c r="AS2218">
        <f>HYPERLINK("https://creighton-primo.hosted.exlibrisgroup.com/primo-explore/search?tab=default_tab&amp;search_scope=EVERYTHING&amp;vid=01CRU&amp;lang=en_US&amp;offset=0&amp;query=any,contains,991005132859702656","Catalog Record")</f>
        <v/>
      </c>
      <c r="AT2218">
        <f>HYPERLINK("http://www.worldcat.org/oclc/7573982","WorldCat Record")</f>
        <v/>
      </c>
      <c r="AU2218" t="inlineStr">
        <is>
          <t>3856820976:eng</t>
        </is>
      </c>
      <c r="AV2218" t="inlineStr">
        <is>
          <t>7573982</t>
        </is>
      </c>
      <c r="AW2218" t="inlineStr">
        <is>
          <t>991005132859702656</t>
        </is>
      </c>
      <c r="AX2218" t="inlineStr">
        <is>
          <t>991005132859702656</t>
        </is>
      </c>
      <c r="AY2218" t="inlineStr">
        <is>
          <t>2271439140002656</t>
        </is>
      </c>
      <c r="AZ2218" t="inlineStr">
        <is>
          <t>BOOK</t>
        </is>
      </c>
      <c r="BB2218" t="inlineStr">
        <is>
          <t>9780884108368</t>
        </is>
      </c>
      <c r="BC2218" t="inlineStr">
        <is>
          <t>32285000671684</t>
        </is>
      </c>
      <c r="BD2218" t="inlineStr">
        <is>
          <t>893902174</t>
        </is>
      </c>
    </row>
    <row r="2219">
      <c r="A2219" t="inlineStr">
        <is>
          <t>No</t>
        </is>
      </c>
      <c r="B2219" t="inlineStr">
        <is>
          <t>E875 .D73</t>
        </is>
      </c>
      <c r="C2219" t="inlineStr">
        <is>
          <t>0                      E  0875000D  73</t>
        </is>
      </c>
      <c r="D2219" t="inlineStr">
        <is>
          <t>Portrait of an election : the 1980 presidential campaign / Elizabeth Drew.</t>
        </is>
      </c>
      <c r="F2219" t="inlineStr">
        <is>
          <t>No</t>
        </is>
      </c>
      <c r="G2219" t="inlineStr">
        <is>
          <t>1</t>
        </is>
      </c>
      <c r="H2219" t="inlineStr">
        <is>
          <t>No</t>
        </is>
      </c>
      <c r="I2219" t="inlineStr">
        <is>
          <t>No</t>
        </is>
      </c>
      <c r="J2219" t="inlineStr">
        <is>
          <t>0</t>
        </is>
      </c>
      <c r="K2219" t="inlineStr">
        <is>
          <t>Drew, Elizabeth.</t>
        </is>
      </c>
      <c r="L2219" t="inlineStr">
        <is>
          <t>New York : Simon and Schuster, c1981.</t>
        </is>
      </c>
      <c r="M2219" t="inlineStr">
        <is>
          <t>1981</t>
        </is>
      </c>
      <c r="O2219" t="inlineStr">
        <is>
          <t>eng</t>
        </is>
      </c>
      <c r="P2219" t="inlineStr">
        <is>
          <t>nyu</t>
        </is>
      </c>
      <c r="R2219" t="inlineStr">
        <is>
          <t xml:space="preserve">E  </t>
        </is>
      </c>
      <c r="S2219" t="n">
        <v>5</v>
      </c>
      <c r="T2219" t="n">
        <v>5</v>
      </c>
      <c r="U2219" t="inlineStr">
        <is>
          <t>2002-04-07</t>
        </is>
      </c>
      <c r="V2219" t="inlineStr">
        <is>
          <t>2002-04-07</t>
        </is>
      </c>
      <c r="W2219" t="inlineStr">
        <is>
          <t>1991-06-26</t>
        </is>
      </c>
      <c r="X2219" t="inlineStr">
        <is>
          <t>1991-06-26</t>
        </is>
      </c>
      <c r="Y2219" t="n">
        <v>1062</v>
      </c>
      <c r="Z2219" t="n">
        <v>1003</v>
      </c>
      <c r="AA2219" t="n">
        <v>1014</v>
      </c>
      <c r="AB2219" t="n">
        <v>5</v>
      </c>
      <c r="AC2219" t="n">
        <v>5</v>
      </c>
      <c r="AD2219" t="n">
        <v>35</v>
      </c>
      <c r="AE2219" t="n">
        <v>35</v>
      </c>
      <c r="AF2219" t="n">
        <v>18</v>
      </c>
      <c r="AG2219" t="n">
        <v>18</v>
      </c>
      <c r="AH2219" t="n">
        <v>5</v>
      </c>
      <c r="AI2219" t="n">
        <v>5</v>
      </c>
      <c r="AJ2219" t="n">
        <v>18</v>
      </c>
      <c r="AK2219" t="n">
        <v>18</v>
      </c>
      <c r="AL2219" t="n">
        <v>4</v>
      </c>
      <c r="AM2219" t="n">
        <v>4</v>
      </c>
      <c r="AN2219" t="n">
        <v>0</v>
      </c>
      <c r="AO2219" t="n">
        <v>0</v>
      </c>
      <c r="AP2219" t="inlineStr">
        <is>
          <t>No</t>
        </is>
      </c>
      <c r="AQ2219" t="inlineStr">
        <is>
          <t>Yes</t>
        </is>
      </c>
      <c r="AR2219">
        <f>HYPERLINK("http://catalog.hathitrust.org/Record/000141250","HathiTrust Record")</f>
        <v/>
      </c>
      <c r="AS2219">
        <f>HYPERLINK("https://creighton-primo.hosted.exlibrisgroup.com/primo-explore/search?tab=default_tab&amp;search_scope=EVERYTHING&amp;vid=01CRU&amp;lang=en_US&amp;offset=0&amp;query=any,contains,991005146899702656","Catalog Record")</f>
        <v/>
      </c>
      <c r="AT2219">
        <f>HYPERLINK("http://www.worldcat.org/oclc/7671966","WorldCat Record")</f>
        <v/>
      </c>
      <c r="AU2219" t="inlineStr">
        <is>
          <t>28785152:eng</t>
        </is>
      </c>
      <c r="AV2219" t="inlineStr">
        <is>
          <t>7671966</t>
        </is>
      </c>
      <c r="AW2219" t="inlineStr">
        <is>
          <t>991005146899702656</t>
        </is>
      </c>
      <c r="AX2219" t="inlineStr">
        <is>
          <t>991005146899702656</t>
        </is>
      </c>
      <c r="AY2219" t="inlineStr">
        <is>
          <t>2271064340002656</t>
        </is>
      </c>
      <c r="AZ2219" t="inlineStr">
        <is>
          <t>BOOK</t>
        </is>
      </c>
      <c r="BB2219" t="inlineStr">
        <is>
          <t>9780671430344</t>
        </is>
      </c>
      <c r="BC2219" t="inlineStr">
        <is>
          <t>32285000671692</t>
        </is>
      </c>
      <c r="BD2219" t="inlineStr">
        <is>
          <t>893430938</t>
        </is>
      </c>
    </row>
    <row r="2220">
      <c r="A2220" t="inlineStr">
        <is>
          <t>No</t>
        </is>
      </c>
      <c r="B2220" t="inlineStr">
        <is>
          <t>E875 .P87 1980</t>
        </is>
      </c>
      <c r="C2220" t="inlineStr">
        <is>
          <t>0                      E  0875000P  87          1980</t>
        </is>
      </c>
      <c r="D2220" t="inlineStr">
        <is>
          <t>The Pursuit of the presidency 1980 / David Broder ... [et al.] and the staff of the Washington post ; edited by Richard Harwood.</t>
        </is>
      </c>
      <c r="F2220" t="inlineStr">
        <is>
          <t>No</t>
        </is>
      </c>
      <c r="G2220" t="inlineStr">
        <is>
          <t>1</t>
        </is>
      </c>
      <c r="H2220" t="inlineStr">
        <is>
          <t>No</t>
        </is>
      </c>
      <c r="I2220" t="inlineStr">
        <is>
          <t>No</t>
        </is>
      </c>
      <c r="J2220" t="inlineStr">
        <is>
          <t>0</t>
        </is>
      </c>
      <c r="L2220" t="inlineStr">
        <is>
          <t>New York : Putnam, c1980.</t>
        </is>
      </c>
      <c r="M2220" t="inlineStr">
        <is>
          <t>1981</t>
        </is>
      </c>
      <c r="O2220" t="inlineStr">
        <is>
          <t>eng</t>
        </is>
      </c>
      <c r="P2220" t="inlineStr">
        <is>
          <t>nyu</t>
        </is>
      </c>
      <c r="R2220" t="inlineStr">
        <is>
          <t xml:space="preserve">E  </t>
        </is>
      </c>
      <c r="S2220" t="n">
        <v>6</v>
      </c>
      <c r="T2220" t="n">
        <v>6</v>
      </c>
      <c r="U2220" t="inlineStr">
        <is>
          <t>2002-04-07</t>
        </is>
      </c>
      <c r="V2220" t="inlineStr">
        <is>
          <t>2002-04-07</t>
        </is>
      </c>
      <c r="W2220" t="inlineStr">
        <is>
          <t>1991-06-26</t>
        </is>
      </c>
      <c r="X2220" t="inlineStr">
        <is>
          <t>1991-06-26</t>
        </is>
      </c>
      <c r="Y2220" t="n">
        <v>135</v>
      </c>
      <c r="Z2220" t="n">
        <v>129</v>
      </c>
      <c r="AA2220" t="n">
        <v>601</v>
      </c>
      <c r="AB2220" t="n">
        <v>1</v>
      </c>
      <c r="AC2220" t="n">
        <v>2</v>
      </c>
      <c r="AD2220" t="n">
        <v>1</v>
      </c>
      <c r="AE2220" t="n">
        <v>17</v>
      </c>
      <c r="AF2220" t="n">
        <v>1</v>
      </c>
      <c r="AG2220" t="n">
        <v>8</v>
      </c>
      <c r="AH2220" t="n">
        <v>0</v>
      </c>
      <c r="AI2220" t="n">
        <v>3</v>
      </c>
      <c r="AJ2220" t="n">
        <v>1</v>
      </c>
      <c r="AK2220" t="n">
        <v>11</v>
      </c>
      <c r="AL2220" t="n">
        <v>0</v>
      </c>
      <c r="AM2220" t="n">
        <v>1</v>
      </c>
      <c r="AN2220" t="n">
        <v>0</v>
      </c>
      <c r="AO2220" t="n">
        <v>0</v>
      </c>
      <c r="AP2220" t="inlineStr">
        <is>
          <t>No</t>
        </is>
      </c>
      <c r="AQ2220" t="inlineStr">
        <is>
          <t>No</t>
        </is>
      </c>
      <c r="AS2220">
        <f>HYPERLINK("https://creighton-primo.hosted.exlibrisgroup.com/primo-explore/search?tab=default_tab&amp;search_scope=EVERYTHING&amp;vid=01CRU&amp;lang=en_US&amp;offset=0&amp;query=any,contains,991005095559702656","Catalog Record")</f>
        <v/>
      </c>
      <c r="AT2220">
        <f>HYPERLINK("http://www.worldcat.org/oclc/7272823","WorldCat Record")</f>
        <v/>
      </c>
      <c r="AU2220" t="inlineStr">
        <is>
          <t>909671831:eng</t>
        </is>
      </c>
      <c r="AV2220" t="inlineStr">
        <is>
          <t>7272823</t>
        </is>
      </c>
      <c r="AW2220" t="inlineStr">
        <is>
          <t>991005095559702656</t>
        </is>
      </c>
      <c r="AX2220" t="inlineStr">
        <is>
          <t>991005095559702656</t>
        </is>
      </c>
      <c r="AY2220" t="inlineStr">
        <is>
          <t>2261261230002656</t>
        </is>
      </c>
      <c r="AZ2220" t="inlineStr">
        <is>
          <t>BOOK</t>
        </is>
      </c>
      <c r="BB2220" t="inlineStr">
        <is>
          <t>9780399126239</t>
        </is>
      </c>
      <c r="BC2220" t="inlineStr">
        <is>
          <t>32285000671718</t>
        </is>
      </c>
      <c r="BD2220" t="inlineStr">
        <is>
          <t>893707241</t>
        </is>
      </c>
    </row>
    <row r="2221">
      <c r="A2221" t="inlineStr">
        <is>
          <t>No</t>
        </is>
      </c>
      <c r="B2221" t="inlineStr">
        <is>
          <t>E875 .S48 1991</t>
        </is>
      </c>
      <c r="C2221" t="inlineStr">
        <is>
          <t>0                      E  0875000S  48          1991</t>
        </is>
      </c>
      <c r="D2221" t="inlineStr">
        <is>
          <t>October surprise : America's hostages in Iran and the election of Ronald Reagan / Gary Sick.</t>
        </is>
      </c>
      <c r="F2221" t="inlineStr">
        <is>
          <t>No</t>
        </is>
      </c>
      <c r="G2221" t="inlineStr">
        <is>
          <t>1</t>
        </is>
      </c>
      <c r="H2221" t="inlineStr">
        <is>
          <t>No</t>
        </is>
      </c>
      <c r="I2221" t="inlineStr">
        <is>
          <t>No</t>
        </is>
      </c>
      <c r="J2221" t="inlineStr">
        <is>
          <t>0</t>
        </is>
      </c>
      <c r="K2221" t="inlineStr">
        <is>
          <t>Sick, Gary, 1935-</t>
        </is>
      </c>
      <c r="L2221" t="inlineStr">
        <is>
          <t>New York : Times Books ; Toronto : Random House, c1991.</t>
        </is>
      </c>
      <c r="M2221" t="inlineStr">
        <is>
          <t>1991</t>
        </is>
      </c>
      <c r="N2221" t="inlineStr">
        <is>
          <t>1st ed.</t>
        </is>
      </c>
      <c r="O2221" t="inlineStr">
        <is>
          <t>eng</t>
        </is>
      </c>
      <c r="P2221" t="inlineStr">
        <is>
          <t>nyu</t>
        </is>
      </c>
      <c r="R2221" t="inlineStr">
        <is>
          <t xml:space="preserve">E  </t>
        </is>
      </c>
      <c r="S2221" t="n">
        <v>11</v>
      </c>
      <c r="T2221" t="n">
        <v>11</v>
      </c>
      <c r="U2221" t="inlineStr">
        <is>
          <t>2002-04-07</t>
        </is>
      </c>
      <c r="V2221" t="inlineStr">
        <is>
          <t>2002-04-07</t>
        </is>
      </c>
      <c r="W2221" t="inlineStr">
        <is>
          <t>1992-04-23</t>
        </is>
      </c>
      <c r="X2221" t="inlineStr">
        <is>
          <t>1992-04-23</t>
        </is>
      </c>
      <c r="Y2221" t="n">
        <v>1344</v>
      </c>
      <c r="Z2221" t="n">
        <v>1275</v>
      </c>
      <c r="AA2221" t="n">
        <v>1328</v>
      </c>
      <c r="AB2221" t="n">
        <v>11</v>
      </c>
      <c r="AC2221" t="n">
        <v>12</v>
      </c>
      <c r="AD2221" t="n">
        <v>33</v>
      </c>
      <c r="AE2221" t="n">
        <v>38</v>
      </c>
      <c r="AF2221" t="n">
        <v>12</v>
      </c>
      <c r="AG2221" t="n">
        <v>14</v>
      </c>
      <c r="AH2221" t="n">
        <v>8</v>
      </c>
      <c r="AI2221" t="n">
        <v>9</v>
      </c>
      <c r="AJ2221" t="n">
        <v>15</v>
      </c>
      <c r="AK2221" t="n">
        <v>16</v>
      </c>
      <c r="AL2221" t="n">
        <v>5</v>
      </c>
      <c r="AM2221" t="n">
        <v>6</v>
      </c>
      <c r="AN2221" t="n">
        <v>2</v>
      </c>
      <c r="AO2221" t="n">
        <v>2</v>
      </c>
      <c r="AP2221" t="inlineStr">
        <is>
          <t>No</t>
        </is>
      </c>
      <c r="AQ2221" t="inlineStr">
        <is>
          <t>Yes</t>
        </is>
      </c>
      <c r="AR2221">
        <f>HYPERLINK("http://catalog.hathitrust.org/Record/002495585","HathiTrust Record")</f>
        <v/>
      </c>
      <c r="AS2221">
        <f>HYPERLINK("https://creighton-primo.hosted.exlibrisgroup.com/primo-explore/search?tab=default_tab&amp;search_scope=EVERYTHING&amp;vid=01CRU&amp;lang=en_US&amp;offset=0&amp;query=any,contains,991001947629702656","Catalog Record")</f>
        <v/>
      </c>
      <c r="AT2221">
        <f>HYPERLINK("http://www.worldcat.org/oclc/24627317","WorldCat Record")</f>
        <v/>
      </c>
      <c r="AU2221" t="inlineStr">
        <is>
          <t>26969786:eng</t>
        </is>
      </c>
      <c r="AV2221" t="inlineStr">
        <is>
          <t>24627317</t>
        </is>
      </c>
      <c r="AW2221" t="inlineStr">
        <is>
          <t>991001947629702656</t>
        </is>
      </c>
      <c r="AX2221" t="inlineStr">
        <is>
          <t>991001947629702656</t>
        </is>
      </c>
      <c r="AY2221" t="inlineStr">
        <is>
          <t>2259869690002656</t>
        </is>
      </c>
      <c r="AZ2221" t="inlineStr">
        <is>
          <t>BOOK</t>
        </is>
      </c>
      <c r="BB2221" t="inlineStr">
        <is>
          <t>9780812919899</t>
        </is>
      </c>
      <c r="BC2221" t="inlineStr">
        <is>
          <t>32285001037240</t>
        </is>
      </c>
      <c r="BD2221" t="inlineStr">
        <is>
          <t>893621744</t>
        </is>
      </c>
    </row>
    <row r="2222">
      <c r="A2222" t="inlineStr">
        <is>
          <t>No</t>
        </is>
      </c>
      <c r="B2222" t="inlineStr">
        <is>
          <t>E875 .T44 1983</t>
        </is>
      </c>
      <c r="C2222" t="inlineStr">
        <is>
          <t>0                      E  0875000T  44          1983</t>
        </is>
      </c>
      <c r="D2222" t="inlineStr">
        <is>
          <t>Television coverage of the 1980 presidential campaign / edited by William C. Adams.</t>
        </is>
      </c>
      <c r="F2222" t="inlineStr">
        <is>
          <t>No</t>
        </is>
      </c>
      <c r="G2222" t="inlineStr">
        <is>
          <t>1</t>
        </is>
      </c>
      <c r="H2222" t="inlineStr">
        <is>
          <t>No</t>
        </is>
      </c>
      <c r="I2222" t="inlineStr">
        <is>
          <t>No</t>
        </is>
      </c>
      <c r="J2222" t="inlineStr">
        <is>
          <t>0</t>
        </is>
      </c>
      <c r="L2222" t="inlineStr">
        <is>
          <t>Norwood, N.J. : Ablex Pub. Corp., c1983.</t>
        </is>
      </c>
      <c r="M2222" t="inlineStr">
        <is>
          <t>1983</t>
        </is>
      </c>
      <c r="O2222" t="inlineStr">
        <is>
          <t>eng</t>
        </is>
      </c>
      <c r="P2222" t="inlineStr">
        <is>
          <t>nju</t>
        </is>
      </c>
      <c r="Q2222" t="inlineStr">
        <is>
          <t>Communication and information science</t>
        </is>
      </c>
      <c r="R2222" t="inlineStr">
        <is>
          <t xml:space="preserve">E  </t>
        </is>
      </c>
      <c r="S2222" t="n">
        <v>2</v>
      </c>
      <c r="T2222" t="n">
        <v>2</v>
      </c>
      <c r="U2222" t="inlineStr">
        <is>
          <t>2001-11-20</t>
        </is>
      </c>
      <c r="V2222" t="inlineStr">
        <is>
          <t>2001-11-20</t>
        </is>
      </c>
      <c r="W2222" t="inlineStr">
        <is>
          <t>1991-06-26</t>
        </is>
      </c>
      <c r="X2222" t="inlineStr">
        <is>
          <t>1991-06-26</t>
        </is>
      </c>
      <c r="Y2222" t="n">
        <v>444</v>
      </c>
      <c r="Z2222" t="n">
        <v>377</v>
      </c>
      <c r="AA2222" t="n">
        <v>379</v>
      </c>
      <c r="AB2222" t="n">
        <v>3</v>
      </c>
      <c r="AC2222" t="n">
        <v>3</v>
      </c>
      <c r="AD2222" t="n">
        <v>22</v>
      </c>
      <c r="AE2222" t="n">
        <v>22</v>
      </c>
      <c r="AF2222" t="n">
        <v>12</v>
      </c>
      <c r="AG2222" t="n">
        <v>12</v>
      </c>
      <c r="AH2222" t="n">
        <v>4</v>
      </c>
      <c r="AI2222" t="n">
        <v>4</v>
      </c>
      <c r="AJ2222" t="n">
        <v>9</v>
      </c>
      <c r="AK2222" t="n">
        <v>9</v>
      </c>
      <c r="AL2222" t="n">
        <v>2</v>
      </c>
      <c r="AM2222" t="n">
        <v>2</v>
      </c>
      <c r="AN2222" t="n">
        <v>0</v>
      </c>
      <c r="AO2222" t="n">
        <v>0</v>
      </c>
      <c r="AP2222" t="inlineStr">
        <is>
          <t>No</t>
        </is>
      </c>
      <c r="AQ2222" t="inlineStr">
        <is>
          <t>Yes</t>
        </is>
      </c>
      <c r="AR2222">
        <f>HYPERLINK("http://catalog.hathitrust.org/Record/000275522","HathiTrust Record")</f>
        <v/>
      </c>
      <c r="AS2222">
        <f>HYPERLINK("https://creighton-primo.hosted.exlibrisgroup.com/primo-explore/search?tab=default_tab&amp;search_scope=EVERYTHING&amp;vid=01CRU&amp;lang=en_US&amp;offset=0&amp;query=any,contains,991000172289702656","Catalog Record")</f>
        <v/>
      </c>
      <c r="AT2222">
        <f>HYPERLINK("http://www.worldcat.org/oclc/9324693","WorldCat Record")</f>
        <v/>
      </c>
      <c r="AU2222" t="inlineStr">
        <is>
          <t>551244:eng</t>
        </is>
      </c>
      <c r="AV2222" t="inlineStr">
        <is>
          <t>9324693</t>
        </is>
      </c>
      <c r="AW2222" t="inlineStr">
        <is>
          <t>991000172289702656</t>
        </is>
      </c>
      <c r="AX2222" t="inlineStr">
        <is>
          <t>991000172289702656</t>
        </is>
      </c>
      <c r="AY2222" t="inlineStr">
        <is>
          <t>2259687460002656</t>
        </is>
      </c>
      <c r="AZ2222" t="inlineStr">
        <is>
          <t>BOOK</t>
        </is>
      </c>
      <c r="BB2222" t="inlineStr">
        <is>
          <t>9780893911041</t>
        </is>
      </c>
      <c r="BC2222" t="inlineStr">
        <is>
          <t>32285000671726</t>
        </is>
      </c>
      <c r="BD2222" t="inlineStr">
        <is>
          <t>893413151</t>
        </is>
      </c>
    </row>
    <row r="2223">
      <c r="A2223" t="inlineStr">
        <is>
          <t>No</t>
        </is>
      </c>
      <c r="B2223" t="inlineStr">
        <is>
          <t>E875 .W45</t>
        </is>
      </c>
      <c r="C2223" t="inlineStr">
        <is>
          <t>0                      E  0875000W  45</t>
        </is>
      </c>
      <c r="D2223" t="inlineStr">
        <is>
          <t>Why Reagan won : a narrative history of the conservative movement 1964-1981 / F. Clifton White, William J. Gill ; foreword by William F. Buckley, Jr. ; introduction by Paul Laxalt.</t>
        </is>
      </c>
      <c r="F2223" t="inlineStr">
        <is>
          <t>No</t>
        </is>
      </c>
      <c r="G2223" t="inlineStr">
        <is>
          <t>1</t>
        </is>
      </c>
      <c r="H2223" t="inlineStr">
        <is>
          <t>No</t>
        </is>
      </c>
      <c r="I2223" t="inlineStr">
        <is>
          <t>No</t>
        </is>
      </c>
      <c r="J2223" t="inlineStr">
        <is>
          <t>0</t>
        </is>
      </c>
      <c r="K2223" t="inlineStr">
        <is>
          <t>White, F. Clifton.</t>
        </is>
      </c>
      <c r="L2223" t="inlineStr">
        <is>
          <t>Chicago, Ill. : Regnery Gateway, c1981.</t>
        </is>
      </c>
      <c r="M2223" t="inlineStr">
        <is>
          <t>1981</t>
        </is>
      </c>
      <c r="O2223" t="inlineStr">
        <is>
          <t>eng</t>
        </is>
      </c>
      <c r="P2223" t="inlineStr">
        <is>
          <t>ilu</t>
        </is>
      </c>
      <c r="R2223" t="inlineStr">
        <is>
          <t xml:space="preserve">E  </t>
        </is>
      </c>
      <c r="S2223" t="n">
        <v>7</v>
      </c>
      <c r="T2223" t="n">
        <v>7</v>
      </c>
      <c r="U2223" t="inlineStr">
        <is>
          <t>1994-09-12</t>
        </is>
      </c>
      <c r="V2223" t="inlineStr">
        <is>
          <t>1994-09-12</t>
        </is>
      </c>
      <c r="W2223" t="inlineStr">
        <is>
          <t>1991-06-26</t>
        </is>
      </c>
      <c r="X2223" t="inlineStr">
        <is>
          <t>1991-06-26</t>
        </is>
      </c>
      <c r="Y2223" t="n">
        <v>446</v>
      </c>
      <c r="Z2223" t="n">
        <v>408</v>
      </c>
      <c r="AA2223" t="n">
        <v>413</v>
      </c>
      <c r="AB2223" t="n">
        <v>4</v>
      </c>
      <c r="AC2223" t="n">
        <v>4</v>
      </c>
      <c r="AD2223" t="n">
        <v>11</v>
      </c>
      <c r="AE2223" t="n">
        <v>11</v>
      </c>
      <c r="AF2223" t="n">
        <v>5</v>
      </c>
      <c r="AG2223" t="n">
        <v>5</v>
      </c>
      <c r="AH2223" t="n">
        <v>2</v>
      </c>
      <c r="AI2223" t="n">
        <v>2</v>
      </c>
      <c r="AJ2223" t="n">
        <v>5</v>
      </c>
      <c r="AK2223" t="n">
        <v>5</v>
      </c>
      <c r="AL2223" t="n">
        <v>2</v>
      </c>
      <c r="AM2223" t="n">
        <v>2</v>
      </c>
      <c r="AN2223" t="n">
        <v>0</v>
      </c>
      <c r="AO2223" t="n">
        <v>0</v>
      </c>
      <c r="AP2223" t="inlineStr">
        <is>
          <t>No</t>
        </is>
      </c>
      <c r="AQ2223" t="inlineStr">
        <is>
          <t>No</t>
        </is>
      </c>
      <c r="AS2223">
        <f>HYPERLINK("https://creighton-primo.hosted.exlibrisgroup.com/primo-explore/search?tab=default_tab&amp;search_scope=EVERYTHING&amp;vid=01CRU&amp;lang=en_US&amp;offset=0&amp;query=any,contains,991005202249702656","Catalog Record")</f>
        <v/>
      </c>
      <c r="AT2223">
        <f>HYPERLINK("http://www.worldcat.org/oclc/8094792","WorldCat Record")</f>
        <v/>
      </c>
      <c r="AU2223" t="inlineStr">
        <is>
          <t>231476774:eng</t>
        </is>
      </c>
      <c r="AV2223" t="inlineStr">
        <is>
          <t>8094792</t>
        </is>
      </c>
      <c r="AW2223" t="inlineStr">
        <is>
          <t>991005202249702656</t>
        </is>
      </c>
      <c r="AX2223" t="inlineStr">
        <is>
          <t>991005202249702656</t>
        </is>
      </c>
      <c r="AY2223" t="inlineStr">
        <is>
          <t>2272637210002656</t>
        </is>
      </c>
      <c r="AZ2223" t="inlineStr">
        <is>
          <t>BOOK</t>
        </is>
      </c>
      <c r="BB2223" t="inlineStr">
        <is>
          <t>9780895266682</t>
        </is>
      </c>
      <c r="BC2223" t="inlineStr">
        <is>
          <t>32285000671734</t>
        </is>
      </c>
      <c r="BD2223" t="inlineStr">
        <is>
          <t>893260717</t>
        </is>
      </c>
    </row>
    <row r="2224">
      <c r="A2224" t="inlineStr">
        <is>
          <t>No</t>
        </is>
      </c>
      <c r="B2224" t="inlineStr">
        <is>
          <t>E876 .A46 1988</t>
        </is>
      </c>
      <c r="C2224" t="inlineStr">
        <is>
          <t>0                      E  0876000A  46          1988</t>
        </is>
      </c>
      <c r="D2224" t="inlineStr">
        <is>
          <t>Alliances in U.S. foreign policy : issues in the quest for collective defense / edited by Alan Ned Sabrosky ; foreword by Charles F. Doran.</t>
        </is>
      </c>
      <c r="F2224" t="inlineStr">
        <is>
          <t>No</t>
        </is>
      </c>
      <c r="G2224" t="inlineStr">
        <is>
          <t>1</t>
        </is>
      </c>
      <c r="H2224" t="inlineStr">
        <is>
          <t>No</t>
        </is>
      </c>
      <c r="I2224" t="inlineStr">
        <is>
          <t>No</t>
        </is>
      </c>
      <c r="J2224" t="inlineStr">
        <is>
          <t>0</t>
        </is>
      </c>
      <c r="L2224" t="inlineStr">
        <is>
          <t>Boulder, Colo. : Westview Press, 1988.</t>
        </is>
      </c>
      <c r="M2224" t="inlineStr">
        <is>
          <t>1987</t>
        </is>
      </c>
      <c r="O2224" t="inlineStr">
        <is>
          <t>eng</t>
        </is>
      </c>
      <c r="P2224" t="inlineStr">
        <is>
          <t>cou</t>
        </is>
      </c>
      <c r="Q2224" t="inlineStr">
        <is>
          <t>Studies in global security</t>
        </is>
      </c>
      <c r="R2224" t="inlineStr">
        <is>
          <t xml:space="preserve">E  </t>
        </is>
      </c>
      <c r="S2224" t="n">
        <v>5</v>
      </c>
      <c r="T2224" t="n">
        <v>5</v>
      </c>
      <c r="U2224" t="inlineStr">
        <is>
          <t>2001-03-20</t>
        </is>
      </c>
      <c r="V2224" t="inlineStr">
        <is>
          <t>2001-03-20</t>
        </is>
      </c>
      <c r="W2224" t="inlineStr">
        <is>
          <t>1991-06-26</t>
        </is>
      </c>
      <c r="X2224" t="inlineStr">
        <is>
          <t>1991-06-26</t>
        </is>
      </c>
      <c r="Y2224" t="n">
        <v>295</v>
      </c>
      <c r="Z2224" t="n">
        <v>243</v>
      </c>
      <c r="AA2224" t="n">
        <v>268</v>
      </c>
      <c r="AB2224" t="n">
        <v>2</v>
      </c>
      <c r="AC2224" t="n">
        <v>2</v>
      </c>
      <c r="AD2224" t="n">
        <v>13</v>
      </c>
      <c r="AE2224" t="n">
        <v>13</v>
      </c>
      <c r="AF2224" t="n">
        <v>5</v>
      </c>
      <c r="AG2224" t="n">
        <v>5</v>
      </c>
      <c r="AH2224" t="n">
        <v>5</v>
      </c>
      <c r="AI2224" t="n">
        <v>5</v>
      </c>
      <c r="AJ2224" t="n">
        <v>6</v>
      </c>
      <c r="AK2224" t="n">
        <v>6</v>
      </c>
      <c r="AL2224" t="n">
        <v>1</v>
      </c>
      <c r="AM2224" t="n">
        <v>1</v>
      </c>
      <c r="AN2224" t="n">
        <v>1</v>
      </c>
      <c r="AO2224" t="n">
        <v>1</v>
      </c>
      <c r="AP2224" t="inlineStr">
        <is>
          <t>No</t>
        </is>
      </c>
      <c r="AQ2224" t="inlineStr">
        <is>
          <t>Yes</t>
        </is>
      </c>
      <c r="AR2224">
        <f>HYPERLINK("http://catalog.hathitrust.org/Record/000845987","HathiTrust Record")</f>
        <v/>
      </c>
      <c r="AS2224">
        <f>HYPERLINK("https://creighton-primo.hosted.exlibrisgroup.com/primo-explore/search?tab=default_tab&amp;search_scope=EVERYTHING&amp;vid=01CRU&amp;lang=en_US&amp;offset=0&amp;query=any,contains,991000800219702656","Catalog Record")</f>
        <v/>
      </c>
      <c r="AT2224">
        <f>HYPERLINK("http://www.worldcat.org/oclc/13218666","WorldCat Record")</f>
        <v/>
      </c>
      <c r="AU2224" t="inlineStr">
        <is>
          <t>795393456:eng</t>
        </is>
      </c>
      <c r="AV2224" t="inlineStr">
        <is>
          <t>13218666</t>
        </is>
      </c>
      <c r="AW2224" t="inlineStr">
        <is>
          <t>991000800219702656</t>
        </is>
      </c>
      <c r="AX2224" t="inlineStr">
        <is>
          <t>991000800219702656</t>
        </is>
      </c>
      <c r="AY2224" t="inlineStr">
        <is>
          <t>2260663860002656</t>
        </is>
      </c>
      <c r="AZ2224" t="inlineStr">
        <is>
          <t>BOOK</t>
        </is>
      </c>
      <c r="BB2224" t="inlineStr">
        <is>
          <t>9780813371955</t>
        </is>
      </c>
      <c r="BC2224" t="inlineStr">
        <is>
          <t>32285000671742</t>
        </is>
      </c>
      <c r="BD2224" t="inlineStr">
        <is>
          <t>893872017</t>
        </is>
      </c>
    </row>
    <row r="2225">
      <c r="A2225" t="inlineStr">
        <is>
          <t>No</t>
        </is>
      </c>
      <c r="B2225" t="inlineStr">
        <is>
          <t>E876 .A777 1988</t>
        </is>
      </c>
      <c r="C2225" t="inlineStr">
        <is>
          <t>0                      E  0876000A  777         1988</t>
        </is>
      </c>
      <c r="D2225" t="inlineStr">
        <is>
          <t>Assessing the Reagan years / edited by David Boaz.</t>
        </is>
      </c>
      <c r="F2225" t="inlineStr">
        <is>
          <t>No</t>
        </is>
      </c>
      <c r="G2225" t="inlineStr">
        <is>
          <t>1</t>
        </is>
      </c>
      <c r="H2225" t="inlineStr">
        <is>
          <t>No</t>
        </is>
      </c>
      <c r="I2225" t="inlineStr">
        <is>
          <t>No</t>
        </is>
      </c>
      <c r="J2225" t="inlineStr">
        <is>
          <t>0</t>
        </is>
      </c>
      <c r="L2225" t="inlineStr">
        <is>
          <t>Washington, D.C. : Cato Institute, c1988.</t>
        </is>
      </c>
      <c r="M2225" t="inlineStr">
        <is>
          <t>1988</t>
        </is>
      </c>
      <c r="O2225" t="inlineStr">
        <is>
          <t>eng</t>
        </is>
      </c>
      <c r="P2225" t="inlineStr">
        <is>
          <t>dcu</t>
        </is>
      </c>
      <c r="R2225" t="inlineStr">
        <is>
          <t xml:space="preserve">E  </t>
        </is>
      </c>
      <c r="S2225" t="n">
        <v>9</v>
      </c>
      <c r="T2225" t="n">
        <v>9</v>
      </c>
      <c r="U2225" t="inlineStr">
        <is>
          <t>2001-04-26</t>
        </is>
      </c>
      <c r="V2225" t="inlineStr">
        <is>
          <t>2001-04-26</t>
        </is>
      </c>
      <c r="W2225" t="inlineStr">
        <is>
          <t>1991-06-26</t>
        </is>
      </c>
      <c r="X2225" t="inlineStr">
        <is>
          <t>1991-06-26</t>
        </is>
      </c>
      <c r="Y2225" t="n">
        <v>504</v>
      </c>
      <c r="Z2225" t="n">
        <v>463</v>
      </c>
      <c r="AA2225" t="n">
        <v>470</v>
      </c>
      <c r="AB2225" t="n">
        <v>7</v>
      </c>
      <c r="AC2225" t="n">
        <v>7</v>
      </c>
      <c r="AD2225" t="n">
        <v>24</v>
      </c>
      <c r="AE2225" t="n">
        <v>24</v>
      </c>
      <c r="AF2225" t="n">
        <v>6</v>
      </c>
      <c r="AG2225" t="n">
        <v>6</v>
      </c>
      <c r="AH2225" t="n">
        <v>5</v>
      </c>
      <c r="AI2225" t="n">
        <v>5</v>
      </c>
      <c r="AJ2225" t="n">
        <v>10</v>
      </c>
      <c r="AK2225" t="n">
        <v>10</v>
      </c>
      <c r="AL2225" t="n">
        <v>6</v>
      </c>
      <c r="AM2225" t="n">
        <v>6</v>
      </c>
      <c r="AN2225" t="n">
        <v>0</v>
      </c>
      <c r="AO2225" t="n">
        <v>0</v>
      </c>
      <c r="AP2225" t="inlineStr">
        <is>
          <t>No</t>
        </is>
      </c>
      <c r="AQ2225" t="inlineStr">
        <is>
          <t>Yes</t>
        </is>
      </c>
      <c r="AR2225">
        <f>HYPERLINK("http://catalog.hathitrust.org/Record/001083289","HathiTrust Record")</f>
        <v/>
      </c>
      <c r="AS2225">
        <f>HYPERLINK("https://creighton-primo.hosted.exlibrisgroup.com/primo-explore/search?tab=default_tab&amp;search_scope=EVERYTHING&amp;vid=01CRU&amp;lang=en_US&amp;offset=0&amp;query=any,contains,991001354179702656","Catalog Record")</f>
        <v/>
      </c>
      <c r="AT2225">
        <f>HYPERLINK("http://www.worldcat.org/oclc/18463502","WorldCat Record")</f>
        <v/>
      </c>
      <c r="AU2225" t="inlineStr">
        <is>
          <t>17471814:eng</t>
        </is>
      </c>
      <c r="AV2225" t="inlineStr">
        <is>
          <t>18463502</t>
        </is>
      </c>
      <c r="AW2225" t="inlineStr">
        <is>
          <t>991001354179702656</t>
        </is>
      </c>
      <c r="AX2225" t="inlineStr">
        <is>
          <t>991001354179702656</t>
        </is>
      </c>
      <c r="AY2225" t="inlineStr">
        <is>
          <t>2257283640002656</t>
        </is>
      </c>
      <c r="AZ2225" t="inlineStr">
        <is>
          <t>BOOK</t>
        </is>
      </c>
      <c r="BB2225" t="inlineStr">
        <is>
          <t>9780932790699</t>
        </is>
      </c>
      <c r="BC2225" t="inlineStr">
        <is>
          <t>32285000671759</t>
        </is>
      </c>
      <c r="BD2225" t="inlineStr">
        <is>
          <t>893522511</t>
        </is>
      </c>
    </row>
    <row r="2226">
      <c r="A2226" t="inlineStr">
        <is>
          <t>No</t>
        </is>
      </c>
      <c r="B2226" t="inlineStr">
        <is>
          <t>E876 .B37 1983</t>
        </is>
      </c>
      <c r="C2226" t="inlineStr">
        <is>
          <t>0                      E  0876000B  37          1983</t>
        </is>
      </c>
      <c r="D2226" t="inlineStr">
        <is>
          <t>Gambling with history : Ronald Reagan in the White House / Laurence I. Barrett.</t>
        </is>
      </c>
      <c r="F2226" t="inlineStr">
        <is>
          <t>No</t>
        </is>
      </c>
      <c r="G2226" t="inlineStr">
        <is>
          <t>1</t>
        </is>
      </c>
      <c r="H2226" t="inlineStr">
        <is>
          <t>No</t>
        </is>
      </c>
      <c r="I2226" t="inlineStr">
        <is>
          <t>No</t>
        </is>
      </c>
      <c r="J2226" t="inlineStr">
        <is>
          <t>0</t>
        </is>
      </c>
      <c r="K2226" t="inlineStr">
        <is>
          <t>Barrett, Laurence I.</t>
        </is>
      </c>
      <c r="L2226" t="inlineStr">
        <is>
          <t>Garden City, N.Y. : Doubleday, 1983.</t>
        </is>
      </c>
      <c r="M2226" t="inlineStr">
        <is>
          <t>1983</t>
        </is>
      </c>
      <c r="N2226" t="inlineStr">
        <is>
          <t>1st ed.</t>
        </is>
      </c>
      <c r="O2226" t="inlineStr">
        <is>
          <t>eng</t>
        </is>
      </c>
      <c r="P2226" t="inlineStr">
        <is>
          <t>nyu</t>
        </is>
      </c>
      <c r="R2226" t="inlineStr">
        <is>
          <t xml:space="preserve">E  </t>
        </is>
      </c>
      <c r="S2226" t="n">
        <v>1</v>
      </c>
      <c r="T2226" t="n">
        <v>1</v>
      </c>
      <c r="U2226" t="inlineStr">
        <is>
          <t>2002-03-30</t>
        </is>
      </c>
      <c r="V2226" t="inlineStr">
        <is>
          <t>2002-03-30</t>
        </is>
      </c>
      <c r="W2226" t="inlineStr">
        <is>
          <t>1991-06-26</t>
        </is>
      </c>
      <c r="X2226" t="inlineStr">
        <is>
          <t>1991-06-26</t>
        </is>
      </c>
      <c r="Y2226" t="n">
        <v>912</v>
      </c>
      <c r="Z2226" t="n">
        <v>828</v>
      </c>
      <c r="AA2226" t="n">
        <v>994</v>
      </c>
      <c r="AB2226" t="n">
        <v>2</v>
      </c>
      <c r="AC2226" t="n">
        <v>3</v>
      </c>
      <c r="AD2226" t="n">
        <v>15</v>
      </c>
      <c r="AE2226" t="n">
        <v>25</v>
      </c>
      <c r="AF2226" t="n">
        <v>5</v>
      </c>
      <c r="AG2226" t="n">
        <v>10</v>
      </c>
      <c r="AH2226" t="n">
        <v>3</v>
      </c>
      <c r="AI2226" t="n">
        <v>6</v>
      </c>
      <c r="AJ2226" t="n">
        <v>10</v>
      </c>
      <c r="AK2226" t="n">
        <v>14</v>
      </c>
      <c r="AL2226" t="n">
        <v>1</v>
      </c>
      <c r="AM2226" t="n">
        <v>2</v>
      </c>
      <c r="AN2226" t="n">
        <v>0</v>
      </c>
      <c r="AO2226" t="n">
        <v>0</v>
      </c>
      <c r="AP2226" t="inlineStr">
        <is>
          <t>No</t>
        </is>
      </c>
      <c r="AQ2226" t="inlineStr">
        <is>
          <t>Yes</t>
        </is>
      </c>
      <c r="AR2226">
        <f>HYPERLINK("http://catalog.hathitrust.org/Record/000116080","HathiTrust Record")</f>
        <v/>
      </c>
      <c r="AS2226">
        <f>HYPERLINK("https://creighton-primo.hosted.exlibrisgroup.com/primo-explore/search?tab=default_tab&amp;search_scope=EVERYTHING&amp;vid=01CRU&amp;lang=en_US&amp;offset=0&amp;query=any,contains,991000195569702656","Catalog Record")</f>
        <v/>
      </c>
      <c r="AT2226">
        <f>HYPERLINK("http://www.worldcat.org/oclc/9441067","WorldCat Record")</f>
        <v/>
      </c>
      <c r="AU2226" t="inlineStr">
        <is>
          <t>2824068:eng</t>
        </is>
      </c>
      <c r="AV2226" t="inlineStr">
        <is>
          <t>9441067</t>
        </is>
      </c>
      <c r="AW2226" t="inlineStr">
        <is>
          <t>991000195569702656</t>
        </is>
      </c>
      <c r="AX2226" t="inlineStr">
        <is>
          <t>991000195569702656</t>
        </is>
      </c>
      <c r="AY2226" t="inlineStr">
        <is>
          <t>2264926790002656</t>
        </is>
      </c>
      <c r="AZ2226" t="inlineStr">
        <is>
          <t>BOOK</t>
        </is>
      </c>
      <c r="BC2226" t="inlineStr">
        <is>
          <t>32285000671767</t>
        </is>
      </c>
      <c r="BD2226" t="inlineStr">
        <is>
          <t>893502334</t>
        </is>
      </c>
    </row>
    <row r="2227">
      <c r="A2227" t="inlineStr">
        <is>
          <t>No</t>
        </is>
      </c>
      <c r="B2227" t="inlineStr">
        <is>
          <t>E876 .B56 1987</t>
        </is>
      </c>
      <c r="C2227" t="inlineStr">
        <is>
          <t>0                      E  0876000B  56          1987</t>
        </is>
      </c>
      <c r="D2227" t="inlineStr">
        <is>
          <t>Herblock at large : "Let's go back a little ..." and other cartoons with commentary / by Herbert Block.</t>
        </is>
      </c>
      <c r="F2227" t="inlineStr">
        <is>
          <t>No</t>
        </is>
      </c>
      <c r="G2227" t="inlineStr">
        <is>
          <t>1</t>
        </is>
      </c>
      <c r="H2227" t="inlineStr">
        <is>
          <t>No</t>
        </is>
      </c>
      <c r="I2227" t="inlineStr">
        <is>
          <t>No</t>
        </is>
      </c>
      <c r="J2227" t="inlineStr">
        <is>
          <t>0</t>
        </is>
      </c>
      <c r="K2227" t="inlineStr">
        <is>
          <t>Block, Herbert, 1909-2001.</t>
        </is>
      </c>
      <c r="L2227" t="inlineStr">
        <is>
          <t>New York : Pantheon Books, c1987.</t>
        </is>
      </c>
      <c r="M2227" t="inlineStr">
        <is>
          <t>1987</t>
        </is>
      </c>
      <c r="N2227" t="inlineStr">
        <is>
          <t>1st ed.</t>
        </is>
      </c>
      <c r="O2227" t="inlineStr">
        <is>
          <t>eng</t>
        </is>
      </c>
      <c r="P2227" t="inlineStr">
        <is>
          <t>nyu</t>
        </is>
      </c>
      <c r="R2227" t="inlineStr">
        <is>
          <t xml:space="preserve">E  </t>
        </is>
      </c>
      <c r="S2227" t="n">
        <v>4</v>
      </c>
      <c r="T2227" t="n">
        <v>4</v>
      </c>
      <c r="U2227" t="inlineStr">
        <is>
          <t>2004-03-19</t>
        </is>
      </c>
      <c r="V2227" t="inlineStr">
        <is>
          <t>2004-03-19</t>
        </is>
      </c>
      <c r="W2227" t="inlineStr">
        <is>
          <t>2001-03-29</t>
        </is>
      </c>
      <c r="X2227" t="inlineStr">
        <is>
          <t>2001-03-29</t>
        </is>
      </c>
      <c r="Y2227" t="n">
        <v>199</v>
      </c>
      <c r="Z2227" t="n">
        <v>187</v>
      </c>
      <c r="AA2227" t="n">
        <v>192</v>
      </c>
      <c r="AB2227" t="n">
        <v>1</v>
      </c>
      <c r="AC2227" t="n">
        <v>1</v>
      </c>
      <c r="AD2227" t="n">
        <v>1</v>
      </c>
      <c r="AE2227" t="n">
        <v>1</v>
      </c>
      <c r="AF2227" t="n">
        <v>0</v>
      </c>
      <c r="AG2227" t="n">
        <v>0</v>
      </c>
      <c r="AH2227" t="n">
        <v>0</v>
      </c>
      <c r="AI2227" t="n">
        <v>0</v>
      </c>
      <c r="AJ2227" t="n">
        <v>1</v>
      </c>
      <c r="AK2227" t="n">
        <v>1</v>
      </c>
      <c r="AL2227" t="n">
        <v>0</v>
      </c>
      <c r="AM2227" t="n">
        <v>0</v>
      </c>
      <c r="AN2227" t="n">
        <v>0</v>
      </c>
      <c r="AO2227" t="n">
        <v>0</v>
      </c>
      <c r="AP2227" t="inlineStr">
        <is>
          <t>No</t>
        </is>
      </c>
      <c r="AQ2227" t="inlineStr">
        <is>
          <t>No</t>
        </is>
      </c>
      <c r="AS2227">
        <f>HYPERLINK("https://creighton-primo.hosted.exlibrisgroup.com/primo-explore/search?tab=default_tab&amp;search_scope=EVERYTHING&amp;vid=01CRU&amp;lang=en_US&amp;offset=0&amp;query=any,contains,991003518119702656","Catalog Record")</f>
        <v/>
      </c>
      <c r="AT2227">
        <f>HYPERLINK("http://www.worldcat.org/oclc/16714850","WorldCat Record")</f>
        <v/>
      </c>
      <c r="AU2227" t="inlineStr">
        <is>
          <t>1215747293:eng</t>
        </is>
      </c>
      <c r="AV2227" t="inlineStr">
        <is>
          <t>16714850</t>
        </is>
      </c>
      <c r="AW2227" t="inlineStr">
        <is>
          <t>991003518119702656</t>
        </is>
      </c>
      <c r="AX2227" t="inlineStr">
        <is>
          <t>991003518119702656</t>
        </is>
      </c>
      <c r="AY2227" t="inlineStr">
        <is>
          <t>2260877350002656</t>
        </is>
      </c>
      <c r="AZ2227" t="inlineStr">
        <is>
          <t>BOOK</t>
        </is>
      </c>
      <c r="BB2227" t="inlineStr">
        <is>
          <t>9780394565699</t>
        </is>
      </c>
      <c r="BC2227" t="inlineStr">
        <is>
          <t>32285004308655</t>
        </is>
      </c>
      <c r="BD2227" t="inlineStr">
        <is>
          <t>893711436</t>
        </is>
      </c>
    </row>
    <row r="2228">
      <c r="A2228" t="inlineStr">
        <is>
          <t>No</t>
        </is>
      </c>
      <c r="B2228" t="inlineStr">
        <is>
          <t>E876 .C377 1988</t>
        </is>
      </c>
      <c r="C2228" t="inlineStr">
        <is>
          <t>0                      E  0876000C  377         1988</t>
        </is>
      </c>
      <c r="D2228" t="inlineStr">
        <is>
          <t>The Reagan years / Hodding Carter.</t>
        </is>
      </c>
      <c r="F2228" t="inlineStr">
        <is>
          <t>No</t>
        </is>
      </c>
      <c r="G2228" t="inlineStr">
        <is>
          <t>1</t>
        </is>
      </c>
      <c r="H2228" t="inlineStr">
        <is>
          <t>No</t>
        </is>
      </c>
      <c r="I2228" t="inlineStr">
        <is>
          <t>No</t>
        </is>
      </c>
      <c r="J2228" t="inlineStr">
        <is>
          <t>0</t>
        </is>
      </c>
      <c r="K2228" t="inlineStr">
        <is>
          <t>Carter, Hodding.</t>
        </is>
      </c>
      <c r="L2228" t="inlineStr">
        <is>
          <t>New York : G. Braziller, c1988.</t>
        </is>
      </c>
      <c r="M2228" t="inlineStr">
        <is>
          <t>1988</t>
        </is>
      </c>
      <c r="O2228" t="inlineStr">
        <is>
          <t>eng</t>
        </is>
      </c>
      <c r="P2228" t="inlineStr">
        <is>
          <t>nyu</t>
        </is>
      </c>
      <c r="R2228" t="inlineStr">
        <is>
          <t xml:space="preserve">E  </t>
        </is>
      </c>
      <c r="S2228" t="n">
        <v>1</v>
      </c>
      <c r="T2228" t="n">
        <v>1</v>
      </c>
      <c r="U2228" t="inlineStr">
        <is>
          <t>1992-09-21</t>
        </is>
      </c>
      <c r="V2228" t="inlineStr">
        <is>
          <t>1992-09-21</t>
        </is>
      </c>
      <c r="W2228" t="inlineStr">
        <is>
          <t>1991-06-26</t>
        </is>
      </c>
      <c r="X2228" t="inlineStr">
        <is>
          <t>1991-06-26</t>
        </is>
      </c>
      <c r="Y2228" t="n">
        <v>452</v>
      </c>
      <c r="Z2228" t="n">
        <v>412</v>
      </c>
      <c r="AA2228" t="n">
        <v>420</v>
      </c>
      <c r="AB2228" t="n">
        <v>3</v>
      </c>
      <c r="AC2228" t="n">
        <v>3</v>
      </c>
      <c r="AD2228" t="n">
        <v>11</v>
      </c>
      <c r="AE2228" t="n">
        <v>11</v>
      </c>
      <c r="AF2228" t="n">
        <v>3</v>
      </c>
      <c r="AG2228" t="n">
        <v>3</v>
      </c>
      <c r="AH2228" t="n">
        <v>1</v>
      </c>
      <c r="AI2228" t="n">
        <v>1</v>
      </c>
      <c r="AJ2228" t="n">
        <v>7</v>
      </c>
      <c r="AK2228" t="n">
        <v>7</v>
      </c>
      <c r="AL2228" t="n">
        <v>2</v>
      </c>
      <c r="AM2228" t="n">
        <v>2</v>
      </c>
      <c r="AN2228" t="n">
        <v>0</v>
      </c>
      <c r="AO2228" t="n">
        <v>0</v>
      </c>
      <c r="AP2228" t="inlineStr">
        <is>
          <t>No</t>
        </is>
      </c>
      <c r="AQ2228" t="inlineStr">
        <is>
          <t>Yes</t>
        </is>
      </c>
      <c r="AR2228">
        <f>HYPERLINK("http://catalog.hathitrust.org/Record/001081431","HathiTrust Record")</f>
        <v/>
      </c>
      <c r="AS2228">
        <f>HYPERLINK("https://creighton-primo.hosted.exlibrisgroup.com/primo-explore/search?tab=default_tab&amp;search_scope=EVERYTHING&amp;vid=01CRU&amp;lang=en_US&amp;offset=0&amp;query=any,contains,991001297089702656","Catalog Record")</f>
        <v/>
      </c>
      <c r="AT2228">
        <f>HYPERLINK("http://www.worldcat.org/oclc/18049544","WorldCat Record")</f>
        <v/>
      </c>
      <c r="AU2228" t="inlineStr">
        <is>
          <t>17205395:eng</t>
        </is>
      </c>
      <c r="AV2228" t="inlineStr">
        <is>
          <t>18049544</t>
        </is>
      </c>
      <c r="AW2228" t="inlineStr">
        <is>
          <t>991001297089702656</t>
        </is>
      </c>
      <c r="AX2228" t="inlineStr">
        <is>
          <t>991001297089702656</t>
        </is>
      </c>
      <c r="AY2228" t="inlineStr">
        <is>
          <t>2260443010002656</t>
        </is>
      </c>
      <c r="AZ2228" t="inlineStr">
        <is>
          <t>BOOK</t>
        </is>
      </c>
      <c r="BB2228" t="inlineStr">
        <is>
          <t>9780807612095</t>
        </is>
      </c>
      <c r="BC2228" t="inlineStr">
        <is>
          <t>32285000671775</t>
        </is>
      </c>
      <c r="BD2228" t="inlineStr">
        <is>
          <t>893684236</t>
        </is>
      </c>
    </row>
    <row r="2229">
      <c r="A2229" t="inlineStr">
        <is>
          <t>No</t>
        </is>
      </c>
      <c r="B2229" t="inlineStr">
        <is>
          <t>E876 .C48 1984</t>
        </is>
      </c>
      <c r="C2229" t="inlineStr">
        <is>
          <t>0                      E  0876000C  48          1984</t>
        </is>
      </c>
      <c r="D2229" t="inlineStr">
        <is>
          <t>The American retreat : the Reagan foreign and defense policy / Joseph Churba.</t>
        </is>
      </c>
      <c r="F2229" t="inlineStr">
        <is>
          <t>No</t>
        </is>
      </c>
      <c r="G2229" t="inlineStr">
        <is>
          <t>1</t>
        </is>
      </c>
      <c r="H2229" t="inlineStr">
        <is>
          <t>No</t>
        </is>
      </c>
      <c r="I2229" t="inlineStr">
        <is>
          <t>No</t>
        </is>
      </c>
      <c r="J2229" t="inlineStr">
        <is>
          <t>0</t>
        </is>
      </c>
      <c r="K2229" t="inlineStr">
        <is>
          <t>Churba, Joseph.</t>
        </is>
      </c>
      <c r="L2229" t="inlineStr">
        <is>
          <t>Chicago : Regnery Gateway, c1984.</t>
        </is>
      </c>
      <c r="M2229" t="inlineStr">
        <is>
          <t>1984</t>
        </is>
      </c>
      <c r="O2229" t="inlineStr">
        <is>
          <t>eng</t>
        </is>
      </c>
      <c r="P2229" t="inlineStr">
        <is>
          <t>ilu</t>
        </is>
      </c>
      <c r="R2229" t="inlineStr">
        <is>
          <t xml:space="preserve">E  </t>
        </is>
      </c>
      <c r="S2229" t="n">
        <v>4</v>
      </c>
      <c r="T2229" t="n">
        <v>4</v>
      </c>
      <c r="U2229" t="inlineStr">
        <is>
          <t>1995-10-24</t>
        </is>
      </c>
      <c r="V2229" t="inlineStr">
        <is>
          <t>1995-10-24</t>
        </is>
      </c>
      <c r="W2229" t="inlineStr">
        <is>
          <t>1991-06-26</t>
        </is>
      </c>
      <c r="X2229" t="inlineStr">
        <is>
          <t>1991-06-26</t>
        </is>
      </c>
      <c r="Y2229" t="n">
        <v>189</v>
      </c>
      <c r="Z2229" t="n">
        <v>155</v>
      </c>
      <c r="AA2229" t="n">
        <v>157</v>
      </c>
      <c r="AB2229" t="n">
        <v>1</v>
      </c>
      <c r="AC2229" t="n">
        <v>1</v>
      </c>
      <c r="AD2229" t="n">
        <v>6</v>
      </c>
      <c r="AE2229" t="n">
        <v>6</v>
      </c>
      <c r="AF2229" t="n">
        <v>3</v>
      </c>
      <c r="AG2229" t="n">
        <v>3</v>
      </c>
      <c r="AH2229" t="n">
        <v>1</v>
      </c>
      <c r="AI2229" t="n">
        <v>1</v>
      </c>
      <c r="AJ2229" t="n">
        <v>6</v>
      </c>
      <c r="AK2229" t="n">
        <v>6</v>
      </c>
      <c r="AL2229" t="n">
        <v>0</v>
      </c>
      <c r="AM2229" t="n">
        <v>0</v>
      </c>
      <c r="AN2229" t="n">
        <v>0</v>
      </c>
      <c r="AO2229" t="n">
        <v>0</v>
      </c>
      <c r="AP2229" t="inlineStr">
        <is>
          <t>No</t>
        </is>
      </c>
      <c r="AQ2229" t="inlineStr">
        <is>
          <t>Yes</t>
        </is>
      </c>
      <c r="AR2229">
        <f>HYPERLINK("http://catalog.hathitrust.org/Record/000288845","HathiTrust Record")</f>
        <v/>
      </c>
      <c r="AS2229">
        <f>HYPERLINK("https://creighton-primo.hosted.exlibrisgroup.com/primo-explore/search?tab=default_tab&amp;search_scope=EVERYTHING&amp;vid=01CRU&amp;lang=en_US&amp;offset=0&amp;query=any,contains,991000473999702656","Catalog Record")</f>
        <v/>
      </c>
      <c r="AT2229">
        <f>HYPERLINK("http://www.worldcat.org/oclc/11003095","WorldCat Record")</f>
        <v/>
      </c>
      <c r="AU2229" t="inlineStr">
        <is>
          <t>3607337:eng</t>
        </is>
      </c>
      <c r="AV2229" t="inlineStr">
        <is>
          <t>11003095</t>
        </is>
      </c>
      <c r="AW2229" t="inlineStr">
        <is>
          <t>991000473999702656</t>
        </is>
      </c>
      <c r="AX2229" t="inlineStr">
        <is>
          <t>991000473999702656</t>
        </is>
      </c>
      <c r="AY2229" t="inlineStr">
        <is>
          <t>2260858690002656</t>
        </is>
      </c>
      <c r="AZ2229" t="inlineStr">
        <is>
          <t>BOOK</t>
        </is>
      </c>
      <c r="BB2229" t="inlineStr">
        <is>
          <t>9780895266040</t>
        </is>
      </c>
      <c r="BC2229" t="inlineStr">
        <is>
          <t>32285000671791</t>
        </is>
      </c>
      <c r="BD2229" t="inlineStr">
        <is>
          <t>893689723</t>
        </is>
      </c>
    </row>
    <row r="2230">
      <c r="A2230" t="inlineStr">
        <is>
          <t>No</t>
        </is>
      </c>
      <c r="B2230" t="inlineStr">
        <is>
          <t>E876 .C57 1988</t>
        </is>
      </c>
      <c r="C2230" t="inlineStr">
        <is>
          <t>0                      E  0876000C  57          1988</t>
        </is>
      </c>
      <c r="D2230" t="inlineStr">
        <is>
          <t>A Citizen's guide to U.S. foreign policy : election '88 / prepared by the editors of the Foreign Policy Association.</t>
        </is>
      </c>
      <c r="F2230" t="inlineStr">
        <is>
          <t>No</t>
        </is>
      </c>
      <c r="G2230" t="inlineStr">
        <is>
          <t>1</t>
        </is>
      </c>
      <c r="H2230" t="inlineStr">
        <is>
          <t>No</t>
        </is>
      </c>
      <c r="I2230" t="inlineStr">
        <is>
          <t>No</t>
        </is>
      </c>
      <c r="J2230" t="inlineStr">
        <is>
          <t>0</t>
        </is>
      </c>
      <c r="L2230" t="inlineStr">
        <is>
          <t>New York, N.Y. : The Association, 1988.</t>
        </is>
      </c>
      <c r="M2230" t="inlineStr">
        <is>
          <t>1988</t>
        </is>
      </c>
      <c r="O2230" t="inlineStr">
        <is>
          <t>eng</t>
        </is>
      </c>
      <c r="P2230" t="inlineStr">
        <is>
          <t>nyu</t>
        </is>
      </c>
      <c r="R2230" t="inlineStr">
        <is>
          <t xml:space="preserve">E  </t>
        </is>
      </c>
      <c r="S2230" t="n">
        <v>3</v>
      </c>
      <c r="T2230" t="n">
        <v>3</v>
      </c>
      <c r="U2230" t="inlineStr">
        <is>
          <t>2001-03-20</t>
        </is>
      </c>
      <c r="V2230" t="inlineStr">
        <is>
          <t>2001-03-20</t>
        </is>
      </c>
      <c r="W2230" t="inlineStr">
        <is>
          <t>1991-06-26</t>
        </is>
      </c>
      <c r="X2230" t="inlineStr">
        <is>
          <t>1991-06-26</t>
        </is>
      </c>
      <c r="Y2230" t="n">
        <v>211</v>
      </c>
      <c r="Z2230" t="n">
        <v>201</v>
      </c>
      <c r="AA2230" t="n">
        <v>203</v>
      </c>
      <c r="AB2230" t="n">
        <v>2</v>
      </c>
      <c r="AC2230" t="n">
        <v>2</v>
      </c>
      <c r="AD2230" t="n">
        <v>6</v>
      </c>
      <c r="AE2230" t="n">
        <v>6</v>
      </c>
      <c r="AF2230" t="n">
        <v>2</v>
      </c>
      <c r="AG2230" t="n">
        <v>2</v>
      </c>
      <c r="AH2230" t="n">
        <v>2</v>
      </c>
      <c r="AI2230" t="n">
        <v>2</v>
      </c>
      <c r="AJ2230" t="n">
        <v>1</v>
      </c>
      <c r="AK2230" t="n">
        <v>1</v>
      </c>
      <c r="AL2230" t="n">
        <v>1</v>
      </c>
      <c r="AM2230" t="n">
        <v>1</v>
      </c>
      <c r="AN2230" t="n">
        <v>1</v>
      </c>
      <c r="AO2230" t="n">
        <v>1</v>
      </c>
      <c r="AP2230" t="inlineStr">
        <is>
          <t>No</t>
        </is>
      </c>
      <c r="AQ2230" t="inlineStr">
        <is>
          <t>No</t>
        </is>
      </c>
      <c r="AS2230">
        <f>HYPERLINK("https://creighton-primo.hosted.exlibrisgroup.com/primo-explore/search?tab=default_tab&amp;search_scope=EVERYTHING&amp;vid=01CRU&amp;lang=en_US&amp;offset=0&amp;query=any,contains,991001333979702656","Catalog Record")</f>
        <v/>
      </c>
      <c r="AT2230">
        <f>HYPERLINK("http://www.worldcat.org/oclc/18340321","WorldCat Record")</f>
        <v/>
      </c>
      <c r="AU2230" t="inlineStr">
        <is>
          <t>55115260:eng</t>
        </is>
      </c>
      <c r="AV2230" t="inlineStr">
        <is>
          <t>18340321</t>
        </is>
      </c>
      <c r="AW2230" t="inlineStr">
        <is>
          <t>991001333979702656</t>
        </is>
      </c>
      <c r="AX2230" t="inlineStr">
        <is>
          <t>991001333979702656</t>
        </is>
      </c>
      <c r="AY2230" t="inlineStr">
        <is>
          <t>2270834230002656</t>
        </is>
      </c>
      <c r="AZ2230" t="inlineStr">
        <is>
          <t>BOOK</t>
        </is>
      </c>
      <c r="BB2230" t="inlineStr">
        <is>
          <t>9780871241191</t>
        </is>
      </c>
      <c r="BC2230" t="inlineStr">
        <is>
          <t>32285000671809</t>
        </is>
      </c>
      <c r="BD2230" t="inlineStr">
        <is>
          <t>893866155</t>
        </is>
      </c>
    </row>
    <row r="2231">
      <c r="A2231" t="inlineStr">
        <is>
          <t>No</t>
        </is>
      </c>
      <c r="B2231" t="inlineStr">
        <is>
          <t>E876 .D45 1984</t>
        </is>
      </c>
      <c r="C2231" t="inlineStr">
        <is>
          <t>0                      E  0876000D  45          1984</t>
        </is>
      </c>
      <c r="D2231" t="inlineStr">
        <is>
          <t>Reagan's America / Lloyd deMause.</t>
        </is>
      </c>
      <c r="F2231" t="inlineStr">
        <is>
          <t>No</t>
        </is>
      </c>
      <c r="G2231" t="inlineStr">
        <is>
          <t>1</t>
        </is>
      </c>
      <c r="H2231" t="inlineStr">
        <is>
          <t>No</t>
        </is>
      </c>
      <c r="I2231" t="inlineStr">
        <is>
          <t>No</t>
        </is>
      </c>
      <c r="J2231" t="inlineStr">
        <is>
          <t>0</t>
        </is>
      </c>
      <c r="K2231" t="inlineStr">
        <is>
          <t>DeMause, Lloyd.</t>
        </is>
      </c>
      <c r="L2231" t="inlineStr">
        <is>
          <t>New York, N.Y., U.S.A. : Creative Roots, c1984.</t>
        </is>
      </c>
      <c r="M2231" t="inlineStr">
        <is>
          <t>1984</t>
        </is>
      </c>
      <c r="O2231" t="inlineStr">
        <is>
          <t>eng</t>
        </is>
      </c>
      <c r="P2231" t="inlineStr">
        <is>
          <t>nyu</t>
        </is>
      </c>
      <c r="R2231" t="inlineStr">
        <is>
          <t xml:space="preserve">E  </t>
        </is>
      </c>
      <c r="S2231" t="n">
        <v>1</v>
      </c>
      <c r="T2231" t="n">
        <v>1</v>
      </c>
      <c r="U2231" t="inlineStr">
        <is>
          <t>2002-03-30</t>
        </is>
      </c>
      <c r="V2231" t="inlineStr">
        <is>
          <t>2002-03-30</t>
        </is>
      </c>
      <c r="W2231" t="inlineStr">
        <is>
          <t>1991-06-26</t>
        </is>
      </c>
      <c r="X2231" t="inlineStr">
        <is>
          <t>1991-06-26</t>
        </is>
      </c>
      <c r="Y2231" t="n">
        <v>402</v>
      </c>
      <c r="Z2231" t="n">
        <v>362</v>
      </c>
      <c r="AA2231" t="n">
        <v>379</v>
      </c>
      <c r="AB2231" t="n">
        <v>4</v>
      </c>
      <c r="AC2231" t="n">
        <v>4</v>
      </c>
      <c r="AD2231" t="n">
        <v>14</v>
      </c>
      <c r="AE2231" t="n">
        <v>16</v>
      </c>
      <c r="AF2231" t="n">
        <v>5</v>
      </c>
      <c r="AG2231" t="n">
        <v>6</v>
      </c>
      <c r="AH2231" t="n">
        <v>3</v>
      </c>
      <c r="AI2231" t="n">
        <v>4</v>
      </c>
      <c r="AJ2231" t="n">
        <v>5</v>
      </c>
      <c r="AK2231" t="n">
        <v>5</v>
      </c>
      <c r="AL2231" t="n">
        <v>3</v>
      </c>
      <c r="AM2231" t="n">
        <v>3</v>
      </c>
      <c r="AN2231" t="n">
        <v>0</v>
      </c>
      <c r="AO2231" t="n">
        <v>0</v>
      </c>
      <c r="AP2231" t="inlineStr">
        <is>
          <t>No</t>
        </is>
      </c>
      <c r="AQ2231" t="inlineStr">
        <is>
          <t>Yes</t>
        </is>
      </c>
      <c r="AR2231">
        <f>HYPERLINK("http://catalog.hathitrust.org/Record/000361391","HathiTrust Record")</f>
        <v/>
      </c>
      <c r="AS2231">
        <f>HYPERLINK("https://creighton-primo.hosted.exlibrisgroup.com/primo-explore/search?tab=default_tab&amp;search_scope=EVERYTHING&amp;vid=01CRU&amp;lang=en_US&amp;offset=0&amp;query=any,contains,991000428839702656","Catalog Record")</f>
        <v/>
      </c>
      <c r="AT2231">
        <f>HYPERLINK("http://www.worldcat.org/oclc/10777071","WorldCat Record")</f>
        <v/>
      </c>
      <c r="AU2231" t="inlineStr">
        <is>
          <t>3900994444:eng</t>
        </is>
      </c>
      <c r="AV2231" t="inlineStr">
        <is>
          <t>10777071</t>
        </is>
      </c>
      <c r="AW2231" t="inlineStr">
        <is>
          <t>991000428839702656</t>
        </is>
      </c>
      <c r="AX2231" t="inlineStr">
        <is>
          <t>991000428839702656</t>
        </is>
      </c>
      <c r="AY2231" t="inlineStr">
        <is>
          <t>2265473430002656</t>
        </is>
      </c>
      <c r="AZ2231" t="inlineStr">
        <is>
          <t>BOOK</t>
        </is>
      </c>
      <c r="BB2231" t="inlineStr">
        <is>
          <t>9780940508026</t>
        </is>
      </c>
      <c r="BC2231" t="inlineStr">
        <is>
          <t>32285000671817</t>
        </is>
      </c>
      <c r="BD2231" t="inlineStr">
        <is>
          <t>893702095</t>
        </is>
      </c>
    </row>
    <row r="2232">
      <c r="A2232" t="inlineStr">
        <is>
          <t>No</t>
        </is>
      </c>
      <c r="B2232" t="inlineStr">
        <is>
          <t>E876 .D73 1991</t>
        </is>
      </c>
      <c r="C2232" t="inlineStr">
        <is>
          <t>0                      E  0876000D  73          1991</t>
        </is>
      </c>
      <c r="D2232" t="inlineStr">
        <is>
          <t>A very thin line : the Iran-contra affairs / Theodore Draper.</t>
        </is>
      </c>
      <c r="F2232" t="inlineStr">
        <is>
          <t>No</t>
        </is>
      </c>
      <c r="G2232" t="inlineStr">
        <is>
          <t>1</t>
        </is>
      </c>
      <c r="H2232" t="inlineStr">
        <is>
          <t>No</t>
        </is>
      </c>
      <c r="I2232" t="inlineStr">
        <is>
          <t>No</t>
        </is>
      </c>
      <c r="J2232" t="inlineStr">
        <is>
          <t>0</t>
        </is>
      </c>
      <c r="K2232" t="inlineStr">
        <is>
          <t>Draper, Theodore, 1912-2006.</t>
        </is>
      </c>
      <c r="L2232" t="inlineStr">
        <is>
          <t>New York : Hill and Wang, c1991.</t>
        </is>
      </c>
      <c r="M2232" t="inlineStr">
        <is>
          <t>1991</t>
        </is>
      </c>
      <c r="O2232" t="inlineStr">
        <is>
          <t>eng</t>
        </is>
      </c>
      <c r="P2232" t="inlineStr">
        <is>
          <t>nyu</t>
        </is>
      </c>
      <c r="R2232" t="inlineStr">
        <is>
          <t xml:space="preserve">E  </t>
        </is>
      </c>
      <c r="S2232" t="n">
        <v>16</v>
      </c>
      <c r="T2232" t="n">
        <v>16</v>
      </c>
      <c r="U2232" t="inlineStr">
        <is>
          <t>1999-03-30</t>
        </is>
      </c>
      <c r="V2232" t="inlineStr">
        <is>
          <t>1999-03-30</t>
        </is>
      </c>
      <c r="W2232" t="inlineStr">
        <is>
          <t>1991-07-03</t>
        </is>
      </c>
      <c r="X2232" t="inlineStr">
        <is>
          <t>1991-07-03</t>
        </is>
      </c>
      <c r="Y2232" t="n">
        <v>1575</v>
      </c>
      <c r="Z2232" t="n">
        <v>1462</v>
      </c>
      <c r="AA2232" t="n">
        <v>1531</v>
      </c>
      <c r="AB2232" t="n">
        <v>5</v>
      </c>
      <c r="AC2232" t="n">
        <v>5</v>
      </c>
      <c r="AD2232" t="n">
        <v>42</v>
      </c>
      <c r="AE2232" t="n">
        <v>42</v>
      </c>
      <c r="AF2232" t="n">
        <v>16</v>
      </c>
      <c r="AG2232" t="n">
        <v>16</v>
      </c>
      <c r="AH2232" t="n">
        <v>10</v>
      </c>
      <c r="AI2232" t="n">
        <v>10</v>
      </c>
      <c r="AJ2232" t="n">
        <v>20</v>
      </c>
      <c r="AK2232" t="n">
        <v>20</v>
      </c>
      <c r="AL2232" t="n">
        <v>3</v>
      </c>
      <c r="AM2232" t="n">
        <v>3</v>
      </c>
      <c r="AN2232" t="n">
        <v>4</v>
      </c>
      <c r="AO2232" t="n">
        <v>4</v>
      </c>
      <c r="AP2232" t="inlineStr">
        <is>
          <t>No</t>
        </is>
      </c>
      <c r="AQ2232" t="inlineStr">
        <is>
          <t>No</t>
        </is>
      </c>
      <c r="AS2232">
        <f>HYPERLINK("https://creighton-primo.hosted.exlibrisgroup.com/primo-explore/search?tab=default_tab&amp;search_scope=EVERYTHING&amp;vid=01CRU&amp;lang=en_US&amp;offset=0&amp;query=any,contains,991001802889702656","Catalog Record")</f>
        <v/>
      </c>
      <c r="AT2232">
        <f>HYPERLINK("http://www.worldcat.org/oclc/22663838","WorldCat Record")</f>
        <v/>
      </c>
      <c r="AU2232" t="inlineStr">
        <is>
          <t>365058077:eng</t>
        </is>
      </c>
      <c r="AV2232" t="inlineStr">
        <is>
          <t>22663838</t>
        </is>
      </c>
      <c r="AW2232" t="inlineStr">
        <is>
          <t>991001802889702656</t>
        </is>
      </c>
      <c r="AX2232" t="inlineStr">
        <is>
          <t>991001802889702656</t>
        </is>
      </c>
      <c r="AY2232" t="inlineStr">
        <is>
          <t>2258128510002656</t>
        </is>
      </c>
      <c r="AZ2232" t="inlineStr">
        <is>
          <t>BOOK</t>
        </is>
      </c>
      <c r="BB2232" t="inlineStr">
        <is>
          <t>9780809096138</t>
        </is>
      </c>
      <c r="BC2232" t="inlineStr">
        <is>
          <t>32285000659622</t>
        </is>
      </c>
      <c r="BD2232" t="inlineStr">
        <is>
          <t>893250517</t>
        </is>
      </c>
    </row>
    <row r="2233">
      <c r="A2233" t="inlineStr">
        <is>
          <t>No</t>
        </is>
      </c>
      <c r="B2233" t="inlineStr">
        <is>
          <t>E876 .E34 1990</t>
        </is>
      </c>
      <c r="C2233" t="inlineStr">
        <is>
          <t>0                      E  0876000E  34          1990</t>
        </is>
      </c>
      <c r="D2233" t="inlineStr">
        <is>
          <t>The worst years of our lives : irreverent notes from a decade of greed / Barbara Ehrenreich.</t>
        </is>
      </c>
      <c r="F2233" t="inlineStr">
        <is>
          <t>No</t>
        </is>
      </c>
      <c r="G2233" t="inlineStr">
        <is>
          <t>1</t>
        </is>
      </c>
      <c r="H2233" t="inlineStr">
        <is>
          <t>No</t>
        </is>
      </c>
      <c r="I2233" t="inlineStr">
        <is>
          <t>No</t>
        </is>
      </c>
      <c r="J2233" t="inlineStr">
        <is>
          <t>0</t>
        </is>
      </c>
      <c r="K2233" t="inlineStr">
        <is>
          <t>Ehrenreich, Barbara.</t>
        </is>
      </c>
      <c r="L2233" t="inlineStr">
        <is>
          <t>New York : Pantheon Books, c1990.</t>
        </is>
      </c>
      <c r="M2233" t="inlineStr">
        <is>
          <t>1990</t>
        </is>
      </c>
      <c r="N2233" t="inlineStr">
        <is>
          <t>1st ed.</t>
        </is>
      </c>
      <c r="O2233" t="inlineStr">
        <is>
          <t>eng</t>
        </is>
      </c>
      <c r="P2233" t="inlineStr">
        <is>
          <t>nyu</t>
        </is>
      </c>
      <c r="R2233" t="inlineStr">
        <is>
          <t xml:space="preserve">E  </t>
        </is>
      </c>
      <c r="S2233" t="n">
        <v>1</v>
      </c>
      <c r="T2233" t="n">
        <v>1</v>
      </c>
      <c r="U2233" t="inlineStr">
        <is>
          <t>2002-03-30</t>
        </is>
      </c>
      <c r="V2233" t="inlineStr">
        <is>
          <t>2002-03-30</t>
        </is>
      </c>
      <c r="W2233" t="inlineStr">
        <is>
          <t>1991-05-01</t>
        </is>
      </c>
      <c r="X2233" t="inlineStr">
        <is>
          <t>1991-05-01</t>
        </is>
      </c>
      <c r="Y2233" t="n">
        <v>1072</v>
      </c>
      <c r="Z2233" t="n">
        <v>1019</v>
      </c>
      <c r="AA2233" t="n">
        <v>1227</v>
      </c>
      <c r="AB2233" t="n">
        <v>7</v>
      </c>
      <c r="AC2233" t="n">
        <v>7</v>
      </c>
      <c r="AD2233" t="n">
        <v>27</v>
      </c>
      <c r="AE2233" t="n">
        <v>36</v>
      </c>
      <c r="AF2233" t="n">
        <v>10</v>
      </c>
      <c r="AG2233" t="n">
        <v>15</v>
      </c>
      <c r="AH2233" t="n">
        <v>6</v>
      </c>
      <c r="AI2233" t="n">
        <v>8</v>
      </c>
      <c r="AJ2233" t="n">
        <v>12</v>
      </c>
      <c r="AK2233" t="n">
        <v>16</v>
      </c>
      <c r="AL2233" t="n">
        <v>4</v>
      </c>
      <c r="AM2233" t="n">
        <v>4</v>
      </c>
      <c r="AN2233" t="n">
        <v>1</v>
      </c>
      <c r="AO2233" t="n">
        <v>1</v>
      </c>
      <c r="AP2233" t="inlineStr">
        <is>
          <t>No</t>
        </is>
      </c>
      <c r="AQ2233" t="inlineStr">
        <is>
          <t>Yes</t>
        </is>
      </c>
      <c r="AR2233">
        <f>HYPERLINK("http://catalog.hathitrust.org/Record/002205270","HathiTrust Record")</f>
        <v/>
      </c>
      <c r="AS2233">
        <f>HYPERLINK("https://creighton-primo.hosted.exlibrisgroup.com/primo-explore/search?tab=default_tab&amp;search_scope=EVERYTHING&amp;vid=01CRU&amp;lang=en_US&amp;offset=0&amp;query=any,contains,991001624459702656","Catalog Record")</f>
        <v/>
      </c>
      <c r="AT2233">
        <f>HYPERLINK("http://www.worldcat.org/oclc/20827708","WorldCat Record")</f>
        <v/>
      </c>
      <c r="AU2233" t="inlineStr">
        <is>
          <t>22473669:eng</t>
        </is>
      </c>
      <c r="AV2233" t="inlineStr">
        <is>
          <t>20827708</t>
        </is>
      </c>
      <c r="AW2233" t="inlineStr">
        <is>
          <t>991001624459702656</t>
        </is>
      </c>
      <c r="AX2233" t="inlineStr">
        <is>
          <t>991001624459702656</t>
        </is>
      </c>
      <c r="AY2233" t="inlineStr">
        <is>
          <t>2261814770002656</t>
        </is>
      </c>
      <c r="AZ2233" t="inlineStr">
        <is>
          <t>BOOK</t>
        </is>
      </c>
      <c r="BB2233" t="inlineStr">
        <is>
          <t>9780394578477</t>
        </is>
      </c>
      <c r="BC2233" t="inlineStr">
        <is>
          <t>32285000570290</t>
        </is>
      </c>
      <c r="BD2233" t="inlineStr">
        <is>
          <t>893596582</t>
        </is>
      </c>
    </row>
    <row r="2234">
      <c r="A2234" t="inlineStr">
        <is>
          <t>No</t>
        </is>
      </c>
      <c r="B2234" t="inlineStr">
        <is>
          <t>E876 .E92 1986</t>
        </is>
      </c>
      <c r="C2234" t="inlineStr">
        <is>
          <t>0                      E  0876000E  92          1986</t>
        </is>
      </c>
      <c r="D2234" t="inlineStr">
        <is>
          <t>Evaluating U.S. foreign policy / edited by John A. Vasquez.</t>
        </is>
      </c>
      <c r="F2234" t="inlineStr">
        <is>
          <t>No</t>
        </is>
      </c>
      <c r="G2234" t="inlineStr">
        <is>
          <t>1</t>
        </is>
      </c>
      <c r="H2234" t="inlineStr">
        <is>
          <t>No</t>
        </is>
      </c>
      <c r="I2234" t="inlineStr">
        <is>
          <t>No</t>
        </is>
      </c>
      <c r="J2234" t="inlineStr">
        <is>
          <t>0</t>
        </is>
      </c>
      <c r="L2234" t="inlineStr">
        <is>
          <t>New York : Praeger, 1986.</t>
        </is>
      </c>
      <c r="M2234" t="inlineStr">
        <is>
          <t>1985</t>
        </is>
      </c>
      <c r="O2234" t="inlineStr">
        <is>
          <t>eng</t>
        </is>
      </c>
      <c r="P2234" t="inlineStr">
        <is>
          <t>nyu</t>
        </is>
      </c>
      <c r="R2234" t="inlineStr">
        <is>
          <t xml:space="preserve">E  </t>
        </is>
      </c>
      <c r="S2234" t="n">
        <v>4</v>
      </c>
      <c r="T2234" t="n">
        <v>4</v>
      </c>
      <c r="U2234" t="inlineStr">
        <is>
          <t>1997-04-22</t>
        </is>
      </c>
      <c r="V2234" t="inlineStr">
        <is>
          <t>1997-04-22</t>
        </is>
      </c>
      <c r="W2234" t="inlineStr">
        <is>
          <t>1991-06-26</t>
        </is>
      </c>
      <c r="X2234" t="inlineStr">
        <is>
          <t>1991-06-26</t>
        </is>
      </c>
      <c r="Y2234" t="n">
        <v>252</v>
      </c>
      <c r="Z2234" t="n">
        <v>220</v>
      </c>
      <c r="AA2234" t="n">
        <v>242</v>
      </c>
      <c r="AB2234" t="n">
        <v>3</v>
      </c>
      <c r="AC2234" t="n">
        <v>3</v>
      </c>
      <c r="AD2234" t="n">
        <v>10</v>
      </c>
      <c r="AE2234" t="n">
        <v>10</v>
      </c>
      <c r="AF2234" t="n">
        <v>3</v>
      </c>
      <c r="AG2234" t="n">
        <v>3</v>
      </c>
      <c r="AH2234" t="n">
        <v>3</v>
      </c>
      <c r="AI2234" t="n">
        <v>3</v>
      </c>
      <c r="AJ2234" t="n">
        <v>6</v>
      </c>
      <c r="AK2234" t="n">
        <v>6</v>
      </c>
      <c r="AL2234" t="n">
        <v>2</v>
      </c>
      <c r="AM2234" t="n">
        <v>2</v>
      </c>
      <c r="AN2234" t="n">
        <v>0</v>
      </c>
      <c r="AO2234" t="n">
        <v>0</v>
      </c>
      <c r="AP2234" t="inlineStr">
        <is>
          <t>No</t>
        </is>
      </c>
      <c r="AQ2234" t="inlineStr">
        <is>
          <t>Yes</t>
        </is>
      </c>
      <c r="AR2234">
        <f>HYPERLINK("http://catalog.hathitrust.org/Record/000425823","HathiTrust Record")</f>
        <v/>
      </c>
      <c r="AS2234">
        <f>HYPERLINK("https://creighton-primo.hosted.exlibrisgroup.com/primo-explore/search?tab=default_tab&amp;search_scope=EVERYTHING&amp;vid=01CRU&amp;lang=en_US&amp;offset=0&amp;query=any,contains,991000649329702656","Catalog Record")</f>
        <v/>
      </c>
      <c r="AT2234">
        <f>HYPERLINK("http://www.worldcat.org/oclc/12160491","WorldCat Record")</f>
        <v/>
      </c>
      <c r="AU2234" t="inlineStr">
        <is>
          <t>54715879:eng</t>
        </is>
      </c>
      <c r="AV2234" t="inlineStr">
        <is>
          <t>12160491</t>
        </is>
      </c>
      <c r="AW2234" t="inlineStr">
        <is>
          <t>991000649329702656</t>
        </is>
      </c>
      <c r="AX2234" t="inlineStr">
        <is>
          <t>991000649329702656</t>
        </is>
      </c>
      <c r="AY2234" t="inlineStr">
        <is>
          <t>2271216380002656</t>
        </is>
      </c>
      <c r="AZ2234" t="inlineStr">
        <is>
          <t>BOOK</t>
        </is>
      </c>
      <c r="BB2234" t="inlineStr">
        <is>
          <t>9780030019678</t>
        </is>
      </c>
      <c r="BC2234" t="inlineStr">
        <is>
          <t>32285000671841</t>
        </is>
      </c>
      <c r="BD2234" t="inlineStr">
        <is>
          <t>893878238</t>
        </is>
      </c>
    </row>
    <row r="2235">
      <c r="A2235" t="inlineStr">
        <is>
          <t>No</t>
        </is>
      </c>
      <c r="B2235" t="inlineStr">
        <is>
          <t>E876 .F665 1993</t>
        </is>
      </c>
      <c r="C2235" t="inlineStr">
        <is>
          <t>0                      E  0876000F  665         1993</t>
        </is>
      </c>
      <c r="D2235" t="inlineStr">
        <is>
          <t>Foreign policy in the Reagan presidency : nine intimate perspectives / Sterling Kernek ... [et al.] ; edited by Kenneth W. Thompson.</t>
        </is>
      </c>
      <c r="F2235" t="inlineStr">
        <is>
          <t>No</t>
        </is>
      </c>
      <c r="G2235" t="inlineStr">
        <is>
          <t>1</t>
        </is>
      </c>
      <c r="H2235" t="inlineStr">
        <is>
          <t>No</t>
        </is>
      </c>
      <c r="I2235" t="inlineStr">
        <is>
          <t>No</t>
        </is>
      </c>
      <c r="J2235" t="inlineStr">
        <is>
          <t>0</t>
        </is>
      </c>
      <c r="L2235" t="inlineStr">
        <is>
          <t>Lanham, MD : University Press of America, 1993.</t>
        </is>
      </c>
      <c r="M2235" t="inlineStr">
        <is>
          <t>1993</t>
        </is>
      </c>
      <c r="O2235" t="inlineStr">
        <is>
          <t>eng</t>
        </is>
      </c>
      <c r="P2235" t="inlineStr">
        <is>
          <t>mdu</t>
        </is>
      </c>
      <c r="R2235" t="inlineStr">
        <is>
          <t xml:space="preserve">E  </t>
        </is>
      </c>
      <c r="S2235" t="n">
        <v>11</v>
      </c>
      <c r="T2235" t="n">
        <v>11</v>
      </c>
      <c r="U2235" t="inlineStr">
        <is>
          <t>2005-03-07</t>
        </is>
      </c>
      <c r="V2235" t="inlineStr">
        <is>
          <t>2005-03-07</t>
        </is>
      </c>
      <c r="W2235" t="inlineStr">
        <is>
          <t>1993-12-10</t>
        </is>
      </c>
      <c r="X2235" t="inlineStr">
        <is>
          <t>1993-12-10</t>
        </is>
      </c>
      <c r="Y2235" t="n">
        <v>190</v>
      </c>
      <c r="Z2235" t="n">
        <v>158</v>
      </c>
      <c r="AA2235" t="n">
        <v>165</v>
      </c>
      <c r="AB2235" t="n">
        <v>1</v>
      </c>
      <c r="AC2235" t="n">
        <v>1</v>
      </c>
      <c r="AD2235" t="n">
        <v>6</v>
      </c>
      <c r="AE2235" t="n">
        <v>6</v>
      </c>
      <c r="AF2235" t="n">
        <v>1</v>
      </c>
      <c r="AG2235" t="n">
        <v>1</v>
      </c>
      <c r="AH2235" t="n">
        <v>1</v>
      </c>
      <c r="AI2235" t="n">
        <v>1</v>
      </c>
      <c r="AJ2235" t="n">
        <v>4</v>
      </c>
      <c r="AK2235" t="n">
        <v>4</v>
      </c>
      <c r="AL2235" t="n">
        <v>0</v>
      </c>
      <c r="AM2235" t="n">
        <v>0</v>
      </c>
      <c r="AN2235" t="n">
        <v>1</v>
      </c>
      <c r="AO2235" t="n">
        <v>1</v>
      </c>
      <c r="AP2235" t="inlineStr">
        <is>
          <t>No</t>
        </is>
      </c>
      <c r="AQ2235" t="inlineStr">
        <is>
          <t>Yes</t>
        </is>
      </c>
      <c r="AR2235">
        <f>HYPERLINK("http://catalog.hathitrust.org/Record/002791833","HathiTrust Record")</f>
        <v/>
      </c>
      <c r="AS2235">
        <f>HYPERLINK("https://creighton-primo.hosted.exlibrisgroup.com/primo-explore/search?tab=default_tab&amp;search_scope=EVERYTHING&amp;vid=01CRU&amp;lang=en_US&amp;offset=0&amp;query=any,contains,991002155599702656","Catalog Record")</f>
        <v/>
      </c>
      <c r="AT2235">
        <f>HYPERLINK("http://www.worldcat.org/oclc/27770697","WorldCat Record")</f>
        <v/>
      </c>
      <c r="AU2235" t="inlineStr">
        <is>
          <t>905890501:eng</t>
        </is>
      </c>
      <c r="AV2235" t="inlineStr">
        <is>
          <t>27770697</t>
        </is>
      </c>
      <c r="AW2235" t="inlineStr">
        <is>
          <t>991002155599702656</t>
        </is>
      </c>
      <c r="AX2235" t="inlineStr">
        <is>
          <t>991002155599702656</t>
        </is>
      </c>
      <c r="AY2235" t="inlineStr">
        <is>
          <t>2260545740002656</t>
        </is>
      </c>
      <c r="AZ2235" t="inlineStr">
        <is>
          <t>BOOK</t>
        </is>
      </c>
      <c r="BB2235" t="inlineStr">
        <is>
          <t>9780819190871</t>
        </is>
      </c>
      <c r="BC2235" t="inlineStr">
        <is>
          <t>32285001815546</t>
        </is>
      </c>
      <c r="BD2235" t="inlineStr">
        <is>
          <t>893703720</t>
        </is>
      </c>
    </row>
    <row r="2236">
      <c r="A2236" t="inlineStr">
        <is>
          <t>No</t>
        </is>
      </c>
      <c r="B2236" t="inlineStr">
        <is>
          <t>E876 .G59 1984</t>
        </is>
      </c>
      <c r="C2236" t="inlineStr">
        <is>
          <t>0                      E  0876000G  59          1984</t>
        </is>
      </c>
      <c r="D2236" t="inlineStr">
        <is>
          <t>Global policy : challenge of the 80s / edited by Morton A. Kaplan.</t>
        </is>
      </c>
      <c r="F2236" t="inlineStr">
        <is>
          <t>No</t>
        </is>
      </c>
      <c r="G2236" t="inlineStr">
        <is>
          <t>1</t>
        </is>
      </c>
      <c r="H2236" t="inlineStr">
        <is>
          <t>No</t>
        </is>
      </c>
      <c r="I2236" t="inlineStr">
        <is>
          <t>No</t>
        </is>
      </c>
      <c r="J2236" t="inlineStr">
        <is>
          <t>0</t>
        </is>
      </c>
      <c r="L2236" t="inlineStr">
        <is>
          <t>Washington, DC : Washington Institute for Values in Public Policy, c1984.</t>
        </is>
      </c>
      <c r="M2236" t="inlineStr">
        <is>
          <t>1984</t>
        </is>
      </c>
      <c r="O2236" t="inlineStr">
        <is>
          <t>eng</t>
        </is>
      </c>
      <c r="P2236" t="inlineStr">
        <is>
          <t>dcu</t>
        </is>
      </c>
      <c r="R2236" t="inlineStr">
        <is>
          <t xml:space="preserve">E  </t>
        </is>
      </c>
      <c r="S2236" t="n">
        <v>6</v>
      </c>
      <c r="T2236" t="n">
        <v>6</v>
      </c>
      <c r="U2236" t="inlineStr">
        <is>
          <t>2001-03-20</t>
        </is>
      </c>
      <c r="V2236" t="inlineStr">
        <is>
          <t>2001-03-20</t>
        </is>
      </c>
      <c r="W2236" t="inlineStr">
        <is>
          <t>1991-06-26</t>
        </is>
      </c>
      <c r="X2236" t="inlineStr">
        <is>
          <t>1991-06-26</t>
        </is>
      </c>
      <c r="Y2236" t="n">
        <v>444</v>
      </c>
      <c r="Z2236" t="n">
        <v>403</v>
      </c>
      <c r="AA2236" t="n">
        <v>411</v>
      </c>
      <c r="AB2236" t="n">
        <v>6</v>
      </c>
      <c r="AC2236" t="n">
        <v>6</v>
      </c>
      <c r="AD2236" t="n">
        <v>20</v>
      </c>
      <c r="AE2236" t="n">
        <v>20</v>
      </c>
      <c r="AF2236" t="n">
        <v>9</v>
      </c>
      <c r="AG2236" t="n">
        <v>9</v>
      </c>
      <c r="AH2236" t="n">
        <v>5</v>
      </c>
      <c r="AI2236" t="n">
        <v>5</v>
      </c>
      <c r="AJ2236" t="n">
        <v>6</v>
      </c>
      <c r="AK2236" t="n">
        <v>6</v>
      </c>
      <c r="AL2236" t="n">
        <v>5</v>
      </c>
      <c r="AM2236" t="n">
        <v>5</v>
      </c>
      <c r="AN2236" t="n">
        <v>0</v>
      </c>
      <c r="AO2236" t="n">
        <v>0</v>
      </c>
      <c r="AP2236" t="inlineStr">
        <is>
          <t>No</t>
        </is>
      </c>
      <c r="AQ2236" t="inlineStr">
        <is>
          <t>Yes</t>
        </is>
      </c>
      <c r="AR2236">
        <f>HYPERLINK("http://catalog.hathitrust.org/Record/000288536","HathiTrust Record")</f>
        <v/>
      </c>
      <c r="AS2236">
        <f>HYPERLINK("https://creighton-primo.hosted.exlibrisgroup.com/primo-explore/search?tab=default_tab&amp;search_scope=EVERYTHING&amp;vid=01CRU&amp;lang=en_US&amp;offset=0&amp;query=any,contains,991000411889702656","Catalog Record")</f>
        <v/>
      </c>
      <c r="AT2236">
        <f>HYPERLINK("http://www.worldcat.org/oclc/10711504","WorldCat Record")</f>
        <v/>
      </c>
      <c r="AU2236" t="inlineStr">
        <is>
          <t>946260294:eng</t>
        </is>
      </c>
      <c r="AV2236" t="inlineStr">
        <is>
          <t>10711504</t>
        </is>
      </c>
      <c r="AW2236" t="inlineStr">
        <is>
          <t>991000411889702656</t>
        </is>
      </c>
      <c r="AX2236" t="inlineStr">
        <is>
          <t>991000411889702656</t>
        </is>
      </c>
      <c r="AY2236" t="inlineStr">
        <is>
          <t>2260233390002656</t>
        </is>
      </c>
      <c r="AZ2236" t="inlineStr">
        <is>
          <t>BOOK</t>
        </is>
      </c>
      <c r="BB2236" t="inlineStr">
        <is>
          <t>9780887020018</t>
        </is>
      </c>
      <c r="BC2236" t="inlineStr">
        <is>
          <t>32285000671908</t>
        </is>
      </c>
      <c r="BD2236" t="inlineStr">
        <is>
          <t>893620455</t>
        </is>
      </c>
    </row>
    <row r="2237">
      <c r="A2237" t="inlineStr">
        <is>
          <t>No</t>
        </is>
      </c>
      <c r="B2237" t="inlineStr">
        <is>
          <t>E876 .H34 1984</t>
        </is>
      </c>
      <c r="C2237" t="inlineStr">
        <is>
          <t>0                      E  0876000H  34          1984</t>
        </is>
      </c>
      <c r="D2237" t="inlineStr">
        <is>
          <t>Caveat : realism, Reagan, and foreign policy / Alexander M. Haig, Jr.</t>
        </is>
      </c>
      <c r="F2237" t="inlineStr">
        <is>
          <t>No</t>
        </is>
      </c>
      <c r="G2237" t="inlineStr">
        <is>
          <t>1</t>
        </is>
      </c>
      <c r="H2237" t="inlineStr">
        <is>
          <t>No</t>
        </is>
      </c>
      <c r="I2237" t="inlineStr">
        <is>
          <t>No</t>
        </is>
      </c>
      <c r="J2237" t="inlineStr">
        <is>
          <t>0</t>
        </is>
      </c>
      <c r="K2237" t="inlineStr">
        <is>
          <t>Haig, Alexander Meigs, 1924-2010.</t>
        </is>
      </c>
      <c r="L2237" t="inlineStr">
        <is>
          <t>New York : Macmillan, c1984.</t>
        </is>
      </c>
      <c r="M2237" t="inlineStr">
        <is>
          <t>1984</t>
        </is>
      </c>
      <c r="O2237" t="inlineStr">
        <is>
          <t>eng</t>
        </is>
      </c>
      <c r="P2237" t="inlineStr">
        <is>
          <t>nyu</t>
        </is>
      </c>
      <c r="R2237" t="inlineStr">
        <is>
          <t xml:space="preserve">E  </t>
        </is>
      </c>
      <c r="S2237" t="n">
        <v>11</v>
      </c>
      <c r="T2237" t="n">
        <v>11</v>
      </c>
      <c r="U2237" t="inlineStr">
        <is>
          <t>2005-03-07</t>
        </is>
      </c>
      <c r="V2237" t="inlineStr">
        <is>
          <t>2005-03-07</t>
        </is>
      </c>
      <c r="W2237" t="inlineStr">
        <is>
          <t>1990-06-01</t>
        </is>
      </c>
      <c r="X2237" t="inlineStr">
        <is>
          <t>1990-06-01</t>
        </is>
      </c>
      <c r="Y2237" t="n">
        <v>1523</v>
      </c>
      <c r="Z2237" t="n">
        <v>1370</v>
      </c>
      <c r="AA2237" t="n">
        <v>1383</v>
      </c>
      <c r="AB2237" t="n">
        <v>10</v>
      </c>
      <c r="AC2237" t="n">
        <v>10</v>
      </c>
      <c r="AD2237" t="n">
        <v>42</v>
      </c>
      <c r="AE2237" t="n">
        <v>43</v>
      </c>
      <c r="AF2237" t="n">
        <v>18</v>
      </c>
      <c r="AG2237" t="n">
        <v>18</v>
      </c>
      <c r="AH2237" t="n">
        <v>8</v>
      </c>
      <c r="AI2237" t="n">
        <v>8</v>
      </c>
      <c r="AJ2237" t="n">
        <v>21</v>
      </c>
      <c r="AK2237" t="n">
        <v>21</v>
      </c>
      <c r="AL2237" t="n">
        <v>5</v>
      </c>
      <c r="AM2237" t="n">
        <v>5</v>
      </c>
      <c r="AN2237" t="n">
        <v>3</v>
      </c>
      <c r="AO2237" t="n">
        <v>4</v>
      </c>
      <c r="AP2237" t="inlineStr">
        <is>
          <t>No</t>
        </is>
      </c>
      <c r="AQ2237" t="inlineStr">
        <is>
          <t>Yes</t>
        </is>
      </c>
      <c r="AR2237">
        <f>HYPERLINK("http://catalog.hathitrust.org/Record/000284004","HathiTrust Record")</f>
        <v/>
      </c>
      <c r="AS2237">
        <f>HYPERLINK("https://creighton-primo.hosted.exlibrisgroup.com/primo-explore/search?tab=default_tab&amp;search_scope=EVERYTHING&amp;vid=01CRU&amp;lang=en_US&amp;offset=0&amp;query=any,contains,991000358249702656","Catalog Record")</f>
        <v/>
      </c>
      <c r="AT2237">
        <f>HYPERLINK("http://www.worldcat.org/oclc/10348694","WorldCat Record")</f>
        <v/>
      </c>
      <c r="AU2237" t="inlineStr">
        <is>
          <t>400666494:eng</t>
        </is>
      </c>
      <c r="AV2237" t="inlineStr">
        <is>
          <t>10348694</t>
        </is>
      </c>
      <c r="AW2237" t="inlineStr">
        <is>
          <t>991000358249702656</t>
        </is>
      </c>
      <c r="AX2237" t="inlineStr">
        <is>
          <t>991000358249702656</t>
        </is>
      </c>
      <c r="AY2237" t="inlineStr">
        <is>
          <t>2264284310002656</t>
        </is>
      </c>
      <c r="AZ2237" t="inlineStr">
        <is>
          <t>BOOK</t>
        </is>
      </c>
      <c r="BB2237" t="inlineStr">
        <is>
          <t>9780025473706</t>
        </is>
      </c>
      <c r="BC2237" t="inlineStr">
        <is>
          <t>32285000169788</t>
        </is>
      </c>
      <c r="BD2237" t="inlineStr">
        <is>
          <t>893614114</t>
        </is>
      </c>
    </row>
    <row r="2238">
      <c r="A2238" t="inlineStr">
        <is>
          <t>No</t>
        </is>
      </c>
      <c r="B2238" t="inlineStr">
        <is>
          <t>E876 .H46 1988</t>
        </is>
      </c>
      <c r="C2238" t="inlineStr">
        <is>
          <t>0                      E  0876000H  46          1988</t>
        </is>
      </c>
      <c r="D2238" t="inlineStr">
        <is>
          <t>On bended knee : the press and the Reagan presidency / Mark Hertsgaard.</t>
        </is>
      </c>
      <c r="F2238" t="inlineStr">
        <is>
          <t>No</t>
        </is>
      </c>
      <c r="G2238" t="inlineStr">
        <is>
          <t>1</t>
        </is>
      </c>
      <c r="H2238" t="inlineStr">
        <is>
          <t>No</t>
        </is>
      </c>
      <c r="I2238" t="inlineStr">
        <is>
          <t>No</t>
        </is>
      </c>
      <c r="J2238" t="inlineStr">
        <is>
          <t>0</t>
        </is>
      </c>
      <c r="K2238" t="inlineStr">
        <is>
          <t>Hertsgaard, Mark, 1956-</t>
        </is>
      </c>
      <c r="L2238" t="inlineStr">
        <is>
          <t>New York : Farrar, Straus, Giroux, c1988, 1989 printing.</t>
        </is>
      </c>
      <c r="M2238" t="inlineStr">
        <is>
          <t>1988</t>
        </is>
      </c>
      <c r="N2238" t="inlineStr">
        <is>
          <t>1st ed.</t>
        </is>
      </c>
      <c r="O2238" t="inlineStr">
        <is>
          <t>eng</t>
        </is>
      </c>
      <c r="P2238" t="inlineStr">
        <is>
          <t>nyu</t>
        </is>
      </c>
      <c r="R2238" t="inlineStr">
        <is>
          <t xml:space="preserve">E  </t>
        </is>
      </c>
      <c r="S2238" t="n">
        <v>5</v>
      </c>
      <c r="T2238" t="n">
        <v>5</v>
      </c>
      <c r="U2238" t="inlineStr">
        <is>
          <t>1996-04-08</t>
        </is>
      </c>
      <c r="V2238" t="inlineStr">
        <is>
          <t>1996-04-08</t>
        </is>
      </c>
      <c r="W2238" t="inlineStr">
        <is>
          <t>1991-06-26</t>
        </is>
      </c>
      <c r="X2238" t="inlineStr">
        <is>
          <t>1991-06-26</t>
        </is>
      </c>
      <c r="Y2238" t="n">
        <v>1095</v>
      </c>
      <c r="Z2238" t="n">
        <v>1034</v>
      </c>
      <c r="AA2238" t="n">
        <v>1133</v>
      </c>
      <c r="AB2238" t="n">
        <v>6</v>
      </c>
      <c r="AC2238" t="n">
        <v>7</v>
      </c>
      <c r="AD2238" t="n">
        <v>34</v>
      </c>
      <c r="AE2238" t="n">
        <v>38</v>
      </c>
      <c r="AF2238" t="n">
        <v>13</v>
      </c>
      <c r="AG2238" t="n">
        <v>16</v>
      </c>
      <c r="AH2238" t="n">
        <v>8</v>
      </c>
      <c r="AI2238" t="n">
        <v>8</v>
      </c>
      <c r="AJ2238" t="n">
        <v>16</v>
      </c>
      <c r="AK2238" t="n">
        <v>18</v>
      </c>
      <c r="AL2238" t="n">
        <v>4</v>
      </c>
      <c r="AM2238" t="n">
        <v>4</v>
      </c>
      <c r="AN2238" t="n">
        <v>0</v>
      </c>
      <c r="AO2238" t="n">
        <v>0</v>
      </c>
      <c r="AP2238" t="inlineStr">
        <is>
          <t>No</t>
        </is>
      </c>
      <c r="AQ2238" t="inlineStr">
        <is>
          <t>No</t>
        </is>
      </c>
      <c r="AS2238">
        <f>HYPERLINK("https://creighton-primo.hosted.exlibrisgroup.com/primo-explore/search?tab=default_tab&amp;search_scope=EVERYTHING&amp;vid=01CRU&amp;lang=en_US&amp;offset=0&amp;query=any,contains,991001257139702656","Catalog Record")</f>
        <v/>
      </c>
      <c r="AT2238">
        <f>HYPERLINK("http://www.worldcat.org/oclc/17732327","WorldCat Record")</f>
        <v/>
      </c>
      <c r="AU2238" t="inlineStr">
        <is>
          <t>16750701:eng</t>
        </is>
      </c>
      <c r="AV2238" t="inlineStr">
        <is>
          <t>17732327</t>
        </is>
      </c>
      <c r="AW2238" t="inlineStr">
        <is>
          <t>991001257139702656</t>
        </is>
      </c>
      <c r="AX2238" t="inlineStr">
        <is>
          <t>991001257139702656</t>
        </is>
      </c>
      <c r="AY2238" t="inlineStr">
        <is>
          <t>2270970410002656</t>
        </is>
      </c>
      <c r="AZ2238" t="inlineStr">
        <is>
          <t>BOOK</t>
        </is>
      </c>
      <c r="BB2238" t="inlineStr">
        <is>
          <t>9780374251970</t>
        </is>
      </c>
      <c r="BC2238" t="inlineStr">
        <is>
          <t>32285000671916</t>
        </is>
      </c>
      <c r="BD2238" t="inlineStr">
        <is>
          <t>893784970</t>
        </is>
      </c>
    </row>
    <row r="2239">
      <c r="A2239" t="inlineStr">
        <is>
          <t>No</t>
        </is>
      </c>
      <c r="B2239" t="inlineStr">
        <is>
          <t>E876 .H56 1992</t>
        </is>
      </c>
      <c r="C2239" t="inlineStr">
        <is>
          <t>0                      E  0876000H  56          1992</t>
        </is>
      </c>
      <c r="D2239" t="inlineStr">
        <is>
          <t>People, polls, and policymakers : American public opinion and national security / Ronald H. Hinckley.</t>
        </is>
      </c>
      <c r="F2239" t="inlineStr">
        <is>
          <t>No</t>
        </is>
      </c>
      <c r="G2239" t="inlineStr">
        <is>
          <t>1</t>
        </is>
      </c>
      <c r="H2239" t="inlineStr">
        <is>
          <t>No</t>
        </is>
      </c>
      <c r="I2239" t="inlineStr">
        <is>
          <t>No</t>
        </is>
      </c>
      <c r="J2239" t="inlineStr">
        <is>
          <t>0</t>
        </is>
      </c>
      <c r="K2239" t="inlineStr">
        <is>
          <t>Hinckley, Ronald H.</t>
        </is>
      </c>
      <c r="L2239" t="inlineStr">
        <is>
          <t>New York : Lexington Books ; Toronto : Maxwell Macmillan Canada ; New York : Maxwell Macmillan International, c1992.</t>
        </is>
      </c>
      <c r="M2239" t="inlineStr">
        <is>
          <t>1992</t>
        </is>
      </c>
      <c r="O2239" t="inlineStr">
        <is>
          <t>eng</t>
        </is>
      </c>
      <c r="P2239" t="inlineStr">
        <is>
          <t>nyu</t>
        </is>
      </c>
      <c r="R2239" t="inlineStr">
        <is>
          <t xml:space="preserve">E  </t>
        </is>
      </c>
      <c r="S2239" t="n">
        <v>3</v>
      </c>
      <c r="T2239" t="n">
        <v>3</v>
      </c>
      <c r="U2239" t="inlineStr">
        <is>
          <t>2005-04-26</t>
        </is>
      </c>
      <c r="V2239" t="inlineStr">
        <is>
          <t>2005-04-26</t>
        </is>
      </c>
      <c r="W2239" t="inlineStr">
        <is>
          <t>1992-06-10</t>
        </is>
      </c>
      <c r="X2239" t="inlineStr">
        <is>
          <t>1992-06-10</t>
        </is>
      </c>
      <c r="Y2239" t="n">
        <v>294</v>
      </c>
      <c r="Z2239" t="n">
        <v>256</v>
      </c>
      <c r="AA2239" t="n">
        <v>264</v>
      </c>
      <c r="AB2239" t="n">
        <v>3</v>
      </c>
      <c r="AC2239" t="n">
        <v>3</v>
      </c>
      <c r="AD2239" t="n">
        <v>12</v>
      </c>
      <c r="AE2239" t="n">
        <v>12</v>
      </c>
      <c r="AF2239" t="n">
        <v>2</v>
      </c>
      <c r="AG2239" t="n">
        <v>2</v>
      </c>
      <c r="AH2239" t="n">
        <v>4</v>
      </c>
      <c r="AI2239" t="n">
        <v>4</v>
      </c>
      <c r="AJ2239" t="n">
        <v>7</v>
      </c>
      <c r="AK2239" t="n">
        <v>7</v>
      </c>
      <c r="AL2239" t="n">
        <v>2</v>
      </c>
      <c r="AM2239" t="n">
        <v>2</v>
      </c>
      <c r="AN2239" t="n">
        <v>0</v>
      </c>
      <c r="AO2239" t="n">
        <v>0</v>
      </c>
      <c r="AP2239" t="inlineStr">
        <is>
          <t>No</t>
        </is>
      </c>
      <c r="AQ2239" t="inlineStr">
        <is>
          <t>Yes</t>
        </is>
      </c>
      <c r="AR2239">
        <f>HYPERLINK("http://catalog.hathitrust.org/Record/002523774","HathiTrust Record")</f>
        <v/>
      </c>
      <c r="AS2239">
        <f>HYPERLINK("https://creighton-primo.hosted.exlibrisgroup.com/primo-explore/search?tab=default_tab&amp;search_scope=EVERYTHING&amp;vid=01CRU&amp;lang=en_US&amp;offset=0&amp;query=any,contains,991001885269702656","Catalog Record")</f>
        <v/>
      </c>
      <c r="AT2239">
        <f>HYPERLINK("http://www.worldcat.org/oclc/23766668","WorldCat Record")</f>
        <v/>
      </c>
      <c r="AU2239" t="inlineStr">
        <is>
          <t>370839838:eng</t>
        </is>
      </c>
      <c r="AV2239" t="inlineStr">
        <is>
          <t>23766668</t>
        </is>
      </c>
      <c r="AW2239" t="inlineStr">
        <is>
          <t>991001885269702656</t>
        </is>
      </c>
      <c r="AX2239" t="inlineStr">
        <is>
          <t>991001885269702656</t>
        </is>
      </c>
      <c r="AY2239" t="inlineStr">
        <is>
          <t>2269445060002656</t>
        </is>
      </c>
      <c r="AZ2239" t="inlineStr">
        <is>
          <t>BOOK</t>
        </is>
      </c>
      <c r="BB2239" t="inlineStr">
        <is>
          <t>9780669272819</t>
        </is>
      </c>
      <c r="BC2239" t="inlineStr">
        <is>
          <t>32285001127157</t>
        </is>
      </c>
      <c r="BD2239" t="inlineStr">
        <is>
          <t>893779163</t>
        </is>
      </c>
    </row>
    <row r="2240">
      <c r="A2240" t="inlineStr">
        <is>
          <t>No</t>
        </is>
      </c>
      <c r="B2240" t="inlineStr">
        <is>
          <t>E876 .I735 1993</t>
        </is>
      </c>
      <c r="C2240" t="inlineStr">
        <is>
          <t>0                      E  0876000I  735         1993</t>
        </is>
      </c>
      <c r="D2240" t="inlineStr">
        <is>
          <t>The Iran-Contra scandal : the declassified history / edited by Peter Kornbluh and Malcolm Byrne.</t>
        </is>
      </c>
      <c r="F2240" t="inlineStr">
        <is>
          <t>No</t>
        </is>
      </c>
      <c r="G2240" t="inlineStr">
        <is>
          <t>1</t>
        </is>
      </c>
      <c r="H2240" t="inlineStr">
        <is>
          <t>No</t>
        </is>
      </c>
      <c r="I2240" t="inlineStr">
        <is>
          <t>No</t>
        </is>
      </c>
      <c r="J2240" t="inlineStr">
        <is>
          <t>0</t>
        </is>
      </c>
      <c r="L2240" t="inlineStr">
        <is>
          <t>New York : New Press : Distributed by W.W. Norton, 1993.</t>
        </is>
      </c>
      <c r="M2240" t="inlineStr">
        <is>
          <t>1993</t>
        </is>
      </c>
      <c r="N2240" t="inlineStr">
        <is>
          <t>1st ed.</t>
        </is>
      </c>
      <c r="O2240" t="inlineStr">
        <is>
          <t>eng</t>
        </is>
      </c>
      <c r="P2240" t="inlineStr">
        <is>
          <t>nyu</t>
        </is>
      </c>
      <c r="R2240" t="inlineStr">
        <is>
          <t xml:space="preserve">E  </t>
        </is>
      </c>
      <c r="S2240" t="n">
        <v>6</v>
      </c>
      <c r="T2240" t="n">
        <v>6</v>
      </c>
      <c r="U2240" t="inlineStr">
        <is>
          <t>1999-03-30</t>
        </is>
      </c>
      <c r="V2240" t="inlineStr">
        <is>
          <t>1999-03-30</t>
        </is>
      </c>
      <c r="W2240" t="inlineStr">
        <is>
          <t>1996-05-14</t>
        </is>
      </c>
      <c r="X2240" t="inlineStr">
        <is>
          <t>1996-05-14</t>
        </is>
      </c>
      <c r="Y2240" t="n">
        <v>1075</v>
      </c>
      <c r="Z2240" t="n">
        <v>981</v>
      </c>
      <c r="AA2240" t="n">
        <v>985</v>
      </c>
      <c r="AB2240" t="n">
        <v>7</v>
      </c>
      <c r="AC2240" t="n">
        <v>7</v>
      </c>
      <c r="AD2240" t="n">
        <v>35</v>
      </c>
      <c r="AE2240" t="n">
        <v>35</v>
      </c>
      <c r="AF2240" t="n">
        <v>12</v>
      </c>
      <c r="AG2240" t="n">
        <v>12</v>
      </c>
      <c r="AH2240" t="n">
        <v>8</v>
      </c>
      <c r="AI2240" t="n">
        <v>8</v>
      </c>
      <c r="AJ2240" t="n">
        <v>17</v>
      </c>
      <c r="AK2240" t="n">
        <v>17</v>
      </c>
      <c r="AL2240" t="n">
        <v>5</v>
      </c>
      <c r="AM2240" t="n">
        <v>5</v>
      </c>
      <c r="AN2240" t="n">
        <v>1</v>
      </c>
      <c r="AO2240" t="n">
        <v>1</v>
      </c>
      <c r="AP2240" t="inlineStr">
        <is>
          <t>No</t>
        </is>
      </c>
      <c r="AQ2240" t="inlineStr">
        <is>
          <t>No</t>
        </is>
      </c>
      <c r="AS2240">
        <f>HYPERLINK("https://creighton-primo.hosted.exlibrisgroup.com/primo-explore/search?tab=default_tab&amp;search_scope=EVERYTHING&amp;vid=01CRU&amp;lang=en_US&amp;offset=0&amp;query=any,contains,991002139469702656","Catalog Record")</f>
        <v/>
      </c>
      <c r="AT2240">
        <f>HYPERLINK("http://www.worldcat.org/oclc/27430909","WorldCat Record")</f>
        <v/>
      </c>
      <c r="AU2240" t="inlineStr">
        <is>
          <t>889918314:eng</t>
        </is>
      </c>
      <c r="AV2240" t="inlineStr">
        <is>
          <t>27430909</t>
        </is>
      </c>
      <c r="AW2240" t="inlineStr">
        <is>
          <t>991002139469702656</t>
        </is>
      </c>
      <c r="AX2240" t="inlineStr">
        <is>
          <t>991002139469702656</t>
        </is>
      </c>
      <c r="AY2240" t="inlineStr">
        <is>
          <t>2266045200002656</t>
        </is>
      </c>
      <c r="AZ2240" t="inlineStr">
        <is>
          <t>BOOK</t>
        </is>
      </c>
      <c r="BB2240" t="inlineStr">
        <is>
          <t>9781565840249</t>
        </is>
      </c>
      <c r="BC2240" t="inlineStr">
        <is>
          <t>32285002167392</t>
        </is>
      </c>
      <c r="BD2240" t="inlineStr">
        <is>
          <t>893685003</t>
        </is>
      </c>
    </row>
    <row r="2241">
      <c r="A2241" t="inlineStr">
        <is>
          <t>No</t>
        </is>
      </c>
      <c r="B2241" t="inlineStr">
        <is>
          <t>E876 .J64 1992</t>
        </is>
      </c>
      <c r="C2241" t="inlineStr">
        <is>
          <t>0                      E  0876000J  64          1992</t>
        </is>
      </c>
      <c r="D2241" t="inlineStr">
        <is>
          <t>Sleepwalking through history : America in the Reagan years / Haynes Johnson.</t>
        </is>
      </c>
      <c r="F2241" t="inlineStr">
        <is>
          <t>No</t>
        </is>
      </c>
      <c r="G2241" t="inlineStr">
        <is>
          <t>1</t>
        </is>
      </c>
      <c r="H2241" t="inlineStr">
        <is>
          <t>No</t>
        </is>
      </c>
      <c r="I2241" t="inlineStr">
        <is>
          <t>No</t>
        </is>
      </c>
      <c r="J2241" t="inlineStr">
        <is>
          <t>0</t>
        </is>
      </c>
      <c r="K2241" t="inlineStr">
        <is>
          <t>Johnson, Haynes, 1931-2013.</t>
        </is>
      </c>
      <c r="L2241" t="inlineStr">
        <is>
          <t>New York : Anchor Books, 1992.</t>
        </is>
      </c>
      <c r="M2241" t="inlineStr">
        <is>
          <t>1992</t>
        </is>
      </c>
      <c r="N2241" t="inlineStr">
        <is>
          <t>1st Anchor Books ed.</t>
        </is>
      </c>
      <c r="O2241" t="inlineStr">
        <is>
          <t>eng</t>
        </is>
      </c>
      <c r="P2241" t="inlineStr">
        <is>
          <t>nyu</t>
        </is>
      </c>
      <c r="R2241" t="inlineStr">
        <is>
          <t xml:space="preserve">E  </t>
        </is>
      </c>
      <c r="S2241" t="n">
        <v>12</v>
      </c>
      <c r="T2241" t="n">
        <v>12</v>
      </c>
      <c r="U2241" t="inlineStr">
        <is>
          <t>1999-05-01</t>
        </is>
      </c>
      <c r="V2241" t="inlineStr">
        <is>
          <t>1999-05-01</t>
        </is>
      </c>
      <c r="W2241" t="inlineStr">
        <is>
          <t>1996-12-12</t>
        </is>
      </c>
      <c r="X2241" t="inlineStr">
        <is>
          <t>1996-12-12</t>
        </is>
      </c>
      <c r="Y2241" t="n">
        <v>362</v>
      </c>
      <c r="Z2241" t="n">
        <v>334</v>
      </c>
      <c r="AA2241" t="n">
        <v>2176</v>
      </c>
      <c r="AB2241" t="n">
        <v>5</v>
      </c>
      <c r="AC2241" t="n">
        <v>20</v>
      </c>
      <c r="AD2241" t="n">
        <v>8</v>
      </c>
      <c r="AE2241" t="n">
        <v>49</v>
      </c>
      <c r="AF2241" t="n">
        <v>2</v>
      </c>
      <c r="AG2241" t="n">
        <v>20</v>
      </c>
      <c r="AH2241" t="n">
        <v>1</v>
      </c>
      <c r="AI2241" t="n">
        <v>9</v>
      </c>
      <c r="AJ2241" t="n">
        <v>3</v>
      </c>
      <c r="AK2241" t="n">
        <v>20</v>
      </c>
      <c r="AL2241" t="n">
        <v>3</v>
      </c>
      <c r="AM2241" t="n">
        <v>10</v>
      </c>
      <c r="AN2241" t="n">
        <v>0</v>
      </c>
      <c r="AO2241" t="n">
        <v>1</v>
      </c>
      <c r="AP2241" t="inlineStr">
        <is>
          <t>No</t>
        </is>
      </c>
      <c r="AQ2241" t="inlineStr">
        <is>
          <t>Yes</t>
        </is>
      </c>
      <c r="AR2241">
        <f>HYPERLINK("http://catalog.hathitrust.org/Record/003476152","HathiTrust Record")</f>
        <v/>
      </c>
      <c r="AS2241">
        <f>HYPERLINK("https://creighton-primo.hosted.exlibrisgroup.com/primo-explore/search?tab=default_tab&amp;search_scope=EVERYTHING&amp;vid=01CRU&amp;lang=en_US&amp;offset=0&amp;query=any,contains,991001939159702656","Catalog Record")</f>
        <v/>
      </c>
      <c r="AT2241">
        <f>HYPERLINK("http://www.worldcat.org/oclc/24502630","WorldCat Record")</f>
        <v/>
      </c>
      <c r="AU2241" t="inlineStr">
        <is>
          <t>690501:eng</t>
        </is>
      </c>
      <c r="AV2241" t="inlineStr">
        <is>
          <t>24502630</t>
        </is>
      </c>
      <c r="AW2241" t="inlineStr">
        <is>
          <t>991001939159702656</t>
        </is>
      </c>
      <c r="AX2241" t="inlineStr">
        <is>
          <t>991001939159702656</t>
        </is>
      </c>
      <c r="AY2241" t="inlineStr">
        <is>
          <t>2266522380002656</t>
        </is>
      </c>
      <c r="AZ2241" t="inlineStr">
        <is>
          <t>BOOK</t>
        </is>
      </c>
      <c r="BB2241" t="inlineStr">
        <is>
          <t>9780385422598</t>
        </is>
      </c>
      <c r="BC2241" t="inlineStr">
        <is>
          <t>32285002392743</t>
        </is>
      </c>
      <c r="BD2241" t="inlineStr">
        <is>
          <t>893346920</t>
        </is>
      </c>
    </row>
    <row r="2242">
      <c r="A2242" t="inlineStr">
        <is>
          <t>No</t>
        </is>
      </c>
      <c r="B2242" t="inlineStr">
        <is>
          <t>E876 .K57 1983</t>
        </is>
      </c>
      <c r="C2242" t="inlineStr">
        <is>
          <t>0                      E  0876000K  57          1983</t>
        </is>
      </c>
      <c r="D2242" t="inlineStr">
        <is>
          <t>The Reagan phenomenon, and other speeches on foreign policy / Jeane J. Kirkpatrick.</t>
        </is>
      </c>
      <c r="F2242" t="inlineStr">
        <is>
          <t>No</t>
        </is>
      </c>
      <c r="G2242" t="inlineStr">
        <is>
          <t>1</t>
        </is>
      </c>
      <c r="H2242" t="inlineStr">
        <is>
          <t>No</t>
        </is>
      </c>
      <c r="I2242" t="inlineStr">
        <is>
          <t>No</t>
        </is>
      </c>
      <c r="J2242" t="inlineStr">
        <is>
          <t>0</t>
        </is>
      </c>
      <c r="K2242" t="inlineStr">
        <is>
          <t>Kirkpatrick, Jeane J.</t>
        </is>
      </c>
      <c r="L2242" t="inlineStr">
        <is>
          <t>Washington : American Enterprise Institute for Public Policy Research, c1983.</t>
        </is>
      </c>
      <c r="M2242" t="inlineStr">
        <is>
          <t>1983</t>
        </is>
      </c>
      <c r="O2242" t="inlineStr">
        <is>
          <t>eng</t>
        </is>
      </c>
      <c r="P2242" t="inlineStr">
        <is>
          <t>dcu</t>
        </is>
      </c>
      <c r="Q2242" t="inlineStr">
        <is>
          <t>AEI special</t>
        </is>
      </c>
      <c r="R2242" t="inlineStr">
        <is>
          <t xml:space="preserve">E  </t>
        </is>
      </c>
      <c r="S2242" t="n">
        <v>6</v>
      </c>
      <c r="T2242" t="n">
        <v>6</v>
      </c>
      <c r="U2242" t="inlineStr">
        <is>
          <t>2005-03-07</t>
        </is>
      </c>
      <c r="V2242" t="inlineStr">
        <is>
          <t>2005-03-07</t>
        </is>
      </c>
      <c r="W2242" t="inlineStr">
        <is>
          <t>1991-06-26</t>
        </is>
      </c>
      <c r="X2242" t="inlineStr">
        <is>
          <t>1991-06-26</t>
        </is>
      </c>
      <c r="Y2242" t="n">
        <v>785</v>
      </c>
      <c r="Z2242" t="n">
        <v>701</v>
      </c>
      <c r="AA2242" t="n">
        <v>722</v>
      </c>
      <c r="AB2242" t="n">
        <v>4</v>
      </c>
      <c r="AC2242" t="n">
        <v>4</v>
      </c>
      <c r="AD2242" t="n">
        <v>34</v>
      </c>
      <c r="AE2242" t="n">
        <v>35</v>
      </c>
      <c r="AF2242" t="n">
        <v>13</v>
      </c>
      <c r="AG2242" t="n">
        <v>14</v>
      </c>
      <c r="AH2242" t="n">
        <v>8</v>
      </c>
      <c r="AI2242" t="n">
        <v>8</v>
      </c>
      <c r="AJ2242" t="n">
        <v>12</v>
      </c>
      <c r="AK2242" t="n">
        <v>12</v>
      </c>
      <c r="AL2242" t="n">
        <v>3</v>
      </c>
      <c r="AM2242" t="n">
        <v>3</v>
      </c>
      <c r="AN2242" t="n">
        <v>5</v>
      </c>
      <c r="AO2242" t="n">
        <v>5</v>
      </c>
      <c r="AP2242" t="inlineStr">
        <is>
          <t>No</t>
        </is>
      </c>
      <c r="AQ2242" t="inlineStr">
        <is>
          <t>Yes</t>
        </is>
      </c>
      <c r="AR2242">
        <f>HYPERLINK("http://catalog.hathitrust.org/Record/000154215","HathiTrust Record")</f>
        <v/>
      </c>
      <c r="AS2242">
        <f>HYPERLINK("https://creighton-primo.hosted.exlibrisgroup.com/primo-explore/search?tab=default_tab&amp;search_scope=EVERYTHING&amp;vid=01CRU&amp;lang=en_US&amp;offset=0&amp;query=any,contains,991000075569702656","Catalog Record")</f>
        <v/>
      </c>
      <c r="AT2242">
        <f>HYPERLINK("http://www.worldcat.org/oclc/8805915","WorldCat Record")</f>
        <v/>
      </c>
      <c r="AU2242" t="inlineStr">
        <is>
          <t>3594905:eng</t>
        </is>
      </c>
      <c r="AV2242" t="inlineStr">
        <is>
          <t>8805915</t>
        </is>
      </c>
      <c r="AW2242" t="inlineStr">
        <is>
          <t>991000075569702656</t>
        </is>
      </c>
      <c r="AX2242" t="inlineStr">
        <is>
          <t>991000075569702656</t>
        </is>
      </c>
      <c r="AY2242" t="inlineStr">
        <is>
          <t>2270113860002656</t>
        </is>
      </c>
      <c r="AZ2242" t="inlineStr">
        <is>
          <t>BOOK</t>
        </is>
      </c>
      <c r="BB2242" t="inlineStr">
        <is>
          <t>9780844713601</t>
        </is>
      </c>
      <c r="BC2242" t="inlineStr">
        <is>
          <t>32285000671932</t>
        </is>
      </c>
      <c r="BD2242" t="inlineStr">
        <is>
          <t>893714266</t>
        </is>
      </c>
    </row>
    <row r="2243">
      <c r="A2243" t="inlineStr">
        <is>
          <t>No</t>
        </is>
      </c>
      <c r="B2243" t="inlineStr">
        <is>
          <t>E876 .K75 1986</t>
        </is>
      </c>
      <c r="C2243" t="inlineStr">
        <is>
          <t>0                      E  0876000K  75          1986</t>
        </is>
      </c>
      <c r="D2243" t="inlineStr">
        <is>
          <t>Reagan, Thatcher, and the politics of decline / Joel Krieger.</t>
        </is>
      </c>
      <c r="F2243" t="inlineStr">
        <is>
          <t>No</t>
        </is>
      </c>
      <c r="G2243" t="inlineStr">
        <is>
          <t>1</t>
        </is>
      </c>
      <c r="H2243" t="inlineStr">
        <is>
          <t>No</t>
        </is>
      </c>
      <c r="I2243" t="inlineStr">
        <is>
          <t>No</t>
        </is>
      </c>
      <c r="J2243" t="inlineStr">
        <is>
          <t>0</t>
        </is>
      </c>
      <c r="K2243" t="inlineStr">
        <is>
          <t>Krieger, Joel, 1951-</t>
        </is>
      </c>
      <c r="L2243" t="inlineStr">
        <is>
          <t>New York : Oxford University Press, 1986.</t>
        </is>
      </c>
      <c r="M2243" t="inlineStr">
        <is>
          <t>1986</t>
        </is>
      </c>
      <c r="O2243" t="inlineStr">
        <is>
          <t>eng</t>
        </is>
      </c>
      <c r="P2243" t="inlineStr">
        <is>
          <t>nyu</t>
        </is>
      </c>
      <c r="Q2243" t="inlineStr">
        <is>
          <t>Europe and the international order</t>
        </is>
      </c>
      <c r="R2243" t="inlineStr">
        <is>
          <t xml:space="preserve">E  </t>
        </is>
      </c>
      <c r="S2243" t="n">
        <v>2</v>
      </c>
      <c r="T2243" t="n">
        <v>2</v>
      </c>
      <c r="U2243" t="inlineStr">
        <is>
          <t>2001-03-20</t>
        </is>
      </c>
      <c r="V2243" t="inlineStr">
        <is>
          <t>2001-03-20</t>
        </is>
      </c>
      <c r="W2243" t="inlineStr">
        <is>
          <t>1991-06-26</t>
        </is>
      </c>
      <c r="X2243" t="inlineStr">
        <is>
          <t>1991-06-26</t>
        </is>
      </c>
      <c r="Y2243" t="n">
        <v>531</v>
      </c>
      <c r="Z2243" t="n">
        <v>469</v>
      </c>
      <c r="AA2243" t="n">
        <v>529</v>
      </c>
      <c r="AB2243" t="n">
        <v>3</v>
      </c>
      <c r="AC2243" t="n">
        <v>4</v>
      </c>
      <c r="AD2243" t="n">
        <v>24</v>
      </c>
      <c r="AE2243" t="n">
        <v>26</v>
      </c>
      <c r="AF2243" t="n">
        <v>13</v>
      </c>
      <c r="AG2243" t="n">
        <v>13</v>
      </c>
      <c r="AH2243" t="n">
        <v>5</v>
      </c>
      <c r="AI2243" t="n">
        <v>5</v>
      </c>
      <c r="AJ2243" t="n">
        <v>10</v>
      </c>
      <c r="AK2243" t="n">
        <v>11</v>
      </c>
      <c r="AL2243" t="n">
        <v>2</v>
      </c>
      <c r="AM2243" t="n">
        <v>3</v>
      </c>
      <c r="AN2243" t="n">
        <v>0</v>
      </c>
      <c r="AO2243" t="n">
        <v>0</v>
      </c>
      <c r="AP2243" t="inlineStr">
        <is>
          <t>No</t>
        </is>
      </c>
      <c r="AQ2243" t="inlineStr">
        <is>
          <t>Yes</t>
        </is>
      </c>
      <c r="AR2243">
        <f>HYPERLINK("http://catalog.hathitrust.org/Record/000634437","HathiTrust Record")</f>
        <v/>
      </c>
      <c r="AS2243">
        <f>HYPERLINK("https://creighton-primo.hosted.exlibrisgroup.com/primo-explore/search?tab=default_tab&amp;search_scope=EVERYTHING&amp;vid=01CRU&amp;lang=en_US&amp;offset=0&amp;query=any,contains,991000845909702656","Catalog Record")</f>
        <v/>
      </c>
      <c r="AT2243">
        <f>HYPERLINK("http://www.worldcat.org/oclc/13560314","WorldCat Record")</f>
        <v/>
      </c>
      <c r="AU2243" t="inlineStr">
        <is>
          <t>6954108:eng</t>
        </is>
      </c>
      <c r="AV2243" t="inlineStr">
        <is>
          <t>13560314</t>
        </is>
      </c>
      <c r="AW2243" t="inlineStr">
        <is>
          <t>991000845909702656</t>
        </is>
      </c>
      <c r="AX2243" t="inlineStr">
        <is>
          <t>991000845909702656</t>
        </is>
      </c>
      <c r="AY2243" t="inlineStr">
        <is>
          <t>2263577760002656</t>
        </is>
      </c>
      <c r="AZ2243" t="inlineStr">
        <is>
          <t>BOOK</t>
        </is>
      </c>
      <c r="BB2243" t="inlineStr">
        <is>
          <t>9780195205299</t>
        </is>
      </c>
      <c r="BC2243" t="inlineStr">
        <is>
          <t>32285000671940</t>
        </is>
      </c>
      <c r="BD2243" t="inlineStr">
        <is>
          <t>893595942</t>
        </is>
      </c>
    </row>
    <row r="2244">
      <c r="A2244" t="inlineStr">
        <is>
          <t>No</t>
        </is>
      </c>
      <c r="B2244" t="inlineStr">
        <is>
          <t>E876 .L43 1992</t>
        </is>
      </c>
      <c r="C2244" t="inlineStr">
        <is>
          <t>0                      E  0876000L  43          1992</t>
        </is>
      </c>
      <c r="D2244" t="inlineStr">
        <is>
          <t>Leadership in the Reagan presidency / edited by Kenneth W. Thompson.</t>
        </is>
      </c>
      <c r="E2244" t="inlineStr">
        <is>
          <t>V.1</t>
        </is>
      </c>
      <c r="F2244" t="inlineStr">
        <is>
          <t>Yes</t>
        </is>
      </c>
      <c r="G2244" t="inlineStr">
        <is>
          <t>1</t>
        </is>
      </c>
      <c r="H2244" t="inlineStr">
        <is>
          <t>No</t>
        </is>
      </c>
      <c r="I2244" t="inlineStr">
        <is>
          <t>No</t>
        </is>
      </c>
      <c r="J2244" t="inlineStr">
        <is>
          <t>0</t>
        </is>
      </c>
      <c r="L2244" t="inlineStr">
        <is>
          <t>Lanham, Md. : Madison Books, c1992-c1993.</t>
        </is>
      </c>
      <c r="M2244" t="inlineStr">
        <is>
          <t>1992</t>
        </is>
      </c>
      <c r="O2244" t="inlineStr">
        <is>
          <t>eng</t>
        </is>
      </c>
      <c r="P2244" t="inlineStr">
        <is>
          <t>mdu</t>
        </is>
      </c>
      <c r="Q2244" t="inlineStr">
        <is>
          <t>Portraits of American presidents ; v. 9</t>
        </is>
      </c>
      <c r="R2244" t="inlineStr">
        <is>
          <t xml:space="preserve">E  </t>
        </is>
      </c>
      <c r="S2244" t="n">
        <v>9</v>
      </c>
      <c r="T2244" t="n">
        <v>9</v>
      </c>
      <c r="U2244" t="inlineStr">
        <is>
          <t>2000-08-07</t>
        </is>
      </c>
      <c r="V2244" t="inlineStr">
        <is>
          <t>2000-08-07</t>
        </is>
      </c>
      <c r="W2244" t="inlineStr">
        <is>
          <t>1993-12-06</t>
        </is>
      </c>
      <c r="X2244" t="inlineStr">
        <is>
          <t>1993-12-06</t>
        </is>
      </c>
      <c r="Y2244" t="n">
        <v>185</v>
      </c>
      <c r="Z2244" t="n">
        <v>168</v>
      </c>
      <c r="AA2244" t="n">
        <v>192</v>
      </c>
      <c r="AB2244" t="n">
        <v>2</v>
      </c>
      <c r="AC2244" t="n">
        <v>2</v>
      </c>
      <c r="AD2244" t="n">
        <v>11</v>
      </c>
      <c r="AE2244" t="n">
        <v>12</v>
      </c>
      <c r="AF2244" t="n">
        <v>3</v>
      </c>
      <c r="AG2244" t="n">
        <v>3</v>
      </c>
      <c r="AH2244" t="n">
        <v>2</v>
      </c>
      <c r="AI2244" t="n">
        <v>3</v>
      </c>
      <c r="AJ2244" t="n">
        <v>7</v>
      </c>
      <c r="AK2244" t="n">
        <v>8</v>
      </c>
      <c r="AL2244" t="n">
        <v>1</v>
      </c>
      <c r="AM2244" t="n">
        <v>1</v>
      </c>
      <c r="AN2244" t="n">
        <v>1</v>
      </c>
      <c r="AO2244" t="n">
        <v>1</v>
      </c>
      <c r="AP2244" t="inlineStr">
        <is>
          <t>No</t>
        </is>
      </c>
      <c r="AQ2244" t="inlineStr">
        <is>
          <t>Yes</t>
        </is>
      </c>
      <c r="AR2244">
        <f>HYPERLINK("http://catalog.hathitrust.org/Record/002611742","HathiTrust Record")</f>
        <v/>
      </c>
      <c r="AS2244">
        <f>HYPERLINK("https://creighton-primo.hosted.exlibrisgroup.com/primo-explore/search?tab=default_tab&amp;search_scope=EVERYTHING&amp;vid=01CRU&amp;lang=en_US&amp;offset=0&amp;query=any,contains,991001937069702656","Catalog Record")</f>
        <v/>
      </c>
      <c r="AT2244">
        <f>HYPERLINK("http://www.worldcat.org/oclc/24468183","WorldCat Record")</f>
        <v/>
      </c>
      <c r="AU2244" t="inlineStr">
        <is>
          <t>355302:eng</t>
        </is>
      </c>
      <c r="AV2244" t="inlineStr">
        <is>
          <t>24468183</t>
        </is>
      </c>
      <c r="AW2244" t="inlineStr">
        <is>
          <t>991001937069702656</t>
        </is>
      </c>
      <c r="AX2244" t="inlineStr">
        <is>
          <t>991001937069702656</t>
        </is>
      </c>
      <c r="AY2244" t="inlineStr">
        <is>
          <t>2271175570002656</t>
        </is>
      </c>
      <c r="AZ2244" t="inlineStr">
        <is>
          <t>BOOK</t>
        </is>
      </c>
      <c r="BB2244" t="inlineStr">
        <is>
          <t>9780819184733</t>
        </is>
      </c>
      <c r="BC2244" t="inlineStr">
        <is>
          <t>32285001814341</t>
        </is>
      </c>
      <c r="BD2244" t="inlineStr">
        <is>
          <t>893328487</t>
        </is>
      </c>
    </row>
    <row r="2245">
      <c r="A2245" t="inlineStr">
        <is>
          <t>No</t>
        </is>
      </c>
      <c r="B2245" t="inlineStr">
        <is>
          <t>E876 .L66 1990</t>
        </is>
      </c>
      <c r="C2245" t="inlineStr">
        <is>
          <t>0                      E  0876000L  66          1990</t>
        </is>
      </c>
      <c r="D2245" t="inlineStr">
        <is>
          <t>Looking back on the Reagan presidency / edited by Larry Berman.</t>
        </is>
      </c>
      <c r="F2245" t="inlineStr">
        <is>
          <t>No</t>
        </is>
      </c>
      <c r="G2245" t="inlineStr">
        <is>
          <t>1</t>
        </is>
      </c>
      <c r="H2245" t="inlineStr">
        <is>
          <t>No</t>
        </is>
      </c>
      <c r="I2245" t="inlineStr">
        <is>
          <t>No</t>
        </is>
      </c>
      <c r="J2245" t="inlineStr">
        <is>
          <t>0</t>
        </is>
      </c>
      <c r="L2245" t="inlineStr">
        <is>
          <t>Baltimore : Johns Hopkins University Press, c1990.</t>
        </is>
      </c>
      <c r="M2245" t="inlineStr">
        <is>
          <t>1990</t>
        </is>
      </c>
      <c r="O2245" t="inlineStr">
        <is>
          <t>eng</t>
        </is>
      </c>
      <c r="P2245" t="inlineStr">
        <is>
          <t>mdu</t>
        </is>
      </c>
      <c r="R2245" t="inlineStr">
        <is>
          <t xml:space="preserve">E  </t>
        </is>
      </c>
      <c r="S2245" t="n">
        <v>17</v>
      </c>
      <c r="T2245" t="n">
        <v>17</v>
      </c>
      <c r="U2245" t="inlineStr">
        <is>
          <t>2005-03-07</t>
        </is>
      </c>
      <c r="V2245" t="inlineStr">
        <is>
          <t>2005-03-07</t>
        </is>
      </c>
      <c r="W2245" t="inlineStr">
        <is>
          <t>1990-08-10</t>
        </is>
      </c>
      <c r="X2245" t="inlineStr">
        <is>
          <t>1990-08-10</t>
        </is>
      </c>
      <c r="Y2245" t="n">
        <v>956</v>
      </c>
      <c r="Z2245" t="n">
        <v>852</v>
      </c>
      <c r="AA2245" t="n">
        <v>865</v>
      </c>
      <c r="AB2245" t="n">
        <v>6</v>
      </c>
      <c r="AC2245" t="n">
        <v>6</v>
      </c>
      <c r="AD2245" t="n">
        <v>39</v>
      </c>
      <c r="AE2245" t="n">
        <v>39</v>
      </c>
      <c r="AF2245" t="n">
        <v>15</v>
      </c>
      <c r="AG2245" t="n">
        <v>15</v>
      </c>
      <c r="AH2245" t="n">
        <v>10</v>
      </c>
      <c r="AI2245" t="n">
        <v>10</v>
      </c>
      <c r="AJ2245" t="n">
        <v>18</v>
      </c>
      <c r="AK2245" t="n">
        <v>18</v>
      </c>
      <c r="AL2245" t="n">
        <v>5</v>
      </c>
      <c r="AM2245" t="n">
        <v>5</v>
      </c>
      <c r="AN2245" t="n">
        <v>0</v>
      </c>
      <c r="AO2245" t="n">
        <v>0</v>
      </c>
      <c r="AP2245" t="inlineStr">
        <is>
          <t>No</t>
        </is>
      </c>
      <c r="AQ2245" t="inlineStr">
        <is>
          <t>Yes</t>
        </is>
      </c>
      <c r="AR2245">
        <f>HYPERLINK("http://catalog.hathitrust.org/Record/002054755","HathiTrust Record")</f>
        <v/>
      </c>
      <c r="AS2245">
        <f>HYPERLINK("https://creighton-primo.hosted.exlibrisgroup.com/primo-explore/search?tab=default_tab&amp;search_scope=EVERYTHING&amp;vid=01CRU&amp;lang=en_US&amp;offset=0&amp;query=any,contains,991001571249702656","Catalog Record")</f>
        <v/>
      </c>
      <c r="AT2245">
        <f>HYPERLINK("http://www.worldcat.org/oclc/20392071","WorldCat Record")</f>
        <v/>
      </c>
      <c r="AU2245" t="inlineStr">
        <is>
          <t>25469306:eng</t>
        </is>
      </c>
      <c r="AV2245" t="inlineStr">
        <is>
          <t>20392071</t>
        </is>
      </c>
      <c r="AW2245" t="inlineStr">
        <is>
          <t>991001571249702656</t>
        </is>
      </c>
      <c r="AX2245" t="inlineStr">
        <is>
          <t>991001571249702656</t>
        </is>
      </c>
      <c r="AY2245" t="inlineStr">
        <is>
          <t>2269190650002656</t>
        </is>
      </c>
      <c r="AZ2245" t="inlineStr">
        <is>
          <t>BOOK</t>
        </is>
      </c>
      <c r="BB2245" t="inlineStr">
        <is>
          <t>9780801839221</t>
        </is>
      </c>
      <c r="BC2245" t="inlineStr">
        <is>
          <t>32285000243344</t>
        </is>
      </c>
      <c r="BD2245" t="inlineStr">
        <is>
          <t>893885375</t>
        </is>
      </c>
    </row>
    <row r="2246">
      <c r="A2246" t="inlineStr">
        <is>
          <t>No</t>
        </is>
      </c>
      <c r="B2246" t="inlineStr">
        <is>
          <t>E876 .M36 1987</t>
        </is>
      </c>
      <c r="C2246" t="inlineStr">
        <is>
          <t>0                      E  0876000M  36          1987</t>
        </is>
      </c>
      <c r="D2246" t="inlineStr">
        <is>
          <t>The Iran-Contra connection : secret teams and covert operations in the Reagan era / by Jonathan Marshall, Peter Dale Scott, Jane Hunter.</t>
        </is>
      </c>
      <c r="F2246" t="inlineStr">
        <is>
          <t>No</t>
        </is>
      </c>
      <c r="G2246" t="inlineStr">
        <is>
          <t>1</t>
        </is>
      </c>
      <c r="H2246" t="inlineStr">
        <is>
          <t>No</t>
        </is>
      </c>
      <c r="I2246" t="inlineStr">
        <is>
          <t>No</t>
        </is>
      </c>
      <c r="J2246" t="inlineStr">
        <is>
          <t>0</t>
        </is>
      </c>
      <c r="K2246" t="inlineStr">
        <is>
          <t>Marshall, Jonathan.</t>
        </is>
      </c>
      <c r="L2246" t="inlineStr">
        <is>
          <t>Boston, MA : South End Press, c1987.</t>
        </is>
      </c>
      <c r="M2246" t="inlineStr">
        <is>
          <t>1987</t>
        </is>
      </c>
      <c r="O2246" t="inlineStr">
        <is>
          <t>eng</t>
        </is>
      </c>
      <c r="P2246" t="inlineStr">
        <is>
          <t>mau</t>
        </is>
      </c>
      <c r="R2246" t="inlineStr">
        <is>
          <t xml:space="preserve">E  </t>
        </is>
      </c>
      <c r="S2246" t="n">
        <v>10</v>
      </c>
      <c r="T2246" t="n">
        <v>10</v>
      </c>
      <c r="U2246" t="inlineStr">
        <is>
          <t>2005-09-02</t>
        </is>
      </c>
      <c r="V2246" t="inlineStr">
        <is>
          <t>2005-09-02</t>
        </is>
      </c>
      <c r="W2246" t="inlineStr">
        <is>
          <t>1991-05-08</t>
        </is>
      </c>
      <c r="X2246" t="inlineStr">
        <is>
          <t>1991-05-08</t>
        </is>
      </c>
      <c r="Y2246" t="n">
        <v>630</v>
      </c>
      <c r="Z2246" t="n">
        <v>552</v>
      </c>
      <c r="AA2246" t="n">
        <v>570</v>
      </c>
      <c r="AB2246" t="n">
        <v>2</v>
      </c>
      <c r="AC2246" t="n">
        <v>3</v>
      </c>
      <c r="AD2246" t="n">
        <v>22</v>
      </c>
      <c r="AE2246" t="n">
        <v>22</v>
      </c>
      <c r="AF2246" t="n">
        <v>10</v>
      </c>
      <c r="AG2246" t="n">
        <v>10</v>
      </c>
      <c r="AH2246" t="n">
        <v>7</v>
      </c>
      <c r="AI2246" t="n">
        <v>7</v>
      </c>
      <c r="AJ2246" t="n">
        <v>11</v>
      </c>
      <c r="AK2246" t="n">
        <v>11</v>
      </c>
      <c r="AL2246" t="n">
        <v>1</v>
      </c>
      <c r="AM2246" t="n">
        <v>1</v>
      </c>
      <c r="AN2246" t="n">
        <v>0</v>
      </c>
      <c r="AO2246" t="n">
        <v>0</v>
      </c>
      <c r="AP2246" t="inlineStr">
        <is>
          <t>No</t>
        </is>
      </c>
      <c r="AQ2246" t="inlineStr">
        <is>
          <t>Yes</t>
        </is>
      </c>
      <c r="AR2246">
        <f>HYPERLINK("http://catalog.hathitrust.org/Record/000917512","HathiTrust Record")</f>
        <v/>
      </c>
      <c r="AS2246">
        <f>HYPERLINK("https://creighton-primo.hosted.exlibrisgroup.com/primo-explore/search?tab=default_tab&amp;search_scope=EVERYTHING&amp;vid=01CRU&amp;lang=en_US&amp;offset=0&amp;query=any,contains,991001073989702656","Catalog Record")</f>
        <v/>
      </c>
      <c r="AT2246">
        <f>HYPERLINK("http://www.worldcat.org/oclc/16004449","WorldCat Record")</f>
        <v/>
      </c>
      <c r="AU2246" t="inlineStr">
        <is>
          <t>10956430:eng</t>
        </is>
      </c>
      <c r="AV2246" t="inlineStr">
        <is>
          <t>16004449</t>
        </is>
      </c>
      <c r="AW2246" t="inlineStr">
        <is>
          <t>991001073989702656</t>
        </is>
      </c>
      <c r="AX2246" t="inlineStr">
        <is>
          <t>991001073989702656</t>
        </is>
      </c>
      <c r="AY2246" t="inlineStr">
        <is>
          <t>2271465800002656</t>
        </is>
      </c>
      <c r="AZ2246" t="inlineStr">
        <is>
          <t>BOOK</t>
        </is>
      </c>
      <c r="BB2246" t="inlineStr">
        <is>
          <t>9780896082915</t>
        </is>
      </c>
      <c r="BC2246" t="inlineStr">
        <is>
          <t>32285000579432</t>
        </is>
      </c>
      <c r="BD2246" t="inlineStr">
        <is>
          <t>893407802</t>
        </is>
      </c>
    </row>
    <row r="2247">
      <c r="A2247" t="inlineStr">
        <is>
          <t>No</t>
        </is>
      </c>
      <c r="B2247" t="inlineStr">
        <is>
          <t>E876 .M4 1985</t>
        </is>
      </c>
      <c r="C2247" t="inlineStr">
        <is>
          <t>0                      E  0876000M  4           1985</t>
        </is>
      </c>
      <c r="D2247" t="inlineStr">
        <is>
          <t>Reagan and the world : imperial policy in the new Cold War / Jeff McMahan.</t>
        </is>
      </c>
      <c r="F2247" t="inlineStr">
        <is>
          <t>No</t>
        </is>
      </c>
      <c r="G2247" t="inlineStr">
        <is>
          <t>1</t>
        </is>
      </c>
      <c r="H2247" t="inlineStr">
        <is>
          <t>No</t>
        </is>
      </c>
      <c r="I2247" t="inlineStr">
        <is>
          <t>No</t>
        </is>
      </c>
      <c r="J2247" t="inlineStr">
        <is>
          <t>0</t>
        </is>
      </c>
      <c r="K2247" t="inlineStr">
        <is>
          <t>McMahan, Jeff.</t>
        </is>
      </c>
      <c r="L2247" t="inlineStr">
        <is>
          <t>New York : Monthly Review Press, c1985.</t>
        </is>
      </c>
      <c r="M2247" t="inlineStr">
        <is>
          <t>1985</t>
        </is>
      </c>
      <c r="O2247" t="inlineStr">
        <is>
          <t>eng</t>
        </is>
      </c>
      <c r="P2247" t="inlineStr">
        <is>
          <t>nyu</t>
        </is>
      </c>
      <c r="R2247" t="inlineStr">
        <is>
          <t xml:space="preserve">E  </t>
        </is>
      </c>
      <c r="S2247" t="n">
        <v>10</v>
      </c>
      <c r="T2247" t="n">
        <v>10</v>
      </c>
      <c r="U2247" t="inlineStr">
        <is>
          <t>2001-04-26</t>
        </is>
      </c>
      <c r="V2247" t="inlineStr">
        <is>
          <t>2001-04-26</t>
        </is>
      </c>
      <c r="W2247" t="inlineStr">
        <is>
          <t>1991-06-26</t>
        </is>
      </c>
      <c r="X2247" t="inlineStr">
        <is>
          <t>1991-06-26</t>
        </is>
      </c>
      <c r="Y2247" t="n">
        <v>696</v>
      </c>
      <c r="Z2247" t="n">
        <v>640</v>
      </c>
      <c r="AA2247" t="n">
        <v>682</v>
      </c>
      <c r="AB2247" t="n">
        <v>4</v>
      </c>
      <c r="AC2247" t="n">
        <v>4</v>
      </c>
      <c r="AD2247" t="n">
        <v>30</v>
      </c>
      <c r="AE2247" t="n">
        <v>31</v>
      </c>
      <c r="AF2247" t="n">
        <v>15</v>
      </c>
      <c r="AG2247" t="n">
        <v>16</v>
      </c>
      <c r="AH2247" t="n">
        <v>6</v>
      </c>
      <c r="AI2247" t="n">
        <v>7</v>
      </c>
      <c r="AJ2247" t="n">
        <v>14</v>
      </c>
      <c r="AK2247" t="n">
        <v>14</v>
      </c>
      <c r="AL2247" t="n">
        <v>3</v>
      </c>
      <c r="AM2247" t="n">
        <v>3</v>
      </c>
      <c r="AN2247" t="n">
        <v>0</v>
      </c>
      <c r="AO2247" t="n">
        <v>0</v>
      </c>
      <c r="AP2247" t="inlineStr">
        <is>
          <t>No</t>
        </is>
      </c>
      <c r="AQ2247" t="inlineStr">
        <is>
          <t>Yes</t>
        </is>
      </c>
      <c r="AR2247">
        <f>HYPERLINK("http://catalog.hathitrust.org/Record/000612986","HathiTrust Record")</f>
        <v/>
      </c>
      <c r="AS2247">
        <f>HYPERLINK("https://creighton-primo.hosted.exlibrisgroup.com/primo-explore/search?tab=default_tab&amp;search_scope=EVERYTHING&amp;vid=01CRU&amp;lang=en_US&amp;offset=0&amp;query=any,contains,991000602729702656","Catalog Record")</f>
        <v/>
      </c>
      <c r="AT2247">
        <f>HYPERLINK("http://www.worldcat.org/oclc/11842505","WorldCat Record")</f>
        <v/>
      </c>
      <c r="AU2247" t="inlineStr">
        <is>
          <t>3999449:eng</t>
        </is>
      </c>
      <c r="AV2247" t="inlineStr">
        <is>
          <t>11842505</t>
        </is>
      </c>
      <c r="AW2247" t="inlineStr">
        <is>
          <t>991000602729702656</t>
        </is>
      </c>
      <c r="AX2247" t="inlineStr">
        <is>
          <t>991000602729702656</t>
        </is>
      </c>
      <c r="AY2247" t="inlineStr">
        <is>
          <t>2264642700002656</t>
        </is>
      </c>
      <c r="AZ2247" t="inlineStr">
        <is>
          <t>BOOK</t>
        </is>
      </c>
      <c r="BB2247" t="inlineStr">
        <is>
          <t>9780853456773</t>
        </is>
      </c>
      <c r="BC2247" t="inlineStr">
        <is>
          <t>32285000672054</t>
        </is>
      </c>
      <c r="BD2247" t="inlineStr">
        <is>
          <t>893413510</t>
        </is>
      </c>
    </row>
    <row r="2248">
      <c r="A2248" t="inlineStr">
        <is>
          <t>No</t>
        </is>
      </c>
      <c r="B2248" t="inlineStr">
        <is>
          <t>E876 .M434 2000</t>
        </is>
      </c>
      <c r="C2248" t="inlineStr">
        <is>
          <t>0                      E  0876000M  434         2000</t>
        </is>
      </c>
      <c r="D2248" t="inlineStr">
        <is>
          <t>Beyond the politics of disappointment? : American elections, 1980-1998 / Wilson Carey McWilliams.</t>
        </is>
      </c>
      <c r="F2248" t="inlineStr">
        <is>
          <t>No</t>
        </is>
      </c>
      <c r="G2248" t="inlineStr">
        <is>
          <t>1</t>
        </is>
      </c>
      <c r="H2248" t="inlineStr">
        <is>
          <t>No</t>
        </is>
      </c>
      <c r="I2248" t="inlineStr">
        <is>
          <t>No</t>
        </is>
      </c>
      <c r="J2248" t="inlineStr">
        <is>
          <t>0</t>
        </is>
      </c>
      <c r="K2248" t="inlineStr">
        <is>
          <t>McWilliams, Wilson C.</t>
        </is>
      </c>
      <c r="L2248" t="inlineStr">
        <is>
          <t>New York : Chatham House Publishers/Seven Bridges Press, c2000.</t>
        </is>
      </c>
      <c r="M2248" t="inlineStr">
        <is>
          <t>2000</t>
        </is>
      </c>
      <c r="O2248" t="inlineStr">
        <is>
          <t>eng</t>
        </is>
      </c>
      <c r="P2248" t="inlineStr">
        <is>
          <t>nyu</t>
        </is>
      </c>
      <c r="R2248" t="inlineStr">
        <is>
          <t xml:space="preserve">E  </t>
        </is>
      </c>
      <c r="S2248" t="n">
        <v>2</v>
      </c>
      <c r="T2248" t="n">
        <v>2</v>
      </c>
      <c r="U2248" t="inlineStr">
        <is>
          <t>2001-11-20</t>
        </is>
      </c>
      <c r="V2248" t="inlineStr">
        <is>
          <t>2001-11-20</t>
        </is>
      </c>
      <c r="W2248" t="inlineStr">
        <is>
          <t>2001-03-01</t>
        </is>
      </c>
      <c r="X2248" t="inlineStr">
        <is>
          <t>2001-03-01</t>
        </is>
      </c>
      <c r="Y2248" t="n">
        <v>333</v>
      </c>
      <c r="Z2248" t="n">
        <v>312</v>
      </c>
      <c r="AA2248" t="n">
        <v>1118</v>
      </c>
      <c r="AB2248" t="n">
        <v>3</v>
      </c>
      <c r="AC2248" t="n">
        <v>43</v>
      </c>
      <c r="AD2248" t="n">
        <v>23</v>
      </c>
      <c r="AE2248" t="n">
        <v>41</v>
      </c>
      <c r="AF2248" t="n">
        <v>10</v>
      </c>
      <c r="AG2248" t="n">
        <v>15</v>
      </c>
      <c r="AH2248" t="n">
        <v>7</v>
      </c>
      <c r="AI2248" t="n">
        <v>9</v>
      </c>
      <c r="AJ2248" t="n">
        <v>13</v>
      </c>
      <c r="AK2248" t="n">
        <v>14</v>
      </c>
      <c r="AL2248" t="n">
        <v>2</v>
      </c>
      <c r="AM2248" t="n">
        <v>12</v>
      </c>
      <c r="AN2248" t="n">
        <v>0</v>
      </c>
      <c r="AO2248" t="n">
        <v>0</v>
      </c>
      <c r="AP2248" t="inlineStr">
        <is>
          <t>No</t>
        </is>
      </c>
      <c r="AQ2248" t="inlineStr">
        <is>
          <t>Yes</t>
        </is>
      </c>
      <c r="AR2248">
        <f>HYPERLINK("http://catalog.hathitrust.org/Record/004118191","HathiTrust Record")</f>
        <v/>
      </c>
      <c r="AS2248">
        <f>HYPERLINK("https://creighton-primo.hosted.exlibrisgroup.com/primo-explore/search?tab=default_tab&amp;search_scope=EVERYTHING&amp;vid=01CRU&amp;lang=en_US&amp;offset=0&amp;query=any,contains,991003471939702656","Catalog Record")</f>
        <v/>
      </c>
      <c r="AT2248">
        <f>HYPERLINK("http://www.worldcat.org/oclc/41966981","WorldCat Record")</f>
        <v/>
      </c>
      <c r="AU2248" t="inlineStr">
        <is>
          <t>26957486:eng</t>
        </is>
      </c>
      <c r="AV2248" t="inlineStr">
        <is>
          <t>41966981</t>
        </is>
      </c>
      <c r="AW2248" t="inlineStr">
        <is>
          <t>991003471939702656</t>
        </is>
      </c>
      <c r="AX2248" t="inlineStr">
        <is>
          <t>991003471939702656</t>
        </is>
      </c>
      <c r="AY2248" t="inlineStr">
        <is>
          <t>2270674080002656</t>
        </is>
      </c>
      <c r="AZ2248" t="inlineStr">
        <is>
          <t>BOOK</t>
        </is>
      </c>
      <c r="BB2248" t="inlineStr">
        <is>
          <t>9781889119182</t>
        </is>
      </c>
      <c r="BC2248" t="inlineStr">
        <is>
          <t>32285004298799</t>
        </is>
      </c>
      <c r="BD2248" t="inlineStr">
        <is>
          <t>893692741</t>
        </is>
      </c>
    </row>
    <row r="2249">
      <c r="A2249" t="inlineStr">
        <is>
          <t>No</t>
        </is>
      </c>
      <c r="B2249" t="inlineStr">
        <is>
          <t>E876 .P37 1989</t>
        </is>
      </c>
      <c r="C2249" t="inlineStr">
        <is>
          <t>0                      E  0876000P  37          1989</t>
        </is>
      </c>
      <c r="D2249" t="inlineStr">
        <is>
          <t>The sword and the dollar : imperialism, revolution, and the arms race / Michael Parenti.</t>
        </is>
      </c>
      <c r="F2249" t="inlineStr">
        <is>
          <t>No</t>
        </is>
      </c>
      <c r="G2249" t="inlineStr">
        <is>
          <t>1</t>
        </is>
      </c>
      <c r="H2249" t="inlineStr">
        <is>
          <t>No</t>
        </is>
      </c>
      <c r="I2249" t="inlineStr">
        <is>
          <t>No</t>
        </is>
      </c>
      <c r="J2249" t="inlineStr">
        <is>
          <t>0</t>
        </is>
      </c>
      <c r="K2249" t="inlineStr">
        <is>
          <t>Parenti, Michael, 1933-</t>
        </is>
      </c>
      <c r="L2249" t="inlineStr">
        <is>
          <t>New York : St. Martin's Press, c1989.</t>
        </is>
      </c>
      <c r="M2249" t="inlineStr">
        <is>
          <t>1989</t>
        </is>
      </c>
      <c r="O2249" t="inlineStr">
        <is>
          <t>eng</t>
        </is>
      </c>
      <c r="P2249" t="inlineStr">
        <is>
          <t>nyu</t>
        </is>
      </c>
      <c r="R2249" t="inlineStr">
        <is>
          <t xml:space="preserve">E  </t>
        </is>
      </c>
      <c r="S2249" t="n">
        <v>2</v>
      </c>
      <c r="T2249" t="n">
        <v>2</v>
      </c>
      <c r="U2249" t="inlineStr">
        <is>
          <t>2003-09-19</t>
        </is>
      </c>
      <c r="V2249" t="inlineStr">
        <is>
          <t>2003-09-19</t>
        </is>
      </c>
      <c r="W2249" t="inlineStr">
        <is>
          <t>1995-08-03</t>
        </is>
      </c>
      <c r="X2249" t="inlineStr">
        <is>
          <t>1995-08-03</t>
        </is>
      </c>
      <c r="Y2249" t="n">
        <v>618</v>
      </c>
      <c r="Z2249" t="n">
        <v>552</v>
      </c>
      <c r="AA2249" t="n">
        <v>576</v>
      </c>
      <c r="AB2249" t="n">
        <v>1</v>
      </c>
      <c r="AC2249" t="n">
        <v>1</v>
      </c>
      <c r="AD2249" t="n">
        <v>21</v>
      </c>
      <c r="AE2249" t="n">
        <v>21</v>
      </c>
      <c r="AF2249" t="n">
        <v>9</v>
      </c>
      <c r="AG2249" t="n">
        <v>9</v>
      </c>
      <c r="AH2249" t="n">
        <v>6</v>
      </c>
      <c r="AI2249" t="n">
        <v>6</v>
      </c>
      <c r="AJ2249" t="n">
        <v>12</v>
      </c>
      <c r="AK2249" t="n">
        <v>12</v>
      </c>
      <c r="AL2249" t="n">
        <v>0</v>
      </c>
      <c r="AM2249" t="n">
        <v>0</v>
      </c>
      <c r="AN2249" t="n">
        <v>0</v>
      </c>
      <c r="AO2249" t="n">
        <v>0</v>
      </c>
      <c r="AP2249" t="inlineStr">
        <is>
          <t>No</t>
        </is>
      </c>
      <c r="AQ2249" t="inlineStr">
        <is>
          <t>No</t>
        </is>
      </c>
      <c r="AS2249">
        <f>HYPERLINK("https://creighton-primo.hosted.exlibrisgroup.com/primo-explore/search?tab=default_tab&amp;search_scope=EVERYTHING&amp;vid=01CRU&amp;lang=en_US&amp;offset=0&amp;query=any,contains,991001298829702656","Catalog Record")</f>
        <v/>
      </c>
      <c r="AT2249">
        <f>HYPERLINK("http://www.worldcat.org/oclc/18052391","WorldCat Record")</f>
        <v/>
      </c>
      <c r="AU2249" t="inlineStr">
        <is>
          <t>9718773:eng</t>
        </is>
      </c>
      <c r="AV2249" t="inlineStr">
        <is>
          <t>18052391</t>
        </is>
      </c>
      <c r="AW2249" t="inlineStr">
        <is>
          <t>991001298829702656</t>
        </is>
      </c>
      <c r="AX2249" t="inlineStr">
        <is>
          <t>991001298829702656</t>
        </is>
      </c>
      <c r="AY2249" t="inlineStr">
        <is>
          <t>2265532210002656</t>
        </is>
      </c>
      <c r="AZ2249" t="inlineStr">
        <is>
          <t>BOOK</t>
        </is>
      </c>
      <c r="BB2249" t="inlineStr">
        <is>
          <t>9780312011673</t>
        </is>
      </c>
      <c r="BC2249" t="inlineStr">
        <is>
          <t>32285002076742</t>
        </is>
      </c>
      <c r="BD2249" t="inlineStr">
        <is>
          <t>893509537</t>
        </is>
      </c>
    </row>
    <row r="2250">
      <c r="A2250" t="inlineStr">
        <is>
          <t>No</t>
        </is>
      </c>
      <c r="B2250" t="inlineStr">
        <is>
          <t>E876 .R3929 1990</t>
        </is>
      </c>
      <c r="C2250" t="inlineStr">
        <is>
          <t>0                      E  0876000R  3929        1990</t>
        </is>
      </c>
      <c r="D2250" t="inlineStr">
        <is>
          <t>Reagan as president : contemporary views of the man, his politics, and his policies / edited with commentary by Paul Boyer.</t>
        </is>
      </c>
      <c r="F2250" t="inlineStr">
        <is>
          <t>No</t>
        </is>
      </c>
      <c r="G2250" t="inlineStr">
        <is>
          <t>1</t>
        </is>
      </c>
      <c r="H2250" t="inlineStr">
        <is>
          <t>No</t>
        </is>
      </c>
      <c r="I2250" t="inlineStr">
        <is>
          <t>No</t>
        </is>
      </c>
      <c r="J2250" t="inlineStr">
        <is>
          <t>0</t>
        </is>
      </c>
      <c r="L2250" t="inlineStr">
        <is>
          <t>Chicago : Ivan R. Dee, c1990.</t>
        </is>
      </c>
      <c r="M2250" t="inlineStr">
        <is>
          <t>1990</t>
        </is>
      </c>
      <c r="O2250" t="inlineStr">
        <is>
          <t>eng</t>
        </is>
      </c>
      <c r="P2250" t="inlineStr">
        <is>
          <t>ilu</t>
        </is>
      </c>
      <c r="R2250" t="inlineStr">
        <is>
          <t xml:space="preserve">E  </t>
        </is>
      </c>
      <c r="S2250" t="n">
        <v>11</v>
      </c>
      <c r="T2250" t="n">
        <v>11</v>
      </c>
      <c r="U2250" t="inlineStr">
        <is>
          <t>2005-02-21</t>
        </is>
      </c>
      <c r="V2250" t="inlineStr">
        <is>
          <t>2005-02-21</t>
        </is>
      </c>
      <c r="W2250" t="inlineStr">
        <is>
          <t>1990-10-12</t>
        </is>
      </c>
      <c r="X2250" t="inlineStr">
        <is>
          <t>1990-10-12</t>
        </is>
      </c>
      <c r="Y2250" t="n">
        <v>348</v>
      </c>
      <c r="Z2250" t="n">
        <v>299</v>
      </c>
      <c r="AA2250" t="n">
        <v>305</v>
      </c>
      <c r="AB2250" t="n">
        <v>2</v>
      </c>
      <c r="AC2250" t="n">
        <v>2</v>
      </c>
      <c r="AD2250" t="n">
        <v>19</v>
      </c>
      <c r="AE2250" t="n">
        <v>19</v>
      </c>
      <c r="AF2250" t="n">
        <v>11</v>
      </c>
      <c r="AG2250" t="n">
        <v>11</v>
      </c>
      <c r="AH2250" t="n">
        <v>2</v>
      </c>
      <c r="AI2250" t="n">
        <v>2</v>
      </c>
      <c r="AJ2250" t="n">
        <v>10</v>
      </c>
      <c r="AK2250" t="n">
        <v>10</v>
      </c>
      <c r="AL2250" t="n">
        <v>1</v>
      </c>
      <c r="AM2250" t="n">
        <v>1</v>
      </c>
      <c r="AN2250" t="n">
        <v>0</v>
      </c>
      <c r="AO2250" t="n">
        <v>0</v>
      </c>
      <c r="AP2250" t="inlineStr">
        <is>
          <t>No</t>
        </is>
      </c>
      <c r="AQ2250" t="inlineStr">
        <is>
          <t>Yes</t>
        </is>
      </c>
      <c r="AR2250">
        <f>HYPERLINK("http://catalog.hathitrust.org/Record/002208560","HathiTrust Record")</f>
        <v/>
      </c>
      <c r="AS2250">
        <f>HYPERLINK("https://creighton-primo.hosted.exlibrisgroup.com/primo-explore/search?tab=default_tab&amp;search_scope=EVERYTHING&amp;vid=01CRU&amp;lang=en_US&amp;offset=0&amp;query=any,contains,991001629319702656","Catalog Record")</f>
        <v/>
      </c>
      <c r="AT2250">
        <f>HYPERLINK("http://www.worldcat.org/oclc/20893314","WorldCat Record")</f>
        <v/>
      </c>
      <c r="AU2250" t="inlineStr">
        <is>
          <t>22696591:eng</t>
        </is>
      </c>
      <c r="AV2250" t="inlineStr">
        <is>
          <t>20893314</t>
        </is>
      </c>
      <c r="AW2250" t="inlineStr">
        <is>
          <t>991001629319702656</t>
        </is>
      </c>
      <c r="AX2250" t="inlineStr">
        <is>
          <t>991001629319702656</t>
        </is>
      </c>
      <c r="AY2250" t="inlineStr">
        <is>
          <t>2265601730002656</t>
        </is>
      </c>
      <c r="AZ2250" t="inlineStr">
        <is>
          <t>BOOK</t>
        </is>
      </c>
      <c r="BB2250" t="inlineStr">
        <is>
          <t>9780929587288</t>
        </is>
      </c>
      <c r="BC2250" t="inlineStr">
        <is>
          <t>32285000280007</t>
        </is>
      </c>
      <c r="BD2250" t="inlineStr">
        <is>
          <t>893328240</t>
        </is>
      </c>
    </row>
    <row r="2251">
      <c r="A2251" t="inlineStr">
        <is>
          <t>No</t>
        </is>
      </c>
      <c r="B2251" t="inlineStr">
        <is>
          <t>E876 .R422 1986</t>
        </is>
      </c>
      <c r="C2251" t="inlineStr">
        <is>
          <t>0                      E  0876000R  422         1986</t>
        </is>
      </c>
      <c r="D2251" t="inlineStr">
        <is>
          <t>Reagan's leadership and the Atlantic Alliance : views from Europe and America / [edited by] Walter Goldstein.</t>
        </is>
      </c>
      <c r="F2251" t="inlineStr">
        <is>
          <t>No</t>
        </is>
      </c>
      <c r="G2251" t="inlineStr">
        <is>
          <t>1</t>
        </is>
      </c>
      <c r="H2251" t="inlineStr">
        <is>
          <t>No</t>
        </is>
      </c>
      <c r="I2251" t="inlineStr">
        <is>
          <t>No</t>
        </is>
      </c>
      <c r="J2251" t="inlineStr">
        <is>
          <t>0</t>
        </is>
      </c>
      <c r="L2251" t="inlineStr">
        <is>
          <t>Washington : Pergamon-Brassey, c1986.</t>
        </is>
      </c>
      <c r="M2251" t="inlineStr">
        <is>
          <t>1986</t>
        </is>
      </c>
      <c r="O2251" t="inlineStr">
        <is>
          <t>eng</t>
        </is>
      </c>
      <c r="P2251" t="inlineStr">
        <is>
          <t>dcu</t>
        </is>
      </c>
      <c r="R2251" t="inlineStr">
        <is>
          <t xml:space="preserve">E  </t>
        </is>
      </c>
      <c r="S2251" t="n">
        <v>9</v>
      </c>
      <c r="T2251" t="n">
        <v>9</v>
      </c>
      <c r="U2251" t="inlineStr">
        <is>
          <t>2001-03-20</t>
        </is>
      </c>
      <c r="V2251" t="inlineStr">
        <is>
          <t>2001-03-20</t>
        </is>
      </c>
      <c r="W2251" t="inlineStr">
        <is>
          <t>1991-06-26</t>
        </is>
      </c>
      <c r="X2251" t="inlineStr">
        <is>
          <t>1991-06-26</t>
        </is>
      </c>
      <c r="Y2251" t="n">
        <v>370</v>
      </c>
      <c r="Z2251" t="n">
        <v>305</v>
      </c>
      <c r="AA2251" t="n">
        <v>312</v>
      </c>
      <c r="AB2251" t="n">
        <v>3</v>
      </c>
      <c r="AC2251" t="n">
        <v>3</v>
      </c>
      <c r="AD2251" t="n">
        <v>13</v>
      </c>
      <c r="AE2251" t="n">
        <v>13</v>
      </c>
      <c r="AF2251" t="n">
        <v>3</v>
      </c>
      <c r="AG2251" t="n">
        <v>3</v>
      </c>
      <c r="AH2251" t="n">
        <v>4</v>
      </c>
      <c r="AI2251" t="n">
        <v>4</v>
      </c>
      <c r="AJ2251" t="n">
        <v>8</v>
      </c>
      <c r="AK2251" t="n">
        <v>8</v>
      </c>
      <c r="AL2251" t="n">
        <v>2</v>
      </c>
      <c r="AM2251" t="n">
        <v>2</v>
      </c>
      <c r="AN2251" t="n">
        <v>0</v>
      </c>
      <c r="AO2251" t="n">
        <v>0</v>
      </c>
      <c r="AP2251" t="inlineStr">
        <is>
          <t>No</t>
        </is>
      </c>
      <c r="AQ2251" t="inlineStr">
        <is>
          <t>Yes</t>
        </is>
      </c>
      <c r="AR2251">
        <f>HYPERLINK("http://catalog.hathitrust.org/Record/000805301","HathiTrust Record")</f>
        <v/>
      </c>
      <c r="AS2251">
        <f>HYPERLINK("https://creighton-primo.hosted.exlibrisgroup.com/primo-explore/search?tab=default_tab&amp;search_scope=EVERYTHING&amp;vid=01CRU&amp;lang=en_US&amp;offset=0&amp;query=any,contains,991000825989702656","Catalog Record")</f>
        <v/>
      </c>
      <c r="AT2251">
        <f>HYPERLINK("http://www.worldcat.org/oclc/13423218","WorldCat Record")</f>
        <v/>
      </c>
      <c r="AU2251" t="inlineStr">
        <is>
          <t>351750720:eng</t>
        </is>
      </c>
      <c r="AV2251" t="inlineStr">
        <is>
          <t>13423218</t>
        </is>
      </c>
      <c r="AW2251" t="inlineStr">
        <is>
          <t>991000825989702656</t>
        </is>
      </c>
      <c r="AX2251" t="inlineStr">
        <is>
          <t>991000825989702656</t>
        </is>
      </c>
      <c r="AY2251" t="inlineStr">
        <is>
          <t>2266149760002656</t>
        </is>
      </c>
      <c r="AZ2251" t="inlineStr">
        <is>
          <t>BOOK</t>
        </is>
      </c>
      <c r="BB2251" t="inlineStr">
        <is>
          <t>9780080339825</t>
        </is>
      </c>
      <c r="BC2251" t="inlineStr">
        <is>
          <t>32285000671999</t>
        </is>
      </c>
      <c r="BD2251" t="inlineStr">
        <is>
          <t>893708757</t>
        </is>
      </c>
    </row>
    <row r="2252">
      <c r="A2252" t="inlineStr">
        <is>
          <t>No</t>
        </is>
      </c>
      <c r="B2252" t="inlineStr">
        <is>
          <t>E876 .R44 1988</t>
        </is>
      </c>
      <c r="C2252" t="inlineStr">
        <is>
          <t>0                      E  0876000R  44          1988</t>
        </is>
      </c>
      <c r="D2252" t="inlineStr">
        <is>
          <t>For the record : from Wall Street to Washington / Donald T. Regan.</t>
        </is>
      </c>
      <c r="F2252" t="inlineStr">
        <is>
          <t>No</t>
        </is>
      </c>
      <c r="G2252" t="inlineStr">
        <is>
          <t>1</t>
        </is>
      </c>
      <c r="H2252" t="inlineStr">
        <is>
          <t>No</t>
        </is>
      </c>
      <c r="I2252" t="inlineStr">
        <is>
          <t>No</t>
        </is>
      </c>
      <c r="J2252" t="inlineStr">
        <is>
          <t>0</t>
        </is>
      </c>
      <c r="K2252" t="inlineStr">
        <is>
          <t>Regan, Donald T.</t>
        </is>
      </c>
      <c r="L2252" t="inlineStr">
        <is>
          <t>San Diego : Harcourt Brace Jovanovich, c1988.</t>
        </is>
      </c>
      <c r="M2252" t="inlineStr">
        <is>
          <t>1988</t>
        </is>
      </c>
      <c r="N2252" t="inlineStr">
        <is>
          <t>1st ed.</t>
        </is>
      </c>
      <c r="O2252" t="inlineStr">
        <is>
          <t>eng</t>
        </is>
      </c>
      <c r="P2252" t="inlineStr">
        <is>
          <t>cau</t>
        </is>
      </c>
      <c r="R2252" t="inlineStr">
        <is>
          <t xml:space="preserve">E  </t>
        </is>
      </c>
      <c r="S2252" t="n">
        <v>17</v>
      </c>
      <c r="T2252" t="n">
        <v>17</v>
      </c>
      <c r="U2252" t="inlineStr">
        <is>
          <t>2002-04-07</t>
        </is>
      </c>
      <c r="V2252" t="inlineStr">
        <is>
          <t>2002-04-07</t>
        </is>
      </c>
      <c r="W2252" t="inlineStr">
        <is>
          <t>1990-04-17</t>
        </is>
      </c>
      <c r="X2252" t="inlineStr">
        <is>
          <t>1990-04-17</t>
        </is>
      </c>
      <c r="Y2252" t="n">
        <v>2041</v>
      </c>
      <c r="Z2252" t="n">
        <v>1937</v>
      </c>
      <c r="AA2252" t="n">
        <v>2085</v>
      </c>
      <c r="AB2252" t="n">
        <v>13</v>
      </c>
      <c r="AC2252" t="n">
        <v>13</v>
      </c>
      <c r="AD2252" t="n">
        <v>35</v>
      </c>
      <c r="AE2252" t="n">
        <v>38</v>
      </c>
      <c r="AF2252" t="n">
        <v>16</v>
      </c>
      <c r="AG2252" t="n">
        <v>18</v>
      </c>
      <c r="AH2252" t="n">
        <v>7</v>
      </c>
      <c r="AI2252" t="n">
        <v>8</v>
      </c>
      <c r="AJ2252" t="n">
        <v>14</v>
      </c>
      <c r="AK2252" t="n">
        <v>15</v>
      </c>
      <c r="AL2252" t="n">
        <v>4</v>
      </c>
      <c r="AM2252" t="n">
        <v>4</v>
      </c>
      <c r="AN2252" t="n">
        <v>2</v>
      </c>
      <c r="AO2252" t="n">
        <v>2</v>
      </c>
      <c r="AP2252" t="inlineStr">
        <is>
          <t>No</t>
        </is>
      </c>
      <c r="AQ2252" t="inlineStr">
        <is>
          <t>Yes</t>
        </is>
      </c>
      <c r="AR2252">
        <f>HYPERLINK("http://catalog.hathitrust.org/Record/000926922","HathiTrust Record")</f>
        <v/>
      </c>
      <c r="AS2252">
        <f>HYPERLINK("https://creighton-primo.hosted.exlibrisgroup.com/primo-explore/search?tab=default_tab&amp;search_scope=EVERYTHING&amp;vid=01CRU&amp;lang=en_US&amp;offset=0&amp;query=any,contains,991001282739702656","Catalog Record")</f>
        <v/>
      </c>
      <c r="AT2252">
        <f>HYPERLINK("http://www.worldcat.org/oclc/17931361","WorldCat Record")</f>
        <v/>
      </c>
      <c r="AU2252" t="inlineStr">
        <is>
          <t>16746858:eng</t>
        </is>
      </c>
      <c r="AV2252" t="inlineStr">
        <is>
          <t>17931361</t>
        </is>
      </c>
      <c r="AW2252" t="inlineStr">
        <is>
          <t>991001282739702656</t>
        </is>
      </c>
      <c r="AX2252" t="inlineStr">
        <is>
          <t>991001282739702656</t>
        </is>
      </c>
      <c r="AY2252" t="inlineStr">
        <is>
          <t>2261701510002656</t>
        </is>
      </c>
      <c r="AZ2252" t="inlineStr">
        <is>
          <t>BOOK</t>
        </is>
      </c>
      <c r="BB2252" t="inlineStr">
        <is>
          <t>9780151639663</t>
        </is>
      </c>
      <c r="BC2252" t="inlineStr">
        <is>
          <t>32285000122399</t>
        </is>
      </c>
      <c r="BD2252" t="inlineStr">
        <is>
          <t>893791353</t>
        </is>
      </c>
    </row>
    <row r="2253">
      <c r="A2253" t="inlineStr">
        <is>
          <t>No</t>
        </is>
      </c>
      <c r="B2253" t="inlineStr">
        <is>
          <t>E876 .R47 1989</t>
        </is>
      </c>
      <c r="C2253" t="inlineStr">
        <is>
          <t>0                      E  0876000R  47          1989</t>
        </is>
      </c>
      <c r="D2253" t="inlineStr">
        <is>
          <t>Restructuring American foreign policy / John D. Steinbruner, editor.</t>
        </is>
      </c>
      <c r="F2253" t="inlineStr">
        <is>
          <t>No</t>
        </is>
      </c>
      <c r="G2253" t="inlineStr">
        <is>
          <t>1</t>
        </is>
      </c>
      <c r="H2253" t="inlineStr">
        <is>
          <t>No</t>
        </is>
      </c>
      <c r="I2253" t="inlineStr">
        <is>
          <t>No</t>
        </is>
      </c>
      <c r="J2253" t="inlineStr">
        <is>
          <t>0</t>
        </is>
      </c>
      <c r="L2253" t="inlineStr">
        <is>
          <t>Washington, D.C. : Brookings Institution, c1989.</t>
        </is>
      </c>
      <c r="M2253" t="inlineStr">
        <is>
          <t>1989</t>
        </is>
      </c>
      <c r="O2253" t="inlineStr">
        <is>
          <t>eng</t>
        </is>
      </c>
      <c r="P2253" t="inlineStr">
        <is>
          <t>dcu</t>
        </is>
      </c>
      <c r="R2253" t="inlineStr">
        <is>
          <t xml:space="preserve">E  </t>
        </is>
      </c>
      <c r="S2253" t="n">
        <v>3</v>
      </c>
      <c r="T2253" t="n">
        <v>3</v>
      </c>
      <c r="U2253" t="inlineStr">
        <is>
          <t>1992-02-25</t>
        </is>
      </c>
      <c r="V2253" t="inlineStr">
        <is>
          <t>1992-02-25</t>
        </is>
      </c>
      <c r="W2253" t="inlineStr">
        <is>
          <t>1991-06-27</t>
        </is>
      </c>
      <c r="X2253" t="inlineStr">
        <is>
          <t>1991-06-27</t>
        </is>
      </c>
      <c r="Y2253" t="n">
        <v>703</v>
      </c>
      <c r="Z2253" t="n">
        <v>596</v>
      </c>
      <c r="AA2253" t="n">
        <v>616</v>
      </c>
      <c r="AB2253" t="n">
        <v>4</v>
      </c>
      <c r="AC2253" t="n">
        <v>4</v>
      </c>
      <c r="AD2253" t="n">
        <v>28</v>
      </c>
      <c r="AE2253" t="n">
        <v>29</v>
      </c>
      <c r="AF2253" t="n">
        <v>9</v>
      </c>
      <c r="AG2253" t="n">
        <v>10</v>
      </c>
      <c r="AH2253" t="n">
        <v>7</v>
      </c>
      <c r="AI2253" t="n">
        <v>7</v>
      </c>
      <c r="AJ2253" t="n">
        <v>15</v>
      </c>
      <c r="AK2253" t="n">
        <v>15</v>
      </c>
      <c r="AL2253" t="n">
        <v>3</v>
      </c>
      <c r="AM2253" t="n">
        <v>3</v>
      </c>
      <c r="AN2253" t="n">
        <v>2</v>
      </c>
      <c r="AO2253" t="n">
        <v>2</v>
      </c>
      <c r="AP2253" t="inlineStr">
        <is>
          <t>No</t>
        </is>
      </c>
      <c r="AQ2253" t="inlineStr">
        <is>
          <t>Yes</t>
        </is>
      </c>
      <c r="AR2253">
        <f>HYPERLINK("http://catalog.hathitrust.org/Record/001072931","HathiTrust Record")</f>
        <v/>
      </c>
      <c r="AS2253">
        <f>HYPERLINK("https://creighton-primo.hosted.exlibrisgroup.com/primo-explore/search?tab=default_tab&amp;search_scope=EVERYTHING&amp;vid=01CRU&amp;lang=en_US&amp;offset=0&amp;query=any,contains,991001388029702656","Catalog Record")</f>
        <v/>
      </c>
      <c r="AT2253">
        <f>HYPERLINK("http://www.worldcat.org/oclc/18740123","WorldCat Record")</f>
        <v/>
      </c>
      <c r="AU2253" t="inlineStr">
        <is>
          <t>350377184:eng</t>
        </is>
      </c>
      <c r="AV2253" t="inlineStr">
        <is>
          <t>18740123</t>
        </is>
      </c>
      <c r="AW2253" t="inlineStr">
        <is>
          <t>991001388029702656</t>
        </is>
      </c>
      <c r="AX2253" t="inlineStr">
        <is>
          <t>991001388029702656</t>
        </is>
      </c>
      <c r="AY2253" t="inlineStr">
        <is>
          <t>2257684910002656</t>
        </is>
      </c>
      <c r="AZ2253" t="inlineStr">
        <is>
          <t>BOOK</t>
        </is>
      </c>
      <c r="BB2253" t="inlineStr">
        <is>
          <t>9780815781431</t>
        </is>
      </c>
      <c r="BC2253" t="inlineStr">
        <is>
          <t>32285000672005</t>
        </is>
      </c>
      <c r="BD2253" t="inlineStr">
        <is>
          <t>893225828</t>
        </is>
      </c>
    </row>
    <row r="2254">
      <c r="A2254" t="inlineStr">
        <is>
          <t>No</t>
        </is>
      </c>
      <c r="B2254" t="inlineStr">
        <is>
          <t>E876 .R63 1996</t>
        </is>
      </c>
      <c r="C2254" t="inlineStr">
        <is>
          <t>0                      E  0876000R  63          1996</t>
        </is>
      </c>
      <c r="D2254" t="inlineStr">
        <is>
          <t>Promoting polyarchy : globalization, US intervention, and hegemony / William I. Robinson.</t>
        </is>
      </c>
      <c r="F2254" t="inlineStr">
        <is>
          <t>No</t>
        </is>
      </c>
      <c r="G2254" t="inlineStr">
        <is>
          <t>1</t>
        </is>
      </c>
      <c r="H2254" t="inlineStr">
        <is>
          <t>No</t>
        </is>
      </c>
      <c r="I2254" t="inlineStr">
        <is>
          <t>No</t>
        </is>
      </c>
      <c r="J2254" t="inlineStr">
        <is>
          <t>0</t>
        </is>
      </c>
      <c r="K2254" t="inlineStr">
        <is>
          <t>Robinson, William I.</t>
        </is>
      </c>
      <c r="L2254" t="inlineStr">
        <is>
          <t>Cambridge [England] ; New York : Cambridge University Press, 1996.</t>
        </is>
      </c>
      <c r="M2254" t="inlineStr">
        <is>
          <t>1996</t>
        </is>
      </c>
      <c r="O2254" t="inlineStr">
        <is>
          <t>eng</t>
        </is>
      </c>
      <c r="P2254" t="inlineStr">
        <is>
          <t>enk</t>
        </is>
      </c>
      <c r="Q2254" t="inlineStr">
        <is>
          <t>Cambridge studies in international relations ; 48</t>
        </is>
      </c>
      <c r="R2254" t="inlineStr">
        <is>
          <t xml:space="preserve">E  </t>
        </is>
      </c>
      <c r="S2254" t="n">
        <v>6</v>
      </c>
      <c r="T2254" t="n">
        <v>6</v>
      </c>
      <c r="U2254" t="inlineStr">
        <is>
          <t>2004-07-23</t>
        </is>
      </c>
      <c r="V2254" t="inlineStr">
        <is>
          <t>2004-07-23</t>
        </is>
      </c>
      <c r="W2254" t="inlineStr">
        <is>
          <t>1999-08-17</t>
        </is>
      </c>
      <c r="X2254" t="inlineStr">
        <is>
          <t>1999-08-17</t>
        </is>
      </c>
      <c r="Y2254" t="n">
        <v>499</v>
      </c>
      <c r="Z2254" t="n">
        <v>324</v>
      </c>
      <c r="AA2254" t="n">
        <v>333</v>
      </c>
      <c r="AB2254" t="n">
        <v>2</v>
      </c>
      <c r="AC2254" t="n">
        <v>2</v>
      </c>
      <c r="AD2254" t="n">
        <v>17</v>
      </c>
      <c r="AE2254" t="n">
        <v>18</v>
      </c>
      <c r="AF2254" t="n">
        <v>8</v>
      </c>
      <c r="AG2254" t="n">
        <v>8</v>
      </c>
      <c r="AH2254" t="n">
        <v>7</v>
      </c>
      <c r="AI2254" t="n">
        <v>8</v>
      </c>
      <c r="AJ2254" t="n">
        <v>9</v>
      </c>
      <c r="AK2254" t="n">
        <v>9</v>
      </c>
      <c r="AL2254" t="n">
        <v>1</v>
      </c>
      <c r="AM2254" t="n">
        <v>1</v>
      </c>
      <c r="AN2254" t="n">
        <v>0</v>
      </c>
      <c r="AO2254" t="n">
        <v>0</v>
      </c>
      <c r="AP2254" t="inlineStr">
        <is>
          <t>No</t>
        </is>
      </c>
      <c r="AQ2254" t="inlineStr">
        <is>
          <t>No</t>
        </is>
      </c>
      <c r="AS2254">
        <f>HYPERLINK("https://creighton-primo.hosted.exlibrisgroup.com/primo-explore/search?tab=default_tab&amp;search_scope=EVERYTHING&amp;vid=01CRU&amp;lang=en_US&amp;offset=0&amp;query=any,contains,991002602169702656","Catalog Record")</f>
        <v/>
      </c>
      <c r="AT2254">
        <f>HYPERLINK("http://www.worldcat.org/oclc/34080051","WorldCat Record")</f>
        <v/>
      </c>
      <c r="AU2254" t="inlineStr">
        <is>
          <t>890509949:eng</t>
        </is>
      </c>
      <c r="AV2254" t="inlineStr">
        <is>
          <t>34080051</t>
        </is>
      </c>
      <c r="AW2254" t="inlineStr">
        <is>
          <t>991002602169702656</t>
        </is>
      </c>
      <c r="AX2254" t="inlineStr">
        <is>
          <t>991002602169702656</t>
        </is>
      </c>
      <c r="AY2254" t="inlineStr">
        <is>
          <t>2262923480002656</t>
        </is>
      </c>
      <c r="AZ2254" t="inlineStr">
        <is>
          <t>BOOK</t>
        </is>
      </c>
      <c r="BB2254" t="inlineStr">
        <is>
          <t>9780521562034</t>
        </is>
      </c>
      <c r="BC2254" t="inlineStr">
        <is>
          <t>32285003582227</t>
        </is>
      </c>
      <c r="BD2254" t="inlineStr">
        <is>
          <t>893704263</t>
        </is>
      </c>
    </row>
    <row r="2255">
      <c r="A2255" t="inlineStr">
        <is>
          <t>No</t>
        </is>
      </c>
      <c r="B2255" t="inlineStr">
        <is>
          <t>E876 .S52 1986</t>
        </is>
      </c>
      <c r="C2255" t="inlineStr">
        <is>
          <t>0                      E  0876000S  52          1986</t>
        </is>
      </c>
      <c r="D2255" t="inlineStr">
        <is>
          <t>Reagan, trilateralism, and the neoliberals : containment and intervention in the 1980s / by Holly Sklar.</t>
        </is>
      </c>
      <c r="F2255" t="inlineStr">
        <is>
          <t>No</t>
        </is>
      </c>
      <c r="G2255" t="inlineStr">
        <is>
          <t>1</t>
        </is>
      </c>
      <c r="H2255" t="inlineStr">
        <is>
          <t>No</t>
        </is>
      </c>
      <c r="I2255" t="inlineStr">
        <is>
          <t>No</t>
        </is>
      </c>
      <c r="J2255" t="inlineStr">
        <is>
          <t>0</t>
        </is>
      </c>
      <c r="K2255" t="inlineStr">
        <is>
          <t>Sklar, Holly, 1955-</t>
        </is>
      </c>
      <c r="L2255" t="inlineStr">
        <is>
          <t>Boston, MA : South End Press, c1986.</t>
        </is>
      </c>
      <c r="M2255" t="inlineStr">
        <is>
          <t>1986</t>
        </is>
      </c>
      <c r="O2255" t="inlineStr">
        <is>
          <t>eng</t>
        </is>
      </c>
      <c r="P2255" t="inlineStr">
        <is>
          <t>mau</t>
        </is>
      </c>
      <c r="Q2255" t="inlineStr">
        <is>
          <t>South End Press pamphlet ; no. 4</t>
        </is>
      </c>
      <c r="R2255" t="inlineStr">
        <is>
          <t xml:space="preserve">E  </t>
        </is>
      </c>
      <c r="S2255" t="n">
        <v>5</v>
      </c>
      <c r="T2255" t="n">
        <v>5</v>
      </c>
      <c r="U2255" t="inlineStr">
        <is>
          <t>2004-06-17</t>
        </is>
      </c>
      <c r="V2255" t="inlineStr">
        <is>
          <t>2004-06-17</t>
        </is>
      </c>
      <c r="W2255" t="inlineStr">
        <is>
          <t>1991-06-27</t>
        </is>
      </c>
      <c r="X2255" t="inlineStr">
        <is>
          <t>1991-06-27</t>
        </is>
      </c>
      <c r="Y2255" t="n">
        <v>224</v>
      </c>
      <c r="Z2255" t="n">
        <v>197</v>
      </c>
      <c r="AA2255" t="n">
        <v>197</v>
      </c>
      <c r="AB2255" t="n">
        <v>2</v>
      </c>
      <c r="AC2255" t="n">
        <v>2</v>
      </c>
      <c r="AD2255" t="n">
        <v>9</v>
      </c>
      <c r="AE2255" t="n">
        <v>9</v>
      </c>
      <c r="AF2255" t="n">
        <v>4</v>
      </c>
      <c r="AG2255" t="n">
        <v>4</v>
      </c>
      <c r="AH2255" t="n">
        <v>3</v>
      </c>
      <c r="AI2255" t="n">
        <v>3</v>
      </c>
      <c r="AJ2255" t="n">
        <v>4</v>
      </c>
      <c r="AK2255" t="n">
        <v>4</v>
      </c>
      <c r="AL2255" t="n">
        <v>1</v>
      </c>
      <c r="AM2255" t="n">
        <v>1</v>
      </c>
      <c r="AN2255" t="n">
        <v>0</v>
      </c>
      <c r="AO2255" t="n">
        <v>0</v>
      </c>
      <c r="AP2255" t="inlineStr">
        <is>
          <t>No</t>
        </is>
      </c>
      <c r="AQ2255" t="inlineStr">
        <is>
          <t>No</t>
        </is>
      </c>
      <c r="AS2255">
        <f>HYPERLINK("https://creighton-primo.hosted.exlibrisgroup.com/primo-explore/search?tab=default_tab&amp;search_scope=EVERYTHING&amp;vid=01CRU&amp;lang=en_US&amp;offset=0&amp;query=any,contains,991000832999702656","Catalog Record")</f>
        <v/>
      </c>
      <c r="AT2255">
        <f>HYPERLINK("http://www.worldcat.org/oclc/13456393","WorldCat Record")</f>
        <v/>
      </c>
      <c r="AU2255" t="inlineStr">
        <is>
          <t>141339419:eng</t>
        </is>
      </c>
      <c r="AV2255" t="inlineStr">
        <is>
          <t>13456393</t>
        </is>
      </c>
      <c r="AW2255" t="inlineStr">
        <is>
          <t>991000832999702656</t>
        </is>
      </c>
      <c r="AX2255" t="inlineStr">
        <is>
          <t>991000832999702656</t>
        </is>
      </c>
      <c r="AY2255" t="inlineStr">
        <is>
          <t>2263122790002656</t>
        </is>
      </c>
      <c r="AZ2255" t="inlineStr">
        <is>
          <t>BOOK</t>
        </is>
      </c>
      <c r="BB2255" t="inlineStr">
        <is>
          <t>9780896082137</t>
        </is>
      </c>
      <c r="BC2255" t="inlineStr">
        <is>
          <t>32285000672013</t>
        </is>
      </c>
      <c r="BD2255" t="inlineStr">
        <is>
          <t>893255778</t>
        </is>
      </c>
    </row>
    <row r="2256">
      <c r="A2256" t="inlineStr">
        <is>
          <t>No</t>
        </is>
      </c>
      <c r="B2256" t="inlineStr">
        <is>
          <t>E876 .S775 1998</t>
        </is>
      </c>
      <c r="C2256" t="inlineStr">
        <is>
          <t>0                      E  0876000S  775         1998</t>
        </is>
      </c>
      <c r="D2256" t="inlineStr">
        <is>
          <t>Reagan : the man and his presidency / Deborah Hart Strober and Gerald S. Strober.</t>
        </is>
      </c>
      <c r="F2256" t="inlineStr">
        <is>
          <t>No</t>
        </is>
      </c>
      <c r="G2256" t="inlineStr">
        <is>
          <t>1</t>
        </is>
      </c>
      <c r="H2256" t="inlineStr">
        <is>
          <t>No</t>
        </is>
      </c>
      <c r="I2256" t="inlineStr">
        <is>
          <t>No</t>
        </is>
      </c>
      <c r="J2256" t="inlineStr">
        <is>
          <t>0</t>
        </is>
      </c>
      <c r="K2256" t="inlineStr">
        <is>
          <t>Strober, Deborah H. (Deborah Hart), 1940-</t>
        </is>
      </c>
      <c r="L2256" t="inlineStr">
        <is>
          <t>Boston : Houghton Mifflin Co., 1998.</t>
        </is>
      </c>
      <c r="M2256" t="inlineStr">
        <is>
          <t>1998</t>
        </is>
      </c>
      <c r="O2256" t="inlineStr">
        <is>
          <t>eng</t>
        </is>
      </c>
      <c r="P2256" t="inlineStr">
        <is>
          <t>mau</t>
        </is>
      </c>
      <c r="R2256" t="inlineStr">
        <is>
          <t xml:space="preserve">E  </t>
        </is>
      </c>
      <c r="S2256" t="n">
        <v>2</v>
      </c>
      <c r="T2256" t="n">
        <v>2</v>
      </c>
      <c r="U2256" t="inlineStr">
        <is>
          <t>2002-04-11</t>
        </is>
      </c>
      <c r="V2256" t="inlineStr">
        <is>
          <t>2002-04-11</t>
        </is>
      </c>
      <c r="W2256" t="inlineStr">
        <is>
          <t>1998-08-26</t>
        </is>
      </c>
      <c r="X2256" t="inlineStr">
        <is>
          <t>1998-08-26</t>
        </is>
      </c>
      <c r="Y2256" t="n">
        <v>642</v>
      </c>
      <c r="Z2256" t="n">
        <v>608</v>
      </c>
      <c r="AA2256" t="n">
        <v>615</v>
      </c>
      <c r="AB2256" t="n">
        <v>6</v>
      </c>
      <c r="AC2256" t="n">
        <v>6</v>
      </c>
      <c r="AD2256" t="n">
        <v>21</v>
      </c>
      <c r="AE2256" t="n">
        <v>21</v>
      </c>
      <c r="AF2256" t="n">
        <v>5</v>
      </c>
      <c r="AG2256" t="n">
        <v>5</v>
      </c>
      <c r="AH2256" t="n">
        <v>7</v>
      </c>
      <c r="AI2256" t="n">
        <v>7</v>
      </c>
      <c r="AJ2256" t="n">
        <v>9</v>
      </c>
      <c r="AK2256" t="n">
        <v>9</v>
      </c>
      <c r="AL2256" t="n">
        <v>3</v>
      </c>
      <c r="AM2256" t="n">
        <v>3</v>
      </c>
      <c r="AN2256" t="n">
        <v>1</v>
      </c>
      <c r="AO2256" t="n">
        <v>1</v>
      </c>
      <c r="AP2256" t="inlineStr">
        <is>
          <t>No</t>
        </is>
      </c>
      <c r="AQ2256" t="inlineStr">
        <is>
          <t>Yes</t>
        </is>
      </c>
      <c r="AR2256">
        <f>HYPERLINK("http://catalog.hathitrust.org/Record/003980394","HathiTrust Record")</f>
        <v/>
      </c>
      <c r="AS2256">
        <f>HYPERLINK("https://creighton-primo.hosted.exlibrisgroup.com/primo-explore/search?tab=default_tab&amp;search_scope=EVERYTHING&amp;vid=01CRU&amp;lang=en_US&amp;offset=0&amp;query=any,contains,991002897269702656","Catalog Record")</f>
        <v/>
      </c>
      <c r="AT2256">
        <f>HYPERLINK("http://www.worldcat.org/oclc/38180156","WorldCat Record")</f>
        <v/>
      </c>
      <c r="AU2256" t="inlineStr">
        <is>
          <t>293692660:eng</t>
        </is>
      </c>
      <c r="AV2256" t="inlineStr">
        <is>
          <t>38180156</t>
        </is>
      </c>
      <c r="AW2256" t="inlineStr">
        <is>
          <t>991002897269702656</t>
        </is>
      </c>
      <c r="AX2256" t="inlineStr">
        <is>
          <t>991002897269702656</t>
        </is>
      </c>
      <c r="AY2256" t="inlineStr">
        <is>
          <t>2259609080002656</t>
        </is>
      </c>
      <c r="AZ2256" t="inlineStr">
        <is>
          <t>BOOK</t>
        </is>
      </c>
      <c r="BB2256" t="inlineStr">
        <is>
          <t>9780395771938</t>
        </is>
      </c>
      <c r="BC2256" t="inlineStr">
        <is>
          <t>32285003462883</t>
        </is>
      </c>
      <c r="BD2256" t="inlineStr">
        <is>
          <t>893591929</t>
        </is>
      </c>
    </row>
    <row r="2257">
      <c r="A2257" t="inlineStr">
        <is>
          <t>No</t>
        </is>
      </c>
      <c r="B2257" t="inlineStr">
        <is>
          <t>E876 .T749 1990</t>
        </is>
      </c>
      <c r="C2257" t="inlineStr">
        <is>
          <t>0                      E  0876000T  749         1990</t>
        </is>
      </c>
      <c r="D2257" t="inlineStr">
        <is>
          <t>Enough's enough (and other rules of life) / Calvin Trillin.</t>
        </is>
      </c>
      <c r="F2257" t="inlineStr">
        <is>
          <t>No</t>
        </is>
      </c>
      <c r="G2257" t="inlineStr">
        <is>
          <t>1</t>
        </is>
      </c>
      <c r="H2257" t="inlineStr">
        <is>
          <t>No</t>
        </is>
      </c>
      <c r="I2257" t="inlineStr">
        <is>
          <t>No</t>
        </is>
      </c>
      <c r="J2257" t="inlineStr">
        <is>
          <t>0</t>
        </is>
      </c>
      <c r="K2257" t="inlineStr">
        <is>
          <t>Trillin, Calvin.</t>
        </is>
      </c>
      <c r="L2257" t="inlineStr">
        <is>
          <t>New York : Ticknor &amp; Fields, 1990.</t>
        </is>
      </c>
      <c r="M2257" t="inlineStr">
        <is>
          <t>1990</t>
        </is>
      </c>
      <c r="O2257" t="inlineStr">
        <is>
          <t>eng</t>
        </is>
      </c>
      <c r="P2257" t="inlineStr">
        <is>
          <t>nyu</t>
        </is>
      </c>
      <c r="R2257" t="inlineStr">
        <is>
          <t xml:space="preserve">E  </t>
        </is>
      </c>
      <c r="S2257" t="n">
        <v>4</v>
      </c>
      <c r="T2257" t="n">
        <v>4</v>
      </c>
      <c r="U2257" t="inlineStr">
        <is>
          <t>1996-04-09</t>
        </is>
      </c>
      <c r="V2257" t="inlineStr">
        <is>
          <t>1996-04-09</t>
        </is>
      </c>
      <c r="W2257" t="inlineStr">
        <is>
          <t>1991-03-08</t>
        </is>
      </c>
      <c r="X2257" t="inlineStr">
        <is>
          <t>1991-03-08</t>
        </is>
      </c>
      <c r="Y2257" t="n">
        <v>591</v>
      </c>
      <c r="Z2257" t="n">
        <v>574</v>
      </c>
      <c r="AA2257" t="n">
        <v>582</v>
      </c>
      <c r="AB2257" t="n">
        <v>6</v>
      </c>
      <c r="AC2257" t="n">
        <v>6</v>
      </c>
      <c r="AD2257" t="n">
        <v>9</v>
      </c>
      <c r="AE2257" t="n">
        <v>9</v>
      </c>
      <c r="AF2257" t="n">
        <v>1</v>
      </c>
      <c r="AG2257" t="n">
        <v>1</v>
      </c>
      <c r="AH2257" t="n">
        <v>5</v>
      </c>
      <c r="AI2257" t="n">
        <v>5</v>
      </c>
      <c r="AJ2257" t="n">
        <v>5</v>
      </c>
      <c r="AK2257" t="n">
        <v>5</v>
      </c>
      <c r="AL2257" t="n">
        <v>1</v>
      </c>
      <c r="AM2257" t="n">
        <v>1</v>
      </c>
      <c r="AN2257" t="n">
        <v>0</v>
      </c>
      <c r="AO2257" t="n">
        <v>0</v>
      </c>
      <c r="AP2257" t="inlineStr">
        <is>
          <t>No</t>
        </is>
      </c>
      <c r="AQ2257" t="inlineStr">
        <is>
          <t>Yes</t>
        </is>
      </c>
      <c r="AR2257">
        <f>HYPERLINK("http://catalog.hathitrust.org/Record/002238353","HathiTrust Record")</f>
        <v/>
      </c>
      <c r="AS2257">
        <f>HYPERLINK("https://creighton-primo.hosted.exlibrisgroup.com/primo-explore/search?tab=default_tab&amp;search_scope=EVERYTHING&amp;vid=01CRU&amp;lang=en_US&amp;offset=0&amp;query=any,contains,991001706789702656","Catalog Record")</f>
        <v/>
      </c>
      <c r="AT2257">
        <f>HYPERLINK("http://www.worldcat.org/oclc/21563668","WorldCat Record")</f>
        <v/>
      </c>
      <c r="AU2257" t="inlineStr">
        <is>
          <t>23051977:eng</t>
        </is>
      </c>
      <c r="AV2257" t="inlineStr">
        <is>
          <t>21563668</t>
        </is>
      </c>
      <c r="AW2257" t="inlineStr">
        <is>
          <t>991001706789702656</t>
        </is>
      </c>
      <c r="AX2257" t="inlineStr">
        <is>
          <t>991001706789702656</t>
        </is>
      </c>
      <c r="AY2257" t="inlineStr">
        <is>
          <t>2268161710002656</t>
        </is>
      </c>
      <c r="AZ2257" t="inlineStr">
        <is>
          <t>BOOK</t>
        </is>
      </c>
      <c r="BB2257" t="inlineStr">
        <is>
          <t>9780899199580</t>
        </is>
      </c>
      <c r="BC2257" t="inlineStr">
        <is>
          <t>32285000493907</t>
        </is>
      </c>
      <c r="BD2257" t="inlineStr">
        <is>
          <t>893509843</t>
        </is>
      </c>
    </row>
    <row r="2258">
      <c r="A2258" t="inlineStr">
        <is>
          <t>No</t>
        </is>
      </c>
      <c r="B2258" t="inlineStr">
        <is>
          <t>E876 .T83</t>
        </is>
      </c>
      <c r="C2258" t="inlineStr">
        <is>
          <t>0                      E  0876000T  83</t>
        </is>
      </c>
      <c r="D2258" t="inlineStr">
        <is>
          <t>The purposes of American power : an essay on national security / Robert W. Tucker.</t>
        </is>
      </c>
      <c r="F2258" t="inlineStr">
        <is>
          <t>No</t>
        </is>
      </c>
      <c r="G2258" t="inlineStr">
        <is>
          <t>1</t>
        </is>
      </c>
      <c r="H2258" t="inlineStr">
        <is>
          <t>No</t>
        </is>
      </c>
      <c r="I2258" t="inlineStr">
        <is>
          <t>No</t>
        </is>
      </c>
      <c r="J2258" t="inlineStr">
        <is>
          <t>0</t>
        </is>
      </c>
      <c r="K2258" t="inlineStr">
        <is>
          <t>Tucker, Robert W.</t>
        </is>
      </c>
      <c r="L2258" t="inlineStr">
        <is>
          <t>New York, N.Y. : Praeger, 1981.</t>
        </is>
      </c>
      <c r="M2258" t="inlineStr">
        <is>
          <t>1981</t>
        </is>
      </c>
      <c r="O2258" t="inlineStr">
        <is>
          <t>eng</t>
        </is>
      </c>
      <c r="P2258" t="inlineStr">
        <is>
          <t>nyu</t>
        </is>
      </c>
      <c r="Q2258" t="inlineStr">
        <is>
          <t>A Lehrman Institute book</t>
        </is>
      </c>
      <c r="R2258" t="inlineStr">
        <is>
          <t xml:space="preserve">E  </t>
        </is>
      </c>
      <c r="S2258" t="n">
        <v>2</v>
      </c>
      <c r="T2258" t="n">
        <v>2</v>
      </c>
      <c r="U2258" t="inlineStr">
        <is>
          <t>2001-03-20</t>
        </is>
      </c>
      <c r="V2258" t="inlineStr">
        <is>
          <t>2001-03-20</t>
        </is>
      </c>
      <c r="W2258" t="inlineStr">
        <is>
          <t>1991-06-27</t>
        </is>
      </c>
      <c r="X2258" t="inlineStr">
        <is>
          <t>1991-06-27</t>
        </is>
      </c>
      <c r="Y2258" t="n">
        <v>535</v>
      </c>
      <c r="Z2258" t="n">
        <v>456</v>
      </c>
      <c r="AA2258" t="n">
        <v>464</v>
      </c>
      <c r="AB2258" t="n">
        <v>3</v>
      </c>
      <c r="AC2258" t="n">
        <v>3</v>
      </c>
      <c r="AD2258" t="n">
        <v>24</v>
      </c>
      <c r="AE2258" t="n">
        <v>24</v>
      </c>
      <c r="AF2258" t="n">
        <v>8</v>
      </c>
      <c r="AG2258" t="n">
        <v>8</v>
      </c>
      <c r="AH2258" t="n">
        <v>6</v>
      </c>
      <c r="AI2258" t="n">
        <v>6</v>
      </c>
      <c r="AJ2258" t="n">
        <v>14</v>
      </c>
      <c r="AK2258" t="n">
        <v>14</v>
      </c>
      <c r="AL2258" t="n">
        <v>2</v>
      </c>
      <c r="AM2258" t="n">
        <v>2</v>
      </c>
      <c r="AN2258" t="n">
        <v>2</v>
      </c>
      <c r="AO2258" t="n">
        <v>2</v>
      </c>
      <c r="AP2258" t="inlineStr">
        <is>
          <t>No</t>
        </is>
      </c>
      <c r="AQ2258" t="inlineStr">
        <is>
          <t>Yes</t>
        </is>
      </c>
      <c r="AR2258">
        <f>HYPERLINK("http://catalog.hathitrust.org/Record/000141422","HathiTrust Record")</f>
        <v/>
      </c>
      <c r="AS2258">
        <f>HYPERLINK("https://creighton-primo.hosted.exlibrisgroup.com/primo-explore/search?tab=default_tab&amp;search_scope=EVERYTHING&amp;vid=01CRU&amp;lang=en_US&amp;offset=0&amp;query=any,contains,991005131399702656","Catalog Record")</f>
        <v/>
      </c>
      <c r="AT2258">
        <f>HYPERLINK("http://www.worldcat.org/oclc/7572752","WorldCat Record")</f>
        <v/>
      </c>
      <c r="AU2258" t="inlineStr">
        <is>
          <t>892443998:eng</t>
        </is>
      </c>
      <c r="AV2258" t="inlineStr">
        <is>
          <t>7572752</t>
        </is>
      </c>
      <c r="AW2258" t="inlineStr">
        <is>
          <t>991005131399702656</t>
        </is>
      </c>
      <c r="AX2258" t="inlineStr">
        <is>
          <t>991005131399702656</t>
        </is>
      </c>
      <c r="AY2258" t="inlineStr">
        <is>
          <t>2271680170002656</t>
        </is>
      </c>
      <c r="AZ2258" t="inlineStr">
        <is>
          <t>BOOK</t>
        </is>
      </c>
      <c r="BB2258" t="inlineStr">
        <is>
          <t>9780030599743</t>
        </is>
      </c>
      <c r="BC2258" t="inlineStr">
        <is>
          <t>32285000672039</t>
        </is>
      </c>
      <c r="BD2258" t="inlineStr">
        <is>
          <t>893236333</t>
        </is>
      </c>
    </row>
    <row r="2259">
      <c r="A2259" t="inlineStr">
        <is>
          <t>No</t>
        </is>
      </c>
      <c r="B2259" t="inlineStr">
        <is>
          <t>E876.1 .N48 1986</t>
        </is>
      </c>
      <c r="C2259" t="inlineStr">
        <is>
          <t>0                      E  0876100N  48          1986</t>
        </is>
      </c>
      <c r="D2259" t="inlineStr">
        <is>
          <t>The New populism : the politics of empowerment / edited by Harry C. Boyte and Frank Riessman.</t>
        </is>
      </c>
      <c r="F2259" t="inlineStr">
        <is>
          <t>No</t>
        </is>
      </c>
      <c r="G2259" t="inlineStr">
        <is>
          <t>1</t>
        </is>
      </c>
      <c r="H2259" t="inlineStr">
        <is>
          <t>No</t>
        </is>
      </c>
      <c r="I2259" t="inlineStr">
        <is>
          <t>No</t>
        </is>
      </c>
      <c r="J2259" t="inlineStr">
        <is>
          <t>0</t>
        </is>
      </c>
      <c r="L2259" t="inlineStr">
        <is>
          <t>Philadelphia : Temple University Press, 1986.</t>
        </is>
      </c>
      <c r="M2259" t="inlineStr">
        <is>
          <t>1986</t>
        </is>
      </c>
      <c r="O2259" t="inlineStr">
        <is>
          <t>eng</t>
        </is>
      </c>
      <c r="P2259" t="inlineStr">
        <is>
          <t>pau</t>
        </is>
      </c>
      <c r="R2259" t="inlineStr">
        <is>
          <t xml:space="preserve">E  </t>
        </is>
      </c>
      <c r="S2259" t="n">
        <v>4</v>
      </c>
      <c r="T2259" t="n">
        <v>4</v>
      </c>
      <c r="U2259" t="inlineStr">
        <is>
          <t>2005-07-21</t>
        </is>
      </c>
      <c r="V2259" t="inlineStr">
        <is>
          <t>2005-07-21</t>
        </is>
      </c>
      <c r="W2259" t="inlineStr">
        <is>
          <t>1991-06-27</t>
        </is>
      </c>
      <c r="X2259" t="inlineStr">
        <is>
          <t>1991-06-27</t>
        </is>
      </c>
      <c r="Y2259" t="n">
        <v>437</v>
      </c>
      <c r="Z2259" t="n">
        <v>388</v>
      </c>
      <c r="AA2259" t="n">
        <v>393</v>
      </c>
      <c r="AB2259" t="n">
        <v>4</v>
      </c>
      <c r="AC2259" t="n">
        <v>4</v>
      </c>
      <c r="AD2259" t="n">
        <v>19</v>
      </c>
      <c r="AE2259" t="n">
        <v>19</v>
      </c>
      <c r="AF2259" t="n">
        <v>4</v>
      </c>
      <c r="AG2259" t="n">
        <v>4</v>
      </c>
      <c r="AH2259" t="n">
        <v>6</v>
      </c>
      <c r="AI2259" t="n">
        <v>6</v>
      </c>
      <c r="AJ2259" t="n">
        <v>11</v>
      </c>
      <c r="AK2259" t="n">
        <v>11</v>
      </c>
      <c r="AL2259" t="n">
        <v>3</v>
      </c>
      <c r="AM2259" t="n">
        <v>3</v>
      </c>
      <c r="AN2259" t="n">
        <v>0</v>
      </c>
      <c r="AO2259" t="n">
        <v>0</v>
      </c>
      <c r="AP2259" t="inlineStr">
        <is>
          <t>No</t>
        </is>
      </c>
      <c r="AQ2259" t="inlineStr">
        <is>
          <t>No</t>
        </is>
      </c>
      <c r="AS2259">
        <f>HYPERLINK("https://creighton-primo.hosted.exlibrisgroup.com/primo-explore/search?tab=default_tab&amp;search_scope=EVERYTHING&amp;vid=01CRU&amp;lang=en_US&amp;offset=0&amp;query=any,contains,991005406229702656","Catalog Record")</f>
        <v/>
      </c>
      <c r="AT2259">
        <f>HYPERLINK("http://www.worldcat.org/oclc/13122541","WorldCat Record")</f>
        <v/>
      </c>
      <c r="AU2259" t="inlineStr">
        <is>
          <t>1008302025:eng</t>
        </is>
      </c>
      <c r="AV2259" t="inlineStr">
        <is>
          <t>13122541</t>
        </is>
      </c>
      <c r="AW2259" t="inlineStr">
        <is>
          <t>991005406229702656</t>
        </is>
      </c>
      <c r="AX2259" t="inlineStr">
        <is>
          <t>991005406229702656</t>
        </is>
      </c>
      <c r="AY2259" t="inlineStr">
        <is>
          <t>2255008780002656</t>
        </is>
      </c>
      <c r="AZ2259" t="inlineStr">
        <is>
          <t>BOOK</t>
        </is>
      </c>
      <c r="BB2259" t="inlineStr">
        <is>
          <t>9780877224297</t>
        </is>
      </c>
      <c r="BC2259" t="inlineStr">
        <is>
          <t>32285000672062</t>
        </is>
      </c>
      <c r="BD2259" t="inlineStr">
        <is>
          <t>893811079</t>
        </is>
      </c>
    </row>
    <row r="2260">
      <c r="A2260" t="inlineStr">
        <is>
          <t>No</t>
        </is>
      </c>
      <c r="B2260" t="inlineStr">
        <is>
          <t>E877 .A4 2003</t>
        </is>
      </c>
      <c r="C2260" t="inlineStr">
        <is>
          <t>0                      E  0877000A  4           2003</t>
        </is>
      </c>
      <c r="D2260" t="inlineStr">
        <is>
          <t>Reagan : a life in letters / edited, with an introduction and commentary by Kiron K. Skinner, Annelise Anderson, Martin Anderson ; with a foreword by George P. Shultz.</t>
        </is>
      </c>
      <c r="F2260" t="inlineStr">
        <is>
          <t>No</t>
        </is>
      </c>
      <c r="G2260" t="inlineStr">
        <is>
          <t>1</t>
        </is>
      </c>
      <c r="H2260" t="inlineStr">
        <is>
          <t>No</t>
        </is>
      </c>
      <c r="I2260" t="inlineStr">
        <is>
          <t>No</t>
        </is>
      </c>
      <c r="J2260" t="inlineStr">
        <is>
          <t>0</t>
        </is>
      </c>
      <c r="K2260" t="inlineStr">
        <is>
          <t>Reagan, Ronald.</t>
        </is>
      </c>
      <c r="L2260" t="inlineStr">
        <is>
          <t>New York : Free Press, c2003.</t>
        </is>
      </c>
      <c r="M2260" t="inlineStr">
        <is>
          <t>2003</t>
        </is>
      </c>
      <c r="O2260" t="inlineStr">
        <is>
          <t>eng</t>
        </is>
      </c>
      <c r="P2260" t="inlineStr">
        <is>
          <t>nyu</t>
        </is>
      </c>
      <c r="R2260" t="inlineStr">
        <is>
          <t xml:space="preserve">E  </t>
        </is>
      </c>
      <c r="S2260" t="n">
        <v>4</v>
      </c>
      <c r="T2260" t="n">
        <v>4</v>
      </c>
      <c r="U2260" t="inlineStr">
        <is>
          <t>2004-04-01</t>
        </is>
      </c>
      <c r="V2260" t="inlineStr">
        <is>
          <t>2004-04-01</t>
        </is>
      </c>
      <c r="W2260" t="inlineStr">
        <is>
          <t>2003-09-11</t>
        </is>
      </c>
      <c r="X2260" t="inlineStr">
        <is>
          <t>2003-09-11</t>
        </is>
      </c>
      <c r="Y2260" t="n">
        <v>1507</v>
      </c>
      <c r="Z2260" t="n">
        <v>1432</v>
      </c>
      <c r="AA2260" t="n">
        <v>1488</v>
      </c>
      <c r="AB2260" t="n">
        <v>10</v>
      </c>
      <c r="AC2260" t="n">
        <v>10</v>
      </c>
      <c r="AD2260" t="n">
        <v>30</v>
      </c>
      <c r="AE2260" t="n">
        <v>32</v>
      </c>
      <c r="AF2260" t="n">
        <v>16</v>
      </c>
      <c r="AG2260" t="n">
        <v>18</v>
      </c>
      <c r="AH2260" t="n">
        <v>5</v>
      </c>
      <c r="AI2260" t="n">
        <v>5</v>
      </c>
      <c r="AJ2260" t="n">
        <v>14</v>
      </c>
      <c r="AK2260" t="n">
        <v>15</v>
      </c>
      <c r="AL2260" t="n">
        <v>2</v>
      </c>
      <c r="AM2260" t="n">
        <v>2</v>
      </c>
      <c r="AN2260" t="n">
        <v>1</v>
      </c>
      <c r="AO2260" t="n">
        <v>1</v>
      </c>
      <c r="AP2260" t="inlineStr">
        <is>
          <t>No</t>
        </is>
      </c>
      <c r="AQ2260" t="inlineStr">
        <is>
          <t>No</t>
        </is>
      </c>
      <c r="AS2260">
        <f>HYPERLINK("https://creighton-primo.hosted.exlibrisgroup.com/primo-explore/search?tab=default_tab&amp;search_scope=EVERYTHING&amp;vid=01CRU&amp;lang=en_US&amp;offset=0&amp;query=any,contains,991004121689702656","Catalog Record")</f>
        <v/>
      </c>
      <c r="AT2260">
        <f>HYPERLINK("http://www.worldcat.org/oclc/52493559","WorldCat Record")</f>
        <v/>
      </c>
      <c r="AU2260" t="inlineStr">
        <is>
          <t>740970:eng</t>
        </is>
      </c>
      <c r="AV2260" t="inlineStr">
        <is>
          <t>52493559</t>
        </is>
      </c>
      <c r="AW2260" t="inlineStr">
        <is>
          <t>991004121689702656</t>
        </is>
      </c>
      <c r="AX2260" t="inlineStr">
        <is>
          <t>991004121689702656</t>
        </is>
      </c>
      <c r="AY2260" t="inlineStr">
        <is>
          <t>2260016480002656</t>
        </is>
      </c>
      <c r="AZ2260" t="inlineStr">
        <is>
          <t>BOOK</t>
        </is>
      </c>
      <c r="BB2260" t="inlineStr">
        <is>
          <t>9780743219662</t>
        </is>
      </c>
      <c r="BC2260" t="inlineStr">
        <is>
          <t>32285004788773</t>
        </is>
      </c>
      <c r="BD2260" t="inlineStr">
        <is>
          <t>893794510</t>
        </is>
      </c>
    </row>
    <row r="2261">
      <c r="A2261" t="inlineStr">
        <is>
          <t>No</t>
        </is>
      </c>
      <c r="B2261" t="inlineStr">
        <is>
          <t>E877 .A84 1988</t>
        </is>
      </c>
      <c r="C2261" t="inlineStr">
        <is>
          <t>0                      E  0877000A  84          1988</t>
        </is>
      </c>
      <c r="D2261" t="inlineStr">
        <is>
          <t>Revolution / Martin Anderson.</t>
        </is>
      </c>
      <c r="F2261" t="inlineStr">
        <is>
          <t>No</t>
        </is>
      </c>
      <c r="G2261" t="inlineStr">
        <is>
          <t>1</t>
        </is>
      </c>
      <c r="H2261" t="inlineStr">
        <is>
          <t>No</t>
        </is>
      </c>
      <c r="I2261" t="inlineStr">
        <is>
          <t>No</t>
        </is>
      </c>
      <c r="J2261" t="inlineStr">
        <is>
          <t>0</t>
        </is>
      </c>
      <c r="K2261" t="inlineStr">
        <is>
          <t>Anderson, Martin, 1936-2015.</t>
        </is>
      </c>
      <c r="L2261" t="inlineStr">
        <is>
          <t>San Diego : Harcourt Brace Jovanovich, c1988.</t>
        </is>
      </c>
      <c r="M2261" t="inlineStr">
        <is>
          <t>1988</t>
        </is>
      </c>
      <c r="N2261" t="inlineStr">
        <is>
          <t>1st ed.</t>
        </is>
      </c>
      <c r="O2261" t="inlineStr">
        <is>
          <t>eng</t>
        </is>
      </c>
      <c r="P2261" t="inlineStr">
        <is>
          <t>cau</t>
        </is>
      </c>
      <c r="R2261" t="inlineStr">
        <is>
          <t xml:space="preserve">E  </t>
        </is>
      </c>
      <c r="S2261" t="n">
        <v>2</v>
      </c>
      <c r="T2261" t="n">
        <v>2</v>
      </c>
      <c r="U2261" t="inlineStr">
        <is>
          <t>1996-02-28</t>
        </is>
      </c>
      <c r="V2261" t="inlineStr">
        <is>
          <t>1996-02-28</t>
        </is>
      </c>
      <c r="W2261" t="inlineStr">
        <is>
          <t>1990-06-01</t>
        </is>
      </c>
      <c r="X2261" t="inlineStr">
        <is>
          <t>1990-06-01</t>
        </is>
      </c>
      <c r="Y2261" t="n">
        <v>791</v>
      </c>
      <c r="Z2261" t="n">
        <v>736</v>
      </c>
      <c r="AA2261" t="n">
        <v>751</v>
      </c>
      <c r="AB2261" t="n">
        <v>7</v>
      </c>
      <c r="AC2261" t="n">
        <v>7</v>
      </c>
      <c r="AD2261" t="n">
        <v>27</v>
      </c>
      <c r="AE2261" t="n">
        <v>28</v>
      </c>
      <c r="AF2261" t="n">
        <v>12</v>
      </c>
      <c r="AG2261" t="n">
        <v>12</v>
      </c>
      <c r="AH2261" t="n">
        <v>6</v>
      </c>
      <c r="AI2261" t="n">
        <v>7</v>
      </c>
      <c r="AJ2261" t="n">
        <v>14</v>
      </c>
      <c r="AK2261" t="n">
        <v>14</v>
      </c>
      <c r="AL2261" t="n">
        <v>3</v>
      </c>
      <c r="AM2261" t="n">
        <v>3</v>
      </c>
      <c r="AN2261" t="n">
        <v>0</v>
      </c>
      <c r="AO2261" t="n">
        <v>0</v>
      </c>
      <c r="AP2261" t="inlineStr">
        <is>
          <t>No</t>
        </is>
      </c>
      <c r="AQ2261" t="inlineStr">
        <is>
          <t>Yes</t>
        </is>
      </c>
      <c r="AR2261">
        <f>HYPERLINK("http://catalog.hathitrust.org/Record/000916819","HathiTrust Record")</f>
        <v/>
      </c>
      <c r="AS2261">
        <f>HYPERLINK("https://creighton-primo.hosted.exlibrisgroup.com/primo-explore/search?tab=default_tab&amp;search_scope=EVERYTHING&amp;vid=01CRU&amp;lang=en_US&amp;offset=0&amp;query=any,contains,991001197899702656","Catalog Record")</f>
        <v/>
      </c>
      <c r="AT2261">
        <f>HYPERLINK("http://www.worldcat.org/oclc/17298230","WorldCat Record")</f>
        <v/>
      </c>
      <c r="AU2261" t="inlineStr">
        <is>
          <t>16193741:eng</t>
        </is>
      </c>
      <c r="AV2261" t="inlineStr">
        <is>
          <t>17298230</t>
        </is>
      </c>
      <c r="AW2261" t="inlineStr">
        <is>
          <t>991001197899702656</t>
        </is>
      </c>
      <c r="AX2261" t="inlineStr">
        <is>
          <t>991001197899702656</t>
        </is>
      </c>
      <c r="AY2261" t="inlineStr">
        <is>
          <t>2268996520002656</t>
        </is>
      </c>
      <c r="AZ2261" t="inlineStr">
        <is>
          <t>BOOK</t>
        </is>
      </c>
      <c r="BB2261" t="inlineStr">
        <is>
          <t>9780151770878</t>
        </is>
      </c>
      <c r="BC2261" t="inlineStr">
        <is>
          <t>32285000169796</t>
        </is>
      </c>
      <c r="BD2261" t="inlineStr">
        <is>
          <t>893225680</t>
        </is>
      </c>
    </row>
    <row r="2262">
      <c r="A2262" t="inlineStr">
        <is>
          <t>No</t>
        </is>
      </c>
      <c r="B2262" t="inlineStr">
        <is>
          <t>E877 .C36 1982</t>
        </is>
      </c>
      <c r="C2262" t="inlineStr">
        <is>
          <t>0                      E  0877000C  36          1982</t>
        </is>
      </c>
      <c r="D2262" t="inlineStr">
        <is>
          <t>Reagan / Lou Cannon.</t>
        </is>
      </c>
      <c r="F2262" t="inlineStr">
        <is>
          <t>No</t>
        </is>
      </c>
      <c r="G2262" t="inlineStr">
        <is>
          <t>1</t>
        </is>
      </c>
      <c r="H2262" t="inlineStr">
        <is>
          <t>No</t>
        </is>
      </c>
      <c r="I2262" t="inlineStr">
        <is>
          <t>No</t>
        </is>
      </c>
      <c r="J2262" t="inlineStr">
        <is>
          <t>0</t>
        </is>
      </c>
      <c r="K2262" t="inlineStr">
        <is>
          <t>Cannon, Lou.</t>
        </is>
      </c>
      <c r="L2262" t="inlineStr">
        <is>
          <t>New York : Putnam, c1982.</t>
        </is>
      </c>
      <c r="M2262" t="inlineStr">
        <is>
          <t>1982</t>
        </is>
      </c>
      <c r="O2262" t="inlineStr">
        <is>
          <t>eng</t>
        </is>
      </c>
      <c r="P2262" t="inlineStr">
        <is>
          <t>nyu</t>
        </is>
      </c>
      <c r="R2262" t="inlineStr">
        <is>
          <t xml:space="preserve">E  </t>
        </is>
      </c>
      <c r="S2262" t="n">
        <v>7</v>
      </c>
      <c r="T2262" t="n">
        <v>7</v>
      </c>
      <c r="U2262" t="inlineStr">
        <is>
          <t>2004-06-17</t>
        </is>
      </c>
      <c r="V2262" t="inlineStr">
        <is>
          <t>2004-06-17</t>
        </is>
      </c>
      <c r="W2262" t="inlineStr">
        <is>
          <t>1990-04-17</t>
        </is>
      </c>
      <c r="X2262" t="inlineStr">
        <is>
          <t>1990-04-17</t>
        </is>
      </c>
      <c r="Y2262" t="n">
        <v>1588</v>
      </c>
      <c r="Z2262" t="n">
        <v>1500</v>
      </c>
      <c r="AA2262" t="n">
        <v>1609</v>
      </c>
      <c r="AB2262" t="n">
        <v>10</v>
      </c>
      <c r="AC2262" t="n">
        <v>10</v>
      </c>
      <c r="AD2262" t="n">
        <v>34</v>
      </c>
      <c r="AE2262" t="n">
        <v>36</v>
      </c>
      <c r="AF2262" t="n">
        <v>14</v>
      </c>
      <c r="AG2262" t="n">
        <v>14</v>
      </c>
      <c r="AH2262" t="n">
        <v>6</v>
      </c>
      <c r="AI2262" t="n">
        <v>7</v>
      </c>
      <c r="AJ2262" t="n">
        <v>15</v>
      </c>
      <c r="AK2262" t="n">
        <v>17</v>
      </c>
      <c r="AL2262" t="n">
        <v>5</v>
      </c>
      <c r="AM2262" t="n">
        <v>5</v>
      </c>
      <c r="AN2262" t="n">
        <v>1</v>
      </c>
      <c r="AO2262" t="n">
        <v>1</v>
      </c>
      <c r="AP2262" t="inlineStr">
        <is>
          <t>No</t>
        </is>
      </c>
      <c r="AQ2262" t="inlineStr">
        <is>
          <t>Yes</t>
        </is>
      </c>
      <c r="AR2262">
        <f>HYPERLINK("http://catalog.hathitrust.org/Record/000189074","HathiTrust Record")</f>
        <v/>
      </c>
      <c r="AS2262">
        <f>HYPERLINK("https://creighton-primo.hosted.exlibrisgroup.com/primo-explore/search?tab=default_tab&amp;search_scope=EVERYTHING&amp;vid=01CRU&amp;lang=en_US&amp;offset=0&amp;query=any,contains,991005236429702656","Catalog Record")</f>
        <v/>
      </c>
      <c r="AT2262">
        <f>HYPERLINK("http://www.worldcat.org/oclc/8386790","WorldCat Record")</f>
        <v/>
      </c>
      <c r="AU2262" t="inlineStr">
        <is>
          <t>3360190:eng</t>
        </is>
      </c>
      <c r="AV2262" t="inlineStr">
        <is>
          <t>8386790</t>
        </is>
      </c>
      <c r="AW2262" t="inlineStr">
        <is>
          <t>991005236429702656</t>
        </is>
      </c>
      <c r="AX2262" t="inlineStr">
        <is>
          <t>991005236429702656</t>
        </is>
      </c>
      <c r="AY2262" t="inlineStr">
        <is>
          <t>2268382470002656</t>
        </is>
      </c>
      <c r="AZ2262" t="inlineStr">
        <is>
          <t>BOOK</t>
        </is>
      </c>
      <c r="BB2262" t="inlineStr">
        <is>
          <t>9780399127564</t>
        </is>
      </c>
      <c r="BC2262" t="inlineStr">
        <is>
          <t>32285000122415</t>
        </is>
      </c>
      <c r="BD2262" t="inlineStr">
        <is>
          <t>893613361</t>
        </is>
      </c>
    </row>
    <row r="2263">
      <c r="A2263" t="inlineStr">
        <is>
          <t>No</t>
        </is>
      </c>
      <c r="B2263" t="inlineStr">
        <is>
          <t>E877 .D34 1984</t>
        </is>
      </c>
      <c r="C2263" t="inlineStr">
        <is>
          <t>0                      E  0877000D  34          1984</t>
        </is>
      </c>
      <c r="D2263" t="inlineStr">
        <is>
          <t>Ronald Reagan : the politics of symbolism / Robert Dallek.</t>
        </is>
      </c>
      <c r="F2263" t="inlineStr">
        <is>
          <t>No</t>
        </is>
      </c>
      <c r="G2263" t="inlineStr">
        <is>
          <t>1</t>
        </is>
      </c>
      <c r="H2263" t="inlineStr">
        <is>
          <t>No</t>
        </is>
      </c>
      <c r="I2263" t="inlineStr">
        <is>
          <t>No</t>
        </is>
      </c>
      <c r="J2263" t="inlineStr">
        <is>
          <t>0</t>
        </is>
      </c>
      <c r="K2263" t="inlineStr">
        <is>
          <t>Dallek, Robert.</t>
        </is>
      </c>
      <c r="L2263" t="inlineStr">
        <is>
          <t>Cambridge, Mass. : Harvard University Press, 1984.</t>
        </is>
      </c>
      <c r="M2263" t="inlineStr">
        <is>
          <t>1984</t>
        </is>
      </c>
      <c r="O2263" t="inlineStr">
        <is>
          <t>eng</t>
        </is>
      </c>
      <c r="P2263" t="inlineStr">
        <is>
          <t>mau</t>
        </is>
      </c>
      <c r="R2263" t="inlineStr">
        <is>
          <t xml:space="preserve">E  </t>
        </is>
      </c>
      <c r="S2263" t="n">
        <v>1</v>
      </c>
      <c r="T2263" t="n">
        <v>1</v>
      </c>
      <c r="U2263" t="inlineStr">
        <is>
          <t>1992-04-21</t>
        </is>
      </c>
      <c r="V2263" t="inlineStr">
        <is>
          <t>1992-04-21</t>
        </is>
      </c>
      <c r="W2263" t="inlineStr">
        <is>
          <t>1992-01-15</t>
        </is>
      </c>
      <c r="X2263" t="inlineStr">
        <is>
          <t>1992-01-15</t>
        </is>
      </c>
      <c r="Y2263" t="n">
        <v>837</v>
      </c>
      <c r="Z2263" t="n">
        <v>707</v>
      </c>
      <c r="AA2263" t="n">
        <v>839</v>
      </c>
      <c r="AB2263" t="n">
        <v>8</v>
      </c>
      <c r="AC2263" t="n">
        <v>8</v>
      </c>
      <c r="AD2263" t="n">
        <v>37</v>
      </c>
      <c r="AE2263" t="n">
        <v>42</v>
      </c>
      <c r="AF2263" t="n">
        <v>15</v>
      </c>
      <c r="AG2263" t="n">
        <v>18</v>
      </c>
      <c r="AH2263" t="n">
        <v>8</v>
      </c>
      <c r="AI2263" t="n">
        <v>8</v>
      </c>
      <c r="AJ2263" t="n">
        <v>14</v>
      </c>
      <c r="AK2263" t="n">
        <v>16</v>
      </c>
      <c r="AL2263" t="n">
        <v>6</v>
      </c>
      <c r="AM2263" t="n">
        <v>6</v>
      </c>
      <c r="AN2263" t="n">
        <v>1</v>
      </c>
      <c r="AO2263" t="n">
        <v>1</v>
      </c>
      <c r="AP2263" t="inlineStr">
        <is>
          <t>No</t>
        </is>
      </c>
      <c r="AQ2263" t="inlineStr">
        <is>
          <t>Yes</t>
        </is>
      </c>
      <c r="AR2263">
        <f>HYPERLINK("http://catalog.hathitrust.org/Record/000241486","HathiTrust Record")</f>
        <v/>
      </c>
      <c r="AS2263">
        <f>HYPERLINK("https://creighton-primo.hosted.exlibrisgroup.com/primo-explore/search?tab=default_tab&amp;search_scope=EVERYTHING&amp;vid=01CRU&amp;lang=en_US&amp;offset=0&amp;query=any,contains,991000274619702656","Catalog Record")</f>
        <v/>
      </c>
      <c r="AT2263">
        <f>HYPERLINK("http://www.worldcat.org/oclc/9893954","WorldCat Record")</f>
        <v/>
      </c>
      <c r="AU2263" t="inlineStr">
        <is>
          <t>836628601:eng</t>
        </is>
      </c>
      <c r="AV2263" t="inlineStr">
        <is>
          <t>9893954</t>
        </is>
      </c>
      <c r="AW2263" t="inlineStr">
        <is>
          <t>991000274619702656</t>
        </is>
      </c>
      <c r="AX2263" t="inlineStr">
        <is>
          <t>991000274619702656</t>
        </is>
      </c>
      <c r="AY2263" t="inlineStr">
        <is>
          <t>2265552360002656</t>
        </is>
      </c>
      <c r="AZ2263" t="inlineStr">
        <is>
          <t>BOOK</t>
        </is>
      </c>
      <c r="BB2263" t="inlineStr">
        <is>
          <t>9780674779402</t>
        </is>
      </c>
      <c r="BC2263" t="inlineStr">
        <is>
          <t>32285000893379</t>
        </is>
      </c>
      <c r="BD2263" t="inlineStr">
        <is>
          <t>893425571</t>
        </is>
      </c>
    </row>
    <row r="2264">
      <c r="A2264" t="inlineStr">
        <is>
          <t>No</t>
        </is>
      </c>
      <c r="B2264" t="inlineStr">
        <is>
          <t>E877 .M66 1999</t>
        </is>
      </c>
      <c r="C2264" t="inlineStr">
        <is>
          <t>0                      E  0877000M  66          1999</t>
        </is>
      </c>
      <c r="D2264" t="inlineStr">
        <is>
          <t>Dutch : a memoir of Ronald Reagan / Edmund Morris.</t>
        </is>
      </c>
      <c r="F2264" t="inlineStr">
        <is>
          <t>No</t>
        </is>
      </c>
      <c r="G2264" t="inlineStr">
        <is>
          <t>1</t>
        </is>
      </c>
      <c r="H2264" t="inlineStr">
        <is>
          <t>No</t>
        </is>
      </c>
      <c r="I2264" t="inlineStr">
        <is>
          <t>No</t>
        </is>
      </c>
      <c r="J2264" t="inlineStr">
        <is>
          <t>0</t>
        </is>
      </c>
      <c r="K2264" t="inlineStr">
        <is>
          <t>Morris, Edmund.</t>
        </is>
      </c>
      <c r="L2264" t="inlineStr">
        <is>
          <t>New York : Random House, c1999.</t>
        </is>
      </c>
      <c r="M2264" t="inlineStr">
        <is>
          <t>1999</t>
        </is>
      </c>
      <c r="N2264" t="inlineStr">
        <is>
          <t>1st ed.</t>
        </is>
      </c>
      <c r="O2264" t="inlineStr">
        <is>
          <t>eng</t>
        </is>
      </c>
      <c r="P2264" t="inlineStr">
        <is>
          <t>nyu</t>
        </is>
      </c>
      <c r="R2264" t="inlineStr">
        <is>
          <t xml:space="preserve">E  </t>
        </is>
      </c>
      <c r="S2264" t="n">
        <v>6</v>
      </c>
      <c r="T2264" t="n">
        <v>6</v>
      </c>
      <c r="U2264" t="inlineStr">
        <is>
          <t>2000-08-24</t>
        </is>
      </c>
      <c r="V2264" t="inlineStr">
        <is>
          <t>2000-08-24</t>
        </is>
      </c>
      <c r="W2264" t="inlineStr">
        <is>
          <t>1999-10-18</t>
        </is>
      </c>
      <c r="X2264" t="inlineStr">
        <is>
          <t>1999-10-18</t>
        </is>
      </c>
      <c r="Y2264" t="n">
        <v>2469</v>
      </c>
      <c r="Z2264" t="n">
        <v>2372</v>
      </c>
      <c r="AA2264" t="n">
        <v>2728</v>
      </c>
      <c r="AB2264" t="n">
        <v>34</v>
      </c>
      <c r="AC2264" t="n">
        <v>36</v>
      </c>
      <c r="AD2264" t="n">
        <v>43</v>
      </c>
      <c r="AE2264" t="n">
        <v>46</v>
      </c>
      <c r="AF2264" t="n">
        <v>20</v>
      </c>
      <c r="AG2264" t="n">
        <v>20</v>
      </c>
      <c r="AH2264" t="n">
        <v>8</v>
      </c>
      <c r="AI2264" t="n">
        <v>9</v>
      </c>
      <c r="AJ2264" t="n">
        <v>17</v>
      </c>
      <c r="AK2264" t="n">
        <v>19</v>
      </c>
      <c r="AL2264" t="n">
        <v>6</v>
      </c>
      <c r="AM2264" t="n">
        <v>7</v>
      </c>
      <c r="AN2264" t="n">
        <v>1</v>
      </c>
      <c r="AO2264" t="n">
        <v>1</v>
      </c>
      <c r="AP2264" t="inlineStr">
        <is>
          <t>No</t>
        </is>
      </c>
      <c r="AQ2264" t="inlineStr">
        <is>
          <t>Yes</t>
        </is>
      </c>
      <c r="AR2264">
        <f>HYPERLINK("http://catalog.hathitrust.org/Record/003992500","HathiTrust Record")</f>
        <v/>
      </c>
      <c r="AS2264">
        <f>HYPERLINK("https://creighton-primo.hosted.exlibrisgroup.com/primo-explore/search?tab=default_tab&amp;search_scope=EVERYTHING&amp;vid=01CRU&amp;lang=en_US&amp;offset=0&amp;query=any,contains,991002962479702656","Catalog Record")</f>
        <v/>
      </c>
      <c r="AT2264">
        <f>HYPERLINK("http://www.worldcat.org/oclc/39633448","WorldCat Record")</f>
        <v/>
      </c>
      <c r="AU2264" t="inlineStr">
        <is>
          <t>17101405:eng</t>
        </is>
      </c>
      <c r="AV2264" t="inlineStr">
        <is>
          <t>39633448</t>
        </is>
      </c>
      <c r="AW2264" t="inlineStr">
        <is>
          <t>991002962479702656</t>
        </is>
      </c>
      <c r="AX2264" t="inlineStr">
        <is>
          <t>991002962479702656</t>
        </is>
      </c>
      <c r="AY2264" t="inlineStr">
        <is>
          <t>2268788170002656</t>
        </is>
      </c>
      <c r="AZ2264" t="inlineStr">
        <is>
          <t>BOOK</t>
        </is>
      </c>
      <c r="BB2264" t="inlineStr">
        <is>
          <t>9780394555089</t>
        </is>
      </c>
      <c r="BC2264" t="inlineStr">
        <is>
          <t>32285003611216</t>
        </is>
      </c>
      <c r="BD2264" t="inlineStr">
        <is>
          <t>893704734</t>
        </is>
      </c>
    </row>
    <row r="2265">
      <c r="A2265" t="inlineStr">
        <is>
          <t>No</t>
        </is>
      </c>
      <c r="B2265" t="inlineStr">
        <is>
          <t>E877 .R33 1990</t>
        </is>
      </c>
      <c r="C2265" t="inlineStr">
        <is>
          <t>0                      E  0877000R  33          1990</t>
        </is>
      </c>
      <c r="D2265" t="inlineStr">
        <is>
          <t>An American life / Ronald Reagan.</t>
        </is>
      </c>
      <c r="F2265" t="inlineStr">
        <is>
          <t>No</t>
        </is>
      </c>
      <c r="G2265" t="inlineStr">
        <is>
          <t>1</t>
        </is>
      </c>
      <c r="H2265" t="inlineStr">
        <is>
          <t>No</t>
        </is>
      </c>
      <c r="I2265" t="inlineStr">
        <is>
          <t>No</t>
        </is>
      </c>
      <c r="J2265" t="inlineStr">
        <is>
          <t>0</t>
        </is>
      </c>
      <c r="K2265" t="inlineStr">
        <is>
          <t>Reagan, Ronald.</t>
        </is>
      </c>
      <c r="L2265" t="inlineStr">
        <is>
          <t>New York : Simon and Schuster, c1990.</t>
        </is>
      </c>
      <c r="M2265" t="inlineStr">
        <is>
          <t>1990</t>
        </is>
      </c>
      <c r="O2265" t="inlineStr">
        <is>
          <t>eng</t>
        </is>
      </c>
      <c r="P2265" t="inlineStr">
        <is>
          <t>nyu</t>
        </is>
      </c>
      <c r="R2265" t="inlineStr">
        <is>
          <t xml:space="preserve">E  </t>
        </is>
      </c>
      <c r="S2265" t="n">
        <v>7</v>
      </c>
      <c r="T2265" t="n">
        <v>7</v>
      </c>
      <c r="U2265" t="inlineStr">
        <is>
          <t>2000-08-07</t>
        </is>
      </c>
      <c r="V2265" t="inlineStr">
        <is>
          <t>2000-08-07</t>
        </is>
      </c>
      <c r="W2265" t="inlineStr">
        <is>
          <t>1991-02-20</t>
        </is>
      </c>
      <c r="X2265" t="inlineStr">
        <is>
          <t>1991-02-20</t>
        </is>
      </c>
      <c r="Y2265" t="n">
        <v>2595</v>
      </c>
      <c r="Z2265" t="n">
        <v>2479</v>
      </c>
      <c r="AA2265" t="n">
        <v>2786</v>
      </c>
      <c r="AB2265" t="n">
        <v>24</v>
      </c>
      <c r="AC2265" t="n">
        <v>26</v>
      </c>
      <c r="AD2265" t="n">
        <v>44</v>
      </c>
      <c r="AE2265" t="n">
        <v>47</v>
      </c>
      <c r="AF2265" t="n">
        <v>21</v>
      </c>
      <c r="AG2265" t="n">
        <v>23</v>
      </c>
      <c r="AH2265" t="n">
        <v>9</v>
      </c>
      <c r="AI2265" t="n">
        <v>9</v>
      </c>
      <c r="AJ2265" t="n">
        <v>17</v>
      </c>
      <c r="AK2265" t="n">
        <v>20</v>
      </c>
      <c r="AL2265" t="n">
        <v>7</v>
      </c>
      <c r="AM2265" t="n">
        <v>7</v>
      </c>
      <c r="AN2265" t="n">
        <v>1</v>
      </c>
      <c r="AO2265" t="n">
        <v>1</v>
      </c>
      <c r="AP2265" t="inlineStr">
        <is>
          <t>No</t>
        </is>
      </c>
      <c r="AQ2265" t="inlineStr">
        <is>
          <t>Yes</t>
        </is>
      </c>
      <c r="AR2265">
        <f>HYPERLINK("http://catalog.hathitrust.org/Record/002225652","HathiTrust Record")</f>
        <v/>
      </c>
      <c r="AS2265">
        <f>HYPERLINK("https://creighton-primo.hosted.exlibrisgroup.com/primo-explore/search?tab=default_tab&amp;search_scope=EVERYTHING&amp;vid=01CRU&amp;lang=en_US&amp;offset=0&amp;query=any,contains,991001797099702656","Catalog Record")</f>
        <v/>
      </c>
      <c r="AT2265">
        <f>HYPERLINK("http://www.worldcat.org/oclc/22617415","WorldCat Record")</f>
        <v/>
      </c>
      <c r="AU2265" t="inlineStr">
        <is>
          <t>20604350:eng</t>
        </is>
      </c>
      <c r="AV2265" t="inlineStr">
        <is>
          <t>22617415</t>
        </is>
      </c>
      <c r="AW2265" t="inlineStr">
        <is>
          <t>991001797099702656</t>
        </is>
      </c>
      <c r="AX2265" t="inlineStr">
        <is>
          <t>991001797099702656</t>
        </is>
      </c>
      <c r="AY2265" t="inlineStr">
        <is>
          <t>2258688430002656</t>
        </is>
      </c>
      <c r="AZ2265" t="inlineStr">
        <is>
          <t>BOOK</t>
        </is>
      </c>
      <c r="BB2265" t="inlineStr">
        <is>
          <t>9780671691981</t>
        </is>
      </c>
      <c r="BC2265" t="inlineStr">
        <is>
          <t>32285000490366</t>
        </is>
      </c>
      <c r="BD2265" t="inlineStr">
        <is>
          <t>893621633</t>
        </is>
      </c>
    </row>
    <row r="2266">
      <c r="A2266" t="inlineStr">
        <is>
          <t>No</t>
        </is>
      </c>
      <c r="B2266" t="inlineStr">
        <is>
          <t>E877 .W55 1987</t>
        </is>
      </c>
      <c r="C2266" t="inlineStr">
        <is>
          <t>0                      E  0877000W  55          1987</t>
        </is>
      </c>
      <c r="D2266" t="inlineStr">
        <is>
          <t>Reagan's America : innocents at home / by Garry Wills.</t>
        </is>
      </c>
      <c r="F2266" t="inlineStr">
        <is>
          <t>No</t>
        </is>
      </c>
      <c r="G2266" t="inlineStr">
        <is>
          <t>1</t>
        </is>
      </c>
      <c r="H2266" t="inlineStr">
        <is>
          <t>No</t>
        </is>
      </c>
      <c r="I2266" t="inlineStr">
        <is>
          <t>Yes</t>
        </is>
      </c>
      <c r="J2266" t="inlineStr">
        <is>
          <t>0</t>
        </is>
      </c>
      <c r="K2266" t="inlineStr">
        <is>
          <t>Wills, Garry, 1934-</t>
        </is>
      </c>
      <c r="L2266" t="inlineStr">
        <is>
          <t>Garden City, N.Y. : Doubleday, 1987.</t>
        </is>
      </c>
      <c r="M2266" t="inlineStr">
        <is>
          <t>1987</t>
        </is>
      </c>
      <c r="N2266" t="inlineStr">
        <is>
          <t>1st ed.</t>
        </is>
      </c>
      <c r="O2266" t="inlineStr">
        <is>
          <t>eng</t>
        </is>
      </c>
      <c r="P2266" t="inlineStr">
        <is>
          <t>nyu</t>
        </is>
      </c>
      <c r="R2266" t="inlineStr">
        <is>
          <t xml:space="preserve">E  </t>
        </is>
      </c>
      <c r="S2266" t="n">
        <v>3</v>
      </c>
      <c r="T2266" t="n">
        <v>3</v>
      </c>
      <c r="U2266" t="inlineStr">
        <is>
          <t>2002-03-30</t>
        </is>
      </c>
      <c r="V2266" t="inlineStr">
        <is>
          <t>2002-03-30</t>
        </is>
      </c>
      <c r="W2266" t="inlineStr">
        <is>
          <t>1990-06-01</t>
        </is>
      </c>
      <c r="X2266" t="inlineStr">
        <is>
          <t>1990-06-01</t>
        </is>
      </c>
      <c r="Y2266" t="n">
        <v>2082</v>
      </c>
      <c r="Z2266" t="n">
        <v>1954</v>
      </c>
      <c r="AA2266" t="n">
        <v>2199</v>
      </c>
      <c r="AB2266" t="n">
        <v>10</v>
      </c>
      <c r="AC2266" t="n">
        <v>15</v>
      </c>
      <c r="AD2266" t="n">
        <v>46</v>
      </c>
      <c r="AE2266" t="n">
        <v>54</v>
      </c>
      <c r="AF2266" t="n">
        <v>18</v>
      </c>
      <c r="AG2266" t="n">
        <v>22</v>
      </c>
      <c r="AH2266" t="n">
        <v>9</v>
      </c>
      <c r="AI2266" t="n">
        <v>10</v>
      </c>
      <c r="AJ2266" t="n">
        <v>22</v>
      </c>
      <c r="AK2266" t="n">
        <v>24</v>
      </c>
      <c r="AL2266" t="n">
        <v>6</v>
      </c>
      <c r="AM2266" t="n">
        <v>8</v>
      </c>
      <c r="AN2266" t="n">
        <v>1</v>
      </c>
      <c r="AO2266" t="n">
        <v>2</v>
      </c>
      <c r="AP2266" t="inlineStr">
        <is>
          <t>No</t>
        </is>
      </c>
      <c r="AQ2266" t="inlineStr">
        <is>
          <t>Yes</t>
        </is>
      </c>
      <c r="AR2266">
        <f>HYPERLINK("http://catalog.hathitrust.org/Record/000487255","HathiTrust Record")</f>
        <v/>
      </c>
      <c r="AS2266">
        <f>HYPERLINK("https://creighton-primo.hosted.exlibrisgroup.com/primo-explore/search?tab=default_tab&amp;search_scope=EVERYTHING&amp;vid=01CRU&amp;lang=en_US&amp;offset=0&amp;query=any,contains,991000874779702656","Catalog Record")</f>
        <v/>
      </c>
      <c r="AT2266">
        <f>HYPERLINK("http://www.worldcat.org/oclc/13795873","WorldCat Record")</f>
        <v/>
      </c>
      <c r="AU2266" t="inlineStr">
        <is>
          <t>42907:eng</t>
        </is>
      </c>
      <c r="AV2266" t="inlineStr">
        <is>
          <t>13795873</t>
        </is>
      </c>
      <c r="AW2266" t="inlineStr">
        <is>
          <t>991000874779702656</t>
        </is>
      </c>
      <c r="AX2266" t="inlineStr">
        <is>
          <t>991000874779702656</t>
        </is>
      </c>
      <c r="AY2266" t="inlineStr">
        <is>
          <t>2269122280002656</t>
        </is>
      </c>
      <c r="AZ2266" t="inlineStr">
        <is>
          <t>BOOK</t>
        </is>
      </c>
      <c r="BB2266" t="inlineStr">
        <is>
          <t>9780385182867</t>
        </is>
      </c>
      <c r="BC2266" t="inlineStr">
        <is>
          <t>32285000169812</t>
        </is>
      </c>
      <c r="BD2266" t="inlineStr">
        <is>
          <t>893237683</t>
        </is>
      </c>
    </row>
    <row r="2267">
      <c r="A2267" t="inlineStr">
        <is>
          <t>No</t>
        </is>
      </c>
      <c r="B2267" t="inlineStr">
        <is>
          <t>E877 .W55 2000</t>
        </is>
      </c>
      <c r="C2267" t="inlineStr">
        <is>
          <t>0                      E  0877000W  55          2000</t>
        </is>
      </c>
      <c r="D2267" t="inlineStr">
        <is>
          <t>Reagan's America / Garry Wills.</t>
        </is>
      </c>
      <c r="F2267" t="inlineStr">
        <is>
          <t>No</t>
        </is>
      </c>
      <c r="G2267" t="inlineStr">
        <is>
          <t>1</t>
        </is>
      </c>
      <c r="H2267" t="inlineStr">
        <is>
          <t>No</t>
        </is>
      </c>
      <c r="I2267" t="inlineStr">
        <is>
          <t>Yes</t>
        </is>
      </c>
      <c r="J2267" t="inlineStr">
        <is>
          <t>0</t>
        </is>
      </c>
      <c r="K2267" t="inlineStr">
        <is>
          <t>Wills, Garry, 1934-</t>
        </is>
      </c>
      <c r="L2267" t="inlineStr">
        <is>
          <t>New York : Penguin Books, c2000.</t>
        </is>
      </c>
      <c r="M2267" t="inlineStr">
        <is>
          <t>2000</t>
        </is>
      </c>
      <c r="O2267" t="inlineStr">
        <is>
          <t>eng</t>
        </is>
      </c>
      <c r="P2267" t="inlineStr">
        <is>
          <t>nyu</t>
        </is>
      </c>
      <c r="R2267" t="inlineStr">
        <is>
          <t xml:space="preserve">E  </t>
        </is>
      </c>
      <c r="S2267" t="n">
        <v>1</v>
      </c>
      <c r="T2267" t="n">
        <v>1</v>
      </c>
      <c r="U2267" t="inlineStr">
        <is>
          <t>2004-03-03</t>
        </is>
      </c>
      <c r="V2267" t="inlineStr">
        <is>
          <t>2004-03-03</t>
        </is>
      </c>
      <c r="W2267" t="inlineStr">
        <is>
          <t>2004-03-03</t>
        </is>
      </c>
      <c r="X2267" t="inlineStr">
        <is>
          <t>2004-03-03</t>
        </is>
      </c>
      <c r="Y2267" t="n">
        <v>143</v>
      </c>
      <c r="Z2267" t="n">
        <v>127</v>
      </c>
      <c r="AA2267" t="n">
        <v>2199</v>
      </c>
      <c r="AB2267" t="n">
        <v>2</v>
      </c>
      <c r="AC2267" t="n">
        <v>15</v>
      </c>
      <c r="AD2267" t="n">
        <v>4</v>
      </c>
      <c r="AE2267" t="n">
        <v>54</v>
      </c>
      <c r="AF2267" t="n">
        <v>3</v>
      </c>
      <c r="AG2267" t="n">
        <v>22</v>
      </c>
      <c r="AH2267" t="n">
        <v>0</v>
      </c>
      <c r="AI2267" t="n">
        <v>10</v>
      </c>
      <c r="AJ2267" t="n">
        <v>2</v>
      </c>
      <c r="AK2267" t="n">
        <v>24</v>
      </c>
      <c r="AL2267" t="n">
        <v>1</v>
      </c>
      <c r="AM2267" t="n">
        <v>8</v>
      </c>
      <c r="AN2267" t="n">
        <v>0</v>
      </c>
      <c r="AO2267" t="n">
        <v>2</v>
      </c>
      <c r="AP2267" t="inlineStr">
        <is>
          <t>No</t>
        </is>
      </c>
      <c r="AQ2267" t="inlineStr">
        <is>
          <t>No</t>
        </is>
      </c>
      <c r="AS2267">
        <f>HYPERLINK("https://creighton-primo.hosted.exlibrisgroup.com/primo-explore/search?tab=default_tab&amp;search_scope=EVERYTHING&amp;vid=01CRU&amp;lang=en_US&amp;offset=0&amp;query=any,contains,991004241849702656","Catalog Record")</f>
        <v/>
      </c>
      <c r="AT2267">
        <f>HYPERLINK("http://www.worldcat.org/oclc/45129514","WorldCat Record")</f>
        <v/>
      </c>
      <c r="AU2267" t="inlineStr">
        <is>
          <t>42907:eng</t>
        </is>
      </c>
      <c r="AV2267" t="inlineStr">
        <is>
          <t>45129514</t>
        </is>
      </c>
      <c r="AW2267" t="inlineStr">
        <is>
          <t>991004241849702656</t>
        </is>
      </c>
      <c r="AX2267" t="inlineStr">
        <is>
          <t>991004241849702656</t>
        </is>
      </c>
      <c r="AY2267" t="inlineStr">
        <is>
          <t>2260762620002656</t>
        </is>
      </c>
      <c r="AZ2267" t="inlineStr">
        <is>
          <t>BOOK</t>
        </is>
      </c>
      <c r="BB2267" t="inlineStr">
        <is>
          <t>9780140296075</t>
        </is>
      </c>
      <c r="BC2267" t="inlineStr">
        <is>
          <t>32285004891825</t>
        </is>
      </c>
      <c r="BD2267" t="inlineStr">
        <is>
          <t>893436049</t>
        </is>
      </c>
    </row>
    <row r="2268">
      <c r="A2268" t="inlineStr">
        <is>
          <t>No</t>
        </is>
      </c>
      <c r="B2268" t="inlineStr">
        <is>
          <t>E877.2 .E39 1987</t>
        </is>
      </c>
      <c r="C2268" t="inlineStr">
        <is>
          <t>0                      E  0877200E  39          1987</t>
        </is>
      </c>
      <c r="D2268" t="inlineStr">
        <is>
          <t>Early Reagan / Anne Edwards.</t>
        </is>
      </c>
      <c r="F2268" t="inlineStr">
        <is>
          <t>No</t>
        </is>
      </c>
      <c r="G2268" t="inlineStr">
        <is>
          <t>1</t>
        </is>
      </c>
      <c r="H2268" t="inlineStr">
        <is>
          <t>No</t>
        </is>
      </c>
      <c r="I2268" t="inlineStr">
        <is>
          <t>No</t>
        </is>
      </c>
      <c r="J2268" t="inlineStr">
        <is>
          <t>0</t>
        </is>
      </c>
      <c r="K2268" t="inlineStr">
        <is>
          <t>Edwards, Anne, 1927-</t>
        </is>
      </c>
      <c r="L2268" t="inlineStr">
        <is>
          <t>New York : Morrow, 1987.</t>
        </is>
      </c>
      <c r="M2268" t="inlineStr">
        <is>
          <t>1987</t>
        </is>
      </c>
      <c r="N2268" t="inlineStr">
        <is>
          <t>1st ed.</t>
        </is>
      </c>
      <c r="O2268" t="inlineStr">
        <is>
          <t>eng</t>
        </is>
      </c>
      <c r="P2268" t="inlineStr">
        <is>
          <t>nyu</t>
        </is>
      </c>
      <c r="R2268" t="inlineStr">
        <is>
          <t xml:space="preserve">E  </t>
        </is>
      </c>
      <c r="S2268" t="n">
        <v>2</v>
      </c>
      <c r="T2268" t="n">
        <v>2</v>
      </c>
      <c r="U2268" t="inlineStr">
        <is>
          <t>1997-03-19</t>
        </is>
      </c>
      <c r="V2268" t="inlineStr">
        <is>
          <t>1997-03-19</t>
        </is>
      </c>
      <c r="W2268" t="inlineStr">
        <is>
          <t>1991-06-27</t>
        </is>
      </c>
      <c r="X2268" t="inlineStr">
        <is>
          <t>1991-06-27</t>
        </is>
      </c>
      <c r="Y2268" t="n">
        <v>1193</v>
      </c>
      <c r="Z2268" t="n">
        <v>1140</v>
      </c>
      <c r="AA2268" t="n">
        <v>1226</v>
      </c>
      <c r="AB2268" t="n">
        <v>7</v>
      </c>
      <c r="AC2268" t="n">
        <v>8</v>
      </c>
      <c r="AD2268" t="n">
        <v>18</v>
      </c>
      <c r="AE2268" t="n">
        <v>20</v>
      </c>
      <c r="AF2268" t="n">
        <v>8</v>
      </c>
      <c r="AG2268" t="n">
        <v>9</v>
      </c>
      <c r="AH2268" t="n">
        <v>3</v>
      </c>
      <c r="AI2268" t="n">
        <v>4</v>
      </c>
      <c r="AJ2268" t="n">
        <v>11</v>
      </c>
      <c r="AK2268" t="n">
        <v>11</v>
      </c>
      <c r="AL2268" t="n">
        <v>1</v>
      </c>
      <c r="AM2268" t="n">
        <v>2</v>
      </c>
      <c r="AN2268" t="n">
        <v>0</v>
      </c>
      <c r="AO2268" t="n">
        <v>0</v>
      </c>
      <c r="AP2268" t="inlineStr">
        <is>
          <t>No</t>
        </is>
      </c>
      <c r="AQ2268" t="inlineStr">
        <is>
          <t>Yes</t>
        </is>
      </c>
      <c r="AR2268">
        <f>HYPERLINK("http://catalog.hathitrust.org/Record/000827638","HathiTrust Record")</f>
        <v/>
      </c>
      <c r="AS2268">
        <f>HYPERLINK("https://creighton-primo.hosted.exlibrisgroup.com/primo-explore/search?tab=default_tab&amp;search_scope=EVERYTHING&amp;vid=01CRU&amp;lang=en_US&amp;offset=0&amp;query=any,contains,991001024789702656","Catalog Record")</f>
        <v/>
      </c>
      <c r="AT2268">
        <f>HYPERLINK("http://www.worldcat.org/oclc/15429082","WorldCat Record")</f>
        <v/>
      </c>
      <c r="AU2268" t="inlineStr">
        <is>
          <t>143813660:eng</t>
        </is>
      </c>
      <c r="AV2268" t="inlineStr">
        <is>
          <t>15429082</t>
        </is>
      </c>
      <c r="AW2268" t="inlineStr">
        <is>
          <t>991001024789702656</t>
        </is>
      </c>
      <c r="AX2268" t="inlineStr">
        <is>
          <t>991001024789702656</t>
        </is>
      </c>
      <c r="AY2268" t="inlineStr">
        <is>
          <t>2263312640002656</t>
        </is>
      </c>
      <c r="AZ2268" t="inlineStr">
        <is>
          <t>BOOK</t>
        </is>
      </c>
      <c r="BB2268" t="inlineStr">
        <is>
          <t>9780688060503</t>
        </is>
      </c>
      <c r="BC2268" t="inlineStr">
        <is>
          <t>32285000672112</t>
        </is>
      </c>
      <c r="BD2268" t="inlineStr">
        <is>
          <t>893346178</t>
        </is>
      </c>
    </row>
    <row r="2269">
      <c r="A2269" t="inlineStr">
        <is>
          <t>No</t>
        </is>
      </c>
      <c r="B2269" t="inlineStr">
        <is>
          <t>E877.2 .E396 2003</t>
        </is>
      </c>
      <c r="C2269" t="inlineStr">
        <is>
          <t>0                      E  0877200E  396         2003</t>
        </is>
      </c>
      <c r="D2269" t="inlineStr">
        <is>
          <t>The Reagans : portrait of a marriage / Anne Edwards.</t>
        </is>
      </c>
      <c r="F2269" t="inlineStr">
        <is>
          <t>No</t>
        </is>
      </c>
      <c r="G2269" t="inlineStr">
        <is>
          <t>1</t>
        </is>
      </c>
      <c r="H2269" t="inlineStr">
        <is>
          <t>No</t>
        </is>
      </c>
      <c r="I2269" t="inlineStr">
        <is>
          <t>No</t>
        </is>
      </c>
      <c r="J2269" t="inlineStr">
        <is>
          <t>0</t>
        </is>
      </c>
      <c r="K2269" t="inlineStr">
        <is>
          <t>Edwards, Anne, 1927-</t>
        </is>
      </c>
      <c r="L2269" t="inlineStr">
        <is>
          <t>New York : St. Martin's Press, 2003.</t>
        </is>
      </c>
      <c r="M2269" t="inlineStr">
        <is>
          <t>2003</t>
        </is>
      </c>
      <c r="N2269" t="inlineStr">
        <is>
          <t>1st ed.</t>
        </is>
      </c>
      <c r="O2269" t="inlineStr">
        <is>
          <t>eng</t>
        </is>
      </c>
      <c r="P2269" t="inlineStr">
        <is>
          <t>nyu</t>
        </is>
      </c>
      <c r="R2269" t="inlineStr">
        <is>
          <t xml:space="preserve">E  </t>
        </is>
      </c>
      <c r="S2269" t="n">
        <v>2</v>
      </c>
      <c r="T2269" t="n">
        <v>2</v>
      </c>
      <c r="U2269" t="inlineStr">
        <is>
          <t>2003-09-10</t>
        </is>
      </c>
      <c r="V2269" t="inlineStr">
        <is>
          <t>2003-09-10</t>
        </is>
      </c>
      <c r="W2269" t="inlineStr">
        <is>
          <t>2003-09-10</t>
        </is>
      </c>
      <c r="X2269" t="inlineStr">
        <is>
          <t>2003-09-10</t>
        </is>
      </c>
      <c r="Y2269" t="n">
        <v>845</v>
      </c>
      <c r="Z2269" t="n">
        <v>823</v>
      </c>
      <c r="AA2269" t="n">
        <v>852</v>
      </c>
      <c r="AB2269" t="n">
        <v>9</v>
      </c>
      <c r="AC2269" t="n">
        <v>9</v>
      </c>
      <c r="AD2269" t="n">
        <v>9</v>
      </c>
      <c r="AE2269" t="n">
        <v>9</v>
      </c>
      <c r="AF2269" t="n">
        <v>3</v>
      </c>
      <c r="AG2269" t="n">
        <v>3</v>
      </c>
      <c r="AH2269" t="n">
        <v>2</v>
      </c>
      <c r="AI2269" t="n">
        <v>2</v>
      </c>
      <c r="AJ2269" t="n">
        <v>4</v>
      </c>
      <c r="AK2269" t="n">
        <v>4</v>
      </c>
      <c r="AL2269" t="n">
        <v>2</v>
      </c>
      <c r="AM2269" t="n">
        <v>2</v>
      </c>
      <c r="AN2269" t="n">
        <v>0</v>
      </c>
      <c r="AO2269" t="n">
        <v>0</v>
      </c>
      <c r="AP2269" t="inlineStr">
        <is>
          <t>No</t>
        </is>
      </c>
      <c r="AQ2269" t="inlineStr">
        <is>
          <t>No</t>
        </is>
      </c>
      <c r="AS2269">
        <f>HYPERLINK("https://creighton-primo.hosted.exlibrisgroup.com/primo-explore/search?tab=default_tab&amp;search_scope=EVERYTHING&amp;vid=01CRU&amp;lang=en_US&amp;offset=0&amp;query=any,contains,991004111349702656","Catalog Record")</f>
        <v/>
      </c>
      <c r="AT2269">
        <f>HYPERLINK("http://www.worldcat.org/oclc/52086447","WorldCat Record")</f>
        <v/>
      </c>
      <c r="AU2269" t="inlineStr">
        <is>
          <t>674789:eng</t>
        </is>
      </c>
      <c r="AV2269" t="inlineStr">
        <is>
          <t>52086447</t>
        </is>
      </c>
      <c r="AW2269" t="inlineStr">
        <is>
          <t>991004111349702656</t>
        </is>
      </c>
      <c r="AX2269" t="inlineStr">
        <is>
          <t>991004111349702656</t>
        </is>
      </c>
      <c r="AY2269" t="inlineStr">
        <is>
          <t>2256948290002656</t>
        </is>
      </c>
      <c r="AZ2269" t="inlineStr">
        <is>
          <t>BOOK</t>
        </is>
      </c>
      <c r="BB2269" t="inlineStr">
        <is>
          <t>9780312285005</t>
        </is>
      </c>
      <c r="BC2269" t="inlineStr">
        <is>
          <t>32285004782602</t>
        </is>
      </c>
      <c r="BD2269" t="inlineStr">
        <is>
          <t>893810360</t>
        </is>
      </c>
    </row>
    <row r="2270">
      <c r="A2270" t="inlineStr">
        <is>
          <t>No</t>
        </is>
      </c>
      <c r="B2270" t="inlineStr">
        <is>
          <t>E877.2 .M44 1992</t>
        </is>
      </c>
      <c r="C2270" t="inlineStr">
        <is>
          <t>0                      E  0877200M  44          1992</t>
        </is>
      </c>
      <c r="D2270" t="inlineStr">
        <is>
          <t>With Reagan : the inside story / Edwin Meese III.</t>
        </is>
      </c>
      <c r="F2270" t="inlineStr">
        <is>
          <t>No</t>
        </is>
      </c>
      <c r="G2270" t="inlineStr">
        <is>
          <t>1</t>
        </is>
      </c>
      <c r="H2270" t="inlineStr">
        <is>
          <t>No</t>
        </is>
      </c>
      <c r="I2270" t="inlineStr">
        <is>
          <t>No</t>
        </is>
      </c>
      <c r="J2270" t="inlineStr">
        <is>
          <t>0</t>
        </is>
      </c>
      <c r="K2270" t="inlineStr">
        <is>
          <t>Meese, Edwin.</t>
        </is>
      </c>
      <c r="L2270" t="inlineStr">
        <is>
          <t>Washington, D.C. : Regnery Gateway ; Lanham, MD : Distributed to the trade by National Book Network, c1992.</t>
        </is>
      </c>
      <c r="M2270" t="inlineStr">
        <is>
          <t>1992</t>
        </is>
      </c>
      <c r="O2270" t="inlineStr">
        <is>
          <t>eng</t>
        </is>
      </c>
      <c r="P2270" t="inlineStr">
        <is>
          <t>dcu</t>
        </is>
      </c>
      <c r="R2270" t="inlineStr">
        <is>
          <t xml:space="preserve">E  </t>
        </is>
      </c>
      <c r="S2270" t="n">
        <v>6</v>
      </c>
      <c r="T2270" t="n">
        <v>6</v>
      </c>
      <c r="U2270" t="inlineStr">
        <is>
          <t>1999-04-28</t>
        </is>
      </c>
      <c r="V2270" t="inlineStr">
        <is>
          <t>1999-04-28</t>
        </is>
      </c>
      <c r="W2270" t="inlineStr">
        <is>
          <t>1993-04-05</t>
        </is>
      </c>
      <c r="X2270" t="inlineStr">
        <is>
          <t>1993-04-05</t>
        </is>
      </c>
      <c r="Y2270" t="n">
        <v>1823</v>
      </c>
      <c r="Z2270" t="n">
        <v>1778</v>
      </c>
      <c r="AA2270" t="n">
        <v>1788</v>
      </c>
      <c r="AB2270" t="n">
        <v>17</v>
      </c>
      <c r="AC2270" t="n">
        <v>17</v>
      </c>
      <c r="AD2270" t="n">
        <v>61</v>
      </c>
      <c r="AE2270" t="n">
        <v>61</v>
      </c>
      <c r="AF2270" t="n">
        <v>25</v>
      </c>
      <c r="AG2270" t="n">
        <v>25</v>
      </c>
      <c r="AH2270" t="n">
        <v>9</v>
      </c>
      <c r="AI2270" t="n">
        <v>9</v>
      </c>
      <c r="AJ2270" t="n">
        <v>22</v>
      </c>
      <c r="AK2270" t="n">
        <v>22</v>
      </c>
      <c r="AL2270" t="n">
        <v>14</v>
      </c>
      <c r="AM2270" t="n">
        <v>14</v>
      </c>
      <c r="AN2270" t="n">
        <v>3</v>
      </c>
      <c r="AO2270" t="n">
        <v>3</v>
      </c>
      <c r="AP2270" t="inlineStr">
        <is>
          <t>No</t>
        </is>
      </c>
      <c r="AQ2270" t="inlineStr">
        <is>
          <t>Yes</t>
        </is>
      </c>
      <c r="AR2270">
        <f>HYPERLINK("http://catalog.hathitrust.org/Record/002548539","HathiTrust Record")</f>
        <v/>
      </c>
      <c r="AS2270">
        <f>HYPERLINK("https://creighton-primo.hosted.exlibrisgroup.com/primo-explore/search?tab=default_tab&amp;search_scope=EVERYTHING&amp;vid=01CRU&amp;lang=en_US&amp;offset=0&amp;query=any,contains,991001990819702656","Catalog Record")</f>
        <v/>
      </c>
      <c r="AT2270">
        <f>HYPERLINK("http://www.worldcat.org/oclc/25282790","WorldCat Record")</f>
        <v/>
      </c>
      <c r="AU2270" t="inlineStr">
        <is>
          <t>28310730:eng</t>
        </is>
      </c>
      <c r="AV2270" t="inlineStr">
        <is>
          <t>25282790</t>
        </is>
      </c>
      <c r="AW2270" t="inlineStr">
        <is>
          <t>991001990819702656</t>
        </is>
      </c>
      <c r="AX2270" t="inlineStr">
        <is>
          <t>991001990819702656</t>
        </is>
      </c>
      <c r="AY2270" t="inlineStr">
        <is>
          <t>2271345230002656</t>
        </is>
      </c>
      <c r="AZ2270" t="inlineStr">
        <is>
          <t>BOOK</t>
        </is>
      </c>
      <c r="BB2270" t="inlineStr">
        <is>
          <t>9780895265227</t>
        </is>
      </c>
      <c r="BC2270" t="inlineStr">
        <is>
          <t>32285001609808</t>
        </is>
      </c>
      <c r="BD2270" t="inlineStr">
        <is>
          <t>893715922</t>
        </is>
      </c>
    </row>
    <row r="2271">
      <c r="A2271" t="inlineStr">
        <is>
          <t>No</t>
        </is>
      </c>
      <c r="B2271" t="inlineStr">
        <is>
          <t>E877.2 .S58 1984</t>
        </is>
      </c>
      <c r="C2271" t="inlineStr">
        <is>
          <t>0                      E  0877200S  58          1984</t>
        </is>
      </c>
      <c r="D2271" t="inlineStr">
        <is>
          <t>Reagan inside out / Bob Slosser.</t>
        </is>
      </c>
      <c r="F2271" t="inlineStr">
        <is>
          <t>No</t>
        </is>
      </c>
      <c r="G2271" t="inlineStr">
        <is>
          <t>1</t>
        </is>
      </c>
      <c r="H2271" t="inlineStr">
        <is>
          <t>No</t>
        </is>
      </c>
      <c r="I2271" t="inlineStr">
        <is>
          <t>No</t>
        </is>
      </c>
      <c r="J2271" t="inlineStr">
        <is>
          <t>0</t>
        </is>
      </c>
      <c r="K2271" t="inlineStr">
        <is>
          <t>Slosser, Bob.</t>
        </is>
      </c>
      <c r="L2271" t="inlineStr">
        <is>
          <t>Waco, Tex. : Word Books, c1984.</t>
        </is>
      </c>
      <c r="M2271" t="inlineStr">
        <is>
          <t>1984</t>
        </is>
      </c>
      <c r="O2271" t="inlineStr">
        <is>
          <t>eng</t>
        </is>
      </c>
      <c r="P2271" t="inlineStr">
        <is>
          <t>txu</t>
        </is>
      </c>
      <c r="R2271" t="inlineStr">
        <is>
          <t xml:space="preserve">E  </t>
        </is>
      </c>
      <c r="S2271" t="n">
        <v>1</v>
      </c>
      <c r="T2271" t="n">
        <v>1</v>
      </c>
      <c r="U2271" t="inlineStr">
        <is>
          <t>2003-12-05</t>
        </is>
      </c>
      <c r="V2271" t="inlineStr">
        <is>
          <t>2003-12-05</t>
        </is>
      </c>
      <c r="W2271" t="inlineStr">
        <is>
          <t>1991-06-27</t>
        </is>
      </c>
      <c r="X2271" t="inlineStr">
        <is>
          <t>1991-06-27</t>
        </is>
      </c>
      <c r="Y2271" t="n">
        <v>418</v>
      </c>
      <c r="Z2271" t="n">
        <v>404</v>
      </c>
      <c r="AA2271" t="n">
        <v>406</v>
      </c>
      <c r="AB2271" t="n">
        <v>4</v>
      </c>
      <c r="AC2271" t="n">
        <v>4</v>
      </c>
      <c r="AD2271" t="n">
        <v>7</v>
      </c>
      <c r="AE2271" t="n">
        <v>7</v>
      </c>
      <c r="AF2271" t="n">
        <v>3</v>
      </c>
      <c r="AG2271" t="n">
        <v>3</v>
      </c>
      <c r="AH2271" t="n">
        <v>2</v>
      </c>
      <c r="AI2271" t="n">
        <v>2</v>
      </c>
      <c r="AJ2271" t="n">
        <v>4</v>
      </c>
      <c r="AK2271" t="n">
        <v>4</v>
      </c>
      <c r="AL2271" t="n">
        <v>0</v>
      </c>
      <c r="AM2271" t="n">
        <v>0</v>
      </c>
      <c r="AN2271" t="n">
        <v>0</v>
      </c>
      <c r="AO2271" t="n">
        <v>0</v>
      </c>
      <c r="AP2271" t="inlineStr">
        <is>
          <t>No</t>
        </is>
      </c>
      <c r="AQ2271" t="inlineStr">
        <is>
          <t>No</t>
        </is>
      </c>
      <c r="AS2271">
        <f>HYPERLINK("https://creighton-primo.hosted.exlibrisgroup.com/primo-explore/search?tab=default_tab&amp;search_scope=EVERYTHING&amp;vid=01CRU&amp;lang=en_US&amp;offset=0&amp;query=any,contains,991000354469702656","Catalog Record")</f>
        <v/>
      </c>
      <c r="AT2271">
        <f>HYPERLINK("http://www.worldcat.org/oclc/10323772","WorldCat Record")</f>
        <v/>
      </c>
      <c r="AU2271" t="inlineStr">
        <is>
          <t>3353347:eng</t>
        </is>
      </c>
      <c r="AV2271" t="inlineStr">
        <is>
          <t>10323772</t>
        </is>
      </c>
      <c r="AW2271" t="inlineStr">
        <is>
          <t>991000354469702656</t>
        </is>
      </c>
      <c r="AX2271" t="inlineStr">
        <is>
          <t>991000354469702656</t>
        </is>
      </c>
      <c r="AY2271" t="inlineStr">
        <is>
          <t>2268633740002656</t>
        </is>
      </c>
      <c r="AZ2271" t="inlineStr">
        <is>
          <t>BOOK</t>
        </is>
      </c>
      <c r="BB2271" t="inlineStr">
        <is>
          <t>9780849903762</t>
        </is>
      </c>
      <c r="BC2271" t="inlineStr">
        <is>
          <t>32285000672138</t>
        </is>
      </c>
      <c r="BD2271" t="inlineStr">
        <is>
          <t>893327222</t>
        </is>
      </c>
    </row>
    <row r="2272">
      <c r="A2272" t="inlineStr">
        <is>
          <t>No</t>
        </is>
      </c>
      <c r="B2272" t="inlineStr">
        <is>
          <t>E878.R43 A3 1989</t>
        </is>
      </c>
      <c r="C2272" t="inlineStr">
        <is>
          <t>0                      E  0878000R  43                 A  3           1989</t>
        </is>
      </c>
      <c r="D2272" t="inlineStr">
        <is>
          <t>My turn : the memoirs of Nancy Reagan / by Nancy Reagan with William Novak.</t>
        </is>
      </c>
      <c r="F2272" t="inlineStr">
        <is>
          <t>No</t>
        </is>
      </c>
      <c r="G2272" t="inlineStr">
        <is>
          <t>1</t>
        </is>
      </c>
      <c r="H2272" t="inlineStr">
        <is>
          <t>No</t>
        </is>
      </c>
      <c r="I2272" t="inlineStr">
        <is>
          <t>No</t>
        </is>
      </c>
      <c r="J2272" t="inlineStr">
        <is>
          <t>0</t>
        </is>
      </c>
      <c r="K2272" t="inlineStr">
        <is>
          <t>Reagan, Nancy, 1921-2016.</t>
        </is>
      </c>
      <c r="L2272" t="inlineStr">
        <is>
          <t>New York : Random House, 1989.</t>
        </is>
      </c>
      <c r="M2272" t="inlineStr">
        <is>
          <t>1989</t>
        </is>
      </c>
      <c r="N2272" t="inlineStr">
        <is>
          <t>1st ed.</t>
        </is>
      </c>
      <c r="O2272" t="inlineStr">
        <is>
          <t>eng</t>
        </is>
      </c>
      <c r="P2272" t="inlineStr">
        <is>
          <t>nyu</t>
        </is>
      </c>
      <c r="R2272" t="inlineStr">
        <is>
          <t xml:space="preserve">E  </t>
        </is>
      </c>
      <c r="S2272" t="n">
        <v>10</v>
      </c>
      <c r="T2272" t="n">
        <v>10</v>
      </c>
      <c r="U2272" t="inlineStr">
        <is>
          <t>1999-02-08</t>
        </is>
      </c>
      <c r="V2272" t="inlineStr">
        <is>
          <t>1999-02-08</t>
        </is>
      </c>
      <c r="W2272" t="inlineStr">
        <is>
          <t>1990-01-02</t>
        </is>
      </c>
      <c r="X2272" t="inlineStr">
        <is>
          <t>1990-01-02</t>
        </is>
      </c>
      <c r="Y2272" t="n">
        <v>2539</v>
      </c>
      <c r="Z2272" t="n">
        <v>2449</v>
      </c>
      <c r="AA2272" t="n">
        <v>2711</v>
      </c>
      <c r="AB2272" t="n">
        <v>23</v>
      </c>
      <c r="AC2272" t="n">
        <v>26</v>
      </c>
      <c r="AD2272" t="n">
        <v>29</v>
      </c>
      <c r="AE2272" t="n">
        <v>32</v>
      </c>
      <c r="AF2272" t="n">
        <v>10</v>
      </c>
      <c r="AG2272" t="n">
        <v>11</v>
      </c>
      <c r="AH2272" t="n">
        <v>6</v>
      </c>
      <c r="AI2272" t="n">
        <v>7</v>
      </c>
      <c r="AJ2272" t="n">
        <v>15</v>
      </c>
      <c r="AK2272" t="n">
        <v>16</v>
      </c>
      <c r="AL2272" t="n">
        <v>5</v>
      </c>
      <c r="AM2272" t="n">
        <v>6</v>
      </c>
      <c r="AN2272" t="n">
        <v>0</v>
      </c>
      <c r="AO2272" t="n">
        <v>0</v>
      </c>
      <c r="AP2272" t="inlineStr">
        <is>
          <t>No</t>
        </is>
      </c>
      <c r="AQ2272" t="inlineStr">
        <is>
          <t>Yes</t>
        </is>
      </c>
      <c r="AR2272">
        <f>HYPERLINK("http://catalog.hathitrust.org/Record/001828356","HathiTrust Record")</f>
        <v/>
      </c>
      <c r="AS2272">
        <f>HYPERLINK("https://creighton-primo.hosted.exlibrisgroup.com/primo-explore/search?tab=default_tab&amp;search_scope=EVERYTHING&amp;vid=01CRU&amp;lang=en_US&amp;offset=0&amp;query=any,contains,991001513949702656","Catalog Record")</f>
        <v/>
      </c>
      <c r="AT2272">
        <f>HYPERLINK("http://www.worldcat.org/oclc/19921006","WorldCat Record")</f>
        <v/>
      </c>
      <c r="AU2272" t="inlineStr">
        <is>
          <t>21450614:eng</t>
        </is>
      </c>
      <c r="AV2272" t="inlineStr">
        <is>
          <t>19921006</t>
        </is>
      </c>
      <c r="AW2272" t="inlineStr">
        <is>
          <t>991001513949702656</t>
        </is>
      </c>
      <c r="AX2272" t="inlineStr">
        <is>
          <t>991001513949702656</t>
        </is>
      </c>
      <c r="AY2272" t="inlineStr">
        <is>
          <t>2269107760002656</t>
        </is>
      </c>
      <c r="AZ2272" t="inlineStr">
        <is>
          <t>BOOK</t>
        </is>
      </c>
      <c r="BB2272" t="inlineStr">
        <is>
          <t>9780394581620</t>
        </is>
      </c>
      <c r="BC2272" t="inlineStr">
        <is>
          <t>32285000019561</t>
        </is>
      </c>
      <c r="BD2272" t="inlineStr">
        <is>
          <t>893497134</t>
        </is>
      </c>
    </row>
    <row r="2273">
      <c r="A2273" t="inlineStr">
        <is>
          <t>No</t>
        </is>
      </c>
      <c r="B2273" t="inlineStr">
        <is>
          <t>E878.R45 W35 1986</t>
        </is>
      </c>
      <c r="C2273" t="inlineStr">
        <is>
          <t>0                      E  0878000R  45                 W  35          1986</t>
        </is>
      </c>
      <c r="D2273" t="inlineStr">
        <is>
          <t>First Lady : a portrait of Nancy Reagan / from the NBC white paper reported by White House correspondent Chris Wallace.</t>
        </is>
      </c>
      <c r="F2273" t="inlineStr">
        <is>
          <t>No</t>
        </is>
      </c>
      <c r="G2273" t="inlineStr">
        <is>
          <t>1</t>
        </is>
      </c>
      <c r="H2273" t="inlineStr">
        <is>
          <t>No</t>
        </is>
      </c>
      <c r="I2273" t="inlineStr">
        <is>
          <t>No</t>
        </is>
      </c>
      <c r="J2273" t="inlineStr">
        <is>
          <t>0</t>
        </is>
      </c>
      <c r="L2273" t="inlineStr">
        <is>
          <t>New York : St. Martin's Press, c1986.</t>
        </is>
      </c>
      <c r="M2273" t="inlineStr">
        <is>
          <t>1986</t>
        </is>
      </c>
      <c r="O2273" t="inlineStr">
        <is>
          <t>eng</t>
        </is>
      </c>
      <c r="P2273" t="inlineStr">
        <is>
          <t>nyu</t>
        </is>
      </c>
      <c r="R2273" t="inlineStr">
        <is>
          <t xml:space="preserve">E  </t>
        </is>
      </c>
      <c r="S2273" t="n">
        <v>0</v>
      </c>
      <c r="T2273" t="n">
        <v>0</v>
      </c>
      <c r="U2273" t="inlineStr">
        <is>
          <t>2003-01-30</t>
        </is>
      </c>
      <c r="V2273" t="inlineStr">
        <is>
          <t>2003-01-30</t>
        </is>
      </c>
      <c r="W2273" t="inlineStr">
        <is>
          <t>1990-10-01</t>
        </is>
      </c>
      <c r="X2273" t="inlineStr">
        <is>
          <t>1990-10-01</t>
        </is>
      </c>
      <c r="Y2273" t="n">
        <v>903</v>
      </c>
      <c r="Z2273" t="n">
        <v>886</v>
      </c>
      <c r="AA2273" t="n">
        <v>891</v>
      </c>
      <c r="AB2273" t="n">
        <v>8</v>
      </c>
      <c r="AC2273" t="n">
        <v>8</v>
      </c>
      <c r="AD2273" t="n">
        <v>3</v>
      </c>
      <c r="AE2273" t="n">
        <v>3</v>
      </c>
      <c r="AF2273" t="n">
        <v>2</v>
      </c>
      <c r="AG2273" t="n">
        <v>2</v>
      </c>
      <c r="AH2273" t="n">
        <v>0</v>
      </c>
      <c r="AI2273" t="n">
        <v>0</v>
      </c>
      <c r="AJ2273" t="n">
        <v>2</v>
      </c>
      <c r="AK2273" t="n">
        <v>2</v>
      </c>
      <c r="AL2273" t="n">
        <v>0</v>
      </c>
      <c r="AM2273" t="n">
        <v>0</v>
      </c>
      <c r="AN2273" t="n">
        <v>0</v>
      </c>
      <c r="AO2273" t="n">
        <v>0</v>
      </c>
      <c r="AP2273" t="inlineStr">
        <is>
          <t>No</t>
        </is>
      </c>
      <c r="AQ2273" t="inlineStr">
        <is>
          <t>No</t>
        </is>
      </c>
      <c r="AS2273">
        <f>HYPERLINK("https://creighton-primo.hosted.exlibrisgroup.com/primo-explore/search?tab=default_tab&amp;search_scope=EVERYTHING&amp;vid=01CRU&amp;lang=en_US&amp;offset=0&amp;query=any,contains,991000868439702656","Catalog Record")</f>
        <v/>
      </c>
      <c r="AT2273">
        <f>HYPERLINK("http://www.worldcat.org/oclc/13761701","WorldCat Record")</f>
        <v/>
      </c>
      <c r="AU2273" t="inlineStr">
        <is>
          <t>7059509:eng</t>
        </is>
      </c>
      <c r="AV2273" t="inlineStr">
        <is>
          <t>13761701</t>
        </is>
      </c>
      <c r="AW2273" t="inlineStr">
        <is>
          <t>991000868439702656</t>
        </is>
      </c>
      <c r="AX2273" t="inlineStr">
        <is>
          <t>991000868439702656</t>
        </is>
      </c>
      <c r="AY2273" t="inlineStr">
        <is>
          <t>2267941680002656</t>
        </is>
      </c>
      <c r="AZ2273" t="inlineStr">
        <is>
          <t>BOOK</t>
        </is>
      </c>
      <c r="BB2273" t="inlineStr">
        <is>
          <t>9780312292430</t>
        </is>
      </c>
      <c r="BC2273" t="inlineStr">
        <is>
          <t>32285000295716</t>
        </is>
      </c>
      <c r="BD2273" t="inlineStr">
        <is>
          <t>893772058</t>
        </is>
      </c>
    </row>
    <row r="2274">
      <c r="A2274" t="inlineStr">
        <is>
          <t>No</t>
        </is>
      </c>
      <c r="B2274" t="inlineStr">
        <is>
          <t>E879 .A44 1985</t>
        </is>
      </c>
      <c r="C2274" t="inlineStr">
        <is>
          <t>0                      E  0879000A  44          1985</t>
        </is>
      </c>
      <c r="D2274" t="inlineStr">
        <is>
          <t>The American elections of 1984 / edited by Austin Ranney.</t>
        </is>
      </c>
      <c r="F2274" t="inlineStr">
        <is>
          <t>No</t>
        </is>
      </c>
      <c r="G2274" t="inlineStr">
        <is>
          <t>1</t>
        </is>
      </c>
      <c r="H2274" t="inlineStr">
        <is>
          <t>No</t>
        </is>
      </c>
      <c r="I2274" t="inlineStr">
        <is>
          <t>No</t>
        </is>
      </c>
      <c r="J2274" t="inlineStr">
        <is>
          <t>0</t>
        </is>
      </c>
      <c r="L2274" t="inlineStr">
        <is>
          <t>Durham, N.C. : Duke University Press, 1985.</t>
        </is>
      </c>
      <c r="M2274" t="inlineStr">
        <is>
          <t>1985</t>
        </is>
      </c>
      <c r="O2274" t="inlineStr">
        <is>
          <t>eng</t>
        </is>
      </c>
      <c r="P2274" t="inlineStr">
        <is>
          <t>ncu</t>
        </is>
      </c>
      <c r="Q2274" t="inlineStr">
        <is>
          <t>At the polls series</t>
        </is>
      </c>
      <c r="R2274" t="inlineStr">
        <is>
          <t xml:space="preserve">E  </t>
        </is>
      </c>
      <c r="S2274" t="n">
        <v>4</v>
      </c>
      <c r="T2274" t="n">
        <v>4</v>
      </c>
      <c r="U2274" t="inlineStr">
        <is>
          <t>2002-05-02</t>
        </is>
      </c>
      <c r="V2274" t="inlineStr">
        <is>
          <t>2002-05-02</t>
        </is>
      </c>
      <c r="W2274" t="inlineStr">
        <is>
          <t>1991-06-27</t>
        </is>
      </c>
      <c r="X2274" t="inlineStr">
        <is>
          <t>1991-06-27</t>
        </is>
      </c>
      <c r="Y2274" t="n">
        <v>680</v>
      </c>
      <c r="Z2274" t="n">
        <v>596</v>
      </c>
      <c r="AA2274" t="n">
        <v>608</v>
      </c>
      <c r="AB2274" t="n">
        <v>4</v>
      </c>
      <c r="AC2274" t="n">
        <v>4</v>
      </c>
      <c r="AD2274" t="n">
        <v>34</v>
      </c>
      <c r="AE2274" t="n">
        <v>34</v>
      </c>
      <c r="AF2274" t="n">
        <v>15</v>
      </c>
      <c r="AG2274" t="n">
        <v>15</v>
      </c>
      <c r="AH2274" t="n">
        <v>8</v>
      </c>
      <c r="AI2274" t="n">
        <v>8</v>
      </c>
      <c r="AJ2274" t="n">
        <v>17</v>
      </c>
      <c r="AK2274" t="n">
        <v>17</v>
      </c>
      <c r="AL2274" t="n">
        <v>3</v>
      </c>
      <c r="AM2274" t="n">
        <v>3</v>
      </c>
      <c r="AN2274" t="n">
        <v>0</v>
      </c>
      <c r="AO2274" t="n">
        <v>0</v>
      </c>
      <c r="AP2274" t="inlineStr">
        <is>
          <t>No</t>
        </is>
      </c>
      <c r="AQ2274" t="inlineStr">
        <is>
          <t>Yes</t>
        </is>
      </c>
      <c r="AR2274">
        <f>HYPERLINK("http://catalog.hathitrust.org/Record/000359936","HathiTrust Record")</f>
        <v/>
      </c>
      <c r="AS2274">
        <f>HYPERLINK("https://creighton-primo.hosted.exlibrisgroup.com/primo-explore/search?tab=default_tab&amp;search_scope=EVERYTHING&amp;vid=01CRU&amp;lang=en_US&amp;offset=0&amp;query=any,contains,991000733749702656","Catalog Record")</f>
        <v/>
      </c>
      <c r="AT2274">
        <f>HYPERLINK("http://www.worldcat.org/oclc/12751508","WorldCat Record")</f>
        <v/>
      </c>
      <c r="AU2274" t="inlineStr">
        <is>
          <t>346199146:eng</t>
        </is>
      </c>
      <c r="AV2274" t="inlineStr">
        <is>
          <t>12751508</t>
        </is>
      </c>
      <c r="AW2274" t="inlineStr">
        <is>
          <t>991000733749702656</t>
        </is>
      </c>
      <c r="AX2274" t="inlineStr">
        <is>
          <t>991000733749702656</t>
        </is>
      </c>
      <c r="AY2274" t="inlineStr">
        <is>
          <t>2269005450002656</t>
        </is>
      </c>
      <c r="AZ2274" t="inlineStr">
        <is>
          <t>BOOK</t>
        </is>
      </c>
      <c r="BB2274" t="inlineStr">
        <is>
          <t>9780822306979</t>
        </is>
      </c>
      <c r="BC2274" t="inlineStr">
        <is>
          <t>32285000672146</t>
        </is>
      </c>
      <c r="BD2274" t="inlineStr">
        <is>
          <t>893327537</t>
        </is>
      </c>
    </row>
    <row r="2275">
      <c r="A2275" t="inlineStr">
        <is>
          <t>No</t>
        </is>
      </c>
      <c r="B2275" t="inlineStr">
        <is>
          <t>E879 .B58 1985</t>
        </is>
      </c>
      <c r="C2275" t="inlineStr">
        <is>
          <t>0                      E  0879000B  58          1985</t>
        </is>
      </c>
      <c r="D2275" t="inlineStr">
        <is>
          <t>The presidential election show : campaign 84 and beyond on the nightly news / Keith Blume ; foreword by Elliott Roosevelt.</t>
        </is>
      </c>
      <c r="F2275" t="inlineStr">
        <is>
          <t>No</t>
        </is>
      </c>
      <c r="G2275" t="inlineStr">
        <is>
          <t>1</t>
        </is>
      </c>
      <c r="H2275" t="inlineStr">
        <is>
          <t>No</t>
        </is>
      </c>
      <c r="I2275" t="inlineStr">
        <is>
          <t>No</t>
        </is>
      </c>
      <c r="J2275" t="inlineStr">
        <is>
          <t>0</t>
        </is>
      </c>
      <c r="K2275" t="inlineStr">
        <is>
          <t>Blume, Keith.</t>
        </is>
      </c>
      <c r="L2275" t="inlineStr">
        <is>
          <t>South Hadley, Mass. : Bergin &amp; Garvey, 1985.</t>
        </is>
      </c>
      <c r="M2275" t="inlineStr">
        <is>
          <t>1985</t>
        </is>
      </c>
      <c r="O2275" t="inlineStr">
        <is>
          <t>eng</t>
        </is>
      </c>
      <c r="P2275" t="inlineStr">
        <is>
          <t>mau</t>
        </is>
      </c>
      <c r="R2275" t="inlineStr">
        <is>
          <t xml:space="preserve">E  </t>
        </is>
      </c>
      <c r="S2275" t="n">
        <v>2</v>
      </c>
      <c r="T2275" t="n">
        <v>2</v>
      </c>
      <c r="U2275" t="inlineStr">
        <is>
          <t>1993-02-18</t>
        </is>
      </c>
      <c r="V2275" t="inlineStr">
        <is>
          <t>1993-02-18</t>
        </is>
      </c>
      <c r="W2275" t="inlineStr">
        <is>
          <t>1991-06-27</t>
        </is>
      </c>
      <c r="X2275" t="inlineStr">
        <is>
          <t>1991-06-27</t>
        </is>
      </c>
      <c r="Y2275" t="n">
        <v>509</v>
      </c>
      <c r="Z2275" t="n">
        <v>476</v>
      </c>
      <c r="AA2275" t="n">
        <v>483</v>
      </c>
      <c r="AB2275" t="n">
        <v>4</v>
      </c>
      <c r="AC2275" t="n">
        <v>4</v>
      </c>
      <c r="AD2275" t="n">
        <v>24</v>
      </c>
      <c r="AE2275" t="n">
        <v>24</v>
      </c>
      <c r="AF2275" t="n">
        <v>10</v>
      </c>
      <c r="AG2275" t="n">
        <v>10</v>
      </c>
      <c r="AH2275" t="n">
        <v>5</v>
      </c>
      <c r="AI2275" t="n">
        <v>5</v>
      </c>
      <c r="AJ2275" t="n">
        <v>12</v>
      </c>
      <c r="AK2275" t="n">
        <v>12</v>
      </c>
      <c r="AL2275" t="n">
        <v>3</v>
      </c>
      <c r="AM2275" t="n">
        <v>3</v>
      </c>
      <c r="AN2275" t="n">
        <v>0</v>
      </c>
      <c r="AO2275" t="n">
        <v>0</v>
      </c>
      <c r="AP2275" t="inlineStr">
        <is>
          <t>No</t>
        </is>
      </c>
      <c r="AQ2275" t="inlineStr">
        <is>
          <t>Yes</t>
        </is>
      </c>
      <c r="AR2275">
        <f>HYPERLINK("http://catalog.hathitrust.org/Record/000374876","HathiTrust Record")</f>
        <v/>
      </c>
      <c r="AS2275">
        <f>HYPERLINK("https://creighton-primo.hosted.exlibrisgroup.com/primo-explore/search?tab=default_tab&amp;search_scope=EVERYTHING&amp;vid=01CRU&amp;lang=en_US&amp;offset=0&amp;query=any,contains,991000653469702656","Catalog Record")</f>
        <v/>
      </c>
      <c r="AT2275">
        <f>HYPERLINK("http://www.worldcat.org/oclc/12189372","WorldCat Record")</f>
        <v/>
      </c>
      <c r="AU2275" t="inlineStr">
        <is>
          <t>832854331:eng</t>
        </is>
      </c>
      <c r="AV2275" t="inlineStr">
        <is>
          <t>12189372</t>
        </is>
      </c>
      <c r="AW2275" t="inlineStr">
        <is>
          <t>991000653469702656</t>
        </is>
      </c>
      <c r="AX2275" t="inlineStr">
        <is>
          <t>991000653469702656</t>
        </is>
      </c>
      <c r="AY2275" t="inlineStr">
        <is>
          <t>2255307230002656</t>
        </is>
      </c>
      <c r="AZ2275" t="inlineStr">
        <is>
          <t>BOOK</t>
        </is>
      </c>
      <c r="BB2275" t="inlineStr">
        <is>
          <t>9780897890816</t>
        </is>
      </c>
      <c r="BC2275" t="inlineStr">
        <is>
          <t>32285000672153</t>
        </is>
      </c>
      <c r="BD2275" t="inlineStr">
        <is>
          <t>893720750</t>
        </is>
      </c>
    </row>
    <row r="2276">
      <c r="A2276" t="inlineStr">
        <is>
          <t>No</t>
        </is>
      </c>
      <c r="B2276" t="inlineStr">
        <is>
          <t>E879 .C35 1986</t>
        </is>
      </c>
      <c r="C2276" t="inlineStr">
        <is>
          <t>0                      E  0879000C  35          1986</t>
        </is>
      </c>
      <c r="D2276" t="inlineStr">
        <is>
          <t>Campaign for president : the managers look at '84 / edited by Jonathan Moore.</t>
        </is>
      </c>
      <c r="F2276" t="inlineStr">
        <is>
          <t>No</t>
        </is>
      </c>
      <c r="G2276" t="inlineStr">
        <is>
          <t>1</t>
        </is>
      </c>
      <c r="H2276" t="inlineStr">
        <is>
          <t>No</t>
        </is>
      </c>
      <c r="I2276" t="inlineStr">
        <is>
          <t>No</t>
        </is>
      </c>
      <c r="J2276" t="inlineStr">
        <is>
          <t>0</t>
        </is>
      </c>
      <c r="L2276" t="inlineStr">
        <is>
          <t>Dover, Mass. : Auburn House Pub. Co., c1986.</t>
        </is>
      </c>
      <c r="M2276" t="inlineStr">
        <is>
          <t>1986</t>
        </is>
      </c>
      <c r="O2276" t="inlineStr">
        <is>
          <t>eng</t>
        </is>
      </c>
      <c r="P2276" t="inlineStr">
        <is>
          <t>mau</t>
        </is>
      </c>
      <c r="R2276" t="inlineStr">
        <is>
          <t xml:space="preserve">E  </t>
        </is>
      </c>
      <c r="S2276" t="n">
        <v>2</v>
      </c>
      <c r="T2276" t="n">
        <v>2</v>
      </c>
      <c r="U2276" t="inlineStr">
        <is>
          <t>1992-02-09</t>
        </is>
      </c>
      <c r="V2276" t="inlineStr">
        <is>
          <t>1992-02-09</t>
        </is>
      </c>
      <c r="W2276" t="inlineStr">
        <is>
          <t>1991-06-27</t>
        </is>
      </c>
      <c r="X2276" t="inlineStr">
        <is>
          <t>1991-06-27</t>
        </is>
      </c>
      <c r="Y2276" t="n">
        <v>270</v>
      </c>
      <c r="Z2276" t="n">
        <v>235</v>
      </c>
      <c r="AA2276" t="n">
        <v>247</v>
      </c>
      <c r="AB2276" t="n">
        <v>3</v>
      </c>
      <c r="AC2276" t="n">
        <v>3</v>
      </c>
      <c r="AD2276" t="n">
        <v>8</v>
      </c>
      <c r="AE2276" t="n">
        <v>8</v>
      </c>
      <c r="AF2276" t="n">
        <v>2</v>
      </c>
      <c r="AG2276" t="n">
        <v>2</v>
      </c>
      <c r="AH2276" t="n">
        <v>4</v>
      </c>
      <c r="AI2276" t="n">
        <v>4</v>
      </c>
      <c r="AJ2276" t="n">
        <v>3</v>
      </c>
      <c r="AK2276" t="n">
        <v>3</v>
      </c>
      <c r="AL2276" t="n">
        <v>2</v>
      </c>
      <c r="AM2276" t="n">
        <v>2</v>
      </c>
      <c r="AN2276" t="n">
        <v>0</v>
      </c>
      <c r="AO2276" t="n">
        <v>0</v>
      </c>
      <c r="AP2276" t="inlineStr">
        <is>
          <t>No</t>
        </is>
      </c>
      <c r="AQ2276" t="inlineStr">
        <is>
          <t>Yes</t>
        </is>
      </c>
      <c r="AR2276">
        <f>HYPERLINK("http://catalog.hathitrust.org/Record/000627566","HathiTrust Record")</f>
        <v/>
      </c>
      <c r="AS2276">
        <f>HYPERLINK("https://creighton-primo.hosted.exlibrisgroup.com/primo-explore/search?tab=default_tab&amp;search_scope=EVERYTHING&amp;vid=01CRU&amp;lang=en_US&amp;offset=0&amp;query=any,contains,991000702349702656","Catalog Record")</f>
        <v/>
      </c>
      <c r="AT2276">
        <f>HYPERLINK("http://www.worldcat.org/oclc/12551863","WorldCat Record")</f>
        <v/>
      </c>
      <c r="AU2276" t="inlineStr">
        <is>
          <t>364387667:eng</t>
        </is>
      </c>
      <c r="AV2276" t="inlineStr">
        <is>
          <t>12551863</t>
        </is>
      </c>
      <c r="AW2276" t="inlineStr">
        <is>
          <t>991000702349702656</t>
        </is>
      </c>
      <c r="AX2276" t="inlineStr">
        <is>
          <t>991000702349702656</t>
        </is>
      </c>
      <c r="AY2276" t="inlineStr">
        <is>
          <t>2258722470002656</t>
        </is>
      </c>
      <c r="AZ2276" t="inlineStr">
        <is>
          <t>BOOK</t>
        </is>
      </c>
      <c r="BB2276" t="inlineStr">
        <is>
          <t>9780865691322</t>
        </is>
      </c>
      <c r="BC2276" t="inlineStr">
        <is>
          <t>32285000672161</t>
        </is>
      </c>
      <c r="BD2276" t="inlineStr">
        <is>
          <t>893419704</t>
        </is>
      </c>
    </row>
    <row r="2277">
      <c r="A2277" t="inlineStr">
        <is>
          <t>No</t>
        </is>
      </c>
      <c r="B2277" t="inlineStr">
        <is>
          <t>E879 .C36 1984</t>
        </is>
      </c>
      <c r="C2277" t="inlineStr">
        <is>
          <t>0                      E  0879000C  36          1984</t>
        </is>
      </c>
      <c r="D2277" t="inlineStr">
        <is>
          <t>Candidates '84.</t>
        </is>
      </c>
      <c r="F2277" t="inlineStr">
        <is>
          <t>No</t>
        </is>
      </c>
      <c r="G2277" t="inlineStr">
        <is>
          <t>1</t>
        </is>
      </c>
      <c r="H2277" t="inlineStr">
        <is>
          <t>No</t>
        </is>
      </c>
      <c r="I2277" t="inlineStr">
        <is>
          <t>No</t>
        </is>
      </c>
      <c r="J2277" t="inlineStr">
        <is>
          <t>0</t>
        </is>
      </c>
      <c r="L2277" t="inlineStr">
        <is>
          <t>Washington, D.C. : Congressional Quarterly, c1984.</t>
        </is>
      </c>
      <c r="M2277" t="inlineStr">
        <is>
          <t>1984</t>
        </is>
      </c>
      <c r="O2277" t="inlineStr">
        <is>
          <t>eng</t>
        </is>
      </c>
      <c r="P2277" t="inlineStr">
        <is>
          <t>dcu</t>
        </is>
      </c>
      <c r="R2277" t="inlineStr">
        <is>
          <t xml:space="preserve">E  </t>
        </is>
      </c>
      <c r="S2277" t="n">
        <v>7</v>
      </c>
      <c r="T2277" t="n">
        <v>7</v>
      </c>
      <c r="U2277" t="inlineStr">
        <is>
          <t>2005-03-09</t>
        </is>
      </c>
      <c r="V2277" t="inlineStr">
        <is>
          <t>2005-03-09</t>
        </is>
      </c>
      <c r="W2277" t="inlineStr">
        <is>
          <t>1991-06-27</t>
        </is>
      </c>
      <c r="X2277" t="inlineStr">
        <is>
          <t>1991-06-27</t>
        </is>
      </c>
      <c r="Y2277" t="n">
        <v>524</v>
      </c>
      <c r="Z2277" t="n">
        <v>506</v>
      </c>
      <c r="AA2277" t="n">
        <v>511</v>
      </c>
      <c r="AB2277" t="n">
        <v>5</v>
      </c>
      <c r="AC2277" t="n">
        <v>5</v>
      </c>
      <c r="AD2277" t="n">
        <v>17</v>
      </c>
      <c r="AE2277" t="n">
        <v>17</v>
      </c>
      <c r="AF2277" t="n">
        <v>6</v>
      </c>
      <c r="AG2277" t="n">
        <v>6</v>
      </c>
      <c r="AH2277" t="n">
        <v>2</v>
      </c>
      <c r="AI2277" t="n">
        <v>2</v>
      </c>
      <c r="AJ2277" t="n">
        <v>11</v>
      </c>
      <c r="AK2277" t="n">
        <v>11</v>
      </c>
      <c r="AL2277" t="n">
        <v>2</v>
      </c>
      <c r="AM2277" t="n">
        <v>2</v>
      </c>
      <c r="AN2277" t="n">
        <v>1</v>
      </c>
      <c r="AO2277" t="n">
        <v>1</v>
      </c>
      <c r="AP2277" t="inlineStr">
        <is>
          <t>No</t>
        </is>
      </c>
      <c r="AQ2277" t="inlineStr">
        <is>
          <t>No</t>
        </is>
      </c>
      <c r="AS2277">
        <f>HYPERLINK("https://creighton-primo.hosted.exlibrisgroup.com/primo-explore/search?tab=default_tab&amp;search_scope=EVERYTHING&amp;vid=01CRU&amp;lang=en_US&amp;offset=0&amp;query=any,contains,991000374159702656","Catalog Record")</f>
        <v/>
      </c>
      <c r="AT2277">
        <f>HYPERLINK("http://www.worldcat.org/oclc/10456836","WorldCat Record")</f>
        <v/>
      </c>
      <c r="AU2277" t="inlineStr">
        <is>
          <t>2867567:eng</t>
        </is>
      </c>
      <c r="AV2277" t="inlineStr">
        <is>
          <t>10456836</t>
        </is>
      </c>
      <c r="AW2277" t="inlineStr">
        <is>
          <t>991000374159702656</t>
        </is>
      </c>
      <c r="AX2277" t="inlineStr">
        <is>
          <t>991000374159702656</t>
        </is>
      </c>
      <c r="AY2277" t="inlineStr">
        <is>
          <t>2262702920002656</t>
        </is>
      </c>
      <c r="AZ2277" t="inlineStr">
        <is>
          <t>BOOK</t>
        </is>
      </c>
      <c r="BB2277" t="inlineStr">
        <is>
          <t>9780871873125</t>
        </is>
      </c>
      <c r="BC2277" t="inlineStr">
        <is>
          <t>32285000672179</t>
        </is>
      </c>
      <c r="BD2277" t="inlineStr">
        <is>
          <t>893407122</t>
        </is>
      </c>
    </row>
    <row r="2278">
      <c r="A2278" t="inlineStr">
        <is>
          <t>No</t>
        </is>
      </c>
      <c r="B2278" t="inlineStr">
        <is>
          <t>E879 .M37 1985</t>
        </is>
      </c>
      <c r="C2278" t="inlineStr">
        <is>
          <t>0                      E  0879000M  37          1985</t>
        </is>
      </c>
      <c r="D2278" t="inlineStr">
        <is>
          <t>The Mass media in campaign '84 : articles from Public opinion magazine / edited by Michael J. Robinson and Austin Ranney.</t>
        </is>
      </c>
      <c r="F2278" t="inlineStr">
        <is>
          <t>No</t>
        </is>
      </c>
      <c r="G2278" t="inlineStr">
        <is>
          <t>1</t>
        </is>
      </c>
      <c r="H2278" t="inlineStr">
        <is>
          <t>No</t>
        </is>
      </c>
      <c r="I2278" t="inlineStr">
        <is>
          <t>No</t>
        </is>
      </c>
      <c r="J2278" t="inlineStr">
        <is>
          <t>0</t>
        </is>
      </c>
      <c r="L2278" t="inlineStr">
        <is>
          <t>Washington, D.C. : American Enterprise Institute for Public Policy Research, c1985.</t>
        </is>
      </c>
      <c r="M2278" t="inlineStr">
        <is>
          <t>1985</t>
        </is>
      </c>
      <c r="O2278" t="inlineStr">
        <is>
          <t>eng</t>
        </is>
      </c>
      <c r="P2278" t="inlineStr">
        <is>
          <t>dcu</t>
        </is>
      </c>
      <c r="Q2278" t="inlineStr">
        <is>
          <t>AEI studies ; 426</t>
        </is>
      </c>
      <c r="R2278" t="inlineStr">
        <is>
          <t xml:space="preserve">E  </t>
        </is>
      </c>
      <c r="S2278" t="n">
        <v>4</v>
      </c>
      <c r="T2278" t="n">
        <v>4</v>
      </c>
      <c r="U2278" t="inlineStr">
        <is>
          <t>1993-04-14</t>
        </is>
      </c>
      <c r="V2278" t="inlineStr">
        <is>
          <t>1993-04-14</t>
        </is>
      </c>
      <c r="W2278" t="inlineStr">
        <is>
          <t>1991-06-27</t>
        </is>
      </c>
      <c r="X2278" t="inlineStr">
        <is>
          <t>1991-06-27</t>
        </is>
      </c>
      <c r="Y2278" t="n">
        <v>419</v>
      </c>
      <c r="Z2278" t="n">
        <v>384</v>
      </c>
      <c r="AA2278" t="n">
        <v>407</v>
      </c>
      <c r="AB2278" t="n">
        <v>4</v>
      </c>
      <c r="AC2278" t="n">
        <v>4</v>
      </c>
      <c r="AD2278" t="n">
        <v>28</v>
      </c>
      <c r="AE2278" t="n">
        <v>28</v>
      </c>
      <c r="AF2278" t="n">
        <v>11</v>
      </c>
      <c r="AG2278" t="n">
        <v>11</v>
      </c>
      <c r="AH2278" t="n">
        <v>6</v>
      </c>
      <c r="AI2278" t="n">
        <v>6</v>
      </c>
      <c r="AJ2278" t="n">
        <v>11</v>
      </c>
      <c r="AK2278" t="n">
        <v>11</v>
      </c>
      <c r="AL2278" t="n">
        <v>3</v>
      </c>
      <c r="AM2278" t="n">
        <v>3</v>
      </c>
      <c r="AN2278" t="n">
        <v>4</v>
      </c>
      <c r="AO2278" t="n">
        <v>4</v>
      </c>
      <c r="AP2278" t="inlineStr">
        <is>
          <t>No</t>
        </is>
      </c>
      <c r="AQ2278" t="inlineStr">
        <is>
          <t>Yes</t>
        </is>
      </c>
      <c r="AR2278">
        <f>HYPERLINK("http://catalog.hathitrust.org/Record/000376568","HathiTrust Record")</f>
        <v/>
      </c>
      <c r="AS2278">
        <f>HYPERLINK("https://creighton-primo.hosted.exlibrisgroup.com/primo-explore/search?tab=default_tab&amp;search_scope=EVERYTHING&amp;vid=01CRU&amp;lang=en_US&amp;offset=0&amp;query=any,contains,991000656579702656","Catalog Record")</f>
        <v/>
      </c>
      <c r="AT2278">
        <f>HYPERLINK("http://www.worldcat.org/oclc/12215784","WorldCat Record")</f>
        <v/>
      </c>
      <c r="AU2278" t="inlineStr">
        <is>
          <t>4945032:eng</t>
        </is>
      </c>
      <c r="AV2278" t="inlineStr">
        <is>
          <t>12215784</t>
        </is>
      </c>
      <c r="AW2278" t="inlineStr">
        <is>
          <t>991000656579702656</t>
        </is>
      </c>
      <c r="AX2278" t="inlineStr">
        <is>
          <t>991000656579702656</t>
        </is>
      </c>
      <c r="AY2278" t="inlineStr">
        <is>
          <t>2265508560002656</t>
        </is>
      </c>
      <c r="AZ2278" t="inlineStr">
        <is>
          <t>BOOK</t>
        </is>
      </c>
      <c r="BB2278" t="inlineStr">
        <is>
          <t>9780844735825</t>
        </is>
      </c>
      <c r="BC2278" t="inlineStr">
        <is>
          <t>32285000672195</t>
        </is>
      </c>
      <c r="BD2278" t="inlineStr">
        <is>
          <t>893339759</t>
        </is>
      </c>
    </row>
    <row r="2279">
      <c r="A2279" t="inlineStr">
        <is>
          <t>No</t>
        </is>
      </c>
      <c r="B2279" t="inlineStr">
        <is>
          <t>E879 .M43 1991</t>
        </is>
      </c>
      <c r="C2279" t="inlineStr">
        <is>
          <t>0                      E  0879000M  43          1991</t>
        </is>
      </c>
      <c r="D2279" t="inlineStr">
        <is>
          <t>The Media in the 1984 and 1988 presidential campaigns / edited by Guido H. Stempel III and John W. Windhauser.</t>
        </is>
      </c>
      <c r="F2279" t="inlineStr">
        <is>
          <t>No</t>
        </is>
      </c>
      <c r="G2279" t="inlineStr">
        <is>
          <t>1</t>
        </is>
      </c>
      <c r="H2279" t="inlineStr">
        <is>
          <t>No</t>
        </is>
      </c>
      <c r="I2279" t="inlineStr">
        <is>
          <t>No</t>
        </is>
      </c>
      <c r="J2279" t="inlineStr">
        <is>
          <t>0</t>
        </is>
      </c>
      <c r="L2279" t="inlineStr">
        <is>
          <t>New York : Greenwood Press, 1991.</t>
        </is>
      </c>
      <c r="M2279" t="inlineStr">
        <is>
          <t>1991</t>
        </is>
      </c>
      <c r="O2279" t="inlineStr">
        <is>
          <t>eng</t>
        </is>
      </c>
      <c r="P2279" t="inlineStr">
        <is>
          <t>nyu</t>
        </is>
      </c>
      <c r="Q2279" t="inlineStr">
        <is>
          <t>Contributions to the study of mass media and communications, 0732-4456 ; no. 21</t>
        </is>
      </c>
      <c r="R2279" t="inlineStr">
        <is>
          <t xml:space="preserve">E  </t>
        </is>
      </c>
      <c r="S2279" t="n">
        <v>15</v>
      </c>
      <c r="T2279" t="n">
        <v>15</v>
      </c>
      <c r="U2279" t="inlineStr">
        <is>
          <t>1997-11-12</t>
        </is>
      </c>
      <c r="V2279" t="inlineStr">
        <is>
          <t>1997-11-12</t>
        </is>
      </c>
      <c r="W2279" t="inlineStr">
        <is>
          <t>1992-06-10</t>
        </is>
      </c>
      <c r="X2279" t="inlineStr">
        <is>
          <t>1992-06-10</t>
        </is>
      </c>
      <c r="Y2279" t="n">
        <v>373</v>
      </c>
      <c r="Z2279" t="n">
        <v>317</v>
      </c>
      <c r="AA2279" t="n">
        <v>324</v>
      </c>
      <c r="AB2279" t="n">
        <v>4</v>
      </c>
      <c r="AC2279" t="n">
        <v>4</v>
      </c>
      <c r="AD2279" t="n">
        <v>19</v>
      </c>
      <c r="AE2279" t="n">
        <v>19</v>
      </c>
      <c r="AF2279" t="n">
        <v>6</v>
      </c>
      <c r="AG2279" t="n">
        <v>6</v>
      </c>
      <c r="AH2279" t="n">
        <v>6</v>
      </c>
      <c r="AI2279" t="n">
        <v>6</v>
      </c>
      <c r="AJ2279" t="n">
        <v>10</v>
      </c>
      <c r="AK2279" t="n">
        <v>10</v>
      </c>
      <c r="AL2279" t="n">
        <v>3</v>
      </c>
      <c r="AM2279" t="n">
        <v>3</v>
      </c>
      <c r="AN2279" t="n">
        <v>0</v>
      </c>
      <c r="AO2279" t="n">
        <v>0</v>
      </c>
      <c r="AP2279" t="inlineStr">
        <is>
          <t>No</t>
        </is>
      </c>
      <c r="AQ2279" t="inlineStr">
        <is>
          <t>Yes</t>
        </is>
      </c>
      <c r="AR2279">
        <f>HYPERLINK("http://catalog.hathitrust.org/Record/002453158","HathiTrust Record")</f>
        <v/>
      </c>
      <c r="AS2279">
        <f>HYPERLINK("https://creighton-primo.hosted.exlibrisgroup.com/primo-explore/search?tab=default_tab&amp;search_scope=EVERYTHING&amp;vid=01CRU&amp;lang=en_US&amp;offset=0&amp;query=any,contains,991001660269702656","Catalog Record")</f>
        <v/>
      </c>
      <c r="AT2279">
        <f>HYPERLINK("http://www.worldcat.org/oclc/21161554","WorldCat Record")</f>
        <v/>
      </c>
      <c r="AU2279" t="inlineStr">
        <is>
          <t>347386564:eng</t>
        </is>
      </c>
      <c r="AV2279" t="inlineStr">
        <is>
          <t>21161554</t>
        </is>
      </c>
      <c r="AW2279" t="inlineStr">
        <is>
          <t>991001660269702656</t>
        </is>
      </c>
      <c r="AX2279" t="inlineStr">
        <is>
          <t>991001660269702656</t>
        </is>
      </c>
      <c r="AY2279" t="inlineStr">
        <is>
          <t>2262033260002656</t>
        </is>
      </c>
      <c r="AZ2279" t="inlineStr">
        <is>
          <t>BOOK</t>
        </is>
      </c>
      <c r="BB2279" t="inlineStr">
        <is>
          <t>9780313265273</t>
        </is>
      </c>
      <c r="BC2279" t="inlineStr">
        <is>
          <t>32285001127678</t>
        </is>
      </c>
      <c r="BD2279" t="inlineStr">
        <is>
          <t>893250372</t>
        </is>
      </c>
    </row>
    <row r="2280">
      <c r="A2280" t="inlineStr">
        <is>
          <t>No</t>
        </is>
      </c>
      <c r="B2280" t="inlineStr">
        <is>
          <t>E880 .C363 1989</t>
        </is>
      </c>
      <c r="C2280" t="inlineStr">
        <is>
          <t>0                      E  0880000C  363         1989</t>
        </is>
      </c>
      <c r="D2280" t="inlineStr">
        <is>
          <t>Campaign for president : the managers look at '88 / edited by David R. Runkel.</t>
        </is>
      </c>
      <c r="F2280" t="inlineStr">
        <is>
          <t>No</t>
        </is>
      </c>
      <c r="G2280" t="inlineStr">
        <is>
          <t>1</t>
        </is>
      </c>
      <c r="H2280" t="inlineStr">
        <is>
          <t>No</t>
        </is>
      </c>
      <c r="I2280" t="inlineStr">
        <is>
          <t>No</t>
        </is>
      </c>
      <c r="J2280" t="inlineStr">
        <is>
          <t>0</t>
        </is>
      </c>
      <c r="L2280" t="inlineStr">
        <is>
          <t>Dover, Mass. : Auburn House, c1989.</t>
        </is>
      </c>
      <c r="M2280" t="inlineStr">
        <is>
          <t>1989</t>
        </is>
      </c>
      <c r="O2280" t="inlineStr">
        <is>
          <t>eng</t>
        </is>
      </c>
      <c r="P2280" t="inlineStr">
        <is>
          <t>mau</t>
        </is>
      </c>
      <c r="R2280" t="inlineStr">
        <is>
          <t xml:space="preserve">E  </t>
        </is>
      </c>
      <c r="S2280" t="n">
        <v>5</v>
      </c>
      <c r="T2280" t="n">
        <v>5</v>
      </c>
      <c r="U2280" t="inlineStr">
        <is>
          <t>1997-03-07</t>
        </is>
      </c>
      <c r="V2280" t="inlineStr">
        <is>
          <t>1997-03-07</t>
        </is>
      </c>
      <c r="W2280" t="inlineStr">
        <is>
          <t>1992-04-22</t>
        </is>
      </c>
      <c r="X2280" t="inlineStr">
        <is>
          <t>1992-04-22</t>
        </is>
      </c>
      <c r="Y2280" t="n">
        <v>481</v>
      </c>
      <c r="Z2280" t="n">
        <v>449</v>
      </c>
      <c r="AA2280" t="n">
        <v>456</v>
      </c>
      <c r="AB2280" t="n">
        <v>4</v>
      </c>
      <c r="AC2280" t="n">
        <v>4</v>
      </c>
      <c r="AD2280" t="n">
        <v>27</v>
      </c>
      <c r="AE2280" t="n">
        <v>27</v>
      </c>
      <c r="AF2280" t="n">
        <v>11</v>
      </c>
      <c r="AG2280" t="n">
        <v>11</v>
      </c>
      <c r="AH2280" t="n">
        <v>10</v>
      </c>
      <c r="AI2280" t="n">
        <v>10</v>
      </c>
      <c r="AJ2280" t="n">
        <v>12</v>
      </c>
      <c r="AK2280" t="n">
        <v>12</v>
      </c>
      <c r="AL2280" t="n">
        <v>3</v>
      </c>
      <c r="AM2280" t="n">
        <v>3</v>
      </c>
      <c r="AN2280" t="n">
        <v>0</v>
      </c>
      <c r="AO2280" t="n">
        <v>0</v>
      </c>
      <c r="AP2280" t="inlineStr">
        <is>
          <t>No</t>
        </is>
      </c>
      <c r="AQ2280" t="inlineStr">
        <is>
          <t>Yes</t>
        </is>
      </c>
      <c r="AR2280">
        <f>HYPERLINK("http://catalog.hathitrust.org/Record/001535156","HathiTrust Record")</f>
        <v/>
      </c>
      <c r="AS2280">
        <f>HYPERLINK("https://creighton-primo.hosted.exlibrisgroup.com/primo-explore/search?tab=default_tab&amp;search_scope=EVERYTHING&amp;vid=01CRU&amp;lang=en_US&amp;offset=0&amp;query=any,contains,991001478789702656","Catalog Record")</f>
        <v/>
      </c>
      <c r="AT2280">
        <f>HYPERLINK("http://www.worldcat.org/oclc/19590813","WorldCat Record")</f>
        <v/>
      </c>
      <c r="AU2280" t="inlineStr">
        <is>
          <t>2847144:eng</t>
        </is>
      </c>
      <c r="AV2280" t="inlineStr">
        <is>
          <t>19590813</t>
        </is>
      </c>
      <c r="AW2280" t="inlineStr">
        <is>
          <t>991001478789702656</t>
        </is>
      </c>
      <c r="AX2280" t="inlineStr">
        <is>
          <t>991001478789702656</t>
        </is>
      </c>
      <c r="AY2280" t="inlineStr">
        <is>
          <t>2270095270002656</t>
        </is>
      </c>
      <c r="AZ2280" t="inlineStr">
        <is>
          <t>BOOK</t>
        </is>
      </c>
      <c r="BB2280" t="inlineStr">
        <is>
          <t>9780865691940</t>
        </is>
      </c>
      <c r="BC2280" t="inlineStr">
        <is>
          <t>32285001036796</t>
        </is>
      </c>
      <c r="BD2280" t="inlineStr">
        <is>
          <t>893522592</t>
        </is>
      </c>
    </row>
    <row r="2281">
      <c r="A2281" t="inlineStr">
        <is>
          <t>No</t>
        </is>
      </c>
      <c r="B2281" t="inlineStr">
        <is>
          <t>E880 .D74 1989</t>
        </is>
      </c>
      <c r="C2281" t="inlineStr">
        <is>
          <t>0                      E  0880000D  74          1989</t>
        </is>
      </c>
      <c r="D2281" t="inlineStr">
        <is>
          <t>Election journal : political events of 1987-1988 / Elizabeth Drew.</t>
        </is>
      </c>
      <c r="F2281" t="inlineStr">
        <is>
          <t>No</t>
        </is>
      </c>
      <c r="G2281" t="inlineStr">
        <is>
          <t>1</t>
        </is>
      </c>
      <c r="H2281" t="inlineStr">
        <is>
          <t>No</t>
        </is>
      </c>
      <c r="I2281" t="inlineStr">
        <is>
          <t>No</t>
        </is>
      </c>
      <c r="J2281" t="inlineStr">
        <is>
          <t>0</t>
        </is>
      </c>
      <c r="K2281" t="inlineStr">
        <is>
          <t>Drew, Elizabeth.</t>
        </is>
      </c>
      <c r="L2281" t="inlineStr">
        <is>
          <t>New York : W. Morrow, 1989.</t>
        </is>
      </c>
      <c r="M2281" t="inlineStr">
        <is>
          <t>1989</t>
        </is>
      </c>
      <c r="N2281" t="inlineStr">
        <is>
          <t>1st ed.</t>
        </is>
      </c>
      <c r="O2281" t="inlineStr">
        <is>
          <t>eng</t>
        </is>
      </c>
      <c r="P2281" t="inlineStr">
        <is>
          <t>nyu</t>
        </is>
      </c>
      <c r="R2281" t="inlineStr">
        <is>
          <t xml:space="preserve">E  </t>
        </is>
      </c>
      <c r="S2281" t="n">
        <v>2</v>
      </c>
      <c r="T2281" t="n">
        <v>2</v>
      </c>
      <c r="U2281" t="inlineStr">
        <is>
          <t>1997-03-07</t>
        </is>
      </c>
      <c r="V2281" t="inlineStr">
        <is>
          <t>1997-03-07</t>
        </is>
      </c>
      <c r="W2281" t="inlineStr">
        <is>
          <t>1991-06-27</t>
        </is>
      </c>
      <c r="X2281" t="inlineStr">
        <is>
          <t>1991-06-27</t>
        </is>
      </c>
      <c r="Y2281" t="n">
        <v>513</v>
      </c>
      <c r="Z2281" t="n">
        <v>493</v>
      </c>
      <c r="AA2281" t="n">
        <v>507</v>
      </c>
      <c r="AB2281" t="n">
        <v>4</v>
      </c>
      <c r="AC2281" t="n">
        <v>4</v>
      </c>
      <c r="AD2281" t="n">
        <v>13</v>
      </c>
      <c r="AE2281" t="n">
        <v>13</v>
      </c>
      <c r="AF2281" t="n">
        <v>5</v>
      </c>
      <c r="AG2281" t="n">
        <v>5</v>
      </c>
      <c r="AH2281" t="n">
        <v>4</v>
      </c>
      <c r="AI2281" t="n">
        <v>4</v>
      </c>
      <c r="AJ2281" t="n">
        <v>6</v>
      </c>
      <c r="AK2281" t="n">
        <v>6</v>
      </c>
      <c r="AL2281" t="n">
        <v>2</v>
      </c>
      <c r="AM2281" t="n">
        <v>2</v>
      </c>
      <c r="AN2281" t="n">
        <v>0</v>
      </c>
      <c r="AO2281" t="n">
        <v>0</v>
      </c>
      <c r="AP2281" t="inlineStr">
        <is>
          <t>No</t>
        </is>
      </c>
      <c r="AQ2281" t="inlineStr">
        <is>
          <t>Yes</t>
        </is>
      </c>
      <c r="AR2281">
        <f>HYPERLINK("http://catalog.hathitrust.org/Record/001096790","HathiTrust Record")</f>
        <v/>
      </c>
      <c r="AS2281">
        <f>HYPERLINK("https://creighton-primo.hosted.exlibrisgroup.com/primo-explore/search?tab=default_tab&amp;search_scope=EVERYTHING&amp;vid=01CRU&amp;lang=en_US&amp;offset=0&amp;query=any,contains,991001342219702656","Catalog Record")</f>
        <v/>
      </c>
      <c r="AT2281">
        <f>HYPERLINK("http://www.worldcat.org/oclc/18384600","WorldCat Record")</f>
        <v/>
      </c>
      <c r="AU2281" t="inlineStr">
        <is>
          <t>316114918:eng</t>
        </is>
      </c>
      <c r="AV2281" t="inlineStr">
        <is>
          <t>18384600</t>
        </is>
      </c>
      <c r="AW2281" t="inlineStr">
        <is>
          <t>991001342219702656</t>
        </is>
      </c>
      <c r="AX2281" t="inlineStr">
        <is>
          <t>991001342219702656</t>
        </is>
      </c>
      <c r="AY2281" t="inlineStr">
        <is>
          <t>2257150610002656</t>
        </is>
      </c>
      <c r="AZ2281" t="inlineStr">
        <is>
          <t>BOOK</t>
        </is>
      </c>
      <c r="BB2281" t="inlineStr">
        <is>
          <t>9780688083328</t>
        </is>
      </c>
      <c r="BC2281" t="inlineStr">
        <is>
          <t>32285000672211</t>
        </is>
      </c>
      <c r="BD2281" t="inlineStr">
        <is>
          <t>893231924</t>
        </is>
      </c>
    </row>
    <row r="2282">
      <c r="A2282" t="inlineStr">
        <is>
          <t>No</t>
        </is>
      </c>
      <c r="B2282" t="inlineStr">
        <is>
          <t>E880 .H47 1993</t>
        </is>
      </c>
      <c r="C2282" t="inlineStr">
        <is>
          <t>0                      E  0880000H  47          1993</t>
        </is>
      </c>
      <c r="D2282" t="inlineStr">
        <is>
          <t>Echoes of discontent : Jesse Jackson, Pat Robertson, and the resurgence of populism / Allen D. Hertzke.</t>
        </is>
      </c>
      <c r="F2282" t="inlineStr">
        <is>
          <t>No</t>
        </is>
      </c>
      <c r="G2282" t="inlineStr">
        <is>
          <t>1</t>
        </is>
      </c>
      <c r="H2282" t="inlineStr">
        <is>
          <t>No</t>
        </is>
      </c>
      <c r="I2282" t="inlineStr">
        <is>
          <t>No</t>
        </is>
      </c>
      <c r="J2282" t="inlineStr">
        <is>
          <t>0</t>
        </is>
      </c>
      <c r="K2282" t="inlineStr">
        <is>
          <t>Hertzke, Allen D., 1950-</t>
        </is>
      </c>
      <c r="L2282" t="inlineStr">
        <is>
          <t>Washington, D.C. : CQ Press, c1993.</t>
        </is>
      </c>
      <c r="M2282" t="inlineStr">
        <is>
          <t>1993</t>
        </is>
      </c>
      <c r="O2282" t="inlineStr">
        <is>
          <t>eng</t>
        </is>
      </c>
      <c r="P2282" t="inlineStr">
        <is>
          <t>dcu</t>
        </is>
      </c>
      <c r="R2282" t="inlineStr">
        <is>
          <t xml:space="preserve">E  </t>
        </is>
      </c>
      <c r="S2282" t="n">
        <v>3</v>
      </c>
      <c r="T2282" t="n">
        <v>3</v>
      </c>
      <c r="U2282" t="inlineStr">
        <is>
          <t>1996-05-06</t>
        </is>
      </c>
      <c r="V2282" t="inlineStr">
        <is>
          <t>1996-05-06</t>
        </is>
      </c>
      <c r="W2282" t="inlineStr">
        <is>
          <t>1993-08-24</t>
        </is>
      </c>
      <c r="X2282" t="inlineStr">
        <is>
          <t>1993-08-24</t>
        </is>
      </c>
      <c r="Y2282" t="n">
        <v>671</v>
      </c>
      <c r="Z2282" t="n">
        <v>630</v>
      </c>
      <c r="AA2282" t="n">
        <v>638</v>
      </c>
      <c r="AB2282" t="n">
        <v>4</v>
      </c>
      <c r="AC2282" t="n">
        <v>4</v>
      </c>
      <c r="AD2282" t="n">
        <v>32</v>
      </c>
      <c r="AE2282" t="n">
        <v>32</v>
      </c>
      <c r="AF2282" t="n">
        <v>12</v>
      </c>
      <c r="AG2282" t="n">
        <v>12</v>
      </c>
      <c r="AH2282" t="n">
        <v>9</v>
      </c>
      <c r="AI2282" t="n">
        <v>9</v>
      </c>
      <c r="AJ2282" t="n">
        <v>14</v>
      </c>
      <c r="AK2282" t="n">
        <v>14</v>
      </c>
      <c r="AL2282" t="n">
        <v>3</v>
      </c>
      <c r="AM2282" t="n">
        <v>3</v>
      </c>
      <c r="AN2282" t="n">
        <v>2</v>
      </c>
      <c r="AO2282" t="n">
        <v>2</v>
      </c>
      <c r="AP2282" t="inlineStr">
        <is>
          <t>No</t>
        </is>
      </c>
      <c r="AQ2282" t="inlineStr">
        <is>
          <t>Yes</t>
        </is>
      </c>
      <c r="AR2282">
        <f>HYPERLINK("http://catalog.hathitrust.org/Record/002595695","HathiTrust Record")</f>
        <v/>
      </c>
      <c r="AS2282">
        <f>HYPERLINK("https://creighton-primo.hosted.exlibrisgroup.com/primo-explore/search?tab=default_tab&amp;search_scope=EVERYTHING&amp;vid=01CRU&amp;lang=en_US&amp;offset=0&amp;query=any,contains,991002077899702656","Catalog Record")</f>
        <v/>
      </c>
      <c r="AT2282">
        <f>HYPERLINK("http://www.worldcat.org/oclc/26634876","WorldCat Record")</f>
        <v/>
      </c>
      <c r="AU2282" t="inlineStr">
        <is>
          <t>29156644:eng</t>
        </is>
      </c>
      <c r="AV2282" t="inlineStr">
        <is>
          <t>26634876</t>
        </is>
      </c>
      <c r="AW2282" t="inlineStr">
        <is>
          <t>991002077899702656</t>
        </is>
      </c>
      <c r="AX2282" t="inlineStr">
        <is>
          <t>991002077899702656</t>
        </is>
      </c>
      <c r="AY2282" t="inlineStr">
        <is>
          <t>2263995060002656</t>
        </is>
      </c>
      <c r="AZ2282" t="inlineStr">
        <is>
          <t>BOOK</t>
        </is>
      </c>
      <c r="BB2282" t="inlineStr">
        <is>
          <t>9780871876409</t>
        </is>
      </c>
      <c r="BC2282" t="inlineStr">
        <is>
          <t>32285001728004</t>
        </is>
      </c>
      <c r="BD2282" t="inlineStr">
        <is>
          <t>893516863</t>
        </is>
      </c>
    </row>
    <row r="2283">
      <c r="A2283" t="inlineStr">
        <is>
          <t>No</t>
        </is>
      </c>
      <c r="B2283" t="inlineStr">
        <is>
          <t>E880 .S54 1988</t>
        </is>
      </c>
      <c r="C2283" t="inlineStr">
        <is>
          <t>0                      E  0880000S  54          1988</t>
        </is>
      </c>
      <c r="D2283" t="inlineStr">
        <is>
          <t>Character : America's search for leadership / by Gail Sheehy.</t>
        </is>
      </c>
      <c r="F2283" t="inlineStr">
        <is>
          <t>No</t>
        </is>
      </c>
      <c r="G2283" t="inlineStr">
        <is>
          <t>1</t>
        </is>
      </c>
      <c r="H2283" t="inlineStr">
        <is>
          <t>No</t>
        </is>
      </c>
      <c r="I2283" t="inlineStr">
        <is>
          <t>No</t>
        </is>
      </c>
      <c r="J2283" t="inlineStr">
        <is>
          <t>0</t>
        </is>
      </c>
      <c r="K2283" t="inlineStr">
        <is>
          <t>Sheehy, Gail.</t>
        </is>
      </c>
      <c r="L2283" t="inlineStr">
        <is>
          <t>New York : Morrow, c1988.</t>
        </is>
      </c>
      <c r="M2283" t="inlineStr">
        <is>
          <t>1988</t>
        </is>
      </c>
      <c r="N2283" t="inlineStr">
        <is>
          <t>1st ed.</t>
        </is>
      </c>
      <c r="O2283" t="inlineStr">
        <is>
          <t>eng</t>
        </is>
      </c>
      <c r="P2283" t="inlineStr">
        <is>
          <t>nyu</t>
        </is>
      </c>
      <c r="R2283" t="inlineStr">
        <is>
          <t xml:space="preserve">E  </t>
        </is>
      </c>
      <c r="S2283" t="n">
        <v>7</v>
      </c>
      <c r="T2283" t="n">
        <v>7</v>
      </c>
      <c r="U2283" t="inlineStr">
        <is>
          <t>1994-11-26</t>
        </is>
      </c>
      <c r="V2283" t="inlineStr">
        <is>
          <t>1994-11-26</t>
        </is>
      </c>
      <c r="W2283" t="inlineStr">
        <is>
          <t>1991-06-27</t>
        </is>
      </c>
      <c r="X2283" t="inlineStr">
        <is>
          <t>1991-06-27</t>
        </is>
      </c>
      <c r="Y2283" t="n">
        <v>1093</v>
      </c>
      <c r="Z2283" t="n">
        <v>1044</v>
      </c>
      <c r="AA2283" t="n">
        <v>1063</v>
      </c>
      <c r="AB2283" t="n">
        <v>6</v>
      </c>
      <c r="AC2283" t="n">
        <v>6</v>
      </c>
      <c r="AD2283" t="n">
        <v>25</v>
      </c>
      <c r="AE2283" t="n">
        <v>25</v>
      </c>
      <c r="AF2283" t="n">
        <v>14</v>
      </c>
      <c r="AG2283" t="n">
        <v>14</v>
      </c>
      <c r="AH2283" t="n">
        <v>5</v>
      </c>
      <c r="AI2283" t="n">
        <v>5</v>
      </c>
      <c r="AJ2283" t="n">
        <v>11</v>
      </c>
      <c r="AK2283" t="n">
        <v>11</v>
      </c>
      <c r="AL2283" t="n">
        <v>3</v>
      </c>
      <c r="AM2283" t="n">
        <v>3</v>
      </c>
      <c r="AN2283" t="n">
        <v>0</v>
      </c>
      <c r="AO2283" t="n">
        <v>0</v>
      </c>
      <c r="AP2283" t="inlineStr">
        <is>
          <t>No</t>
        </is>
      </c>
      <c r="AQ2283" t="inlineStr">
        <is>
          <t>Yes</t>
        </is>
      </c>
      <c r="AR2283">
        <f>HYPERLINK("http://catalog.hathitrust.org/Record/000906454","HathiTrust Record")</f>
        <v/>
      </c>
      <c r="AS2283">
        <f>HYPERLINK("https://creighton-primo.hosted.exlibrisgroup.com/primo-explore/search?tab=default_tab&amp;search_scope=EVERYTHING&amp;vid=01CRU&amp;lang=en_US&amp;offset=0&amp;query=any,contains,991001263239702656","Catalog Record")</f>
        <v/>
      </c>
      <c r="AT2283">
        <f>HYPERLINK("http://www.worldcat.org/oclc/17776282","WorldCat Record")</f>
        <v/>
      </c>
      <c r="AU2283" t="inlineStr">
        <is>
          <t>16695276:eng</t>
        </is>
      </c>
      <c r="AV2283" t="inlineStr">
        <is>
          <t>17776282</t>
        </is>
      </c>
      <c r="AW2283" t="inlineStr">
        <is>
          <t>991001263239702656</t>
        </is>
      </c>
      <c r="AX2283" t="inlineStr">
        <is>
          <t>991001263239702656</t>
        </is>
      </c>
      <c r="AY2283" t="inlineStr">
        <is>
          <t>2269718830002656</t>
        </is>
      </c>
      <c r="AZ2283" t="inlineStr">
        <is>
          <t>BOOK</t>
        </is>
      </c>
      <c r="BB2283" t="inlineStr">
        <is>
          <t>9780688080723</t>
        </is>
      </c>
      <c r="BC2283" t="inlineStr">
        <is>
          <t>32285000672229</t>
        </is>
      </c>
      <c r="BD2283" t="inlineStr">
        <is>
          <t>893340293</t>
        </is>
      </c>
    </row>
    <row r="2284">
      <c r="A2284" t="inlineStr">
        <is>
          <t>No</t>
        </is>
      </c>
      <c r="B2284" t="inlineStr">
        <is>
          <t>E880 .S65 1989</t>
        </is>
      </c>
      <c r="C2284" t="inlineStr">
        <is>
          <t>0                      E  0880000S  65          1989</t>
        </is>
      </c>
      <c r="D2284" t="inlineStr">
        <is>
          <t>Winners and losers : the 1988 race for the presidency--one candidate's perspective / Paul Simon.</t>
        </is>
      </c>
      <c r="F2284" t="inlineStr">
        <is>
          <t>No</t>
        </is>
      </c>
      <c r="G2284" t="inlineStr">
        <is>
          <t>1</t>
        </is>
      </c>
      <c r="H2284" t="inlineStr">
        <is>
          <t>No</t>
        </is>
      </c>
      <c r="I2284" t="inlineStr">
        <is>
          <t>No</t>
        </is>
      </c>
      <c r="J2284" t="inlineStr">
        <is>
          <t>0</t>
        </is>
      </c>
      <c r="K2284" t="inlineStr">
        <is>
          <t>Simon, Paul, 1928-2003.</t>
        </is>
      </c>
      <c r="L2284" t="inlineStr">
        <is>
          <t>New York : Continuum, 1989.</t>
        </is>
      </c>
      <c r="M2284" t="inlineStr">
        <is>
          <t>1989</t>
        </is>
      </c>
      <c r="O2284" t="inlineStr">
        <is>
          <t>eng</t>
        </is>
      </c>
      <c r="P2284" t="inlineStr">
        <is>
          <t>nyu</t>
        </is>
      </c>
      <c r="R2284" t="inlineStr">
        <is>
          <t xml:space="preserve">E  </t>
        </is>
      </c>
      <c r="S2284" t="n">
        <v>4</v>
      </c>
      <c r="T2284" t="n">
        <v>4</v>
      </c>
      <c r="U2284" t="inlineStr">
        <is>
          <t>1997-03-07</t>
        </is>
      </c>
      <c r="V2284" t="inlineStr">
        <is>
          <t>1997-03-07</t>
        </is>
      </c>
      <c r="W2284" t="inlineStr">
        <is>
          <t>1991-08-06</t>
        </is>
      </c>
      <c r="X2284" t="inlineStr">
        <is>
          <t>1991-08-06</t>
        </is>
      </c>
      <c r="Y2284" t="n">
        <v>541</v>
      </c>
      <c r="Z2284" t="n">
        <v>517</v>
      </c>
      <c r="AA2284" t="n">
        <v>524</v>
      </c>
      <c r="AB2284" t="n">
        <v>4</v>
      </c>
      <c r="AC2284" t="n">
        <v>4</v>
      </c>
      <c r="AD2284" t="n">
        <v>16</v>
      </c>
      <c r="AE2284" t="n">
        <v>16</v>
      </c>
      <c r="AF2284" t="n">
        <v>5</v>
      </c>
      <c r="AG2284" t="n">
        <v>5</v>
      </c>
      <c r="AH2284" t="n">
        <v>4</v>
      </c>
      <c r="AI2284" t="n">
        <v>4</v>
      </c>
      <c r="AJ2284" t="n">
        <v>7</v>
      </c>
      <c r="AK2284" t="n">
        <v>7</v>
      </c>
      <c r="AL2284" t="n">
        <v>2</v>
      </c>
      <c r="AM2284" t="n">
        <v>2</v>
      </c>
      <c r="AN2284" t="n">
        <v>2</v>
      </c>
      <c r="AO2284" t="n">
        <v>2</v>
      </c>
      <c r="AP2284" t="inlineStr">
        <is>
          <t>No</t>
        </is>
      </c>
      <c r="AQ2284" t="inlineStr">
        <is>
          <t>Yes</t>
        </is>
      </c>
      <c r="AR2284">
        <f>HYPERLINK("http://catalog.hathitrust.org/Record/001096793","HathiTrust Record")</f>
        <v/>
      </c>
      <c r="AS2284">
        <f>HYPERLINK("https://creighton-primo.hosted.exlibrisgroup.com/primo-explore/search?tab=default_tab&amp;search_scope=EVERYTHING&amp;vid=01CRU&amp;lang=en_US&amp;offset=0&amp;query=any,contains,991001414869702656","Catalog Record")</f>
        <v/>
      </c>
      <c r="AT2284">
        <f>HYPERLINK("http://www.worldcat.org/oclc/18947675","WorldCat Record")</f>
        <v/>
      </c>
      <c r="AU2284" t="inlineStr">
        <is>
          <t>451689596:eng</t>
        </is>
      </c>
      <c r="AV2284" t="inlineStr">
        <is>
          <t>18947675</t>
        </is>
      </c>
      <c r="AW2284" t="inlineStr">
        <is>
          <t>991001414869702656</t>
        </is>
      </c>
      <c r="AX2284" t="inlineStr">
        <is>
          <t>991001414869702656</t>
        </is>
      </c>
      <c r="AY2284" t="inlineStr">
        <is>
          <t>2272274310002656</t>
        </is>
      </c>
      <c r="AZ2284" t="inlineStr">
        <is>
          <t>BOOK</t>
        </is>
      </c>
      <c r="BB2284" t="inlineStr">
        <is>
          <t>9780826404282</t>
        </is>
      </c>
      <c r="BC2284" t="inlineStr">
        <is>
          <t>32285000664069</t>
        </is>
      </c>
      <c r="BD2284" t="inlineStr">
        <is>
          <t>893778793</t>
        </is>
      </c>
    </row>
    <row r="2285">
      <c r="A2285" t="inlineStr">
        <is>
          <t>No</t>
        </is>
      </c>
      <c r="B2285" t="inlineStr">
        <is>
          <t>E881 .A44 1990</t>
        </is>
      </c>
      <c r="C2285" t="inlineStr">
        <is>
          <t>0                      E  0881000A  44          1990</t>
        </is>
      </c>
      <c r="D2285" t="inlineStr">
        <is>
          <t>American conservative opinion leaders / edited by Mark J. Rozell and James F. Pontuso.</t>
        </is>
      </c>
      <c r="F2285" t="inlineStr">
        <is>
          <t>No</t>
        </is>
      </c>
      <c r="G2285" t="inlineStr">
        <is>
          <t>1</t>
        </is>
      </c>
      <c r="H2285" t="inlineStr">
        <is>
          <t>No</t>
        </is>
      </c>
      <c r="I2285" t="inlineStr">
        <is>
          <t>No</t>
        </is>
      </c>
      <c r="J2285" t="inlineStr">
        <is>
          <t>0</t>
        </is>
      </c>
      <c r="L2285" t="inlineStr">
        <is>
          <t>Boulder : Westview Press, c1990.</t>
        </is>
      </c>
      <c r="M2285" t="inlineStr">
        <is>
          <t>1990</t>
        </is>
      </c>
      <c r="O2285" t="inlineStr">
        <is>
          <t>eng</t>
        </is>
      </c>
      <c r="P2285" t="inlineStr">
        <is>
          <t>cou</t>
        </is>
      </c>
      <c r="R2285" t="inlineStr">
        <is>
          <t xml:space="preserve">E  </t>
        </is>
      </c>
      <c r="S2285" t="n">
        <v>1</v>
      </c>
      <c r="T2285" t="n">
        <v>1</v>
      </c>
      <c r="U2285" t="inlineStr">
        <is>
          <t>2003-12-05</t>
        </is>
      </c>
      <c r="V2285" t="inlineStr">
        <is>
          <t>2003-12-05</t>
        </is>
      </c>
      <c r="W2285" t="inlineStr">
        <is>
          <t>1992-02-04</t>
        </is>
      </c>
      <c r="X2285" t="inlineStr">
        <is>
          <t>1992-02-04</t>
        </is>
      </c>
      <c r="Y2285" t="n">
        <v>309</v>
      </c>
      <c r="Z2285" t="n">
        <v>263</v>
      </c>
      <c r="AA2285" t="n">
        <v>282</v>
      </c>
      <c r="AB2285" t="n">
        <v>2</v>
      </c>
      <c r="AC2285" t="n">
        <v>2</v>
      </c>
      <c r="AD2285" t="n">
        <v>11</v>
      </c>
      <c r="AE2285" t="n">
        <v>11</v>
      </c>
      <c r="AF2285" t="n">
        <v>4</v>
      </c>
      <c r="AG2285" t="n">
        <v>4</v>
      </c>
      <c r="AH2285" t="n">
        <v>4</v>
      </c>
      <c r="AI2285" t="n">
        <v>4</v>
      </c>
      <c r="AJ2285" t="n">
        <v>6</v>
      </c>
      <c r="AK2285" t="n">
        <v>6</v>
      </c>
      <c r="AL2285" t="n">
        <v>1</v>
      </c>
      <c r="AM2285" t="n">
        <v>1</v>
      </c>
      <c r="AN2285" t="n">
        <v>0</v>
      </c>
      <c r="AO2285" t="n">
        <v>0</v>
      </c>
      <c r="AP2285" t="inlineStr">
        <is>
          <t>No</t>
        </is>
      </c>
      <c r="AQ2285" t="inlineStr">
        <is>
          <t>Yes</t>
        </is>
      </c>
      <c r="AR2285">
        <f>HYPERLINK("http://catalog.hathitrust.org/Record/001948682","HathiTrust Record")</f>
        <v/>
      </c>
      <c r="AS2285">
        <f>HYPERLINK("https://creighton-primo.hosted.exlibrisgroup.com/primo-explore/search?tab=default_tab&amp;search_scope=EVERYTHING&amp;vid=01CRU&amp;lang=en_US&amp;offset=0&amp;query=any,contains,991001566919702656","Catalog Record")</f>
        <v/>
      </c>
      <c r="AT2285">
        <f>HYPERLINK("http://www.worldcat.org/oclc/20354558","WorldCat Record")</f>
        <v/>
      </c>
      <c r="AU2285" t="inlineStr">
        <is>
          <t>350358989:eng</t>
        </is>
      </c>
      <c r="AV2285" t="inlineStr">
        <is>
          <t>20354558</t>
        </is>
      </c>
      <c r="AW2285" t="inlineStr">
        <is>
          <t>991001566919702656</t>
        </is>
      </c>
      <c r="AX2285" t="inlineStr">
        <is>
          <t>991001566919702656</t>
        </is>
      </c>
      <c r="AY2285" t="inlineStr">
        <is>
          <t>2270914100002656</t>
        </is>
      </c>
      <c r="AZ2285" t="inlineStr">
        <is>
          <t>BOOK</t>
        </is>
      </c>
      <c r="BB2285" t="inlineStr">
        <is>
          <t>9780813309422</t>
        </is>
      </c>
      <c r="BC2285" t="inlineStr">
        <is>
          <t>32285000868520</t>
        </is>
      </c>
      <c r="BD2285" t="inlineStr">
        <is>
          <t>893414322</t>
        </is>
      </c>
    </row>
    <row r="2286">
      <c r="A2286" t="inlineStr">
        <is>
          <t>No</t>
        </is>
      </c>
      <c r="B2286" t="inlineStr">
        <is>
          <t>E881 .C37 1992</t>
        </is>
      </c>
      <c r="C2286" t="inlineStr">
        <is>
          <t>0                      E  0881000C  37          1992</t>
        </is>
      </c>
      <c r="D2286" t="inlineStr">
        <is>
          <t>A search for enemies : America's alliances after the cold war / Ted Galen Carpenter.</t>
        </is>
      </c>
      <c r="F2286" t="inlineStr">
        <is>
          <t>No</t>
        </is>
      </c>
      <c r="G2286" t="inlineStr">
        <is>
          <t>1</t>
        </is>
      </c>
      <c r="H2286" t="inlineStr">
        <is>
          <t>No</t>
        </is>
      </c>
      <c r="I2286" t="inlineStr">
        <is>
          <t>No</t>
        </is>
      </c>
      <c r="J2286" t="inlineStr">
        <is>
          <t>0</t>
        </is>
      </c>
      <c r="K2286" t="inlineStr">
        <is>
          <t>Carpenter, Ted Galen.</t>
        </is>
      </c>
      <c r="L2286" t="inlineStr">
        <is>
          <t>Washington, D.C. : Cato Institute, c1992.</t>
        </is>
      </c>
      <c r="M2286" t="inlineStr">
        <is>
          <t>1992</t>
        </is>
      </c>
      <c r="O2286" t="inlineStr">
        <is>
          <t>eng</t>
        </is>
      </c>
      <c r="P2286" t="inlineStr">
        <is>
          <t>dcu</t>
        </is>
      </c>
      <c r="R2286" t="inlineStr">
        <is>
          <t xml:space="preserve">E  </t>
        </is>
      </c>
      <c r="S2286" t="n">
        <v>4</v>
      </c>
      <c r="T2286" t="n">
        <v>4</v>
      </c>
      <c r="U2286" t="inlineStr">
        <is>
          <t>1996-10-27</t>
        </is>
      </c>
      <c r="V2286" t="inlineStr">
        <is>
          <t>1996-10-27</t>
        </is>
      </c>
      <c r="W2286" t="inlineStr">
        <is>
          <t>1993-06-01</t>
        </is>
      </c>
      <c r="X2286" t="inlineStr">
        <is>
          <t>1993-06-01</t>
        </is>
      </c>
      <c r="Y2286" t="n">
        <v>427</v>
      </c>
      <c r="Z2286" t="n">
        <v>373</v>
      </c>
      <c r="AA2286" t="n">
        <v>380</v>
      </c>
      <c r="AB2286" t="n">
        <v>3</v>
      </c>
      <c r="AC2286" t="n">
        <v>3</v>
      </c>
      <c r="AD2286" t="n">
        <v>18</v>
      </c>
      <c r="AE2286" t="n">
        <v>18</v>
      </c>
      <c r="AF2286" t="n">
        <v>7</v>
      </c>
      <c r="AG2286" t="n">
        <v>7</v>
      </c>
      <c r="AH2286" t="n">
        <v>6</v>
      </c>
      <c r="AI2286" t="n">
        <v>6</v>
      </c>
      <c r="AJ2286" t="n">
        <v>7</v>
      </c>
      <c r="AK2286" t="n">
        <v>7</v>
      </c>
      <c r="AL2286" t="n">
        <v>2</v>
      </c>
      <c r="AM2286" t="n">
        <v>2</v>
      </c>
      <c r="AN2286" t="n">
        <v>0</v>
      </c>
      <c r="AO2286" t="n">
        <v>0</v>
      </c>
      <c r="AP2286" t="inlineStr">
        <is>
          <t>No</t>
        </is>
      </c>
      <c r="AQ2286" t="inlineStr">
        <is>
          <t>Yes</t>
        </is>
      </c>
      <c r="AR2286">
        <f>HYPERLINK("http://catalog.hathitrust.org/Record/002710446","HathiTrust Record")</f>
        <v/>
      </c>
      <c r="AS2286">
        <f>HYPERLINK("https://creighton-primo.hosted.exlibrisgroup.com/primo-explore/search?tab=default_tab&amp;search_scope=EVERYTHING&amp;vid=01CRU&amp;lang=en_US&amp;offset=0&amp;query=any,contains,991002094079702656","Catalog Record")</f>
        <v/>
      </c>
      <c r="AT2286">
        <f>HYPERLINK("http://www.worldcat.org/oclc/26854742","WorldCat Record")</f>
        <v/>
      </c>
      <c r="AU2286" t="inlineStr">
        <is>
          <t>29238317:eng</t>
        </is>
      </c>
      <c r="AV2286" t="inlineStr">
        <is>
          <t>26854742</t>
        </is>
      </c>
      <c r="AW2286" t="inlineStr">
        <is>
          <t>991002094079702656</t>
        </is>
      </c>
      <c r="AX2286" t="inlineStr">
        <is>
          <t>991002094079702656</t>
        </is>
      </c>
      <c r="AY2286" t="inlineStr">
        <is>
          <t>2268139400002656</t>
        </is>
      </c>
      <c r="AZ2286" t="inlineStr">
        <is>
          <t>BOOK</t>
        </is>
      </c>
      <c r="BB2286" t="inlineStr">
        <is>
          <t>9780932790958</t>
        </is>
      </c>
      <c r="BC2286" t="inlineStr">
        <is>
          <t>32285001583284</t>
        </is>
      </c>
      <c r="BD2286" t="inlineStr">
        <is>
          <t>893691208</t>
        </is>
      </c>
    </row>
    <row r="2287">
      <c r="A2287" t="inlineStr">
        <is>
          <t>No</t>
        </is>
      </c>
      <c r="B2287" t="inlineStr">
        <is>
          <t>E881 .C42 1992</t>
        </is>
      </c>
      <c r="C2287" t="inlineStr">
        <is>
          <t>0                      E  0881000C  42          1992</t>
        </is>
      </c>
      <c r="D2287" t="inlineStr">
        <is>
          <t>The consequences of the peace : the new internationalism and American foreign policy / James Chace.</t>
        </is>
      </c>
      <c r="F2287" t="inlineStr">
        <is>
          <t>No</t>
        </is>
      </c>
      <c r="G2287" t="inlineStr">
        <is>
          <t>1</t>
        </is>
      </c>
      <c r="H2287" t="inlineStr">
        <is>
          <t>No</t>
        </is>
      </c>
      <c r="I2287" t="inlineStr">
        <is>
          <t>No</t>
        </is>
      </c>
      <c r="J2287" t="inlineStr">
        <is>
          <t>0</t>
        </is>
      </c>
      <c r="K2287" t="inlineStr">
        <is>
          <t>Chace, James.</t>
        </is>
      </c>
      <c r="L2287" t="inlineStr">
        <is>
          <t>New York : Oxford University Press, 1992.</t>
        </is>
      </c>
      <c r="M2287" t="inlineStr">
        <is>
          <t>1992</t>
        </is>
      </c>
      <c r="O2287" t="inlineStr">
        <is>
          <t>eng</t>
        </is>
      </c>
      <c r="P2287" t="inlineStr">
        <is>
          <t>nyu</t>
        </is>
      </c>
      <c r="R2287" t="inlineStr">
        <is>
          <t xml:space="preserve">E  </t>
        </is>
      </c>
      <c r="S2287" t="n">
        <v>3</v>
      </c>
      <c r="T2287" t="n">
        <v>3</v>
      </c>
      <c r="U2287" t="inlineStr">
        <is>
          <t>1993-12-17</t>
        </is>
      </c>
      <c r="V2287" t="inlineStr">
        <is>
          <t>1993-12-17</t>
        </is>
      </c>
      <c r="W2287" t="inlineStr">
        <is>
          <t>1992-09-22</t>
        </is>
      </c>
      <c r="X2287" t="inlineStr">
        <is>
          <t>1992-09-22</t>
        </is>
      </c>
      <c r="Y2287" t="n">
        <v>731</v>
      </c>
      <c r="Z2287" t="n">
        <v>601</v>
      </c>
      <c r="AA2287" t="n">
        <v>616</v>
      </c>
      <c r="AB2287" t="n">
        <v>3</v>
      </c>
      <c r="AC2287" t="n">
        <v>3</v>
      </c>
      <c r="AD2287" t="n">
        <v>30</v>
      </c>
      <c r="AE2287" t="n">
        <v>30</v>
      </c>
      <c r="AF2287" t="n">
        <v>7</v>
      </c>
      <c r="AG2287" t="n">
        <v>7</v>
      </c>
      <c r="AH2287" t="n">
        <v>8</v>
      </c>
      <c r="AI2287" t="n">
        <v>8</v>
      </c>
      <c r="AJ2287" t="n">
        <v>17</v>
      </c>
      <c r="AK2287" t="n">
        <v>17</v>
      </c>
      <c r="AL2287" t="n">
        <v>2</v>
      </c>
      <c r="AM2287" t="n">
        <v>2</v>
      </c>
      <c r="AN2287" t="n">
        <v>3</v>
      </c>
      <c r="AO2287" t="n">
        <v>3</v>
      </c>
      <c r="AP2287" t="inlineStr">
        <is>
          <t>No</t>
        </is>
      </c>
      <c r="AQ2287" t="inlineStr">
        <is>
          <t>Yes</t>
        </is>
      </c>
      <c r="AR2287">
        <f>HYPERLINK("http://catalog.hathitrust.org/Record/002534114","HathiTrust Record")</f>
        <v/>
      </c>
      <c r="AS2287">
        <f>HYPERLINK("https://creighton-primo.hosted.exlibrisgroup.com/primo-explore/search?tab=default_tab&amp;search_scope=EVERYTHING&amp;vid=01CRU&amp;lang=en_US&amp;offset=0&amp;query=any,contains,991001942489702656","Catalog Record")</f>
        <v/>
      </c>
      <c r="AT2287">
        <f>HYPERLINK("http://www.worldcat.org/oclc/24543841","WorldCat Record")</f>
        <v/>
      </c>
      <c r="AU2287" t="inlineStr">
        <is>
          <t>328010:eng</t>
        </is>
      </c>
      <c r="AV2287" t="inlineStr">
        <is>
          <t>24543841</t>
        </is>
      </c>
      <c r="AW2287" t="inlineStr">
        <is>
          <t>991001942489702656</t>
        </is>
      </c>
      <c r="AX2287" t="inlineStr">
        <is>
          <t>991001942489702656</t>
        </is>
      </c>
      <c r="AY2287" t="inlineStr">
        <is>
          <t>2263069380002656</t>
        </is>
      </c>
      <c r="AZ2287" t="inlineStr">
        <is>
          <t>BOOK</t>
        </is>
      </c>
      <c r="BB2287" t="inlineStr">
        <is>
          <t>9780195074116</t>
        </is>
      </c>
      <c r="BC2287" t="inlineStr">
        <is>
          <t>32285001288538</t>
        </is>
      </c>
      <c r="BD2287" t="inlineStr">
        <is>
          <t>893791864</t>
        </is>
      </c>
    </row>
    <row r="2288">
      <c r="A2288" t="inlineStr">
        <is>
          <t>No</t>
        </is>
      </c>
      <c r="B2288" t="inlineStr">
        <is>
          <t>E881 .C45 1990</t>
        </is>
      </c>
      <c r="C2288" t="inlineStr">
        <is>
          <t>0                      E  0881000C  45          1990</t>
        </is>
      </c>
      <c r="D2288" t="inlineStr">
        <is>
          <t>Peril and promise : a commentary on America / John Chancellor.</t>
        </is>
      </c>
      <c r="F2288" t="inlineStr">
        <is>
          <t>No</t>
        </is>
      </c>
      <c r="G2288" t="inlineStr">
        <is>
          <t>1</t>
        </is>
      </c>
      <c r="H2288" t="inlineStr">
        <is>
          <t>No</t>
        </is>
      </c>
      <c r="I2288" t="inlineStr">
        <is>
          <t>No</t>
        </is>
      </c>
      <c r="J2288" t="inlineStr">
        <is>
          <t>0</t>
        </is>
      </c>
      <c r="K2288" t="inlineStr">
        <is>
          <t>Chancellor, John, 1927-1996.</t>
        </is>
      </c>
      <c r="L2288" t="inlineStr">
        <is>
          <t>New York : Harper &amp; Row, c1990.</t>
        </is>
      </c>
      <c r="M2288" t="inlineStr">
        <is>
          <t>1990</t>
        </is>
      </c>
      <c r="N2288" t="inlineStr">
        <is>
          <t>1st Trade ed.</t>
        </is>
      </c>
      <c r="O2288" t="inlineStr">
        <is>
          <t>eng</t>
        </is>
      </c>
      <c r="P2288" t="inlineStr">
        <is>
          <t>nyu</t>
        </is>
      </c>
      <c r="R2288" t="inlineStr">
        <is>
          <t xml:space="preserve">E  </t>
        </is>
      </c>
      <c r="S2288" t="n">
        <v>1</v>
      </c>
      <c r="T2288" t="n">
        <v>1</v>
      </c>
      <c r="U2288" t="inlineStr">
        <is>
          <t>1992-04-22</t>
        </is>
      </c>
      <c r="V2288" t="inlineStr">
        <is>
          <t>1992-04-22</t>
        </is>
      </c>
      <c r="W2288" t="inlineStr">
        <is>
          <t>1990-06-29</t>
        </is>
      </c>
      <c r="X2288" t="inlineStr">
        <is>
          <t>1990-06-29</t>
        </is>
      </c>
      <c r="Y2288" t="n">
        <v>1346</v>
      </c>
      <c r="Z2288" t="n">
        <v>1302</v>
      </c>
      <c r="AA2288" t="n">
        <v>1365</v>
      </c>
      <c r="AB2288" t="n">
        <v>9</v>
      </c>
      <c r="AC2288" t="n">
        <v>10</v>
      </c>
      <c r="AD2288" t="n">
        <v>24</v>
      </c>
      <c r="AE2288" t="n">
        <v>26</v>
      </c>
      <c r="AF2288" t="n">
        <v>7</v>
      </c>
      <c r="AG2288" t="n">
        <v>8</v>
      </c>
      <c r="AH2288" t="n">
        <v>5</v>
      </c>
      <c r="AI2288" t="n">
        <v>6</v>
      </c>
      <c r="AJ2288" t="n">
        <v>11</v>
      </c>
      <c r="AK2288" t="n">
        <v>11</v>
      </c>
      <c r="AL2288" t="n">
        <v>6</v>
      </c>
      <c r="AM2288" t="n">
        <v>7</v>
      </c>
      <c r="AN2288" t="n">
        <v>0</v>
      </c>
      <c r="AO2288" t="n">
        <v>0</v>
      </c>
      <c r="AP2288" t="inlineStr">
        <is>
          <t>No</t>
        </is>
      </c>
      <c r="AQ2288" t="inlineStr">
        <is>
          <t>Yes</t>
        </is>
      </c>
      <c r="AR2288">
        <f>HYPERLINK("http://catalog.hathitrust.org/Record/002054070","HathiTrust Record")</f>
        <v/>
      </c>
      <c r="AS2288">
        <f>HYPERLINK("https://creighton-primo.hosted.exlibrisgroup.com/primo-explore/search?tab=default_tab&amp;search_scope=EVERYTHING&amp;vid=01CRU&amp;lang=en_US&amp;offset=0&amp;query=any,contains,991001650929702656","Catalog Record")</f>
        <v/>
      </c>
      <c r="AT2288">
        <f>HYPERLINK("http://www.worldcat.org/oclc/21080789","WorldCat Record")</f>
        <v/>
      </c>
      <c r="AU2288" t="inlineStr">
        <is>
          <t>20718010:eng</t>
        </is>
      </c>
      <c r="AV2288" t="inlineStr">
        <is>
          <t>21080789</t>
        </is>
      </c>
      <c r="AW2288" t="inlineStr">
        <is>
          <t>991001650929702656</t>
        </is>
      </c>
      <c r="AX2288" t="inlineStr">
        <is>
          <t>991001650929702656</t>
        </is>
      </c>
      <c r="AY2288" t="inlineStr">
        <is>
          <t>2255534040002656</t>
        </is>
      </c>
      <c r="AZ2288" t="inlineStr">
        <is>
          <t>BOOK</t>
        </is>
      </c>
      <c r="BB2288" t="inlineStr">
        <is>
          <t>9780060163365</t>
        </is>
      </c>
      <c r="BC2288" t="inlineStr">
        <is>
          <t>32285000207067</t>
        </is>
      </c>
      <c r="BD2288" t="inlineStr">
        <is>
          <t>893420474</t>
        </is>
      </c>
    </row>
    <row r="2289">
      <c r="A2289" t="inlineStr">
        <is>
          <t>No</t>
        </is>
      </c>
      <c r="B2289" t="inlineStr">
        <is>
          <t>E881 .C48 1992</t>
        </is>
      </c>
      <c r="C2289" t="inlineStr">
        <is>
          <t>0                      E  0881000C  48          1992</t>
        </is>
      </c>
      <c r="D2289" t="inlineStr">
        <is>
          <t>Deterring democracy / Noam Chomsky ; with a new afterword.</t>
        </is>
      </c>
      <c r="F2289" t="inlineStr">
        <is>
          <t>No</t>
        </is>
      </c>
      <c r="G2289" t="inlineStr">
        <is>
          <t>1</t>
        </is>
      </c>
      <c r="H2289" t="inlineStr">
        <is>
          <t>No</t>
        </is>
      </c>
      <c r="I2289" t="inlineStr">
        <is>
          <t>No</t>
        </is>
      </c>
      <c r="J2289" t="inlineStr">
        <is>
          <t>0</t>
        </is>
      </c>
      <c r="K2289" t="inlineStr">
        <is>
          <t>Chomsky, Noam.</t>
        </is>
      </c>
      <c r="L2289" t="inlineStr">
        <is>
          <t>New York : Hill and Wang, 1992.</t>
        </is>
      </c>
      <c r="M2289" t="inlineStr">
        <is>
          <t>1992</t>
        </is>
      </c>
      <c r="N2289" t="inlineStr">
        <is>
          <t>Hill and Wang pbk. ed.</t>
        </is>
      </c>
      <c r="O2289" t="inlineStr">
        <is>
          <t>eng</t>
        </is>
      </c>
      <c r="P2289" t="inlineStr">
        <is>
          <t>nyu</t>
        </is>
      </c>
      <c r="R2289" t="inlineStr">
        <is>
          <t xml:space="preserve">E  </t>
        </is>
      </c>
      <c r="S2289" t="n">
        <v>10</v>
      </c>
      <c r="T2289" t="n">
        <v>10</v>
      </c>
      <c r="U2289" t="inlineStr">
        <is>
          <t>2004-07-23</t>
        </is>
      </c>
      <c r="V2289" t="inlineStr">
        <is>
          <t>2004-07-23</t>
        </is>
      </c>
      <c r="W2289" t="inlineStr">
        <is>
          <t>1997-05-09</t>
        </is>
      </c>
      <c r="X2289" t="inlineStr">
        <is>
          <t>1997-05-09</t>
        </is>
      </c>
      <c r="Y2289" t="n">
        <v>347</v>
      </c>
      <c r="Z2289" t="n">
        <v>285</v>
      </c>
      <c r="AA2289" t="n">
        <v>947</v>
      </c>
      <c r="AB2289" t="n">
        <v>1</v>
      </c>
      <c r="AC2289" t="n">
        <v>3</v>
      </c>
      <c r="AD2289" t="n">
        <v>3</v>
      </c>
      <c r="AE2289" t="n">
        <v>31</v>
      </c>
      <c r="AF2289" t="n">
        <v>1</v>
      </c>
      <c r="AG2289" t="n">
        <v>13</v>
      </c>
      <c r="AH2289" t="n">
        <v>0</v>
      </c>
      <c r="AI2289" t="n">
        <v>8</v>
      </c>
      <c r="AJ2289" t="n">
        <v>2</v>
      </c>
      <c r="AK2289" t="n">
        <v>16</v>
      </c>
      <c r="AL2289" t="n">
        <v>0</v>
      </c>
      <c r="AM2289" t="n">
        <v>2</v>
      </c>
      <c r="AN2289" t="n">
        <v>0</v>
      </c>
      <c r="AO2289" t="n">
        <v>0</v>
      </c>
      <c r="AP2289" t="inlineStr">
        <is>
          <t>No</t>
        </is>
      </c>
      <c r="AQ2289" t="inlineStr">
        <is>
          <t>No</t>
        </is>
      </c>
      <c r="AS2289">
        <f>HYPERLINK("https://creighton-primo.hosted.exlibrisgroup.com/primo-explore/search?tab=default_tab&amp;search_scope=EVERYTHING&amp;vid=01CRU&amp;lang=en_US&amp;offset=0&amp;query=any,contains,991001960339702656","Catalog Record")</f>
        <v/>
      </c>
      <c r="AT2289">
        <f>HYPERLINK("http://www.worldcat.org/oclc/24846676","WorldCat Record")</f>
        <v/>
      </c>
      <c r="AU2289" t="inlineStr">
        <is>
          <t>25015672:eng</t>
        </is>
      </c>
      <c r="AV2289" t="inlineStr">
        <is>
          <t>24846676</t>
        </is>
      </c>
      <c r="AW2289" t="inlineStr">
        <is>
          <t>991001960339702656</t>
        </is>
      </c>
      <c r="AX2289" t="inlineStr">
        <is>
          <t>991001960339702656</t>
        </is>
      </c>
      <c r="AY2289" t="inlineStr">
        <is>
          <t>2268975820002656</t>
        </is>
      </c>
      <c r="AZ2289" t="inlineStr">
        <is>
          <t>BOOK</t>
        </is>
      </c>
      <c r="BB2289" t="inlineStr">
        <is>
          <t>9780374523497</t>
        </is>
      </c>
      <c r="BC2289" t="inlineStr">
        <is>
          <t>32285002606456</t>
        </is>
      </c>
      <c r="BD2289" t="inlineStr">
        <is>
          <t>893238490</t>
        </is>
      </c>
    </row>
    <row r="2290">
      <c r="A2290" t="inlineStr">
        <is>
          <t>No</t>
        </is>
      </c>
      <c r="B2290" t="inlineStr">
        <is>
          <t>E881 .D84 1992</t>
        </is>
      </c>
      <c r="C2290" t="inlineStr">
        <is>
          <t>0                      E  0881000D  84          1992</t>
        </is>
      </c>
      <c r="D2290" t="inlineStr">
        <is>
          <t>Marching in place : the status quo presidency of George Bush / Michael Duffy and Dan Goodgame.</t>
        </is>
      </c>
      <c r="F2290" t="inlineStr">
        <is>
          <t>No</t>
        </is>
      </c>
      <c r="G2290" t="inlineStr">
        <is>
          <t>1</t>
        </is>
      </c>
      <c r="H2290" t="inlineStr">
        <is>
          <t>No</t>
        </is>
      </c>
      <c r="I2290" t="inlineStr">
        <is>
          <t>No</t>
        </is>
      </c>
      <c r="J2290" t="inlineStr">
        <is>
          <t>0</t>
        </is>
      </c>
      <c r="K2290" t="inlineStr">
        <is>
          <t>Duffy, Michael, 1958-</t>
        </is>
      </c>
      <c r="L2290" t="inlineStr">
        <is>
          <t>New York : Simon &amp; Schuster, c1992.</t>
        </is>
      </c>
      <c r="M2290" t="inlineStr">
        <is>
          <t>1992</t>
        </is>
      </c>
      <c r="O2290" t="inlineStr">
        <is>
          <t>eng</t>
        </is>
      </c>
      <c r="P2290" t="inlineStr">
        <is>
          <t>nyu</t>
        </is>
      </c>
      <c r="R2290" t="inlineStr">
        <is>
          <t xml:space="preserve">E  </t>
        </is>
      </c>
      <c r="S2290" t="n">
        <v>4</v>
      </c>
      <c r="T2290" t="n">
        <v>4</v>
      </c>
      <c r="U2290" t="inlineStr">
        <is>
          <t>1996-02-25</t>
        </is>
      </c>
      <c r="V2290" t="inlineStr">
        <is>
          <t>1996-02-25</t>
        </is>
      </c>
      <c r="W2290" t="inlineStr">
        <is>
          <t>1992-09-14</t>
        </is>
      </c>
      <c r="X2290" t="inlineStr">
        <is>
          <t>1992-09-14</t>
        </is>
      </c>
      <c r="Y2290" t="n">
        <v>907</v>
      </c>
      <c r="Z2290" t="n">
        <v>861</v>
      </c>
      <c r="AA2290" t="n">
        <v>868</v>
      </c>
      <c r="AB2290" t="n">
        <v>5</v>
      </c>
      <c r="AC2290" t="n">
        <v>5</v>
      </c>
      <c r="AD2290" t="n">
        <v>30</v>
      </c>
      <c r="AE2290" t="n">
        <v>30</v>
      </c>
      <c r="AF2290" t="n">
        <v>12</v>
      </c>
      <c r="AG2290" t="n">
        <v>12</v>
      </c>
      <c r="AH2290" t="n">
        <v>6</v>
      </c>
      <c r="AI2290" t="n">
        <v>6</v>
      </c>
      <c r="AJ2290" t="n">
        <v>16</v>
      </c>
      <c r="AK2290" t="n">
        <v>16</v>
      </c>
      <c r="AL2290" t="n">
        <v>4</v>
      </c>
      <c r="AM2290" t="n">
        <v>4</v>
      </c>
      <c r="AN2290" t="n">
        <v>0</v>
      </c>
      <c r="AO2290" t="n">
        <v>0</v>
      </c>
      <c r="AP2290" t="inlineStr">
        <is>
          <t>No</t>
        </is>
      </c>
      <c r="AQ2290" t="inlineStr">
        <is>
          <t>Yes</t>
        </is>
      </c>
      <c r="AR2290">
        <f>HYPERLINK("http://catalog.hathitrust.org/Record/002562503","HathiTrust Record")</f>
        <v/>
      </c>
      <c r="AS2290">
        <f>HYPERLINK("https://creighton-primo.hosted.exlibrisgroup.com/primo-explore/search?tab=default_tab&amp;search_scope=EVERYTHING&amp;vid=01CRU&amp;lang=en_US&amp;offset=0&amp;query=any,contains,991002036099702656","Catalog Record")</f>
        <v/>
      </c>
      <c r="AT2290">
        <f>HYPERLINK("http://www.worldcat.org/oclc/25964023","WorldCat Record")</f>
        <v/>
      </c>
      <c r="AU2290" t="inlineStr">
        <is>
          <t>368373843:eng</t>
        </is>
      </c>
      <c r="AV2290" t="inlineStr">
        <is>
          <t>25964023</t>
        </is>
      </c>
      <c r="AW2290" t="inlineStr">
        <is>
          <t>991002036099702656</t>
        </is>
      </c>
      <c r="AX2290" t="inlineStr">
        <is>
          <t>991002036099702656</t>
        </is>
      </c>
      <c r="AY2290" t="inlineStr">
        <is>
          <t>2260513020002656</t>
        </is>
      </c>
      <c r="AZ2290" t="inlineStr">
        <is>
          <t>BOOK</t>
        </is>
      </c>
      <c r="BB2290" t="inlineStr">
        <is>
          <t>9780671737207</t>
        </is>
      </c>
      <c r="BC2290" t="inlineStr">
        <is>
          <t>32285001287233</t>
        </is>
      </c>
      <c r="BD2290" t="inlineStr">
        <is>
          <t>893779346</t>
        </is>
      </c>
    </row>
    <row r="2291">
      <c r="A2291" t="inlineStr">
        <is>
          <t>No</t>
        </is>
      </c>
      <c r="B2291" t="inlineStr">
        <is>
          <t>E881 .F76 1993</t>
        </is>
      </c>
      <c r="C2291" t="inlineStr">
        <is>
          <t>0                      E  0881000F  76          1993</t>
        </is>
      </c>
      <c r="D2291" t="inlineStr">
        <is>
          <t>From globalism to regionalism : new perspectives on U.S. foreign and defense policies / edited by Patrick M. Cronin.</t>
        </is>
      </c>
      <c r="F2291" t="inlineStr">
        <is>
          <t>No</t>
        </is>
      </c>
      <c r="G2291" t="inlineStr">
        <is>
          <t>1</t>
        </is>
      </c>
      <c r="H2291" t="inlineStr">
        <is>
          <t>No</t>
        </is>
      </c>
      <c r="I2291" t="inlineStr">
        <is>
          <t>No</t>
        </is>
      </c>
      <c r="J2291" t="inlineStr">
        <is>
          <t>0</t>
        </is>
      </c>
      <c r="L2291" t="inlineStr">
        <is>
          <t>Washington, DC : National Defense University Press, 1993.</t>
        </is>
      </c>
      <c r="M2291" t="inlineStr">
        <is>
          <t>1993</t>
        </is>
      </c>
      <c r="O2291" t="inlineStr">
        <is>
          <t>eng</t>
        </is>
      </c>
      <c r="P2291" t="inlineStr">
        <is>
          <t>dcu</t>
        </is>
      </c>
      <c r="R2291" t="inlineStr">
        <is>
          <t xml:space="preserve">E  </t>
        </is>
      </c>
      <c r="S2291" t="n">
        <v>5</v>
      </c>
      <c r="T2291" t="n">
        <v>5</v>
      </c>
      <c r="U2291" t="inlineStr">
        <is>
          <t>1997-04-04</t>
        </is>
      </c>
      <c r="V2291" t="inlineStr">
        <is>
          <t>1997-04-04</t>
        </is>
      </c>
      <c r="W2291" t="inlineStr">
        <is>
          <t>1996-01-02</t>
        </is>
      </c>
      <c r="X2291" t="inlineStr">
        <is>
          <t>1996-01-02</t>
        </is>
      </c>
      <c r="Y2291" t="n">
        <v>268</v>
      </c>
      <c r="Z2291" t="n">
        <v>237</v>
      </c>
      <c r="AA2291" t="n">
        <v>379</v>
      </c>
      <c r="AB2291" t="n">
        <v>2</v>
      </c>
      <c r="AC2291" t="n">
        <v>3</v>
      </c>
      <c r="AD2291" t="n">
        <v>17</v>
      </c>
      <c r="AE2291" t="n">
        <v>20</v>
      </c>
      <c r="AF2291" t="n">
        <v>5</v>
      </c>
      <c r="AG2291" t="n">
        <v>6</v>
      </c>
      <c r="AH2291" t="n">
        <v>6</v>
      </c>
      <c r="AI2291" t="n">
        <v>6</v>
      </c>
      <c r="AJ2291" t="n">
        <v>13</v>
      </c>
      <c r="AK2291" t="n">
        <v>14</v>
      </c>
      <c r="AL2291" t="n">
        <v>1</v>
      </c>
      <c r="AM2291" t="n">
        <v>2</v>
      </c>
      <c r="AN2291" t="n">
        <v>0</v>
      </c>
      <c r="AO2291" t="n">
        <v>0</v>
      </c>
      <c r="AP2291" t="inlineStr">
        <is>
          <t>No</t>
        </is>
      </c>
      <c r="AQ2291" t="inlineStr">
        <is>
          <t>Yes</t>
        </is>
      </c>
      <c r="AR2291">
        <f>HYPERLINK("http://catalog.hathitrust.org/Record/102471804","HathiTrust Record")</f>
        <v/>
      </c>
      <c r="AS2291">
        <f>HYPERLINK("https://creighton-primo.hosted.exlibrisgroup.com/primo-explore/search?tab=default_tab&amp;search_scope=EVERYTHING&amp;vid=01CRU&amp;lang=en_US&amp;offset=0&amp;query=any,contains,991002132079702656","Catalog Record")</f>
        <v/>
      </c>
      <c r="AT2291">
        <f>HYPERLINK("http://www.worldcat.org/oclc/27336598","WorldCat Record")</f>
        <v/>
      </c>
      <c r="AU2291" t="inlineStr">
        <is>
          <t>55667765:eng</t>
        </is>
      </c>
      <c r="AV2291" t="inlineStr">
        <is>
          <t>27336598</t>
        </is>
      </c>
      <c r="AW2291" t="inlineStr">
        <is>
          <t>991002132079702656</t>
        </is>
      </c>
      <c r="AX2291" t="inlineStr">
        <is>
          <t>991002132079702656</t>
        </is>
      </c>
      <c r="AY2291" t="inlineStr">
        <is>
          <t>2272338800002656</t>
        </is>
      </c>
      <c r="AZ2291" t="inlineStr">
        <is>
          <t>BOOK</t>
        </is>
      </c>
      <c r="BC2291" t="inlineStr">
        <is>
          <t>32285002114105</t>
        </is>
      </c>
      <c r="BD2291" t="inlineStr">
        <is>
          <t>893597065</t>
        </is>
      </c>
    </row>
    <row r="2292">
      <c r="A2292" t="inlineStr">
        <is>
          <t>No</t>
        </is>
      </c>
      <c r="B2292" t="inlineStr">
        <is>
          <t>E881 .H33 1990</t>
        </is>
      </c>
      <c r="C2292" t="inlineStr">
        <is>
          <t>0                      E  0881000H  33          1990</t>
        </is>
      </c>
      <c r="D2292" t="inlineStr">
        <is>
          <t>Conflicts unending : the United States and regional disputes / Richard N. Haass.</t>
        </is>
      </c>
      <c r="F2292" t="inlineStr">
        <is>
          <t>No</t>
        </is>
      </c>
      <c r="G2292" t="inlineStr">
        <is>
          <t>1</t>
        </is>
      </c>
      <c r="H2292" t="inlineStr">
        <is>
          <t>No</t>
        </is>
      </c>
      <c r="I2292" t="inlineStr">
        <is>
          <t>No</t>
        </is>
      </c>
      <c r="J2292" t="inlineStr">
        <is>
          <t>0</t>
        </is>
      </c>
      <c r="K2292" t="inlineStr">
        <is>
          <t>Haass, Richard.</t>
        </is>
      </c>
      <c r="L2292" t="inlineStr">
        <is>
          <t>New Haven : Yale University Press, c1990.</t>
        </is>
      </c>
      <c r="M2292" t="inlineStr">
        <is>
          <t>1990</t>
        </is>
      </c>
      <c r="O2292" t="inlineStr">
        <is>
          <t>eng</t>
        </is>
      </c>
      <c r="P2292" t="inlineStr">
        <is>
          <t>ctu</t>
        </is>
      </c>
      <c r="R2292" t="inlineStr">
        <is>
          <t xml:space="preserve">E  </t>
        </is>
      </c>
      <c r="S2292" t="n">
        <v>3</v>
      </c>
      <c r="T2292" t="n">
        <v>3</v>
      </c>
      <c r="U2292" t="inlineStr">
        <is>
          <t>1993-04-25</t>
        </is>
      </c>
      <c r="V2292" t="inlineStr">
        <is>
          <t>1993-04-25</t>
        </is>
      </c>
      <c r="W2292" t="inlineStr">
        <is>
          <t>1991-04-03</t>
        </is>
      </c>
      <c r="X2292" t="inlineStr">
        <is>
          <t>1991-04-03</t>
        </is>
      </c>
      <c r="Y2292" t="n">
        <v>548</v>
      </c>
      <c r="Z2292" t="n">
        <v>436</v>
      </c>
      <c r="AA2292" t="n">
        <v>611</v>
      </c>
      <c r="AB2292" t="n">
        <v>3</v>
      </c>
      <c r="AC2292" t="n">
        <v>3</v>
      </c>
      <c r="AD2292" t="n">
        <v>22</v>
      </c>
      <c r="AE2292" t="n">
        <v>32</v>
      </c>
      <c r="AF2292" t="n">
        <v>5</v>
      </c>
      <c r="AG2292" t="n">
        <v>12</v>
      </c>
      <c r="AH2292" t="n">
        <v>4</v>
      </c>
      <c r="AI2292" t="n">
        <v>7</v>
      </c>
      <c r="AJ2292" t="n">
        <v>9</v>
      </c>
      <c r="AK2292" t="n">
        <v>12</v>
      </c>
      <c r="AL2292" t="n">
        <v>2</v>
      </c>
      <c r="AM2292" t="n">
        <v>2</v>
      </c>
      <c r="AN2292" t="n">
        <v>7</v>
      </c>
      <c r="AO2292" t="n">
        <v>7</v>
      </c>
      <c r="AP2292" t="inlineStr">
        <is>
          <t>No</t>
        </is>
      </c>
      <c r="AQ2292" t="inlineStr">
        <is>
          <t>No</t>
        </is>
      </c>
      <c r="AS2292">
        <f>HYPERLINK("https://creighton-primo.hosted.exlibrisgroup.com/primo-explore/search?tab=default_tab&amp;search_scope=EVERYTHING&amp;vid=01CRU&amp;lang=en_US&amp;offset=0&amp;query=any,contains,991001547949702656","Catalog Record")</f>
        <v/>
      </c>
      <c r="AT2292">
        <f>HYPERLINK("http://www.worldcat.org/oclc/20170797","WorldCat Record")</f>
        <v/>
      </c>
      <c r="AU2292" t="inlineStr">
        <is>
          <t>21441883:eng</t>
        </is>
      </c>
      <c r="AV2292" t="inlineStr">
        <is>
          <t>20170797</t>
        </is>
      </c>
      <c r="AW2292" t="inlineStr">
        <is>
          <t>991001547949702656</t>
        </is>
      </c>
      <c r="AX2292" t="inlineStr">
        <is>
          <t>991001547949702656</t>
        </is>
      </c>
      <c r="AY2292" t="inlineStr">
        <is>
          <t>2257580460002656</t>
        </is>
      </c>
      <c r="AZ2292" t="inlineStr">
        <is>
          <t>BOOK</t>
        </is>
      </c>
      <c r="BB2292" t="inlineStr">
        <is>
          <t>9780300045550</t>
        </is>
      </c>
      <c r="BC2292" t="inlineStr">
        <is>
          <t>32285000514876</t>
        </is>
      </c>
      <c r="BD2292" t="inlineStr">
        <is>
          <t>893503484</t>
        </is>
      </c>
    </row>
    <row r="2293">
      <c r="A2293" t="inlineStr">
        <is>
          <t>No</t>
        </is>
      </c>
      <c r="B2293" t="inlineStr">
        <is>
          <t>E881 .H46 1992</t>
        </is>
      </c>
      <c r="C2293" t="inlineStr">
        <is>
          <t>0                      E  0881000H  46          1992</t>
        </is>
      </c>
      <c r="D2293" t="inlineStr">
        <is>
          <t>The imperial temptation : the new world order and America's purpose / Robert W. Tucker, David C. Hendrickson.</t>
        </is>
      </c>
      <c r="F2293" t="inlineStr">
        <is>
          <t>No</t>
        </is>
      </c>
      <c r="G2293" t="inlineStr">
        <is>
          <t>1</t>
        </is>
      </c>
      <c r="H2293" t="inlineStr">
        <is>
          <t>No</t>
        </is>
      </c>
      <c r="I2293" t="inlineStr">
        <is>
          <t>No</t>
        </is>
      </c>
      <c r="J2293" t="inlineStr">
        <is>
          <t>0</t>
        </is>
      </c>
      <c r="K2293" t="inlineStr">
        <is>
          <t>Tucker, Robert W.</t>
        </is>
      </c>
      <c r="L2293" t="inlineStr">
        <is>
          <t>New York : Council on Foreign Relations Press, c1992.</t>
        </is>
      </c>
      <c r="M2293" t="inlineStr">
        <is>
          <t>1992</t>
        </is>
      </c>
      <c r="O2293" t="inlineStr">
        <is>
          <t>eng</t>
        </is>
      </c>
      <c r="P2293" t="inlineStr">
        <is>
          <t>nyu</t>
        </is>
      </c>
      <c r="R2293" t="inlineStr">
        <is>
          <t xml:space="preserve">E  </t>
        </is>
      </c>
      <c r="S2293" t="n">
        <v>8</v>
      </c>
      <c r="T2293" t="n">
        <v>8</v>
      </c>
      <c r="U2293" t="inlineStr">
        <is>
          <t>2003-01-30</t>
        </is>
      </c>
      <c r="V2293" t="inlineStr">
        <is>
          <t>2003-01-30</t>
        </is>
      </c>
      <c r="W2293" t="inlineStr">
        <is>
          <t>1992-08-31</t>
        </is>
      </c>
      <c r="X2293" t="inlineStr">
        <is>
          <t>1992-08-31</t>
        </is>
      </c>
      <c r="Y2293" t="n">
        <v>713</v>
      </c>
      <c r="Z2293" t="n">
        <v>573</v>
      </c>
      <c r="AA2293" t="n">
        <v>585</v>
      </c>
      <c r="AB2293" t="n">
        <v>3</v>
      </c>
      <c r="AC2293" t="n">
        <v>3</v>
      </c>
      <c r="AD2293" t="n">
        <v>27</v>
      </c>
      <c r="AE2293" t="n">
        <v>29</v>
      </c>
      <c r="AF2293" t="n">
        <v>10</v>
      </c>
      <c r="AG2293" t="n">
        <v>10</v>
      </c>
      <c r="AH2293" t="n">
        <v>9</v>
      </c>
      <c r="AI2293" t="n">
        <v>9</v>
      </c>
      <c r="AJ2293" t="n">
        <v>13</v>
      </c>
      <c r="AK2293" t="n">
        <v>13</v>
      </c>
      <c r="AL2293" t="n">
        <v>2</v>
      </c>
      <c r="AM2293" t="n">
        <v>2</v>
      </c>
      <c r="AN2293" t="n">
        <v>1</v>
      </c>
      <c r="AO2293" t="n">
        <v>3</v>
      </c>
      <c r="AP2293" t="inlineStr">
        <is>
          <t>No</t>
        </is>
      </c>
      <c r="AQ2293" t="inlineStr">
        <is>
          <t>No</t>
        </is>
      </c>
      <c r="AS2293">
        <f>HYPERLINK("https://creighton-primo.hosted.exlibrisgroup.com/primo-explore/search?tab=default_tab&amp;search_scope=EVERYTHING&amp;vid=01CRU&amp;lang=en_US&amp;offset=0&amp;query=any,contains,991001992079702656","Catalog Record")</f>
        <v/>
      </c>
      <c r="AT2293">
        <f>HYPERLINK("http://www.worldcat.org/oclc/25315811","WorldCat Record")</f>
        <v/>
      </c>
      <c r="AU2293" t="inlineStr">
        <is>
          <t>890263310:eng</t>
        </is>
      </c>
      <c r="AV2293" t="inlineStr">
        <is>
          <t>25315811</t>
        </is>
      </c>
      <c r="AW2293" t="inlineStr">
        <is>
          <t>991001992079702656</t>
        </is>
      </c>
      <c r="AX2293" t="inlineStr">
        <is>
          <t>991001992079702656</t>
        </is>
      </c>
      <c r="AY2293" t="inlineStr">
        <is>
          <t>2268896680002656</t>
        </is>
      </c>
      <c r="AZ2293" t="inlineStr">
        <is>
          <t>BOOK</t>
        </is>
      </c>
      <c r="BB2293" t="inlineStr">
        <is>
          <t>9780876091166</t>
        </is>
      </c>
      <c r="BC2293" t="inlineStr">
        <is>
          <t>32285001199941</t>
        </is>
      </c>
      <c r="BD2293" t="inlineStr">
        <is>
          <t>893791929</t>
        </is>
      </c>
    </row>
    <row r="2294">
      <c r="A2294" t="inlineStr">
        <is>
          <t>No</t>
        </is>
      </c>
      <c r="B2294" t="inlineStr">
        <is>
          <t>E881 .K65 1994</t>
        </is>
      </c>
      <c r="C2294" t="inlineStr">
        <is>
          <t>0                      E  0881000K  65          1994</t>
        </is>
      </c>
      <c r="D2294" t="inlineStr">
        <is>
          <t>White House daze : the unmaking of domestic policy in the Bush years / Charles Kolb.</t>
        </is>
      </c>
      <c r="F2294" t="inlineStr">
        <is>
          <t>No</t>
        </is>
      </c>
      <c r="G2294" t="inlineStr">
        <is>
          <t>1</t>
        </is>
      </c>
      <c r="H2294" t="inlineStr">
        <is>
          <t>No</t>
        </is>
      </c>
      <c r="I2294" t="inlineStr">
        <is>
          <t>No</t>
        </is>
      </c>
      <c r="J2294" t="inlineStr">
        <is>
          <t>0</t>
        </is>
      </c>
      <c r="K2294" t="inlineStr">
        <is>
          <t>Kolb, Charles.</t>
        </is>
      </c>
      <c r="L2294" t="inlineStr">
        <is>
          <t>New York : Free Press ; Toronto : Maxwell Macmillan Canada ; New York : Maxwell Macmillan International, c1994.</t>
        </is>
      </c>
      <c r="M2294" t="inlineStr">
        <is>
          <t>1994</t>
        </is>
      </c>
      <c r="O2294" t="inlineStr">
        <is>
          <t>eng</t>
        </is>
      </c>
      <c r="P2294" t="inlineStr">
        <is>
          <t>nyu</t>
        </is>
      </c>
      <c r="R2294" t="inlineStr">
        <is>
          <t xml:space="preserve">E  </t>
        </is>
      </c>
      <c r="S2294" t="n">
        <v>3</v>
      </c>
      <c r="T2294" t="n">
        <v>3</v>
      </c>
      <c r="U2294" t="inlineStr">
        <is>
          <t>1996-04-09</t>
        </is>
      </c>
      <c r="V2294" t="inlineStr">
        <is>
          <t>1996-04-09</t>
        </is>
      </c>
      <c r="W2294" t="inlineStr">
        <is>
          <t>1994-08-03</t>
        </is>
      </c>
      <c r="X2294" t="inlineStr">
        <is>
          <t>1994-08-03</t>
        </is>
      </c>
      <c r="Y2294" t="n">
        <v>580</v>
      </c>
      <c r="Z2294" t="n">
        <v>557</v>
      </c>
      <c r="AA2294" t="n">
        <v>577</v>
      </c>
      <c r="AB2294" t="n">
        <v>5</v>
      </c>
      <c r="AC2294" t="n">
        <v>5</v>
      </c>
      <c r="AD2294" t="n">
        <v>27</v>
      </c>
      <c r="AE2294" t="n">
        <v>27</v>
      </c>
      <c r="AF2294" t="n">
        <v>11</v>
      </c>
      <c r="AG2294" t="n">
        <v>11</v>
      </c>
      <c r="AH2294" t="n">
        <v>8</v>
      </c>
      <c r="AI2294" t="n">
        <v>8</v>
      </c>
      <c r="AJ2294" t="n">
        <v>10</v>
      </c>
      <c r="AK2294" t="n">
        <v>10</v>
      </c>
      <c r="AL2294" t="n">
        <v>4</v>
      </c>
      <c r="AM2294" t="n">
        <v>4</v>
      </c>
      <c r="AN2294" t="n">
        <v>1</v>
      </c>
      <c r="AO2294" t="n">
        <v>1</v>
      </c>
      <c r="AP2294" t="inlineStr">
        <is>
          <t>No</t>
        </is>
      </c>
      <c r="AQ2294" t="inlineStr">
        <is>
          <t>Yes</t>
        </is>
      </c>
      <c r="AR2294">
        <f>HYPERLINK("http://catalog.hathitrust.org/Record/002734784","HathiTrust Record")</f>
        <v/>
      </c>
      <c r="AS2294">
        <f>HYPERLINK("https://creighton-primo.hosted.exlibrisgroup.com/primo-explore/search?tab=default_tab&amp;search_scope=EVERYTHING&amp;vid=01CRU&amp;lang=en_US&amp;offset=0&amp;query=any,contains,991002238009702656","Catalog Record")</f>
        <v/>
      </c>
      <c r="AT2294">
        <f>HYPERLINK("http://www.worldcat.org/oclc/28854403","WorldCat Record")</f>
        <v/>
      </c>
      <c r="AU2294" t="inlineStr">
        <is>
          <t>197156297:eng</t>
        </is>
      </c>
      <c r="AV2294" t="inlineStr">
        <is>
          <t>28854403</t>
        </is>
      </c>
      <c r="AW2294" t="inlineStr">
        <is>
          <t>991002238009702656</t>
        </is>
      </c>
      <c r="AX2294" t="inlineStr">
        <is>
          <t>991002238009702656</t>
        </is>
      </c>
      <c r="AY2294" t="inlineStr">
        <is>
          <t>2263809010002656</t>
        </is>
      </c>
      <c r="AZ2294" t="inlineStr">
        <is>
          <t>BOOK</t>
        </is>
      </c>
      <c r="BB2294" t="inlineStr">
        <is>
          <t>9780029174951</t>
        </is>
      </c>
      <c r="BC2294" t="inlineStr">
        <is>
          <t>32285001941128</t>
        </is>
      </c>
      <c r="BD2294" t="inlineStr">
        <is>
          <t>893685126</t>
        </is>
      </c>
    </row>
    <row r="2295">
      <c r="A2295" t="inlineStr">
        <is>
          <t>No</t>
        </is>
      </c>
      <c r="B2295" t="inlineStr">
        <is>
          <t>E881 .N58 1991</t>
        </is>
      </c>
      <c r="C2295" t="inlineStr">
        <is>
          <t>0                      E  0881000N  58          1991</t>
        </is>
      </c>
      <c r="D2295" t="inlineStr">
        <is>
          <t>Paul H. Nitze on the future / edited by Kenneth W. Thompson and Steven L. Rearden.</t>
        </is>
      </c>
      <c r="F2295" t="inlineStr">
        <is>
          <t>No</t>
        </is>
      </c>
      <c r="G2295" t="inlineStr">
        <is>
          <t>1</t>
        </is>
      </c>
      <c r="H2295" t="inlineStr">
        <is>
          <t>No</t>
        </is>
      </c>
      <c r="I2295" t="inlineStr">
        <is>
          <t>No</t>
        </is>
      </c>
      <c r="J2295" t="inlineStr">
        <is>
          <t>0</t>
        </is>
      </c>
      <c r="K2295" t="inlineStr">
        <is>
          <t>Nitze, Paul Henry, 1907-2004.</t>
        </is>
      </c>
      <c r="L2295" t="inlineStr">
        <is>
          <t>Lanham, Md. : University Press of America ; [Charlottesville] : Miller Center, University of Virginia, c1991.</t>
        </is>
      </c>
      <c r="M2295" t="inlineStr">
        <is>
          <t>1991</t>
        </is>
      </c>
      <c r="O2295" t="inlineStr">
        <is>
          <t>eng</t>
        </is>
      </c>
      <c r="P2295" t="inlineStr">
        <is>
          <t>mdu</t>
        </is>
      </c>
      <c r="Q2295" t="inlineStr">
        <is>
          <t>W. Alton Jones Foundation series on arms control ; v. 18</t>
        </is>
      </c>
      <c r="R2295" t="inlineStr">
        <is>
          <t xml:space="preserve">E  </t>
        </is>
      </c>
      <c r="S2295" t="n">
        <v>4</v>
      </c>
      <c r="T2295" t="n">
        <v>4</v>
      </c>
      <c r="U2295" t="inlineStr">
        <is>
          <t>1993-10-13</t>
        </is>
      </c>
      <c r="V2295" t="inlineStr">
        <is>
          <t>1993-10-13</t>
        </is>
      </c>
      <c r="W2295" t="inlineStr">
        <is>
          <t>1992-06-11</t>
        </is>
      </c>
      <c r="X2295" t="inlineStr">
        <is>
          <t>1992-06-11</t>
        </is>
      </c>
      <c r="Y2295" t="n">
        <v>122</v>
      </c>
      <c r="Z2295" t="n">
        <v>105</v>
      </c>
      <c r="AA2295" t="n">
        <v>107</v>
      </c>
      <c r="AB2295" t="n">
        <v>1</v>
      </c>
      <c r="AC2295" t="n">
        <v>1</v>
      </c>
      <c r="AD2295" t="n">
        <v>2</v>
      </c>
      <c r="AE2295" t="n">
        <v>2</v>
      </c>
      <c r="AF2295" t="n">
        <v>1</v>
      </c>
      <c r="AG2295" t="n">
        <v>1</v>
      </c>
      <c r="AH2295" t="n">
        <v>0</v>
      </c>
      <c r="AI2295" t="n">
        <v>0</v>
      </c>
      <c r="AJ2295" t="n">
        <v>1</v>
      </c>
      <c r="AK2295" t="n">
        <v>1</v>
      </c>
      <c r="AL2295" t="n">
        <v>0</v>
      </c>
      <c r="AM2295" t="n">
        <v>0</v>
      </c>
      <c r="AN2295" t="n">
        <v>0</v>
      </c>
      <c r="AO2295" t="n">
        <v>0</v>
      </c>
      <c r="AP2295" t="inlineStr">
        <is>
          <t>No</t>
        </is>
      </c>
      <c r="AQ2295" t="inlineStr">
        <is>
          <t>Yes</t>
        </is>
      </c>
      <c r="AR2295">
        <f>HYPERLINK("http://catalog.hathitrust.org/Record/002559320","HathiTrust Record")</f>
        <v/>
      </c>
      <c r="AS2295">
        <f>HYPERLINK("https://creighton-primo.hosted.exlibrisgroup.com/primo-explore/search?tab=default_tab&amp;search_scope=EVERYTHING&amp;vid=01CRU&amp;lang=en_US&amp;offset=0&amp;query=any,contains,991001930769702656","Catalog Record")</f>
        <v/>
      </c>
      <c r="AT2295">
        <f>HYPERLINK("http://www.worldcat.org/oclc/24377430","WorldCat Record")</f>
        <v/>
      </c>
      <c r="AU2295" t="inlineStr">
        <is>
          <t>26775460:eng</t>
        </is>
      </c>
      <c r="AV2295" t="inlineStr">
        <is>
          <t>24377430</t>
        </is>
      </c>
      <c r="AW2295" t="inlineStr">
        <is>
          <t>991001930769702656</t>
        </is>
      </c>
      <c r="AX2295" t="inlineStr">
        <is>
          <t>991001930769702656</t>
        </is>
      </c>
      <c r="AY2295" t="inlineStr">
        <is>
          <t>2265741230002656</t>
        </is>
      </c>
      <c r="AZ2295" t="inlineStr">
        <is>
          <t>BOOK</t>
        </is>
      </c>
      <c r="BB2295" t="inlineStr">
        <is>
          <t>9780819184542</t>
        </is>
      </c>
      <c r="BC2295" t="inlineStr">
        <is>
          <t>32285001128304</t>
        </is>
      </c>
      <c r="BD2295" t="inlineStr">
        <is>
          <t>893497553</t>
        </is>
      </c>
    </row>
    <row r="2296">
      <c r="A2296" t="inlineStr">
        <is>
          <t>No</t>
        </is>
      </c>
      <c r="B2296" t="inlineStr">
        <is>
          <t>E881 .P29 1991</t>
        </is>
      </c>
      <c r="C2296" t="inlineStr">
        <is>
          <t>0                      E  0881000P  29          1991</t>
        </is>
      </c>
      <c r="D2296" t="inlineStr">
        <is>
          <t>The West European allies, the Third World, and U.S. foreign policy : post-cold war challenges / Richard J. Payne.</t>
        </is>
      </c>
      <c r="F2296" t="inlineStr">
        <is>
          <t>No</t>
        </is>
      </c>
      <c r="G2296" t="inlineStr">
        <is>
          <t>1</t>
        </is>
      </c>
      <c r="H2296" t="inlineStr">
        <is>
          <t>No</t>
        </is>
      </c>
      <c r="I2296" t="inlineStr">
        <is>
          <t>Yes</t>
        </is>
      </c>
      <c r="J2296" t="inlineStr">
        <is>
          <t>0</t>
        </is>
      </c>
      <c r="K2296" t="inlineStr">
        <is>
          <t>Payne, Richard J., 1949-</t>
        </is>
      </c>
      <c r="L2296" t="inlineStr">
        <is>
          <t>New York : Praeger, 1991.</t>
        </is>
      </c>
      <c r="M2296" t="inlineStr">
        <is>
          <t>1991</t>
        </is>
      </c>
      <c r="O2296" t="inlineStr">
        <is>
          <t>eng</t>
        </is>
      </c>
      <c r="P2296" t="inlineStr">
        <is>
          <t>nyu</t>
        </is>
      </c>
      <c r="R2296" t="inlineStr">
        <is>
          <t xml:space="preserve">E  </t>
        </is>
      </c>
      <c r="S2296" t="n">
        <v>10</v>
      </c>
      <c r="T2296" t="n">
        <v>10</v>
      </c>
      <c r="U2296" t="inlineStr">
        <is>
          <t>2002-04-15</t>
        </is>
      </c>
      <c r="V2296" t="inlineStr">
        <is>
          <t>2002-04-15</t>
        </is>
      </c>
      <c r="W2296" t="inlineStr">
        <is>
          <t>1992-02-10</t>
        </is>
      </c>
      <c r="X2296" t="inlineStr">
        <is>
          <t>1992-02-10</t>
        </is>
      </c>
      <c r="Y2296" t="n">
        <v>75</v>
      </c>
      <c r="Z2296" t="n">
        <v>60</v>
      </c>
      <c r="AA2296" t="n">
        <v>238</v>
      </c>
      <c r="AB2296" t="n">
        <v>1</v>
      </c>
      <c r="AC2296" t="n">
        <v>2</v>
      </c>
      <c r="AD2296" t="n">
        <v>2</v>
      </c>
      <c r="AE2296" t="n">
        <v>11</v>
      </c>
      <c r="AF2296" t="n">
        <v>2</v>
      </c>
      <c r="AG2296" t="n">
        <v>3</v>
      </c>
      <c r="AH2296" t="n">
        <v>0</v>
      </c>
      <c r="AI2296" t="n">
        <v>2</v>
      </c>
      <c r="AJ2296" t="n">
        <v>1</v>
      </c>
      <c r="AK2296" t="n">
        <v>8</v>
      </c>
      <c r="AL2296" t="n">
        <v>0</v>
      </c>
      <c r="AM2296" t="n">
        <v>1</v>
      </c>
      <c r="AN2296" t="n">
        <v>0</v>
      </c>
      <c r="AO2296" t="n">
        <v>0</v>
      </c>
      <c r="AP2296" t="inlineStr">
        <is>
          <t>No</t>
        </is>
      </c>
      <c r="AQ2296" t="inlineStr">
        <is>
          <t>Yes</t>
        </is>
      </c>
      <c r="AR2296">
        <f>HYPERLINK("http://catalog.hathitrust.org/Record/101934387","HathiTrust Record")</f>
        <v/>
      </c>
      <c r="AS2296">
        <f>HYPERLINK("https://creighton-primo.hosted.exlibrisgroup.com/primo-explore/search?tab=default_tab&amp;search_scope=EVERYTHING&amp;vid=01CRU&amp;lang=en_US&amp;offset=0&amp;query=any,contains,991001850299702656","Catalog Record")</f>
        <v/>
      </c>
      <c r="AT2296">
        <f>HYPERLINK("http://www.worldcat.org/oclc/23218743","WorldCat Record")</f>
        <v/>
      </c>
      <c r="AU2296" t="inlineStr">
        <is>
          <t>2567874:eng</t>
        </is>
      </c>
      <c r="AV2296" t="inlineStr">
        <is>
          <t>23218743</t>
        </is>
      </c>
      <c r="AW2296" t="inlineStr">
        <is>
          <t>991001850299702656</t>
        </is>
      </c>
      <c r="AX2296" t="inlineStr">
        <is>
          <t>991001850299702656</t>
        </is>
      </c>
      <c r="AY2296" t="inlineStr">
        <is>
          <t>2260263000002656</t>
        </is>
      </c>
      <c r="AZ2296" t="inlineStr">
        <is>
          <t>BOOK</t>
        </is>
      </c>
      <c r="BB2296" t="inlineStr">
        <is>
          <t>9780275936266</t>
        </is>
      </c>
      <c r="BC2296" t="inlineStr">
        <is>
          <t>32285000868975</t>
        </is>
      </c>
      <c r="BD2296" t="inlineStr">
        <is>
          <t>893522911</t>
        </is>
      </c>
    </row>
    <row r="2297">
      <c r="A2297" t="inlineStr">
        <is>
          <t>No</t>
        </is>
      </c>
      <c r="B2297" t="inlineStr">
        <is>
          <t>E881 .P29 1991b</t>
        </is>
      </c>
      <c r="C2297" t="inlineStr">
        <is>
          <t>0                      E  0881000P  29          1991b</t>
        </is>
      </c>
      <c r="D2297" t="inlineStr">
        <is>
          <t>The West European allies, the Third World, and U.S. foreign policy : post-Cold War challenges / Richard J. Payne.</t>
        </is>
      </c>
      <c r="F2297" t="inlineStr">
        <is>
          <t>No</t>
        </is>
      </c>
      <c r="G2297" t="inlineStr">
        <is>
          <t>1</t>
        </is>
      </c>
      <c r="H2297" t="inlineStr">
        <is>
          <t>No</t>
        </is>
      </c>
      <c r="I2297" t="inlineStr">
        <is>
          <t>Yes</t>
        </is>
      </c>
      <c r="J2297" t="inlineStr">
        <is>
          <t>0</t>
        </is>
      </c>
      <c r="K2297" t="inlineStr">
        <is>
          <t>Payne, Richard J., 1949-</t>
        </is>
      </c>
      <c r="L2297" t="inlineStr">
        <is>
          <t>New York : Greenwood Press, 1991.</t>
        </is>
      </c>
      <c r="M2297" t="inlineStr">
        <is>
          <t>1991</t>
        </is>
      </c>
      <c r="O2297" t="inlineStr">
        <is>
          <t>eng</t>
        </is>
      </c>
      <c r="P2297" t="inlineStr">
        <is>
          <t>nyu</t>
        </is>
      </c>
      <c r="Q2297" t="inlineStr">
        <is>
          <t>Contributions in political science, 0147-1066 ; no. 282</t>
        </is>
      </c>
      <c r="R2297" t="inlineStr">
        <is>
          <t xml:space="preserve">E  </t>
        </is>
      </c>
      <c r="S2297" t="n">
        <v>4</v>
      </c>
      <c r="T2297" t="n">
        <v>4</v>
      </c>
      <c r="U2297" t="inlineStr">
        <is>
          <t>2003-05-06</t>
        </is>
      </c>
      <c r="V2297" t="inlineStr">
        <is>
          <t>2003-05-06</t>
        </is>
      </c>
      <c r="W2297" t="inlineStr">
        <is>
          <t>1992-05-05</t>
        </is>
      </c>
      <c r="X2297" t="inlineStr">
        <is>
          <t>1992-05-05</t>
        </is>
      </c>
      <c r="Y2297" t="n">
        <v>227</v>
      </c>
      <c r="Z2297" t="n">
        <v>179</v>
      </c>
      <c r="AA2297" t="n">
        <v>238</v>
      </c>
      <c r="AB2297" t="n">
        <v>2</v>
      </c>
      <c r="AC2297" t="n">
        <v>2</v>
      </c>
      <c r="AD2297" t="n">
        <v>9</v>
      </c>
      <c r="AE2297" t="n">
        <v>11</v>
      </c>
      <c r="AF2297" t="n">
        <v>1</v>
      </c>
      <c r="AG2297" t="n">
        <v>3</v>
      </c>
      <c r="AH2297" t="n">
        <v>2</v>
      </c>
      <c r="AI2297" t="n">
        <v>2</v>
      </c>
      <c r="AJ2297" t="n">
        <v>7</v>
      </c>
      <c r="AK2297" t="n">
        <v>8</v>
      </c>
      <c r="AL2297" t="n">
        <v>1</v>
      </c>
      <c r="AM2297" t="n">
        <v>1</v>
      </c>
      <c r="AN2297" t="n">
        <v>0</v>
      </c>
      <c r="AO2297" t="n">
        <v>0</v>
      </c>
      <c r="AP2297" t="inlineStr">
        <is>
          <t>No</t>
        </is>
      </c>
      <c r="AQ2297" t="inlineStr">
        <is>
          <t>Yes</t>
        </is>
      </c>
      <c r="AR2297">
        <f>HYPERLINK("http://catalog.hathitrust.org/Record/002543207","HathiTrust Record")</f>
        <v/>
      </c>
      <c r="AS2297">
        <f>HYPERLINK("https://creighton-primo.hosted.exlibrisgroup.com/primo-explore/search?tab=default_tab&amp;search_scope=EVERYTHING&amp;vid=01CRU&amp;lang=en_US&amp;offset=0&amp;query=any,contains,991001853769702656","Catalog Record")</f>
        <v/>
      </c>
      <c r="AT2297">
        <f>HYPERLINK("http://www.worldcat.org/oclc/23254320","WorldCat Record")</f>
        <v/>
      </c>
      <c r="AU2297" t="inlineStr">
        <is>
          <t>2567874:eng</t>
        </is>
      </c>
      <c r="AV2297" t="inlineStr">
        <is>
          <t>23254320</t>
        </is>
      </c>
      <c r="AW2297" t="inlineStr">
        <is>
          <t>991001853769702656</t>
        </is>
      </c>
      <c r="AX2297" t="inlineStr">
        <is>
          <t>991001853769702656</t>
        </is>
      </c>
      <c r="AY2297" t="inlineStr">
        <is>
          <t>2266556910002656</t>
        </is>
      </c>
      <c r="AZ2297" t="inlineStr">
        <is>
          <t>BOOK</t>
        </is>
      </c>
      <c r="BB2297" t="inlineStr">
        <is>
          <t>9780313274602</t>
        </is>
      </c>
      <c r="BC2297" t="inlineStr">
        <is>
          <t>32285001038479</t>
        </is>
      </c>
      <c r="BD2297" t="inlineStr">
        <is>
          <t>893529287</t>
        </is>
      </c>
    </row>
    <row r="2298">
      <c r="A2298" t="inlineStr">
        <is>
          <t>No</t>
        </is>
      </c>
      <c r="B2298" t="inlineStr">
        <is>
          <t>E881 .P74 1989</t>
        </is>
      </c>
      <c r="C2298" t="inlineStr">
        <is>
          <t>0                      E  0881000P  74          1989</t>
        </is>
      </c>
      <c r="D2298" t="inlineStr">
        <is>
          <t>President Bush : the challenge ahead.</t>
        </is>
      </c>
      <c r="F2298" t="inlineStr">
        <is>
          <t>No</t>
        </is>
      </c>
      <c r="G2298" t="inlineStr">
        <is>
          <t>1</t>
        </is>
      </c>
      <c r="H2298" t="inlineStr">
        <is>
          <t>No</t>
        </is>
      </c>
      <c r="I2298" t="inlineStr">
        <is>
          <t>No</t>
        </is>
      </c>
      <c r="J2298" t="inlineStr">
        <is>
          <t>0</t>
        </is>
      </c>
      <c r="L2298" t="inlineStr">
        <is>
          <t>Washington, D.C. : Congressional Quarterly, c1989.</t>
        </is>
      </c>
      <c r="M2298" t="inlineStr">
        <is>
          <t>1989</t>
        </is>
      </c>
      <c r="O2298" t="inlineStr">
        <is>
          <t>eng</t>
        </is>
      </c>
      <c r="P2298" t="inlineStr">
        <is>
          <t>dcu</t>
        </is>
      </c>
      <c r="R2298" t="inlineStr">
        <is>
          <t xml:space="preserve">E  </t>
        </is>
      </c>
      <c r="S2298" t="n">
        <v>5</v>
      </c>
      <c r="T2298" t="n">
        <v>5</v>
      </c>
      <c r="U2298" t="inlineStr">
        <is>
          <t>1996-02-25</t>
        </is>
      </c>
      <c r="V2298" t="inlineStr">
        <is>
          <t>1996-02-25</t>
        </is>
      </c>
      <c r="W2298" t="inlineStr">
        <is>
          <t>1991-09-06</t>
        </is>
      </c>
      <c r="X2298" t="inlineStr">
        <is>
          <t>1991-09-06</t>
        </is>
      </c>
      <c r="Y2298" t="n">
        <v>450</v>
      </c>
      <c r="Z2298" t="n">
        <v>437</v>
      </c>
      <c r="AA2298" t="n">
        <v>445</v>
      </c>
      <c r="AB2298" t="n">
        <v>4</v>
      </c>
      <c r="AC2298" t="n">
        <v>4</v>
      </c>
      <c r="AD2298" t="n">
        <v>21</v>
      </c>
      <c r="AE2298" t="n">
        <v>21</v>
      </c>
      <c r="AF2298" t="n">
        <v>9</v>
      </c>
      <c r="AG2298" t="n">
        <v>9</v>
      </c>
      <c r="AH2298" t="n">
        <v>4</v>
      </c>
      <c r="AI2298" t="n">
        <v>4</v>
      </c>
      <c r="AJ2298" t="n">
        <v>11</v>
      </c>
      <c r="AK2298" t="n">
        <v>11</v>
      </c>
      <c r="AL2298" t="n">
        <v>3</v>
      </c>
      <c r="AM2298" t="n">
        <v>3</v>
      </c>
      <c r="AN2298" t="n">
        <v>1</v>
      </c>
      <c r="AO2298" t="n">
        <v>1</v>
      </c>
      <c r="AP2298" t="inlineStr">
        <is>
          <t>No</t>
        </is>
      </c>
      <c r="AQ2298" t="inlineStr">
        <is>
          <t>Yes</t>
        </is>
      </c>
      <c r="AR2298">
        <f>HYPERLINK("http://catalog.hathitrust.org/Record/001528338","HathiTrust Record")</f>
        <v/>
      </c>
      <c r="AS2298">
        <f>HYPERLINK("https://creighton-primo.hosted.exlibrisgroup.com/primo-explore/search?tab=default_tab&amp;search_scope=EVERYTHING&amp;vid=01CRU&amp;lang=en_US&amp;offset=0&amp;query=any,contains,991001463699702656","Catalog Record")</f>
        <v/>
      </c>
      <c r="AT2298">
        <f>HYPERLINK("http://www.worldcat.org/oclc/19458841","WorldCat Record")</f>
        <v/>
      </c>
      <c r="AU2298" t="inlineStr">
        <is>
          <t>21238323:eng</t>
        </is>
      </c>
      <c r="AV2298" t="inlineStr">
        <is>
          <t>19458841</t>
        </is>
      </c>
      <c r="AW2298" t="inlineStr">
        <is>
          <t>991001463699702656</t>
        </is>
      </c>
      <c r="AX2298" t="inlineStr">
        <is>
          <t>991001463699702656</t>
        </is>
      </c>
      <c r="AY2298" t="inlineStr">
        <is>
          <t>2271126260002656</t>
        </is>
      </c>
      <c r="AZ2298" t="inlineStr">
        <is>
          <t>BOOK</t>
        </is>
      </c>
      <c r="BB2298" t="inlineStr">
        <is>
          <t>9780871875129</t>
        </is>
      </c>
      <c r="BC2298" t="inlineStr">
        <is>
          <t>32285000702737</t>
        </is>
      </c>
      <c r="BD2298" t="inlineStr">
        <is>
          <t>893321984</t>
        </is>
      </c>
    </row>
    <row r="2299">
      <c r="A2299" t="inlineStr">
        <is>
          <t>No</t>
        </is>
      </c>
      <c r="B2299" t="inlineStr">
        <is>
          <t>E881 .S43 1990</t>
        </is>
      </c>
      <c r="C2299" t="inlineStr">
        <is>
          <t>0                      E  0881000S  43          1990</t>
        </is>
      </c>
      <c r="D2299" t="inlineStr">
        <is>
          <t>Sea-changes : American foreign policy in a world transformed / edited by Nicholas X. Rizopoulos.</t>
        </is>
      </c>
      <c r="F2299" t="inlineStr">
        <is>
          <t>No</t>
        </is>
      </c>
      <c r="G2299" t="inlineStr">
        <is>
          <t>1</t>
        </is>
      </c>
      <c r="H2299" t="inlineStr">
        <is>
          <t>No</t>
        </is>
      </c>
      <c r="I2299" t="inlineStr">
        <is>
          <t>No</t>
        </is>
      </c>
      <c r="J2299" t="inlineStr">
        <is>
          <t>0</t>
        </is>
      </c>
      <c r="L2299" t="inlineStr">
        <is>
          <t>New York : Council on Foreign Relations Press, c1990</t>
        </is>
      </c>
      <c r="M2299" t="inlineStr">
        <is>
          <t>1990</t>
        </is>
      </c>
      <c r="O2299" t="inlineStr">
        <is>
          <t>eng</t>
        </is>
      </c>
      <c r="P2299" t="inlineStr">
        <is>
          <t>nyu</t>
        </is>
      </c>
      <c r="R2299" t="inlineStr">
        <is>
          <t xml:space="preserve">E  </t>
        </is>
      </c>
      <c r="S2299" t="n">
        <v>3</v>
      </c>
      <c r="T2299" t="n">
        <v>3</v>
      </c>
      <c r="U2299" t="inlineStr">
        <is>
          <t>1993-04-25</t>
        </is>
      </c>
      <c r="V2299" t="inlineStr">
        <is>
          <t>1993-04-25</t>
        </is>
      </c>
      <c r="W2299" t="inlineStr">
        <is>
          <t>1991-04-04</t>
        </is>
      </c>
      <c r="X2299" t="inlineStr">
        <is>
          <t>1991-04-04</t>
        </is>
      </c>
      <c r="Y2299" t="n">
        <v>458</v>
      </c>
      <c r="Z2299" t="n">
        <v>373</v>
      </c>
      <c r="AA2299" t="n">
        <v>401</v>
      </c>
      <c r="AB2299" t="n">
        <v>3</v>
      </c>
      <c r="AC2299" t="n">
        <v>3</v>
      </c>
      <c r="AD2299" t="n">
        <v>17</v>
      </c>
      <c r="AE2299" t="n">
        <v>20</v>
      </c>
      <c r="AF2299" t="n">
        <v>6</v>
      </c>
      <c r="AG2299" t="n">
        <v>7</v>
      </c>
      <c r="AH2299" t="n">
        <v>7</v>
      </c>
      <c r="AI2299" t="n">
        <v>7</v>
      </c>
      <c r="AJ2299" t="n">
        <v>7</v>
      </c>
      <c r="AK2299" t="n">
        <v>7</v>
      </c>
      <c r="AL2299" t="n">
        <v>2</v>
      </c>
      <c r="AM2299" t="n">
        <v>2</v>
      </c>
      <c r="AN2299" t="n">
        <v>0</v>
      </c>
      <c r="AO2299" t="n">
        <v>2</v>
      </c>
      <c r="AP2299" t="inlineStr">
        <is>
          <t>No</t>
        </is>
      </c>
      <c r="AQ2299" t="inlineStr">
        <is>
          <t>Yes</t>
        </is>
      </c>
      <c r="AR2299">
        <f>HYPERLINK("http://catalog.hathitrust.org/Record/002432709","HathiTrust Record")</f>
        <v/>
      </c>
      <c r="AS2299">
        <f>HYPERLINK("https://creighton-primo.hosted.exlibrisgroup.com/primo-explore/search?tab=default_tab&amp;search_scope=EVERYTHING&amp;vid=01CRU&amp;lang=en_US&amp;offset=0&amp;query=any,contains,991001741889702656","Catalog Record")</f>
        <v/>
      </c>
      <c r="AT2299">
        <f>HYPERLINK("http://www.worldcat.org/oclc/22005520","WorldCat Record")</f>
        <v/>
      </c>
      <c r="AU2299" t="inlineStr">
        <is>
          <t>55359895:eng</t>
        </is>
      </c>
      <c r="AV2299" t="inlineStr">
        <is>
          <t>22005520</t>
        </is>
      </c>
      <c r="AW2299" t="inlineStr">
        <is>
          <t>991001741889702656</t>
        </is>
      </c>
      <c r="AX2299" t="inlineStr">
        <is>
          <t>991001741889702656</t>
        </is>
      </c>
      <c r="AY2299" t="inlineStr">
        <is>
          <t>2264337710002656</t>
        </is>
      </c>
      <c r="AZ2299" t="inlineStr">
        <is>
          <t>BOOK</t>
        </is>
      </c>
      <c r="BB2299" t="inlineStr">
        <is>
          <t>9780876090879</t>
        </is>
      </c>
      <c r="BC2299" t="inlineStr">
        <is>
          <t>32285000565571</t>
        </is>
      </c>
      <c r="BD2299" t="inlineStr">
        <is>
          <t>893898018</t>
        </is>
      </c>
    </row>
    <row r="2300">
      <c r="A2300" t="inlineStr">
        <is>
          <t>No</t>
        </is>
      </c>
      <c r="B2300" t="inlineStr">
        <is>
          <t>E881 .T54 1994</t>
        </is>
      </c>
      <c r="C2300" t="inlineStr">
        <is>
          <t>0                      E  0881000T  54          1994</t>
        </is>
      </c>
      <c r="D2300" t="inlineStr">
        <is>
          <t>The semi-sovereign presidency : the Bush administration's strategy for governing without Congress / Charles Tiefer.</t>
        </is>
      </c>
      <c r="F2300" t="inlineStr">
        <is>
          <t>No</t>
        </is>
      </c>
      <c r="G2300" t="inlineStr">
        <is>
          <t>1</t>
        </is>
      </c>
      <c r="H2300" t="inlineStr">
        <is>
          <t>No</t>
        </is>
      </c>
      <c r="I2300" t="inlineStr">
        <is>
          <t>No</t>
        </is>
      </c>
      <c r="J2300" t="inlineStr">
        <is>
          <t>0</t>
        </is>
      </c>
      <c r="K2300" t="inlineStr">
        <is>
          <t>Tiefer, Charles.</t>
        </is>
      </c>
      <c r="L2300" t="inlineStr">
        <is>
          <t>Boulder : Westview Press, 1994.</t>
        </is>
      </c>
      <c r="M2300" t="inlineStr">
        <is>
          <t>1994</t>
        </is>
      </c>
      <c r="O2300" t="inlineStr">
        <is>
          <t>eng</t>
        </is>
      </c>
      <c r="P2300" t="inlineStr">
        <is>
          <t>cou</t>
        </is>
      </c>
      <c r="Q2300" t="inlineStr">
        <is>
          <t>Transforming American politics series</t>
        </is>
      </c>
      <c r="R2300" t="inlineStr">
        <is>
          <t xml:space="preserve">E  </t>
        </is>
      </c>
      <c r="S2300" t="n">
        <v>4</v>
      </c>
      <c r="T2300" t="n">
        <v>4</v>
      </c>
      <c r="U2300" t="inlineStr">
        <is>
          <t>2000-04-27</t>
        </is>
      </c>
      <c r="V2300" t="inlineStr">
        <is>
          <t>2000-04-27</t>
        </is>
      </c>
      <c r="W2300" t="inlineStr">
        <is>
          <t>1994-05-17</t>
        </is>
      </c>
      <c r="X2300" t="inlineStr">
        <is>
          <t>1994-05-17</t>
        </is>
      </c>
      <c r="Y2300" t="n">
        <v>382</v>
      </c>
      <c r="Z2300" t="n">
        <v>333</v>
      </c>
      <c r="AA2300" t="n">
        <v>361</v>
      </c>
      <c r="AB2300" t="n">
        <v>3</v>
      </c>
      <c r="AC2300" t="n">
        <v>3</v>
      </c>
      <c r="AD2300" t="n">
        <v>14</v>
      </c>
      <c r="AE2300" t="n">
        <v>14</v>
      </c>
      <c r="AF2300" t="n">
        <v>3</v>
      </c>
      <c r="AG2300" t="n">
        <v>3</v>
      </c>
      <c r="AH2300" t="n">
        <v>4</v>
      </c>
      <c r="AI2300" t="n">
        <v>4</v>
      </c>
      <c r="AJ2300" t="n">
        <v>8</v>
      </c>
      <c r="AK2300" t="n">
        <v>8</v>
      </c>
      <c r="AL2300" t="n">
        <v>2</v>
      </c>
      <c r="AM2300" t="n">
        <v>2</v>
      </c>
      <c r="AN2300" t="n">
        <v>0</v>
      </c>
      <c r="AO2300" t="n">
        <v>0</v>
      </c>
      <c r="AP2300" t="inlineStr">
        <is>
          <t>No</t>
        </is>
      </c>
      <c r="AQ2300" t="inlineStr">
        <is>
          <t>Yes</t>
        </is>
      </c>
      <c r="AR2300">
        <f>HYPERLINK("http://catalog.hathitrust.org/Record/002804205","HathiTrust Record")</f>
        <v/>
      </c>
      <c r="AS2300">
        <f>HYPERLINK("https://creighton-primo.hosted.exlibrisgroup.com/primo-explore/search?tab=default_tab&amp;search_scope=EVERYTHING&amp;vid=01CRU&amp;lang=en_US&amp;offset=0&amp;query=any,contains,991002229649702656","Catalog Record")</f>
        <v/>
      </c>
      <c r="AT2300">
        <f>HYPERLINK("http://www.worldcat.org/oclc/28721235","WorldCat Record")</f>
        <v/>
      </c>
      <c r="AU2300" t="inlineStr">
        <is>
          <t>20977074:eng</t>
        </is>
      </c>
      <c r="AV2300" t="inlineStr">
        <is>
          <t>28721235</t>
        </is>
      </c>
      <c r="AW2300" t="inlineStr">
        <is>
          <t>991002229649702656</t>
        </is>
      </c>
      <c r="AX2300" t="inlineStr">
        <is>
          <t>991002229649702656</t>
        </is>
      </c>
      <c r="AY2300" t="inlineStr">
        <is>
          <t>2266173980002656</t>
        </is>
      </c>
      <c r="AZ2300" t="inlineStr">
        <is>
          <t>BOOK</t>
        </is>
      </c>
      <c r="BB2300" t="inlineStr">
        <is>
          <t>9780813319308</t>
        </is>
      </c>
      <c r="BC2300" t="inlineStr">
        <is>
          <t>32285001896520</t>
        </is>
      </c>
      <c r="BD2300" t="inlineStr">
        <is>
          <t>893341187</t>
        </is>
      </c>
    </row>
    <row r="2301">
      <c r="A2301" t="inlineStr">
        <is>
          <t>No</t>
        </is>
      </c>
      <c r="B2301" t="inlineStr">
        <is>
          <t>E881 .W55 1994</t>
        </is>
      </c>
      <c r="C2301" t="inlineStr">
        <is>
          <t>0                      E  0881000W  55          1994</t>
        </is>
      </c>
      <c r="D2301" t="inlineStr">
        <is>
          <t>The leveling wind : politics, the culture, and other news, 1990-1994 / George F. Will.</t>
        </is>
      </c>
      <c r="F2301" t="inlineStr">
        <is>
          <t>No</t>
        </is>
      </c>
      <c r="G2301" t="inlineStr">
        <is>
          <t>1</t>
        </is>
      </c>
      <c r="H2301" t="inlineStr">
        <is>
          <t>No</t>
        </is>
      </c>
      <c r="I2301" t="inlineStr">
        <is>
          <t>No</t>
        </is>
      </c>
      <c r="J2301" t="inlineStr">
        <is>
          <t>0</t>
        </is>
      </c>
      <c r="K2301" t="inlineStr">
        <is>
          <t>Will, George F.</t>
        </is>
      </c>
      <c r="L2301" t="inlineStr">
        <is>
          <t>New York : Viking, 1994.</t>
        </is>
      </c>
      <c r="M2301" t="inlineStr">
        <is>
          <t>1994</t>
        </is>
      </c>
      <c r="N2301" t="inlineStr">
        <is>
          <t>1st trade ed.</t>
        </is>
      </c>
      <c r="O2301" t="inlineStr">
        <is>
          <t>eng</t>
        </is>
      </c>
      <c r="P2301" t="inlineStr">
        <is>
          <t>nyu</t>
        </is>
      </c>
      <c r="R2301" t="inlineStr">
        <is>
          <t xml:space="preserve">E  </t>
        </is>
      </c>
      <c r="S2301" t="n">
        <v>7</v>
      </c>
      <c r="T2301" t="n">
        <v>7</v>
      </c>
      <c r="U2301" t="inlineStr">
        <is>
          <t>1997-04-29</t>
        </is>
      </c>
      <c r="V2301" t="inlineStr">
        <is>
          <t>1997-04-29</t>
        </is>
      </c>
      <c r="W2301" t="inlineStr">
        <is>
          <t>1995-01-10</t>
        </is>
      </c>
      <c r="X2301" t="inlineStr">
        <is>
          <t>1995-01-10</t>
        </is>
      </c>
      <c r="Y2301" t="n">
        <v>949</v>
      </c>
      <c r="Z2301" t="n">
        <v>909</v>
      </c>
      <c r="AA2301" t="n">
        <v>967</v>
      </c>
      <c r="AB2301" t="n">
        <v>4</v>
      </c>
      <c r="AC2301" t="n">
        <v>4</v>
      </c>
      <c r="AD2301" t="n">
        <v>30</v>
      </c>
      <c r="AE2301" t="n">
        <v>32</v>
      </c>
      <c r="AF2301" t="n">
        <v>12</v>
      </c>
      <c r="AG2301" t="n">
        <v>14</v>
      </c>
      <c r="AH2301" t="n">
        <v>8</v>
      </c>
      <c r="AI2301" t="n">
        <v>8</v>
      </c>
      <c r="AJ2301" t="n">
        <v>18</v>
      </c>
      <c r="AK2301" t="n">
        <v>19</v>
      </c>
      <c r="AL2301" t="n">
        <v>2</v>
      </c>
      <c r="AM2301" t="n">
        <v>2</v>
      </c>
      <c r="AN2301" t="n">
        <v>0</v>
      </c>
      <c r="AO2301" t="n">
        <v>0</v>
      </c>
      <c r="AP2301" t="inlineStr">
        <is>
          <t>No</t>
        </is>
      </c>
      <c r="AQ2301" t="inlineStr">
        <is>
          <t>Yes</t>
        </is>
      </c>
      <c r="AR2301">
        <f>HYPERLINK("http://catalog.hathitrust.org/Record/002908657","HathiTrust Record")</f>
        <v/>
      </c>
      <c r="AS2301">
        <f>HYPERLINK("https://creighton-primo.hosted.exlibrisgroup.com/primo-explore/search?tab=default_tab&amp;search_scope=EVERYTHING&amp;vid=01CRU&amp;lang=en_US&amp;offset=0&amp;query=any,contains,991002362589702656","Catalog Record")</f>
        <v/>
      </c>
      <c r="AT2301">
        <f>HYPERLINK("http://www.worldcat.org/oclc/30734126","WorldCat Record")</f>
        <v/>
      </c>
      <c r="AU2301" t="inlineStr">
        <is>
          <t>33078041:eng</t>
        </is>
      </c>
      <c r="AV2301" t="inlineStr">
        <is>
          <t>30734126</t>
        </is>
      </c>
      <c r="AW2301" t="inlineStr">
        <is>
          <t>991002362589702656</t>
        </is>
      </c>
      <c r="AX2301" t="inlineStr">
        <is>
          <t>991002362589702656</t>
        </is>
      </c>
      <c r="AY2301" t="inlineStr">
        <is>
          <t>2264413430002656</t>
        </is>
      </c>
      <c r="AZ2301" t="inlineStr">
        <is>
          <t>BOOK</t>
        </is>
      </c>
      <c r="BB2301" t="inlineStr">
        <is>
          <t>9780670860210</t>
        </is>
      </c>
      <c r="BC2301" t="inlineStr">
        <is>
          <t>32285001991776</t>
        </is>
      </c>
      <c r="BD2301" t="inlineStr">
        <is>
          <t>893245076</t>
        </is>
      </c>
    </row>
    <row r="2302">
      <c r="A2302" t="inlineStr">
        <is>
          <t>No</t>
        </is>
      </c>
      <c r="B2302" t="inlineStr">
        <is>
          <t>E883.B87 A3 1994</t>
        </is>
      </c>
      <c r="C2302" t="inlineStr">
        <is>
          <t>0                      E  0883000B  87                 A  3           1994</t>
        </is>
      </c>
      <c r="D2302" t="inlineStr">
        <is>
          <t>Barbara Bush : a memoir / Barbara Bush.</t>
        </is>
      </c>
      <c r="F2302" t="inlineStr">
        <is>
          <t>No</t>
        </is>
      </c>
      <c r="G2302" t="inlineStr">
        <is>
          <t>1</t>
        </is>
      </c>
      <c r="H2302" t="inlineStr">
        <is>
          <t>No</t>
        </is>
      </c>
      <c r="I2302" t="inlineStr">
        <is>
          <t>No</t>
        </is>
      </c>
      <c r="J2302" t="inlineStr">
        <is>
          <t>0</t>
        </is>
      </c>
      <c r="K2302" t="inlineStr">
        <is>
          <t>Bush, Barbara, 1925-2018.</t>
        </is>
      </c>
      <c r="L2302" t="inlineStr">
        <is>
          <t>New York : Scribner's Sons, c1994.</t>
        </is>
      </c>
      <c r="M2302" t="inlineStr">
        <is>
          <t>1994</t>
        </is>
      </c>
      <c r="O2302" t="inlineStr">
        <is>
          <t>eng</t>
        </is>
      </c>
      <c r="P2302" t="inlineStr">
        <is>
          <t>nyu</t>
        </is>
      </c>
      <c r="R2302" t="inlineStr">
        <is>
          <t xml:space="preserve">E  </t>
        </is>
      </c>
      <c r="S2302" t="n">
        <v>1</v>
      </c>
      <c r="T2302" t="n">
        <v>1</v>
      </c>
      <c r="U2302" t="inlineStr">
        <is>
          <t>1996-02-25</t>
        </is>
      </c>
      <c r="V2302" t="inlineStr">
        <is>
          <t>1996-02-25</t>
        </is>
      </c>
      <c r="W2302" t="inlineStr">
        <is>
          <t>1995-01-09</t>
        </is>
      </c>
      <c r="X2302" t="inlineStr">
        <is>
          <t>1995-01-09</t>
        </is>
      </c>
      <c r="Y2302" t="n">
        <v>2953</v>
      </c>
      <c r="Z2302" t="n">
        <v>2844</v>
      </c>
      <c r="AA2302" t="n">
        <v>3099</v>
      </c>
      <c r="AB2302" t="n">
        <v>39</v>
      </c>
      <c r="AC2302" t="n">
        <v>40</v>
      </c>
      <c r="AD2302" t="n">
        <v>33</v>
      </c>
      <c r="AE2302" t="n">
        <v>34</v>
      </c>
      <c r="AF2302" t="n">
        <v>15</v>
      </c>
      <c r="AG2302" t="n">
        <v>15</v>
      </c>
      <c r="AH2302" t="n">
        <v>4</v>
      </c>
      <c r="AI2302" t="n">
        <v>5</v>
      </c>
      <c r="AJ2302" t="n">
        <v>12</v>
      </c>
      <c r="AK2302" t="n">
        <v>12</v>
      </c>
      <c r="AL2302" t="n">
        <v>8</v>
      </c>
      <c r="AM2302" t="n">
        <v>8</v>
      </c>
      <c r="AN2302" t="n">
        <v>0</v>
      </c>
      <c r="AO2302" t="n">
        <v>0</v>
      </c>
      <c r="AP2302" t="inlineStr">
        <is>
          <t>No</t>
        </is>
      </c>
      <c r="AQ2302" t="inlineStr">
        <is>
          <t>Yes</t>
        </is>
      </c>
      <c r="AR2302">
        <f>HYPERLINK("http://catalog.hathitrust.org/Record/002887244","HathiTrust Record")</f>
        <v/>
      </c>
      <c r="AS2302">
        <f>HYPERLINK("https://creighton-primo.hosted.exlibrisgroup.com/primo-explore/search?tab=default_tab&amp;search_scope=EVERYTHING&amp;vid=01CRU&amp;lang=en_US&amp;offset=0&amp;query=any,contains,991002332259702656","Catalog Record")</f>
        <v/>
      </c>
      <c r="AT2302">
        <f>HYPERLINK("http://www.worldcat.org/oclc/30356182","WorldCat Record")</f>
        <v/>
      </c>
      <c r="AU2302" t="inlineStr">
        <is>
          <t>11102650:eng</t>
        </is>
      </c>
      <c r="AV2302" t="inlineStr">
        <is>
          <t>30356182</t>
        </is>
      </c>
      <c r="AW2302" t="inlineStr">
        <is>
          <t>991002332259702656</t>
        </is>
      </c>
      <c r="AX2302" t="inlineStr">
        <is>
          <t>991002332259702656</t>
        </is>
      </c>
      <c r="AY2302" t="inlineStr">
        <is>
          <t>2255426080002656</t>
        </is>
      </c>
      <c r="AZ2302" t="inlineStr">
        <is>
          <t>BOOK</t>
        </is>
      </c>
      <c r="BB2302" t="inlineStr">
        <is>
          <t>9780025196353</t>
        </is>
      </c>
      <c r="BC2302" t="inlineStr">
        <is>
          <t>32285001991396</t>
        </is>
      </c>
      <c r="BD2302" t="inlineStr">
        <is>
          <t>893316695</t>
        </is>
      </c>
    </row>
    <row r="2303">
      <c r="A2303" t="inlineStr">
        <is>
          <t>No</t>
        </is>
      </c>
      <c r="B2303" t="inlineStr">
        <is>
          <t>E883.B87 B87 2003</t>
        </is>
      </c>
      <c r="C2303" t="inlineStr">
        <is>
          <t>0                      E  0883000B  87                 B  87          2003</t>
        </is>
      </c>
      <c r="D2303" t="inlineStr">
        <is>
          <t>Reflections : life after the White House / Barbara Bush.</t>
        </is>
      </c>
      <c r="F2303" t="inlineStr">
        <is>
          <t>No</t>
        </is>
      </c>
      <c r="G2303" t="inlineStr">
        <is>
          <t>1</t>
        </is>
      </c>
      <c r="H2303" t="inlineStr">
        <is>
          <t>No</t>
        </is>
      </c>
      <c r="I2303" t="inlineStr">
        <is>
          <t>No</t>
        </is>
      </c>
      <c r="J2303" t="inlineStr">
        <is>
          <t>0</t>
        </is>
      </c>
      <c r="K2303" t="inlineStr">
        <is>
          <t>Bush, Barbara, 1925-2018.</t>
        </is>
      </c>
      <c r="L2303" t="inlineStr">
        <is>
          <t>New York : Scribner, c2003.</t>
        </is>
      </c>
      <c r="M2303" t="inlineStr">
        <is>
          <t>2003</t>
        </is>
      </c>
      <c r="O2303" t="inlineStr">
        <is>
          <t>eng</t>
        </is>
      </c>
      <c r="P2303" t="inlineStr">
        <is>
          <t>nyu</t>
        </is>
      </c>
      <c r="R2303" t="inlineStr">
        <is>
          <t xml:space="preserve">E  </t>
        </is>
      </c>
      <c r="S2303" t="n">
        <v>1</v>
      </c>
      <c r="T2303" t="n">
        <v>1</v>
      </c>
      <c r="U2303" t="inlineStr">
        <is>
          <t>2003-12-01</t>
        </is>
      </c>
      <c r="V2303" t="inlineStr">
        <is>
          <t>2003-12-01</t>
        </is>
      </c>
      <c r="W2303" t="inlineStr">
        <is>
          <t>2003-12-01</t>
        </is>
      </c>
      <c r="X2303" t="inlineStr">
        <is>
          <t>2003-12-01</t>
        </is>
      </c>
      <c r="Y2303" t="n">
        <v>1804</v>
      </c>
      <c r="Z2303" t="n">
        <v>1757</v>
      </c>
      <c r="AA2303" t="n">
        <v>2020</v>
      </c>
      <c r="AB2303" t="n">
        <v>28</v>
      </c>
      <c r="AC2303" t="n">
        <v>32</v>
      </c>
      <c r="AD2303" t="n">
        <v>15</v>
      </c>
      <c r="AE2303" t="n">
        <v>16</v>
      </c>
      <c r="AF2303" t="n">
        <v>6</v>
      </c>
      <c r="AG2303" t="n">
        <v>7</v>
      </c>
      <c r="AH2303" t="n">
        <v>2</v>
      </c>
      <c r="AI2303" t="n">
        <v>2</v>
      </c>
      <c r="AJ2303" t="n">
        <v>9</v>
      </c>
      <c r="AK2303" t="n">
        <v>10</v>
      </c>
      <c r="AL2303" t="n">
        <v>1</v>
      </c>
      <c r="AM2303" t="n">
        <v>1</v>
      </c>
      <c r="AN2303" t="n">
        <v>0</v>
      </c>
      <c r="AO2303" t="n">
        <v>0</v>
      </c>
      <c r="AP2303" t="inlineStr">
        <is>
          <t>No</t>
        </is>
      </c>
      <c r="AQ2303" t="inlineStr">
        <is>
          <t>Yes</t>
        </is>
      </c>
      <c r="AR2303">
        <f>HYPERLINK("http://catalog.hathitrust.org/Record/004346047","HathiTrust Record")</f>
        <v/>
      </c>
      <c r="AS2303">
        <f>HYPERLINK("https://creighton-primo.hosted.exlibrisgroup.com/primo-explore/search?tab=default_tab&amp;search_scope=EVERYTHING&amp;vid=01CRU&amp;lang=en_US&amp;offset=0&amp;query=any,contains,991004193469702656","Catalog Record")</f>
        <v/>
      </c>
      <c r="AT2303">
        <f>HYPERLINK("http://www.worldcat.org/oclc/52464601","WorldCat Record")</f>
        <v/>
      </c>
      <c r="AU2303" t="inlineStr">
        <is>
          <t>741047:eng</t>
        </is>
      </c>
      <c r="AV2303" t="inlineStr">
        <is>
          <t>52464601</t>
        </is>
      </c>
      <c r="AW2303" t="inlineStr">
        <is>
          <t>991004193469702656</t>
        </is>
      </c>
      <c r="AX2303" t="inlineStr">
        <is>
          <t>991004193469702656</t>
        </is>
      </c>
      <c r="AY2303" t="inlineStr">
        <is>
          <t>2254722680002656</t>
        </is>
      </c>
      <c r="AZ2303" t="inlineStr">
        <is>
          <t>BOOK</t>
        </is>
      </c>
      <c r="BB2303" t="inlineStr">
        <is>
          <t>9780743223591</t>
        </is>
      </c>
      <c r="BC2303" t="inlineStr">
        <is>
          <t>32285004843206</t>
        </is>
      </c>
      <c r="BD2303" t="inlineStr">
        <is>
          <t>893318910</t>
        </is>
      </c>
    </row>
    <row r="2304">
      <c r="A2304" t="inlineStr">
        <is>
          <t>No</t>
        </is>
      </c>
      <c r="B2304" t="inlineStr">
        <is>
          <t>E884 .C55 1992</t>
        </is>
      </c>
      <c r="C2304" t="inlineStr">
        <is>
          <t>0                      E  0884000C  55          1992</t>
        </is>
      </c>
      <c r="D2304" t="inlineStr">
        <is>
          <t>Putting people first : how we can all change America / Bill Clinton, Al Gore.</t>
        </is>
      </c>
      <c r="F2304" t="inlineStr">
        <is>
          <t>No</t>
        </is>
      </c>
      <c r="G2304" t="inlineStr">
        <is>
          <t>1</t>
        </is>
      </c>
      <c r="H2304" t="inlineStr">
        <is>
          <t>No</t>
        </is>
      </c>
      <c r="I2304" t="inlineStr">
        <is>
          <t>No</t>
        </is>
      </c>
      <c r="J2304" t="inlineStr">
        <is>
          <t>0</t>
        </is>
      </c>
      <c r="K2304" t="inlineStr">
        <is>
          <t>Clinton, Bill, 1946-</t>
        </is>
      </c>
      <c r="L2304" t="inlineStr">
        <is>
          <t>New York : Times Books, c1992.</t>
        </is>
      </c>
      <c r="M2304" t="inlineStr">
        <is>
          <t>1992</t>
        </is>
      </c>
      <c r="N2304" t="inlineStr">
        <is>
          <t>1st ed.</t>
        </is>
      </c>
      <c r="O2304" t="inlineStr">
        <is>
          <t>eng</t>
        </is>
      </c>
      <c r="P2304" t="inlineStr">
        <is>
          <t>nyu</t>
        </is>
      </c>
      <c r="R2304" t="inlineStr">
        <is>
          <t xml:space="preserve">E  </t>
        </is>
      </c>
      <c r="S2304" t="n">
        <v>6</v>
      </c>
      <c r="T2304" t="n">
        <v>6</v>
      </c>
      <c r="U2304" t="inlineStr">
        <is>
          <t>2001-11-28</t>
        </is>
      </c>
      <c r="V2304" t="inlineStr">
        <is>
          <t>2001-11-28</t>
        </is>
      </c>
      <c r="W2304" t="inlineStr">
        <is>
          <t>1993-12-22</t>
        </is>
      </c>
      <c r="X2304" t="inlineStr">
        <is>
          <t>1993-12-22</t>
        </is>
      </c>
      <c r="Y2304" t="n">
        <v>1185</v>
      </c>
      <c r="Z2304" t="n">
        <v>1082</v>
      </c>
      <c r="AA2304" t="n">
        <v>1099</v>
      </c>
      <c r="AB2304" t="n">
        <v>7</v>
      </c>
      <c r="AC2304" t="n">
        <v>7</v>
      </c>
      <c r="AD2304" t="n">
        <v>30</v>
      </c>
      <c r="AE2304" t="n">
        <v>32</v>
      </c>
      <c r="AF2304" t="n">
        <v>10</v>
      </c>
      <c r="AG2304" t="n">
        <v>11</v>
      </c>
      <c r="AH2304" t="n">
        <v>7</v>
      </c>
      <c r="AI2304" t="n">
        <v>8</v>
      </c>
      <c r="AJ2304" t="n">
        <v>14</v>
      </c>
      <c r="AK2304" t="n">
        <v>14</v>
      </c>
      <c r="AL2304" t="n">
        <v>4</v>
      </c>
      <c r="AM2304" t="n">
        <v>4</v>
      </c>
      <c r="AN2304" t="n">
        <v>1</v>
      </c>
      <c r="AO2304" t="n">
        <v>1</v>
      </c>
      <c r="AP2304" t="inlineStr">
        <is>
          <t>No</t>
        </is>
      </c>
      <c r="AQ2304" t="inlineStr">
        <is>
          <t>Yes</t>
        </is>
      </c>
      <c r="AR2304">
        <f>HYPERLINK("http://catalog.hathitrust.org/Record/002595688","HathiTrust Record")</f>
        <v/>
      </c>
      <c r="AS2304">
        <f>HYPERLINK("https://creighton-primo.hosted.exlibrisgroup.com/primo-explore/search?tab=default_tab&amp;search_scope=EVERYTHING&amp;vid=01CRU&amp;lang=en_US&amp;offset=0&amp;query=any,contains,991002075949702656","Catalog Record")</f>
        <v/>
      </c>
      <c r="AT2304">
        <f>HYPERLINK("http://www.worldcat.org/oclc/26622171","WorldCat Record")</f>
        <v/>
      </c>
      <c r="AU2304" t="inlineStr">
        <is>
          <t>28946938:eng</t>
        </is>
      </c>
      <c r="AV2304" t="inlineStr">
        <is>
          <t>26622171</t>
        </is>
      </c>
      <c r="AW2304" t="inlineStr">
        <is>
          <t>991002075949702656</t>
        </is>
      </c>
      <c r="AX2304" t="inlineStr">
        <is>
          <t>991002075949702656</t>
        </is>
      </c>
      <c r="AY2304" t="inlineStr">
        <is>
          <t>2255816900002656</t>
        </is>
      </c>
      <c r="AZ2304" t="inlineStr">
        <is>
          <t>BOOK</t>
        </is>
      </c>
      <c r="BB2304" t="inlineStr">
        <is>
          <t>9780812921939</t>
        </is>
      </c>
      <c r="BC2304" t="inlineStr">
        <is>
          <t>32285001817310</t>
        </is>
      </c>
      <c r="BD2304" t="inlineStr">
        <is>
          <t>893510262</t>
        </is>
      </c>
    </row>
    <row r="2305">
      <c r="A2305" t="inlineStr">
        <is>
          <t>No</t>
        </is>
      </c>
      <c r="B2305" t="inlineStr">
        <is>
          <t>E884 .G47 1993</t>
        </is>
      </c>
      <c r="C2305" t="inlineStr">
        <is>
          <t>0                      E  0884000G  47          1993</t>
        </is>
      </c>
      <c r="D2305" t="inlineStr">
        <is>
          <t>Mad as hell : revolt at the ballot box, 1992 / Jack W. Germond, Jules Witcover.</t>
        </is>
      </c>
      <c r="F2305" t="inlineStr">
        <is>
          <t>No</t>
        </is>
      </c>
      <c r="G2305" t="inlineStr">
        <is>
          <t>1</t>
        </is>
      </c>
      <c r="H2305" t="inlineStr">
        <is>
          <t>No</t>
        </is>
      </c>
      <c r="I2305" t="inlineStr">
        <is>
          <t>No</t>
        </is>
      </c>
      <c r="J2305" t="inlineStr">
        <is>
          <t>0</t>
        </is>
      </c>
      <c r="K2305" t="inlineStr">
        <is>
          <t>Germond, Jack W. (Jack Worthen), 1928-2013.</t>
        </is>
      </c>
      <c r="L2305" t="inlineStr">
        <is>
          <t>New York, NY : Warner Books, c1993.</t>
        </is>
      </c>
      <c r="M2305" t="inlineStr">
        <is>
          <t>1993</t>
        </is>
      </c>
      <c r="O2305" t="inlineStr">
        <is>
          <t>eng</t>
        </is>
      </c>
      <c r="P2305" t="inlineStr">
        <is>
          <t>nyu</t>
        </is>
      </c>
      <c r="R2305" t="inlineStr">
        <is>
          <t xml:space="preserve">E  </t>
        </is>
      </c>
      <c r="S2305" t="n">
        <v>3</v>
      </c>
      <c r="T2305" t="n">
        <v>3</v>
      </c>
      <c r="U2305" t="inlineStr">
        <is>
          <t>1995-03-03</t>
        </is>
      </c>
      <c r="V2305" t="inlineStr">
        <is>
          <t>1995-03-03</t>
        </is>
      </c>
      <c r="W2305" t="inlineStr">
        <is>
          <t>1995-02-07</t>
        </is>
      </c>
      <c r="X2305" t="inlineStr">
        <is>
          <t>1995-02-07</t>
        </is>
      </c>
      <c r="Y2305" t="n">
        <v>813</v>
      </c>
      <c r="Z2305" t="n">
        <v>781</v>
      </c>
      <c r="AA2305" t="n">
        <v>785</v>
      </c>
      <c r="AB2305" t="n">
        <v>5</v>
      </c>
      <c r="AC2305" t="n">
        <v>5</v>
      </c>
      <c r="AD2305" t="n">
        <v>19</v>
      </c>
      <c r="AE2305" t="n">
        <v>19</v>
      </c>
      <c r="AF2305" t="n">
        <v>8</v>
      </c>
      <c r="AG2305" t="n">
        <v>8</v>
      </c>
      <c r="AH2305" t="n">
        <v>4</v>
      </c>
      <c r="AI2305" t="n">
        <v>4</v>
      </c>
      <c r="AJ2305" t="n">
        <v>9</v>
      </c>
      <c r="AK2305" t="n">
        <v>9</v>
      </c>
      <c r="AL2305" t="n">
        <v>3</v>
      </c>
      <c r="AM2305" t="n">
        <v>3</v>
      </c>
      <c r="AN2305" t="n">
        <v>0</v>
      </c>
      <c r="AO2305" t="n">
        <v>0</v>
      </c>
      <c r="AP2305" t="inlineStr">
        <is>
          <t>No</t>
        </is>
      </c>
      <c r="AQ2305" t="inlineStr">
        <is>
          <t>No</t>
        </is>
      </c>
      <c r="AS2305">
        <f>HYPERLINK("https://creighton-primo.hosted.exlibrisgroup.com/primo-explore/search?tab=default_tab&amp;search_scope=EVERYTHING&amp;vid=01CRU&amp;lang=en_US&amp;offset=0&amp;query=any,contains,991002123669702656","Catalog Record")</f>
        <v/>
      </c>
      <c r="AT2305">
        <f>HYPERLINK("http://www.worldcat.org/oclc/27188033","WorldCat Record")</f>
        <v/>
      </c>
      <c r="AU2305" t="inlineStr">
        <is>
          <t>17275888:eng</t>
        </is>
      </c>
      <c r="AV2305" t="inlineStr">
        <is>
          <t>27188033</t>
        </is>
      </c>
      <c r="AW2305" t="inlineStr">
        <is>
          <t>991002123669702656</t>
        </is>
      </c>
      <c r="AX2305" t="inlineStr">
        <is>
          <t>991002123669702656</t>
        </is>
      </c>
      <c r="AY2305" t="inlineStr">
        <is>
          <t>2272554700002656</t>
        </is>
      </c>
      <c r="AZ2305" t="inlineStr">
        <is>
          <t>BOOK</t>
        </is>
      </c>
      <c r="BB2305" t="inlineStr">
        <is>
          <t>9780446516501</t>
        </is>
      </c>
      <c r="BC2305" t="inlineStr">
        <is>
          <t>32285002005048</t>
        </is>
      </c>
      <c r="BD2305" t="inlineStr">
        <is>
          <t>893721293</t>
        </is>
      </c>
    </row>
    <row r="2306">
      <c r="A2306" t="inlineStr">
        <is>
          <t>No</t>
        </is>
      </c>
      <c r="B2306" t="inlineStr">
        <is>
          <t>E884 .H64 1994</t>
        </is>
      </c>
      <c r="C2306" t="inlineStr">
        <is>
          <t>0                      E  0884000H  64          1994</t>
        </is>
      </c>
      <c r="D2306" t="inlineStr">
        <is>
          <t>The Bill Clinton story : winning the presidency / John Hohenberg.</t>
        </is>
      </c>
      <c r="F2306" t="inlineStr">
        <is>
          <t>No</t>
        </is>
      </c>
      <c r="G2306" t="inlineStr">
        <is>
          <t>1</t>
        </is>
      </c>
      <c r="H2306" t="inlineStr">
        <is>
          <t>No</t>
        </is>
      </c>
      <c r="I2306" t="inlineStr">
        <is>
          <t>No</t>
        </is>
      </c>
      <c r="J2306" t="inlineStr">
        <is>
          <t>0</t>
        </is>
      </c>
      <c r="K2306" t="inlineStr">
        <is>
          <t>Hohenberg, John.</t>
        </is>
      </c>
      <c r="L2306" t="inlineStr">
        <is>
          <t>[Syracuse, N.Y.] : Syracuse University Press, 1994.</t>
        </is>
      </c>
      <c r="M2306" t="inlineStr">
        <is>
          <t>1994</t>
        </is>
      </c>
      <c r="N2306" t="inlineStr">
        <is>
          <t>1st ed.</t>
        </is>
      </c>
      <c r="O2306" t="inlineStr">
        <is>
          <t>eng</t>
        </is>
      </c>
      <c r="P2306" t="inlineStr">
        <is>
          <t>nyu</t>
        </is>
      </c>
      <c r="R2306" t="inlineStr">
        <is>
          <t xml:space="preserve">E  </t>
        </is>
      </c>
      <c r="S2306" t="n">
        <v>2</v>
      </c>
      <c r="T2306" t="n">
        <v>2</v>
      </c>
      <c r="U2306" t="inlineStr">
        <is>
          <t>2001-11-28</t>
        </is>
      </c>
      <c r="V2306" t="inlineStr">
        <is>
          <t>2001-11-28</t>
        </is>
      </c>
      <c r="W2306" t="inlineStr">
        <is>
          <t>1996-01-17</t>
        </is>
      </c>
      <c r="X2306" t="inlineStr">
        <is>
          <t>1996-01-17</t>
        </is>
      </c>
      <c r="Y2306" t="n">
        <v>554</v>
      </c>
      <c r="Z2306" t="n">
        <v>503</v>
      </c>
      <c r="AA2306" t="n">
        <v>505</v>
      </c>
      <c r="AB2306" t="n">
        <v>2</v>
      </c>
      <c r="AC2306" t="n">
        <v>2</v>
      </c>
      <c r="AD2306" t="n">
        <v>18</v>
      </c>
      <c r="AE2306" t="n">
        <v>18</v>
      </c>
      <c r="AF2306" t="n">
        <v>8</v>
      </c>
      <c r="AG2306" t="n">
        <v>8</v>
      </c>
      <c r="AH2306" t="n">
        <v>3</v>
      </c>
      <c r="AI2306" t="n">
        <v>3</v>
      </c>
      <c r="AJ2306" t="n">
        <v>10</v>
      </c>
      <c r="AK2306" t="n">
        <v>10</v>
      </c>
      <c r="AL2306" t="n">
        <v>1</v>
      </c>
      <c r="AM2306" t="n">
        <v>1</v>
      </c>
      <c r="AN2306" t="n">
        <v>3</v>
      </c>
      <c r="AO2306" t="n">
        <v>3</v>
      </c>
      <c r="AP2306" t="inlineStr">
        <is>
          <t>No</t>
        </is>
      </c>
      <c r="AQ2306" t="inlineStr">
        <is>
          <t>Yes</t>
        </is>
      </c>
      <c r="AR2306">
        <f>HYPERLINK("http://catalog.hathitrust.org/Record/002818165","HathiTrust Record")</f>
        <v/>
      </c>
      <c r="AS2306">
        <f>HYPERLINK("https://creighton-primo.hosted.exlibrisgroup.com/primo-explore/search?tab=default_tab&amp;search_scope=EVERYTHING&amp;vid=01CRU&amp;lang=en_US&amp;offset=0&amp;query=any,contains,991002279249702656","Catalog Record")</f>
        <v/>
      </c>
      <c r="AT2306">
        <f>HYPERLINK("http://www.worldcat.org/oclc/29563761","WorldCat Record")</f>
        <v/>
      </c>
      <c r="AU2306" t="inlineStr">
        <is>
          <t>31356620:eng</t>
        </is>
      </c>
      <c r="AV2306" t="inlineStr">
        <is>
          <t>29563761</t>
        </is>
      </c>
      <c r="AW2306" t="inlineStr">
        <is>
          <t>991002279249702656</t>
        </is>
      </c>
      <c r="AX2306" t="inlineStr">
        <is>
          <t>991002279249702656</t>
        </is>
      </c>
      <c r="AY2306" t="inlineStr">
        <is>
          <t>2263578050002656</t>
        </is>
      </c>
      <c r="AZ2306" t="inlineStr">
        <is>
          <t>BOOK</t>
        </is>
      </c>
      <c r="BB2306" t="inlineStr">
        <is>
          <t>9780815602842</t>
        </is>
      </c>
      <c r="BC2306" t="inlineStr">
        <is>
          <t>32285002119021</t>
        </is>
      </c>
      <c r="BD2306" t="inlineStr">
        <is>
          <t>893232773</t>
        </is>
      </c>
    </row>
    <row r="2307">
      <c r="A2307" t="inlineStr">
        <is>
          <t>No</t>
        </is>
      </c>
      <c r="B2307" t="inlineStr">
        <is>
          <t>E884 .M38 1994</t>
        </is>
      </c>
      <c r="C2307" t="inlineStr">
        <is>
          <t>0                      E  0884000M  38          1994</t>
        </is>
      </c>
      <c r="D2307" t="inlineStr">
        <is>
          <t>All's fair : love, war, and running for president / Mary Matalin and James Carville, with Peter Knobler.</t>
        </is>
      </c>
      <c r="F2307" t="inlineStr">
        <is>
          <t>No</t>
        </is>
      </c>
      <c r="G2307" t="inlineStr">
        <is>
          <t>1</t>
        </is>
      </c>
      <c r="H2307" t="inlineStr">
        <is>
          <t>No</t>
        </is>
      </c>
      <c r="I2307" t="inlineStr">
        <is>
          <t>No</t>
        </is>
      </c>
      <c r="J2307" t="inlineStr">
        <is>
          <t>0</t>
        </is>
      </c>
      <c r="K2307" t="inlineStr">
        <is>
          <t>Matalin, Mary.</t>
        </is>
      </c>
      <c r="L2307" t="inlineStr">
        <is>
          <t>New York : Random House : Simon &amp; Schuster, c1994.</t>
        </is>
      </c>
      <c r="M2307" t="inlineStr">
        <is>
          <t>1994</t>
        </is>
      </c>
      <c r="N2307" t="inlineStr">
        <is>
          <t>1st trade ed.</t>
        </is>
      </c>
      <c r="O2307" t="inlineStr">
        <is>
          <t>eng</t>
        </is>
      </c>
      <c r="P2307" t="inlineStr">
        <is>
          <t>nyu</t>
        </is>
      </c>
      <c r="R2307" t="inlineStr">
        <is>
          <t xml:space="preserve">E  </t>
        </is>
      </c>
      <c r="S2307" t="n">
        <v>10</v>
      </c>
      <c r="T2307" t="n">
        <v>10</v>
      </c>
      <c r="U2307" t="inlineStr">
        <is>
          <t>1998-11-25</t>
        </is>
      </c>
      <c r="V2307" t="inlineStr">
        <is>
          <t>1998-11-25</t>
        </is>
      </c>
      <c r="W2307" t="inlineStr">
        <is>
          <t>1994-12-13</t>
        </is>
      </c>
      <c r="X2307" t="inlineStr">
        <is>
          <t>1994-12-13</t>
        </is>
      </c>
      <c r="Y2307" t="n">
        <v>1326</v>
      </c>
      <c r="Z2307" t="n">
        <v>1284</v>
      </c>
      <c r="AA2307" t="n">
        <v>1399</v>
      </c>
      <c r="AB2307" t="n">
        <v>9</v>
      </c>
      <c r="AC2307" t="n">
        <v>10</v>
      </c>
      <c r="AD2307" t="n">
        <v>29</v>
      </c>
      <c r="AE2307" t="n">
        <v>31</v>
      </c>
      <c r="AF2307" t="n">
        <v>11</v>
      </c>
      <c r="AG2307" t="n">
        <v>12</v>
      </c>
      <c r="AH2307" t="n">
        <v>7</v>
      </c>
      <c r="AI2307" t="n">
        <v>7</v>
      </c>
      <c r="AJ2307" t="n">
        <v>15</v>
      </c>
      <c r="AK2307" t="n">
        <v>17</v>
      </c>
      <c r="AL2307" t="n">
        <v>3</v>
      </c>
      <c r="AM2307" t="n">
        <v>3</v>
      </c>
      <c r="AN2307" t="n">
        <v>1</v>
      </c>
      <c r="AO2307" t="n">
        <v>1</v>
      </c>
      <c r="AP2307" t="inlineStr">
        <is>
          <t>No</t>
        </is>
      </c>
      <c r="AQ2307" t="inlineStr">
        <is>
          <t>Yes</t>
        </is>
      </c>
      <c r="AR2307">
        <f>HYPERLINK("http://catalog.hathitrust.org/Record/002893813","HathiTrust Record")</f>
        <v/>
      </c>
      <c r="AS2307">
        <f>HYPERLINK("https://creighton-primo.hosted.exlibrisgroup.com/primo-explore/search?tab=default_tab&amp;search_scope=EVERYTHING&amp;vid=01CRU&amp;lang=en_US&amp;offset=0&amp;query=any,contains,991002324049702656","Catalog Record")</f>
        <v/>
      </c>
      <c r="AT2307">
        <f>HYPERLINK("http://www.worldcat.org/oclc/30154378","WorldCat Record")</f>
        <v/>
      </c>
      <c r="AU2307" t="inlineStr">
        <is>
          <t>31933308:eng</t>
        </is>
      </c>
      <c r="AV2307" t="inlineStr">
        <is>
          <t>30154378</t>
        </is>
      </c>
      <c r="AW2307" t="inlineStr">
        <is>
          <t>991002324049702656</t>
        </is>
      </c>
      <c r="AX2307" t="inlineStr">
        <is>
          <t>991002324049702656</t>
        </is>
      </c>
      <c r="AY2307" t="inlineStr">
        <is>
          <t>2271210800002656</t>
        </is>
      </c>
      <c r="AZ2307" t="inlineStr">
        <is>
          <t>BOOK</t>
        </is>
      </c>
      <c r="BB2307" t="inlineStr">
        <is>
          <t>9780679431039</t>
        </is>
      </c>
      <c r="BC2307" t="inlineStr">
        <is>
          <t>32285001976934</t>
        </is>
      </c>
      <c r="BD2307" t="inlineStr">
        <is>
          <t>893245031</t>
        </is>
      </c>
    </row>
    <row r="2308">
      <c r="A2308" t="inlineStr">
        <is>
          <t>No</t>
        </is>
      </c>
      <c r="B2308" t="inlineStr">
        <is>
          <t>E885 .B49 1994</t>
        </is>
      </c>
      <c r="C2308" t="inlineStr">
        <is>
          <t>0                      E  0885000B  49          1994</t>
        </is>
      </c>
      <c r="D2308" t="inlineStr">
        <is>
          <t>Beyond the beltway : engaging the public in U.S. foreign policy / Daniel Yankelovich and I.M. Destler, editors.</t>
        </is>
      </c>
      <c r="F2308" t="inlineStr">
        <is>
          <t>No</t>
        </is>
      </c>
      <c r="G2308" t="inlineStr">
        <is>
          <t>1</t>
        </is>
      </c>
      <c r="H2308" t="inlineStr">
        <is>
          <t>No</t>
        </is>
      </c>
      <c r="I2308" t="inlineStr">
        <is>
          <t>No</t>
        </is>
      </c>
      <c r="J2308" t="inlineStr">
        <is>
          <t>0</t>
        </is>
      </c>
      <c r="L2308" t="inlineStr">
        <is>
          <t>New York : W.W. Norton, c1994.</t>
        </is>
      </c>
      <c r="M2308" t="inlineStr">
        <is>
          <t>1994</t>
        </is>
      </c>
      <c r="N2308" t="inlineStr">
        <is>
          <t>1st ed.</t>
        </is>
      </c>
      <c r="O2308" t="inlineStr">
        <is>
          <t>eng</t>
        </is>
      </c>
      <c r="P2308" t="inlineStr">
        <is>
          <t>nyu</t>
        </is>
      </c>
      <c r="R2308" t="inlineStr">
        <is>
          <t xml:space="preserve">E  </t>
        </is>
      </c>
      <c r="S2308" t="n">
        <v>2</v>
      </c>
      <c r="T2308" t="n">
        <v>2</v>
      </c>
      <c r="U2308" t="inlineStr">
        <is>
          <t>1996-02-24</t>
        </is>
      </c>
      <c r="V2308" t="inlineStr">
        <is>
          <t>1996-02-24</t>
        </is>
      </c>
      <c r="W2308" t="inlineStr">
        <is>
          <t>1995-12-01</t>
        </is>
      </c>
      <c r="X2308" t="inlineStr">
        <is>
          <t>1995-12-01</t>
        </is>
      </c>
      <c r="Y2308" t="n">
        <v>477</v>
      </c>
      <c r="Z2308" t="n">
        <v>417</v>
      </c>
      <c r="AA2308" t="n">
        <v>418</v>
      </c>
      <c r="AB2308" t="n">
        <v>3</v>
      </c>
      <c r="AC2308" t="n">
        <v>3</v>
      </c>
      <c r="AD2308" t="n">
        <v>19</v>
      </c>
      <c r="AE2308" t="n">
        <v>19</v>
      </c>
      <c r="AF2308" t="n">
        <v>10</v>
      </c>
      <c r="AG2308" t="n">
        <v>10</v>
      </c>
      <c r="AH2308" t="n">
        <v>5</v>
      </c>
      <c r="AI2308" t="n">
        <v>5</v>
      </c>
      <c r="AJ2308" t="n">
        <v>8</v>
      </c>
      <c r="AK2308" t="n">
        <v>8</v>
      </c>
      <c r="AL2308" t="n">
        <v>2</v>
      </c>
      <c r="AM2308" t="n">
        <v>2</v>
      </c>
      <c r="AN2308" t="n">
        <v>0</v>
      </c>
      <c r="AO2308" t="n">
        <v>0</v>
      </c>
      <c r="AP2308" t="inlineStr">
        <is>
          <t>No</t>
        </is>
      </c>
      <c r="AQ2308" t="inlineStr">
        <is>
          <t>No</t>
        </is>
      </c>
      <c r="AS2308">
        <f>HYPERLINK("https://creighton-primo.hosted.exlibrisgroup.com/primo-explore/search?tab=default_tab&amp;search_scope=EVERYTHING&amp;vid=01CRU&amp;lang=en_US&amp;offset=0&amp;query=any,contains,991002275249702656","Catalog Record")</f>
        <v/>
      </c>
      <c r="AT2308">
        <f>HYPERLINK("http://www.worldcat.org/oclc/29520445","WorldCat Record")</f>
        <v/>
      </c>
      <c r="AU2308" t="inlineStr">
        <is>
          <t>836726246:eng</t>
        </is>
      </c>
      <c r="AV2308" t="inlineStr">
        <is>
          <t>29520445</t>
        </is>
      </c>
      <c r="AW2308" t="inlineStr">
        <is>
          <t>991002275249702656</t>
        </is>
      </c>
      <c r="AX2308" t="inlineStr">
        <is>
          <t>991002275249702656</t>
        </is>
      </c>
      <c r="AY2308" t="inlineStr">
        <is>
          <t>2265494510002656</t>
        </is>
      </c>
      <c r="AZ2308" t="inlineStr">
        <is>
          <t>BOOK</t>
        </is>
      </c>
      <c r="BB2308" t="inlineStr">
        <is>
          <t>9780393035988</t>
        </is>
      </c>
      <c r="BC2308" t="inlineStr">
        <is>
          <t>32285002107612</t>
        </is>
      </c>
      <c r="BD2308" t="inlineStr">
        <is>
          <t>893335118</t>
        </is>
      </c>
    </row>
    <row r="2309">
      <c r="A2309" t="inlineStr">
        <is>
          <t>No</t>
        </is>
      </c>
      <c r="B2309" t="inlineStr">
        <is>
          <t>E885 .B57 2001</t>
        </is>
      </c>
      <c r="C2309" t="inlineStr">
        <is>
          <t>0                      E  0885000B  57          2001</t>
        </is>
      </c>
      <c r="D2309" t="inlineStr">
        <is>
          <t>Bitter legacy : NewsMax.com reveals the untold story of the Clinton-Gore years / edited by Christopher Ruddy and Carl Limbacher Jr.</t>
        </is>
      </c>
      <c r="F2309" t="inlineStr">
        <is>
          <t>No</t>
        </is>
      </c>
      <c r="G2309" t="inlineStr">
        <is>
          <t>1</t>
        </is>
      </c>
      <c r="H2309" t="inlineStr">
        <is>
          <t>No</t>
        </is>
      </c>
      <c r="I2309" t="inlineStr">
        <is>
          <t>No</t>
        </is>
      </c>
      <c r="J2309" t="inlineStr">
        <is>
          <t>0</t>
        </is>
      </c>
      <c r="L2309" t="inlineStr">
        <is>
          <t>West Palm Beach, FL : NewsMax.com, c2001.</t>
        </is>
      </c>
      <c r="M2309" t="inlineStr">
        <is>
          <t>2001</t>
        </is>
      </c>
      <c r="O2309" t="inlineStr">
        <is>
          <t>eng</t>
        </is>
      </c>
      <c r="P2309" t="inlineStr">
        <is>
          <t>flu</t>
        </is>
      </c>
      <c r="R2309" t="inlineStr">
        <is>
          <t xml:space="preserve">E  </t>
        </is>
      </c>
      <c r="S2309" t="n">
        <v>1</v>
      </c>
      <c r="T2309" t="n">
        <v>1</v>
      </c>
      <c r="U2309" t="inlineStr">
        <is>
          <t>2001-05-23</t>
        </is>
      </c>
      <c r="V2309" t="inlineStr">
        <is>
          <t>2001-05-23</t>
        </is>
      </c>
      <c r="W2309" t="inlineStr">
        <is>
          <t>2001-03-27</t>
        </is>
      </c>
      <c r="X2309" t="inlineStr">
        <is>
          <t>2001-03-27</t>
        </is>
      </c>
      <c r="Y2309" t="n">
        <v>284</v>
      </c>
      <c r="Z2309" t="n">
        <v>283</v>
      </c>
      <c r="AA2309" t="n">
        <v>294</v>
      </c>
      <c r="AB2309" t="n">
        <v>2</v>
      </c>
      <c r="AC2309" t="n">
        <v>2</v>
      </c>
      <c r="AD2309" t="n">
        <v>3</v>
      </c>
      <c r="AE2309" t="n">
        <v>3</v>
      </c>
      <c r="AF2309" t="n">
        <v>2</v>
      </c>
      <c r="AG2309" t="n">
        <v>2</v>
      </c>
      <c r="AH2309" t="n">
        <v>0</v>
      </c>
      <c r="AI2309" t="n">
        <v>0</v>
      </c>
      <c r="AJ2309" t="n">
        <v>1</v>
      </c>
      <c r="AK2309" t="n">
        <v>1</v>
      </c>
      <c r="AL2309" t="n">
        <v>0</v>
      </c>
      <c r="AM2309" t="n">
        <v>0</v>
      </c>
      <c r="AN2309" t="n">
        <v>0</v>
      </c>
      <c r="AO2309" t="n">
        <v>0</v>
      </c>
      <c r="AP2309" t="inlineStr">
        <is>
          <t>No</t>
        </is>
      </c>
      <c r="AQ2309" t="inlineStr">
        <is>
          <t>No</t>
        </is>
      </c>
      <c r="AS2309">
        <f>HYPERLINK("https://creighton-primo.hosted.exlibrisgroup.com/primo-explore/search?tab=default_tab&amp;search_scope=EVERYTHING&amp;vid=01CRU&amp;lang=en_US&amp;offset=0&amp;query=any,contains,991003518379702656","Catalog Record")</f>
        <v/>
      </c>
      <c r="AT2309">
        <f>HYPERLINK("http://www.worldcat.org/oclc/46371232","WorldCat Record")</f>
        <v/>
      </c>
      <c r="AU2309" t="inlineStr">
        <is>
          <t>1201459670:eng</t>
        </is>
      </c>
      <c r="AV2309" t="inlineStr">
        <is>
          <t>46371232</t>
        </is>
      </c>
      <c r="AW2309" t="inlineStr">
        <is>
          <t>991003518379702656</t>
        </is>
      </c>
      <c r="AX2309" t="inlineStr">
        <is>
          <t>991003518379702656</t>
        </is>
      </c>
      <c r="AY2309" t="inlineStr">
        <is>
          <t>2269361530002656</t>
        </is>
      </c>
      <c r="AZ2309" t="inlineStr">
        <is>
          <t>BOOK</t>
        </is>
      </c>
      <c r="BB2309" t="inlineStr">
        <is>
          <t>9780970402905</t>
        </is>
      </c>
      <c r="BC2309" t="inlineStr">
        <is>
          <t>32285004307665</t>
        </is>
      </c>
      <c r="BD2309" t="inlineStr">
        <is>
          <t>893699070</t>
        </is>
      </c>
    </row>
    <row r="2310">
      <c r="A2310" t="inlineStr">
        <is>
          <t>No</t>
        </is>
      </c>
      <c r="B2310" t="inlineStr">
        <is>
          <t>E885 .B58 2003</t>
        </is>
      </c>
      <c r="C2310" t="inlineStr">
        <is>
          <t>0                      E  0885000B  58          2003</t>
        </is>
      </c>
      <c r="D2310" t="inlineStr">
        <is>
          <t>The Clinton wars / Sidney Blumenthal.</t>
        </is>
      </c>
      <c r="F2310" t="inlineStr">
        <is>
          <t>No</t>
        </is>
      </c>
      <c r="G2310" t="inlineStr">
        <is>
          <t>1</t>
        </is>
      </c>
      <c r="H2310" t="inlineStr">
        <is>
          <t>No</t>
        </is>
      </c>
      <c r="I2310" t="inlineStr">
        <is>
          <t>No</t>
        </is>
      </c>
      <c r="J2310" t="inlineStr">
        <is>
          <t>0</t>
        </is>
      </c>
      <c r="K2310" t="inlineStr">
        <is>
          <t>Blumenthal, Sidney, 1948-</t>
        </is>
      </c>
      <c r="L2310" t="inlineStr">
        <is>
          <t>New York : Farrar, Straus and Giroux, 2003.</t>
        </is>
      </c>
      <c r="M2310" t="inlineStr">
        <is>
          <t>2003</t>
        </is>
      </c>
      <c r="N2310" t="inlineStr">
        <is>
          <t>1st ed.</t>
        </is>
      </c>
      <c r="O2310" t="inlineStr">
        <is>
          <t>eng</t>
        </is>
      </c>
      <c r="P2310" t="inlineStr">
        <is>
          <t>nyu</t>
        </is>
      </c>
      <c r="R2310" t="inlineStr">
        <is>
          <t xml:space="preserve">E  </t>
        </is>
      </c>
      <c r="S2310" t="n">
        <v>1</v>
      </c>
      <c r="T2310" t="n">
        <v>1</v>
      </c>
      <c r="U2310" t="inlineStr">
        <is>
          <t>2003-09-11</t>
        </is>
      </c>
      <c r="V2310" t="inlineStr">
        <is>
          <t>2003-09-11</t>
        </is>
      </c>
      <c r="W2310" t="inlineStr">
        <is>
          <t>2003-09-11</t>
        </is>
      </c>
      <c r="X2310" t="inlineStr">
        <is>
          <t>2003-09-11</t>
        </is>
      </c>
      <c r="Y2310" t="n">
        <v>1481</v>
      </c>
      <c r="Z2310" t="n">
        <v>1382</v>
      </c>
      <c r="AA2310" t="n">
        <v>1433</v>
      </c>
      <c r="AB2310" t="n">
        <v>12</v>
      </c>
      <c r="AC2310" t="n">
        <v>13</v>
      </c>
      <c r="AD2310" t="n">
        <v>35</v>
      </c>
      <c r="AE2310" t="n">
        <v>35</v>
      </c>
      <c r="AF2310" t="n">
        <v>15</v>
      </c>
      <c r="AG2310" t="n">
        <v>15</v>
      </c>
      <c r="AH2310" t="n">
        <v>6</v>
      </c>
      <c r="AI2310" t="n">
        <v>6</v>
      </c>
      <c r="AJ2310" t="n">
        <v>14</v>
      </c>
      <c r="AK2310" t="n">
        <v>14</v>
      </c>
      <c r="AL2310" t="n">
        <v>6</v>
      </c>
      <c r="AM2310" t="n">
        <v>6</v>
      </c>
      <c r="AN2310" t="n">
        <v>2</v>
      </c>
      <c r="AO2310" t="n">
        <v>2</v>
      </c>
      <c r="AP2310" t="inlineStr">
        <is>
          <t>No</t>
        </is>
      </c>
      <c r="AQ2310" t="inlineStr">
        <is>
          <t>No</t>
        </is>
      </c>
      <c r="AS2310">
        <f>HYPERLINK("https://creighton-primo.hosted.exlibrisgroup.com/primo-explore/search?tab=default_tab&amp;search_scope=EVERYTHING&amp;vid=01CRU&amp;lang=en_US&amp;offset=0&amp;query=any,contains,991004114629702656","Catalog Record")</f>
        <v/>
      </c>
      <c r="AT2310">
        <f>HYPERLINK("http://www.worldcat.org/oclc/51755718","WorldCat Record")</f>
        <v/>
      </c>
      <c r="AU2310" t="inlineStr">
        <is>
          <t>686377:eng</t>
        </is>
      </c>
      <c r="AV2310" t="inlineStr">
        <is>
          <t>51755718</t>
        </is>
      </c>
      <c r="AW2310" t="inlineStr">
        <is>
          <t>991004114629702656</t>
        </is>
      </c>
      <c r="AX2310" t="inlineStr">
        <is>
          <t>991004114629702656</t>
        </is>
      </c>
      <c r="AY2310" t="inlineStr">
        <is>
          <t>2259916360002656</t>
        </is>
      </c>
      <c r="AZ2310" t="inlineStr">
        <is>
          <t>BOOK</t>
        </is>
      </c>
      <c r="BB2310" t="inlineStr">
        <is>
          <t>9780374125028</t>
        </is>
      </c>
      <c r="BC2310" t="inlineStr">
        <is>
          <t>32285004782834</t>
        </is>
      </c>
      <c r="BD2310" t="inlineStr">
        <is>
          <t>893699866</t>
        </is>
      </c>
    </row>
    <row r="2311">
      <c r="A2311" t="inlineStr">
        <is>
          <t>No</t>
        </is>
      </c>
      <c r="B2311" t="inlineStr">
        <is>
          <t>E885 .C545 2000</t>
        </is>
      </c>
      <c r="C2311" t="inlineStr">
        <is>
          <t>0                      E  0885000C  545         2000</t>
        </is>
      </c>
      <c r="D2311" t="inlineStr">
        <is>
          <t>The Clinton foreign policy reader : presidential speeches with commentary / edited by Alvin Z. Rubinstein, Albina Shayevich, and Boris Zlotnikov.</t>
        </is>
      </c>
      <c r="F2311" t="inlineStr">
        <is>
          <t>No</t>
        </is>
      </c>
      <c r="G2311" t="inlineStr">
        <is>
          <t>1</t>
        </is>
      </c>
      <c r="H2311" t="inlineStr">
        <is>
          <t>No</t>
        </is>
      </c>
      <c r="I2311" t="inlineStr">
        <is>
          <t>No</t>
        </is>
      </c>
      <c r="J2311" t="inlineStr">
        <is>
          <t>0</t>
        </is>
      </c>
      <c r="K2311" t="inlineStr">
        <is>
          <t>Clinton, Bill, 1946-</t>
        </is>
      </c>
      <c r="L2311" t="inlineStr">
        <is>
          <t>Armonk, N.Y. : M.E. Sharpe, 2000.</t>
        </is>
      </c>
      <c r="M2311" t="inlineStr">
        <is>
          <t>2000</t>
        </is>
      </c>
      <c r="O2311" t="inlineStr">
        <is>
          <t>eng</t>
        </is>
      </c>
      <c r="P2311" t="inlineStr">
        <is>
          <t>nyu</t>
        </is>
      </c>
      <c r="R2311" t="inlineStr">
        <is>
          <t xml:space="preserve">E  </t>
        </is>
      </c>
      <c r="S2311" t="n">
        <v>2</v>
      </c>
      <c r="T2311" t="n">
        <v>2</v>
      </c>
      <c r="U2311" t="inlineStr">
        <is>
          <t>2001-10-22</t>
        </is>
      </c>
      <c r="V2311" t="inlineStr">
        <is>
          <t>2001-10-22</t>
        </is>
      </c>
      <c r="W2311" t="inlineStr">
        <is>
          <t>2001-10-17</t>
        </is>
      </c>
      <c r="X2311" t="inlineStr">
        <is>
          <t>2001-10-17</t>
        </is>
      </c>
      <c r="Y2311" t="n">
        <v>350</v>
      </c>
      <c r="Z2311" t="n">
        <v>299</v>
      </c>
      <c r="AA2311" t="n">
        <v>320</v>
      </c>
      <c r="AB2311" t="n">
        <v>3</v>
      </c>
      <c r="AC2311" t="n">
        <v>3</v>
      </c>
      <c r="AD2311" t="n">
        <v>17</v>
      </c>
      <c r="AE2311" t="n">
        <v>17</v>
      </c>
      <c r="AF2311" t="n">
        <v>5</v>
      </c>
      <c r="AG2311" t="n">
        <v>5</v>
      </c>
      <c r="AH2311" t="n">
        <v>5</v>
      </c>
      <c r="AI2311" t="n">
        <v>5</v>
      </c>
      <c r="AJ2311" t="n">
        <v>11</v>
      </c>
      <c r="AK2311" t="n">
        <v>11</v>
      </c>
      <c r="AL2311" t="n">
        <v>2</v>
      </c>
      <c r="AM2311" t="n">
        <v>2</v>
      </c>
      <c r="AN2311" t="n">
        <v>0</v>
      </c>
      <c r="AO2311" t="n">
        <v>0</v>
      </c>
      <c r="AP2311" t="inlineStr">
        <is>
          <t>No</t>
        </is>
      </c>
      <c r="AQ2311" t="inlineStr">
        <is>
          <t>Yes</t>
        </is>
      </c>
      <c r="AR2311">
        <f>HYPERLINK("http://catalog.hathitrust.org/Record/004076879","HathiTrust Record")</f>
        <v/>
      </c>
      <c r="AS2311">
        <f>HYPERLINK("https://creighton-primo.hosted.exlibrisgroup.com/primo-explore/search?tab=default_tab&amp;search_scope=EVERYTHING&amp;vid=01CRU&amp;lang=en_US&amp;offset=0&amp;query=any,contains,991003633489702656","Catalog Record")</f>
        <v/>
      </c>
      <c r="AT2311">
        <f>HYPERLINK("http://www.worldcat.org/oclc/42934506","WorldCat Record")</f>
        <v/>
      </c>
      <c r="AU2311" t="inlineStr">
        <is>
          <t>20757604:eng</t>
        </is>
      </c>
      <c r="AV2311" t="inlineStr">
        <is>
          <t>42934506</t>
        </is>
      </c>
      <c r="AW2311" t="inlineStr">
        <is>
          <t>991003633489702656</t>
        </is>
      </c>
      <c r="AX2311" t="inlineStr">
        <is>
          <t>991003633489702656</t>
        </is>
      </c>
      <c r="AY2311" t="inlineStr">
        <is>
          <t>2267245080002656</t>
        </is>
      </c>
      <c r="AZ2311" t="inlineStr">
        <is>
          <t>BOOK</t>
        </is>
      </c>
      <c r="BB2311" t="inlineStr">
        <is>
          <t>9780765605832</t>
        </is>
      </c>
      <c r="BC2311" t="inlineStr">
        <is>
          <t>32285004397658</t>
        </is>
      </c>
      <c r="BD2311" t="inlineStr">
        <is>
          <t>893787558</t>
        </is>
      </c>
    </row>
    <row r="2312">
      <c r="A2312" t="inlineStr">
        <is>
          <t>No</t>
        </is>
      </c>
      <c r="B2312" t="inlineStr">
        <is>
          <t>E885 .C553 1996</t>
        </is>
      </c>
      <c r="C2312" t="inlineStr">
        <is>
          <t>0                      E  0885000C  553         1996</t>
        </is>
      </c>
      <c r="D2312" t="inlineStr">
        <is>
          <t>The Clinton presidency : images, issues, and communication strategies / edited by Robert E. Denton, Jr., and Rachel L. Holloway.</t>
        </is>
      </c>
      <c r="F2312" t="inlineStr">
        <is>
          <t>No</t>
        </is>
      </c>
      <c r="G2312" t="inlineStr">
        <is>
          <t>1</t>
        </is>
      </c>
      <c r="H2312" t="inlineStr">
        <is>
          <t>No</t>
        </is>
      </c>
      <c r="I2312" t="inlineStr">
        <is>
          <t>No</t>
        </is>
      </c>
      <c r="J2312" t="inlineStr">
        <is>
          <t>0</t>
        </is>
      </c>
      <c r="L2312" t="inlineStr">
        <is>
          <t>Westport, Conn. : Praeger, 1996.</t>
        </is>
      </c>
      <c r="M2312" t="inlineStr">
        <is>
          <t>1996</t>
        </is>
      </c>
      <c r="O2312" t="inlineStr">
        <is>
          <t>eng</t>
        </is>
      </c>
      <c r="P2312" t="inlineStr">
        <is>
          <t>ctu</t>
        </is>
      </c>
      <c r="Q2312" t="inlineStr">
        <is>
          <t>Praeger series in political communication, 1062-5623</t>
        </is>
      </c>
      <c r="R2312" t="inlineStr">
        <is>
          <t xml:space="preserve">E  </t>
        </is>
      </c>
      <c r="S2312" t="n">
        <v>13</v>
      </c>
      <c r="T2312" t="n">
        <v>13</v>
      </c>
      <c r="U2312" t="inlineStr">
        <is>
          <t>2002-08-01</t>
        </is>
      </c>
      <c r="V2312" t="inlineStr">
        <is>
          <t>2002-08-01</t>
        </is>
      </c>
      <c r="W2312" t="inlineStr">
        <is>
          <t>1996-08-08</t>
        </is>
      </c>
      <c r="X2312" t="inlineStr">
        <is>
          <t>1996-08-08</t>
        </is>
      </c>
      <c r="Y2312" t="n">
        <v>516</v>
      </c>
      <c r="Z2312" t="n">
        <v>437</v>
      </c>
      <c r="AA2312" t="n">
        <v>444</v>
      </c>
      <c r="AB2312" t="n">
        <v>3</v>
      </c>
      <c r="AC2312" t="n">
        <v>3</v>
      </c>
      <c r="AD2312" t="n">
        <v>28</v>
      </c>
      <c r="AE2312" t="n">
        <v>28</v>
      </c>
      <c r="AF2312" t="n">
        <v>16</v>
      </c>
      <c r="AG2312" t="n">
        <v>16</v>
      </c>
      <c r="AH2312" t="n">
        <v>5</v>
      </c>
      <c r="AI2312" t="n">
        <v>5</v>
      </c>
      <c r="AJ2312" t="n">
        <v>12</v>
      </c>
      <c r="AK2312" t="n">
        <v>12</v>
      </c>
      <c r="AL2312" t="n">
        <v>2</v>
      </c>
      <c r="AM2312" t="n">
        <v>2</v>
      </c>
      <c r="AN2312" t="n">
        <v>0</v>
      </c>
      <c r="AO2312" t="n">
        <v>0</v>
      </c>
      <c r="AP2312" t="inlineStr">
        <is>
          <t>No</t>
        </is>
      </c>
      <c r="AQ2312" t="inlineStr">
        <is>
          <t>Yes</t>
        </is>
      </c>
      <c r="AR2312">
        <f>HYPERLINK("http://catalog.hathitrust.org/Record/003056941","HathiTrust Record")</f>
        <v/>
      </c>
      <c r="AS2312">
        <f>HYPERLINK("https://creighton-primo.hosted.exlibrisgroup.com/primo-explore/search?tab=default_tab&amp;search_scope=EVERYTHING&amp;vid=01CRU&amp;lang=en_US&amp;offset=0&amp;query=any,contains,991002535569702656","Catalog Record")</f>
        <v/>
      </c>
      <c r="AT2312">
        <f>HYPERLINK("http://www.worldcat.org/oclc/32968662","WorldCat Record")</f>
        <v/>
      </c>
      <c r="AU2312" t="inlineStr">
        <is>
          <t>837073389:eng</t>
        </is>
      </c>
      <c r="AV2312" t="inlineStr">
        <is>
          <t>32968662</t>
        </is>
      </c>
      <c r="AW2312" t="inlineStr">
        <is>
          <t>991002535569702656</t>
        </is>
      </c>
      <c r="AX2312" t="inlineStr">
        <is>
          <t>991002535569702656</t>
        </is>
      </c>
      <c r="AY2312" t="inlineStr">
        <is>
          <t>2262647030002656</t>
        </is>
      </c>
      <c r="AZ2312" t="inlineStr">
        <is>
          <t>BOOK</t>
        </is>
      </c>
      <c r="BB2312" t="inlineStr">
        <is>
          <t>9780275951092</t>
        </is>
      </c>
      <c r="BC2312" t="inlineStr">
        <is>
          <t>32285002272150</t>
        </is>
      </c>
      <c r="BD2312" t="inlineStr">
        <is>
          <t>893257425</t>
        </is>
      </c>
    </row>
    <row r="2313">
      <c r="A2313" t="inlineStr">
        <is>
          <t>No</t>
        </is>
      </c>
      <c r="B2313" t="inlineStr">
        <is>
          <t>E885 .D75 1997</t>
        </is>
      </c>
      <c r="C2313" t="inlineStr">
        <is>
          <t>0                      E  0885000D  75          1997</t>
        </is>
      </c>
      <c r="D2313" t="inlineStr">
        <is>
          <t>Whatever it takes : the real struggle for political power in America / Elizabeth Drew.</t>
        </is>
      </c>
      <c r="F2313" t="inlineStr">
        <is>
          <t>No</t>
        </is>
      </c>
      <c r="G2313" t="inlineStr">
        <is>
          <t>1</t>
        </is>
      </c>
      <c r="H2313" t="inlineStr">
        <is>
          <t>No</t>
        </is>
      </c>
      <c r="I2313" t="inlineStr">
        <is>
          <t>No</t>
        </is>
      </c>
      <c r="J2313" t="inlineStr">
        <is>
          <t>0</t>
        </is>
      </c>
      <c r="K2313" t="inlineStr">
        <is>
          <t>Drew, Elizabeth.</t>
        </is>
      </c>
      <c r="L2313" t="inlineStr">
        <is>
          <t>New York, N.Y., U.S.A. : Viking, 1997.</t>
        </is>
      </c>
      <c r="M2313" t="inlineStr">
        <is>
          <t>1997</t>
        </is>
      </c>
      <c r="O2313" t="inlineStr">
        <is>
          <t>eng</t>
        </is>
      </c>
      <c r="P2313" t="inlineStr">
        <is>
          <t>nyu</t>
        </is>
      </c>
      <c r="R2313" t="inlineStr">
        <is>
          <t xml:space="preserve">E  </t>
        </is>
      </c>
      <c r="S2313" t="n">
        <v>2</v>
      </c>
      <c r="T2313" t="n">
        <v>2</v>
      </c>
      <c r="U2313" t="inlineStr">
        <is>
          <t>2000-04-27</t>
        </is>
      </c>
      <c r="V2313" t="inlineStr">
        <is>
          <t>2000-04-27</t>
        </is>
      </c>
      <c r="W2313" t="inlineStr">
        <is>
          <t>1997-09-23</t>
        </is>
      </c>
      <c r="X2313" t="inlineStr">
        <is>
          <t>1997-09-23</t>
        </is>
      </c>
      <c r="Y2313" t="n">
        <v>746</v>
      </c>
      <c r="Z2313" t="n">
        <v>708</v>
      </c>
      <c r="AA2313" t="n">
        <v>778</v>
      </c>
      <c r="AB2313" t="n">
        <v>4</v>
      </c>
      <c r="AC2313" t="n">
        <v>4</v>
      </c>
      <c r="AD2313" t="n">
        <v>20</v>
      </c>
      <c r="AE2313" t="n">
        <v>25</v>
      </c>
      <c r="AF2313" t="n">
        <v>7</v>
      </c>
      <c r="AG2313" t="n">
        <v>11</v>
      </c>
      <c r="AH2313" t="n">
        <v>5</v>
      </c>
      <c r="AI2313" t="n">
        <v>5</v>
      </c>
      <c r="AJ2313" t="n">
        <v>11</v>
      </c>
      <c r="AK2313" t="n">
        <v>13</v>
      </c>
      <c r="AL2313" t="n">
        <v>3</v>
      </c>
      <c r="AM2313" t="n">
        <v>3</v>
      </c>
      <c r="AN2313" t="n">
        <v>1</v>
      </c>
      <c r="AO2313" t="n">
        <v>1</v>
      </c>
      <c r="AP2313" t="inlineStr">
        <is>
          <t>No</t>
        </is>
      </c>
      <c r="AQ2313" t="inlineStr">
        <is>
          <t>Yes</t>
        </is>
      </c>
      <c r="AR2313">
        <f>HYPERLINK("http://catalog.hathitrust.org/Record/003180642","HathiTrust Record")</f>
        <v/>
      </c>
      <c r="AS2313">
        <f>HYPERLINK("https://creighton-primo.hosted.exlibrisgroup.com/primo-explore/search?tab=default_tab&amp;search_scope=EVERYTHING&amp;vid=01CRU&amp;lang=en_US&amp;offset=0&amp;query=any,contains,991002788569702656","Catalog Record")</f>
        <v/>
      </c>
      <c r="AT2313">
        <f>HYPERLINK("http://www.worldcat.org/oclc/36629967","WorldCat Record")</f>
        <v/>
      </c>
      <c r="AU2313" t="inlineStr">
        <is>
          <t>567219:eng</t>
        </is>
      </c>
      <c r="AV2313" t="inlineStr">
        <is>
          <t>36629967</t>
        </is>
      </c>
      <c r="AW2313" t="inlineStr">
        <is>
          <t>991002788569702656</t>
        </is>
      </c>
      <c r="AX2313" t="inlineStr">
        <is>
          <t>991002788569702656</t>
        </is>
      </c>
      <c r="AY2313" t="inlineStr">
        <is>
          <t>2263576180002656</t>
        </is>
      </c>
      <c r="AZ2313" t="inlineStr">
        <is>
          <t>BOOK</t>
        </is>
      </c>
      <c r="BB2313" t="inlineStr">
        <is>
          <t>9780670875368</t>
        </is>
      </c>
      <c r="BC2313" t="inlineStr">
        <is>
          <t>32285003250064</t>
        </is>
      </c>
      <c r="BD2313" t="inlineStr">
        <is>
          <t>893874014</t>
        </is>
      </c>
    </row>
    <row r="2314">
      <c r="A2314" t="inlineStr">
        <is>
          <t>No</t>
        </is>
      </c>
      <c r="B2314" t="inlineStr">
        <is>
          <t>E885 .G47 1999</t>
        </is>
      </c>
      <c r="C2314" t="inlineStr">
        <is>
          <t>0                      E  0885000G  47          1999</t>
        </is>
      </c>
      <c r="D2314" t="inlineStr">
        <is>
          <t>Betrayal : how the Clinton administration undermined American security / Bill Gertz.</t>
        </is>
      </c>
      <c r="F2314" t="inlineStr">
        <is>
          <t>No</t>
        </is>
      </c>
      <c r="G2314" t="inlineStr">
        <is>
          <t>1</t>
        </is>
      </c>
      <c r="H2314" t="inlineStr">
        <is>
          <t>No</t>
        </is>
      </c>
      <c r="I2314" t="inlineStr">
        <is>
          <t>No</t>
        </is>
      </c>
      <c r="J2314" t="inlineStr">
        <is>
          <t>0</t>
        </is>
      </c>
      <c r="K2314" t="inlineStr">
        <is>
          <t>Gertz, Bill.</t>
        </is>
      </c>
      <c r="L2314" t="inlineStr">
        <is>
          <t>Washington, DC : Regnery Pub. ; Lanham, MD : Distributed to the trade by National Book Network, c1999.</t>
        </is>
      </c>
      <c r="M2314" t="inlineStr">
        <is>
          <t>1999</t>
        </is>
      </c>
      <c r="O2314" t="inlineStr">
        <is>
          <t>eng</t>
        </is>
      </c>
      <c r="P2314" t="inlineStr">
        <is>
          <t>dcu</t>
        </is>
      </c>
      <c r="R2314" t="inlineStr">
        <is>
          <t xml:space="preserve">E  </t>
        </is>
      </c>
      <c r="S2314" t="n">
        <v>3</v>
      </c>
      <c r="T2314" t="n">
        <v>3</v>
      </c>
      <c r="U2314" t="inlineStr">
        <is>
          <t>2001-02-16</t>
        </is>
      </c>
      <c r="V2314" t="inlineStr">
        <is>
          <t>2001-02-16</t>
        </is>
      </c>
      <c r="W2314" t="inlineStr">
        <is>
          <t>1999-06-02</t>
        </is>
      </c>
      <c r="X2314" t="inlineStr">
        <is>
          <t>1999-06-02</t>
        </is>
      </c>
      <c r="Y2314" t="n">
        <v>949</v>
      </c>
      <c r="Z2314" t="n">
        <v>917</v>
      </c>
      <c r="AA2314" t="n">
        <v>939</v>
      </c>
      <c r="AB2314" t="n">
        <v>11</v>
      </c>
      <c r="AC2314" t="n">
        <v>11</v>
      </c>
      <c r="AD2314" t="n">
        <v>22</v>
      </c>
      <c r="AE2314" t="n">
        <v>22</v>
      </c>
      <c r="AF2314" t="n">
        <v>8</v>
      </c>
      <c r="AG2314" t="n">
        <v>8</v>
      </c>
      <c r="AH2314" t="n">
        <v>5</v>
      </c>
      <c r="AI2314" t="n">
        <v>5</v>
      </c>
      <c r="AJ2314" t="n">
        <v>10</v>
      </c>
      <c r="AK2314" t="n">
        <v>10</v>
      </c>
      <c r="AL2314" t="n">
        <v>3</v>
      </c>
      <c r="AM2314" t="n">
        <v>3</v>
      </c>
      <c r="AN2314" t="n">
        <v>1</v>
      </c>
      <c r="AO2314" t="n">
        <v>1</v>
      </c>
      <c r="AP2314" t="inlineStr">
        <is>
          <t>No</t>
        </is>
      </c>
      <c r="AQ2314" t="inlineStr">
        <is>
          <t>Yes</t>
        </is>
      </c>
      <c r="AR2314">
        <f>HYPERLINK("http://catalog.hathitrust.org/Record/004040271","HathiTrust Record")</f>
        <v/>
      </c>
      <c r="AS2314">
        <f>HYPERLINK("https://creighton-primo.hosted.exlibrisgroup.com/primo-explore/search?tab=default_tab&amp;search_scope=EVERYTHING&amp;vid=01CRU&amp;lang=en_US&amp;offset=0&amp;query=any,contains,991003013369702656","Catalog Record")</f>
        <v/>
      </c>
      <c r="AT2314">
        <f>HYPERLINK("http://www.worldcat.org/oclc/40940192","WorldCat Record")</f>
        <v/>
      </c>
      <c r="AU2314" t="inlineStr">
        <is>
          <t>1082172:eng</t>
        </is>
      </c>
      <c r="AV2314" t="inlineStr">
        <is>
          <t>40940192</t>
        </is>
      </c>
      <c r="AW2314" t="inlineStr">
        <is>
          <t>991003013369702656</t>
        </is>
      </c>
      <c r="AX2314" t="inlineStr">
        <is>
          <t>991003013369702656</t>
        </is>
      </c>
      <c r="AY2314" t="inlineStr">
        <is>
          <t>2264306900002656</t>
        </is>
      </c>
      <c r="AZ2314" t="inlineStr">
        <is>
          <t>BOOK</t>
        </is>
      </c>
      <c r="BB2314" t="inlineStr">
        <is>
          <t>9780895263179</t>
        </is>
      </c>
      <c r="BC2314" t="inlineStr">
        <is>
          <t>32285003561767</t>
        </is>
      </c>
      <c r="BD2314" t="inlineStr">
        <is>
          <t>893604346</t>
        </is>
      </c>
    </row>
    <row r="2315">
      <c r="A2315" t="inlineStr">
        <is>
          <t>No</t>
        </is>
      </c>
      <c r="B2315" t="inlineStr">
        <is>
          <t>E885 .G74 1995</t>
        </is>
      </c>
      <c r="C2315" t="inlineStr">
        <is>
          <t>0                      E  0885000G  74          1995</t>
        </is>
      </c>
      <c r="D2315" t="inlineStr">
        <is>
          <t>Middle class dreams : the politics and power of the new American majority / Stanley B. Greenberg.</t>
        </is>
      </c>
      <c r="F2315" t="inlineStr">
        <is>
          <t>No</t>
        </is>
      </c>
      <c r="G2315" t="inlineStr">
        <is>
          <t>1</t>
        </is>
      </c>
      <c r="H2315" t="inlineStr">
        <is>
          <t>No</t>
        </is>
      </c>
      <c r="I2315" t="inlineStr">
        <is>
          <t>No</t>
        </is>
      </c>
      <c r="J2315" t="inlineStr">
        <is>
          <t>0</t>
        </is>
      </c>
      <c r="K2315" t="inlineStr">
        <is>
          <t>Greenberg, Stanley B., 1945-</t>
        </is>
      </c>
      <c r="L2315" t="inlineStr">
        <is>
          <t>New York : Times Books, c1995.</t>
        </is>
      </c>
      <c r="M2315" t="inlineStr">
        <is>
          <t>1995</t>
        </is>
      </c>
      <c r="N2315" t="inlineStr">
        <is>
          <t>1st ed.</t>
        </is>
      </c>
      <c r="O2315" t="inlineStr">
        <is>
          <t>eng</t>
        </is>
      </c>
      <c r="P2315" t="inlineStr">
        <is>
          <t>nyu</t>
        </is>
      </c>
      <c r="R2315" t="inlineStr">
        <is>
          <t xml:space="preserve">E  </t>
        </is>
      </c>
      <c r="S2315" t="n">
        <v>4</v>
      </c>
      <c r="T2315" t="n">
        <v>4</v>
      </c>
      <c r="U2315" t="inlineStr">
        <is>
          <t>1996-08-23</t>
        </is>
      </c>
      <c r="V2315" t="inlineStr">
        <is>
          <t>1996-08-23</t>
        </is>
      </c>
      <c r="W2315" t="inlineStr">
        <is>
          <t>1995-03-21</t>
        </is>
      </c>
      <c r="X2315" t="inlineStr">
        <is>
          <t>1995-03-21</t>
        </is>
      </c>
      <c r="Y2315" t="n">
        <v>878</v>
      </c>
      <c r="Z2315" t="n">
        <v>826</v>
      </c>
      <c r="AA2315" t="n">
        <v>951</v>
      </c>
      <c r="AB2315" t="n">
        <v>8</v>
      </c>
      <c r="AC2315" t="n">
        <v>8</v>
      </c>
      <c r="AD2315" t="n">
        <v>38</v>
      </c>
      <c r="AE2315" t="n">
        <v>44</v>
      </c>
      <c r="AF2315" t="n">
        <v>16</v>
      </c>
      <c r="AG2315" t="n">
        <v>18</v>
      </c>
      <c r="AH2315" t="n">
        <v>9</v>
      </c>
      <c r="AI2315" t="n">
        <v>11</v>
      </c>
      <c r="AJ2315" t="n">
        <v>19</v>
      </c>
      <c r="AK2315" t="n">
        <v>19</v>
      </c>
      <c r="AL2315" t="n">
        <v>6</v>
      </c>
      <c r="AM2315" t="n">
        <v>6</v>
      </c>
      <c r="AN2315" t="n">
        <v>0</v>
      </c>
      <c r="AO2315" t="n">
        <v>2</v>
      </c>
      <c r="AP2315" t="inlineStr">
        <is>
          <t>No</t>
        </is>
      </c>
      <c r="AQ2315" t="inlineStr">
        <is>
          <t>Yes</t>
        </is>
      </c>
      <c r="AR2315">
        <f>HYPERLINK("http://catalog.hathitrust.org/Record/002960554","HathiTrust Record")</f>
        <v/>
      </c>
      <c r="AS2315">
        <f>HYPERLINK("https://creighton-primo.hosted.exlibrisgroup.com/primo-explore/search?tab=default_tab&amp;search_scope=EVERYTHING&amp;vid=01CRU&amp;lang=en_US&amp;offset=0&amp;query=any,contains,991002379069702656","Catalog Record")</f>
        <v/>
      </c>
      <c r="AT2315">
        <f>HYPERLINK("http://www.worldcat.org/oclc/30914607","WorldCat Record")</f>
        <v/>
      </c>
      <c r="AU2315" t="inlineStr">
        <is>
          <t>32798773:eng</t>
        </is>
      </c>
      <c r="AV2315" t="inlineStr">
        <is>
          <t>30914607</t>
        </is>
      </c>
      <c r="AW2315" t="inlineStr">
        <is>
          <t>991002379069702656</t>
        </is>
      </c>
      <c r="AX2315" t="inlineStr">
        <is>
          <t>991002379069702656</t>
        </is>
      </c>
      <c r="AY2315" t="inlineStr">
        <is>
          <t>2272403610002656</t>
        </is>
      </c>
      <c r="AZ2315" t="inlineStr">
        <is>
          <t>BOOK</t>
        </is>
      </c>
      <c r="BB2315" t="inlineStr">
        <is>
          <t>9780812923452</t>
        </is>
      </c>
      <c r="BC2315" t="inlineStr">
        <is>
          <t>32285002003936</t>
        </is>
      </c>
      <c r="BD2315" t="inlineStr">
        <is>
          <t>893316745</t>
        </is>
      </c>
    </row>
    <row r="2316">
      <c r="A2316" t="inlineStr">
        <is>
          <t>No</t>
        </is>
      </c>
      <c r="B2316" t="inlineStr">
        <is>
          <t>E885 .H46 1996</t>
        </is>
      </c>
      <c r="C2316" t="inlineStr">
        <is>
          <t>0                      E  0885000H  46          1996</t>
        </is>
      </c>
      <c r="D2316" t="inlineStr">
        <is>
          <t>Clinton's foreign policy in Somalia, Bosnia, Haiti, and North Korea / Thomas H. Henriksen.</t>
        </is>
      </c>
      <c r="F2316" t="inlineStr">
        <is>
          <t>No</t>
        </is>
      </c>
      <c r="G2316" t="inlineStr">
        <is>
          <t>1</t>
        </is>
      </c>
      <c r="H2316" t="inlineStr">
        <is>
          <t>No</t>
        </is>
      </c>
      <c r="I2316" t="inlineStr">
        <is>
          <t>No</t>
        </is>
      </c>
      <c r="J2316" t="inlineStr">
        <is>
          <t>0</t>
        </is>
      </c>
      <c r="K2316" t="inlineStr">
        <is>
          <t>Henriksen, Thomas H.</t>
        </is>
      </c>
      <c r="L2316" t="inlineStr">
        <is>
          <t>Stanford, Calif. : Hoover Institution on War, Revolution, and Peace, Stanford University, 1996.</t>
        </is>
      </c>
      <c r="M2316" t="inlineStr">
        <is>
          <t>1996</t>
        </is>
      </c>
      <c r="O2316" t="inlineStr">
        <is>
          <t>eng</t>
        </is>
      </c>
      <c r="P2316" t="inlineStr">
        <is>
          <t>cau</t>
        </is>
      </c>
      <c r="Q2316" t="inlineStr">
        <is>
          <t>Essays in public policy ; no. 72</t>
        </is>
      </c>
      <c r="R2316" t="inlineStr">
        <is>
          <t xml:space="preserve">E  </t>
        </is>
      </c>
      <c r="S2316" t="n">
        <v>10</v>
      </c>
      <c r="T2316" t="n">
        <v>10</v>
      </c>
      <c r="U2316" t="inlineStr">
        <is>
          <t>2005-02-13</t>
        </is>
      </c>
      <c r="V2316" t="inlineStr">
        <is>
          <t>2005-02-13</t>
        </is>
      </c>
      <c r="W2316" t="inlineStr">
        <is>
          <t>2000-01-13</t>
        </is>
      </c>
      <c r="X2316" t="inlineStr">
        <is>
          <t>2000-01-13</t>
        </is>
      </c>
      <c r="Y2316" t="n">
        <v>129</v>
      </c>
      <c r="Z2316" t="n">
        <v>109</v>
      </c>
      <c r="AA2316" t="n">
        <v>109</v>
      </c>
      <c r="AB2316" t="n">
        <v>1</v>
      </c>
      <c r="AC2316" t="n">
        <v>1</v>
      </c>
      <c r="AD2316" t="n">
        <v>5</v>
      </c>
      <c r="AE2316" t="n">
        <v>5</v>
      </c>
      <c r="AF2316" t="n">
        <v>2</v>
      </c>
      <c r="AG2316" t="n">
        <v>2</v>
      </c>
      <c r="AH2316" t="n">
        <v>2</v>
      </c>
      <c r="AI2316" t="n">
        <v>2</v>
      </c>
      <c r="AJ2316" t="n">
        <v>3</v>
      </c>
      <c r="AK2316" t="n">
        <v>3</v>
      </c>
      <c r="AL2316" t="n">
        <v>0</v>
      </c>
      <c r="AM2316" t="n">
        <v>0</v>
      </c>
      <c r="AN2316" t="n">
        <v>1</v>
      </c>
      <c r="AO2316" t="n">
        <v>1</v>
      </c>
      <c r="AP2316" t="inlineStr">
        <is>
          <t>No</t>
        </is>
      </c>
      <c r="AQ2316" t="inlineStr">
        <is>
          <t>No</t>
        </is>
      </c>
      <c r="AS2316">
        <f>HYPERLINK("https://creighton-primo.hosted.exlibrisgroup.com/primo-explore/search?tab=default_tab&amp;search_scope=EVERYTHING&amp;vid=01CRU&amp;lang=en_US&amp;offset=0&amp;query=any,contains,991002719909702656","Catalog Record")</f>
        <v/>
      </c>
      <c r="AT2316">
        <f>HYPERLINK("http://www.worldcat.org/oclc/35658009","WorldCat Record")</f>
        <v/>
      </c>
      <c r="AU2316" t="inlineStr">
        <is>
          <t>20804252:eng</t>
        </is>
      </c>
      <c r="AV2316" t="inlineStr">
        <is>
          <t>35658009</t>
        </is>
      </c>
      <c r="AW2316" t="inlineStr">
        <is>
          <t>991002719909702656</t>
        </is>
      </c>
      <c r="AX2316" t="inlineStr">
        <is>
          <t>991002719909702656</t>
        </is>
      </c>
      <c r="AY2316" t="inlineStr">
        <is>
          <t>2256658900002656</t>
        </is>
      </c>
      <c r="AZ2316" t="inlineStr">
        <is>
          <t>BOOK</t>
        </is>
      </c>
      <c r="BB2316" t="inlineStr">
        <is>
          <t>9780817957728</t>
        </is>
      </c>
      <c r="BC2316" t="inlineStr">
        <is>
          <t>32285003642146</t>
        </is>
      </c>
      <c r="BD2316" t="inlineStr">
        <is>
          <t>893691921</t>
        </is>
      </c>
    </row>
    <row r="2317">
      <c r="A2317" t="inlineStr">
        <is>
          <t>No</t>
        </is>
      </c>
      <c r="B2317" t="inlineStr">
        <is>
          <t>E885 .I95 1993</t>
        </is>
      </c>
      <c r="C2317" t="inlineStr">
        <is>
          <t>0                      E  0885000I  95          1993</t>
        </is>
      </c>
      <c r="D2317" t="inlineStr">
        <is>
          <t>Nothin' but good times ahead / Molly Ivins.</t>
        </is>
      </c>
      <c r="F2317" t="inlineStr">
        <is>
          <t>No</t>
        </is>
      </c>
      <c r="G2317" t="inlineStr">
        <is>
          <t>1</t>
        </is>
      </c>
      <c r="H2317" t="inlineStr">
        <is>
          <t>No</t>
        </is>
      </c>
      <c r="I2317" t="inlineStr">
        <is>
          <t>No</t>
        </is>
      </c>
      <c r="J2317" t="inlineStr">
        <is>
          <t>0</t>
        </is>
      </c>
      <c r="K2317" t="inlineStr">
        <is>
          <t>Ivins, Molly.</t>
        </is>
      </c>
      <c r="L2317" t="inlineStr">
        <is>
          <t>New York : Random House, c1993.</t>
        </is>
      </c>
      <c r="M2317" t="inlineStr">
        <is>
          <t>1993</t>
        </is>
      </c>
      <c r="N2317" t="inlineStr">
        <is>
          <t>1st ed.</t>
        </is>
      </c>
      <c r="O2317" t="inlineStr">
        <is>
          <t>eng</t>
        </is>
      </c>
      <c r="P2317" t="inlineStr">
        <is>
          <t>nyu</t>
        </is>
      </c>
      <c r="R2317" t="inlineStr">
        <is>
          <t xml:space="preserve">E  </t>
        </is>
      </c>
      <c r="S2317" t="n">
        <v>10</v>
      </c>
      <c r="T2317" t="n">
        <v>10</v>
      </c>
      <c r="U2317" t="inlineStr">
        <is>
          <t>1999-02-18</t>
        </is>
      </c>
      <c r="V2317" t="inlineStr">
        <is>
          <t>1999-02-18</t>
        </is>
      </c>
      <c r="W2317" t="inlineStr">
        <is>
          <t>1993-12-30</t>
        </is>
      </c>
      <c r="X2317" t="inlineStr">
        <is>
          <t>1993-12-30</t>
        </is>
      </c>
      <c r="Y2317" t="n">
        <v>1225</v>
      </c>
      <c r="Z2317" t="n">
        <v>1214</v>
      </c>
      <c r="AA2317" t="n">
        <v>1354</v>
      </c>
      <c r="AB2317" t="n">
        <v>8</v>
      </c>
      <c r="AC2317" t="n">
        <v>9</v>
      </c>
      <c r="AD2317" t="n">
        <v>10</v>
      </c>
      <c r="AE2317" t="n">
        <v>11</v>
      </c>
      <c r="AF2317" t="n">
        <v>2</v>
      </c>
      <c r="AG2317" t="n">
        <v>2</v>
      </c>
      <c r="AH2317" t="n">
        <v>2</v>
      </c>
      <c r="AI2317" t="n">
        <v>2</v>
      </c>
      <c r="AJ2317" t="n">
        <v>3</v>
      </c>
      <c r="AK2317" t="n">
        <v>3</v>
      </c>
      <c r="AL2317" t="n">
        <v>2</v>
      </c>
      <c r="AM2317" t="n">
        <v>3</v>
      </c>
      <c r="AN2317" t="n">
        <v>1</v>
      </c>
      <c r="AO2317" t="n">
        <v>1</v>
      </c>
      <c r="AP2317" t="inlineStr">
        <is>
          <t>No</t>
        </is>
      </c>
      <c r="AQ2317" t="inlineStr">
        <is>
          <t>Yes</t>
        </is>
      </c>
      <c r="AR2317">
        <f>HYPERLINK("http://catalog.hathitrust.org/Record/008318468","HathiTrust Record")</f>
        <v/>
      </c>
      <c r="AS2317">
        <f>HYPERLINK("https://creighton-primo.hosted.exlibrisgroup.com/primo-explore/search?tab=default_tab&amp;search_scope=EVERYTHING&amp;vid=01CRU&amp;lang=en_US&amp;offset=0&amp;query=any,contains,991002166259702656","Catalog Record")</f>
        <v/>
      </c>
      <c r="AT2317">
        <f>HYPERLINK("http://www.worldcat.org/oclc/27895985","WorldCat Record")</f>
        <v/>
      </c>
      <c r="AU2317" t="inlineStr">
        <is>
          <t>346664:eng</t>
        </is>
      </c>
      <c r="AV2317" t="inlineStr">
        <is>
          <t>27895985</t>
        </is>
      </c>
      <c r="AW2317" t="inlineStr">
        <is>
          <t>991002166259702656</t>
        </is>
      </c>
      <c r="AX2317" t="inlineStr">
        <is>
          <t>991002166259702656</t>
        </is>
      </c>
      <c r="AY2317" t="inlineStr">
        <is>
          <t>2261826820002656</t>
        </is>
      </c>
      <c r="AZ2317" t="inlineStr">
        <is>
          <t>BOOK</t>
        </is>
      </c>
      <c r="BB2317" t="inlineStr">
        <is>
          <t>9780679419150</t>
        </is>
      </c>
      <c r="BC2317" t="inlineStr">
        <is>
          <t>32285001818748</t>
        </is>
      </c>
      <c r="BD2317" t="inlineStr">
        <is>
          <t>893885922</t>
        </is>
      </c>
    </row>
    <row r="2318">
      <c r="A2318" t="inlineStr">
        <is>
          <t>No</t>
        </is>
      </c>
      <c r="B2318" t="inlineStr">
        <is>
          <t>E885 .I96 1998</t>
        </is>
      </c>
      <c r="C2318" t="inlineStr">
        <is>
          <t>0                      E  0885000I  96          1998</t>
        </is>
      </c>
      <c r="D2318" t="inlineStr">
        <is>
          <t>You got to dance with them what brung you : politics in the Clinton years / Molly Ivins.</t>
        </is>
      </c>
      <c r="F2318" t="inlineStr">
        <is>
          <t>No</t>
        </is>
      </c>
      <c r="G2318" t="inlineStr">
        <is>
          <t>1</t>
        </is>
      </c>
      <c r="H2318" t="inlineStr">
        <is>
          <t>No</t>
        </is>
      </c>
      <c r="I2318" t="inlineStr">
        <is>
          <t>No</t>
        </is>
      </c>
      <c r="J2318" t="inlineStr">
        <is>
          <t>0</t>
        </is>
      </c>
      <c r="K2318" t="inlineStr">
        <is>
          <t>Ivins, Molly.</t>
        </is>
      </c>
      <c r="L2318" t="inlineStr">
        <is>
          <t>New York : Random House, c1998.</t>
        </is>
      </c>
      <c r="M2318" t="inlineStr">
        <is>
          <t>1998</t>
        </is>
      </c>
      <c r="N2318" t="inlineStr">
        <is>
          <t>1st ed.</t>
        </is>
      </c>
      <c r="O2318" t="inlineStr">
        <is>
          <t>eng</t>
        </is>
      </c>
      <c r="P2318" t="inlineStr">
        <is>
          <t>nyu</t>
        </is>
      </c>
      <c r="R2318" t="inlineStr">
        <is>
          <t xml:space="preserve">E  </t>
        </is>
      </c>
      <c r="S2318" t="n">
        <v>3</v>
      </c>
      <c r="T2318" t="n">
        <v>3</v>
      </c>
      <c r="U2318" t="inlineStr">
        <is>
          <t>1999-02-18</t>
        </is>
      </c>
      <c r="V2318" t="inlineStr">
        <is>
          <t>1999-02-18</t>
        </is>
      </c>
      <c r="W2318" t="inlineStr">
        <is>
          <t>1998-06-08</t>
        </is>
      </c>
      <c r="X2318" t="inlineStr">
        <is>
          <t>1998-06-08</t>
        </is>
      </c>
      <c r="Y2318" t="n">
        <v>736</v>
      </c>
      <c r="Z2318" t="n">
        <v>729</v>
      </c>
      <c r="AA2318" t="n">
        <v>1239</v>
      </c>
      <c r="AB2318" t="n">
        <v>6</v>
      </c>
      <c r="AC2318" t="n">
        <v>6</v>
      </c>
      <c r="AD2318" t="n">
        <v>7</v>
      </c>
      <c r="AE2318" t="n">
        <v>11</v>
      </c>
      <c r="AF2318" t="n">
        <v>0</v>
      </c>
      <c r="AG2318" t="n">
        <v>1</v>
      </c>
      <c r="AH2318" t="n">
        <v>1</v>
      </c>
      <c r="AI2318" t="n">
        <v>1</v>
      </c>
      <c r="AJ2318" t="n">
        <v>6</v>
      </c>
      <c r="AK2318" t="n">
        <v>8</v>
      </c>
      <c r="AL2318" t="n">
        <v>1</v>
      </c>
      <c r="AM2318" t="n">
        <v>1</v>
      </c>
      <c r="AN2318" t="n">
        <v>0</v>
      </c>
      <c r="AO2318" t="n">
        <v>1</v>
      </c>
      <c r="AP2318" t="inlineStr">
        <is>
          <t>No</t>
        </is>
      </c>
      <c r="AQ2318" t="inlineStr">
        <is>
          <t>Yes</t>
        </is>
      </c>
      <c r="AR2318">
        <f>HYPERLINK("http://catalog.hathitrust.org/Record/009701305","HathiTrust Record")</f>
        <v/>
      </c>
      <c r="AS2318">
        <f>HYPERLINK("https://creighton-primo.hosted.exlibrisgroup.com/primo-explore/search?tab=default_tab&amp;search_scope=EVERYTHING&amp;vid=01CRU&amp;lang=en_US&amp;offset=0&amp;query=any,contains,991002858579702656","Catalog Record")</f>
        <v/>
      </c>
      <c r="AT2318">
        <f>HYPERLINK("http://www.worldcat.org/oclc/37675724","WorldCat Record")</f>
        <v/>
      </c>
      <c r="AU2318" t="inlineStr">
        <is>
          <t>42300905:eng</t>
        </is>
      </c>
      <c r="AV2318" t="inlineStr">
        <is>
          <t>37675724</t>
        </is>
      </c>
      <c r="AW2318" t="inlineStr">
        <is>
          <t>991002858579702656</t>
        </is>
      </c>
      <c r="AX2318" t="inlineStr">
        <is>
          <t>991002858579702656</t>
        </is>
      </c>
      <c r="AY2318" t="inlineStr">
        <is>
          <t>2266568950002656</t>
        </is>
      </c>
      <c r="AZ2318" t="inlineStr">
        <is>
          <t>BOOK</t>
        </is>
      </c>
      <c r="BB2318" t="inlineStr">
        <is>
          <t>9780679404460</t>
        </is>
      </c>
      <c r="BC2318" t="inlineStr">
        <is>
          <t>32285003413001</t>
        </is>
      </c>
      <c r="BD2318" t="inlineStr">
        <is>
          <t>893780325</t>
        </is>
      </c>
    </row>
    <row r="2319">
      <c r="A2319" t="inlineStr">
        <is>
          <t>No</t>
        </is>
      </c>
      <c r="B2319" t="inlineStr">
        <is>
          <t>E885 .K974 1998</t>
        </is>
      </c>
      <c r="C2319" t="inlineStr">
        <is>
          <t>0                      E  0885000K  974         1998</t>
        </is>
      </c>
      <c r="D2319" t="inlineStr">
        <is>
          <t>Spin cycle : inside the Clinton propaganda machine / Howard Kurtz.</t>
        </is>
      </c>
      <c r="F2319" t="inlineStr">
        <is>
          <t>No</t>
        </is>
      </c>
      <c r="G2319" t="inlineStr">
        <is>
          <t>1</t>
        </is>
      </c>
      <c r="H2319" t="inlineStr">
        <is>
          <t>No</t>
        </is>
      </c>
      <c r="I2319" t="inlineStr">
        <is>
          <t>No</t>
        </is>
      </c>
      <c r="J2319" t="inlineStr">
        <is>
          <t>0</t>
        </is>
      </c>
      <c r="K2319" t="inlineStr">
        <is>
          <t>Kurtz, Howard, 1953-</t>
        </is>
      </c>
      <c r="L2319" t="inlineStr">
        <is>
          <t>New York : Free Press, c1998.</t>
        </is>
      </c>
      <c r="M2319" t="inlineStr">
        <is>
          <t>1998</t>
        </is>
      </c>
      <c r="O2319" t="inlineStr">
        <is>
          <t>eng</t>
        </is>
      </c>
      <c r="P2319" t="inlineStr">
        <is>
          <t>nyu</t>
        </is>
      </c>
      <c r="R2319" t="inlineStr">
        <is>
          <t xml:space="preserve">E  </t>
        </is>
      </c>
      <c r="S2319" t="n">
        <v>1</v>
      </c>
      <c r="T2319" t="n">
        <v>1</v>
      </c>
      <c r="U2319" t="inlineStr">
        <is>
          <t>2003-02-01</t>
        </is>
      </c>
      <c r="V2319" t="inlineStr">
        <is>
          <t>2003-02-01</t>
        </is>
      </c>
      <c r="W2319" t="inlineStr">
        <is>
          <t>1998-06-24</t>
        </is>
      </c>
      <c r="X2319" t="inlineStr">
        <is>
          <t>1998-06-24</t>
        </is>
      </c>
      <c r="Y2319" t="n">
        <v>1517</v>
      </c>
      <c r="Z2319" t="n">
        <v>1426</v>
      </c>
      <c r="AA2319" t="n">
        <v>1440</v>
      </c>
      <c r="AB2319" t="n">
        <v>10</v>
      </c>
      <c r="AC2319" t="n">
        <v>10</v>
      </c>
      <c r="AD2319" t="n">
        <v>41</v>
      </c>
      <c r="AE2319" t="n">
        <v>41</v>
      </c>
      <c r="AF2319" t="n">
        <v>19</v>
      </c>
      <c r="AG2319" t="n">
        <v>19</v>
      </c>
      <c r="AH2319" t="n">
        <v>9</v>
      </c>
      <c r="AI2319" t="n">
        <v>9</v>
      </c>
      <c r="AJ2319" t="n">
        <v>15</v>
      </c>
      <c r="AK2319" t="n">
        <v>15</v>
      </c>
      <c r="AL2319" t="n">
        <v>5</v>
      </c>
      <c r="AM2319" t="n">
        <v>5</v>
      </c>
      <c r="AN2319" t="n">
        <v>1</v>
      </c>
      <c r="AO2319" t="n">
        <v>1</v>
      </c>
      <c r="AP2319" t="inlineStr">
        <is>
          <t>No</t>
        </is>
      </c>
      <c r="AQ2319" t="inlineStr">
        <is>
          <t>Yes</t>
        </is>
      </c>
      <c r="AR2319">
        <f>HYPERLINK("http://catalog.hathitrust.org/Record/003977812","HathiTrust Record")</f>
        <v/>
      </c>
      <c r="AS2319">
        <f>HYPERLINK("https://creighton-primo.hosted.exlibrisgroup.com/primo-explore/search?tab=default_tab&amp;search_scope=EVERYTHING&amp;vid=01CRU&amp;lang=en_US&amp;offset=0&amp;query=any,contains,991002904489702656","Catalog Record")</f>
        <v/>
      </c>
      <c r="AT2319">
        <f>HYPERLINK("http://www.worldcat.org/oclc/38304595","WorldCat Record")</f>
        <v/>
      </c>
      <c r="AU2319" t="inlineStr">
        <is>
          <t>2553468385:eng</t>
        </is>
      </c>
      <c r="AV2319" t="inlineStr">
        <is>
          <t>38304595</t>
        </is>
      </c>
      <c r="AW2319" t="inlineStr">
        <is>
          <t>991002904489702656</t>
        </is>
      </c>
      <c r="AX2319" t="inlineStr">
        <is>
          <t>991002904489702656</t>
        </is>
      </c>
      <c r="AY2319" t="inlineStr">
        <is>
          <t>2258566460002656</t>
        </is>
      </c>
      <c r="AZ2319" t="inlineStr">
        <is>
          <t>BOOK</t>
        </is>
      </c>
      <c r="BB2319" t="inlineStr">
        <is>
          <t>9780684852317</t>
        </is>
      </c>
      <c r="BC2319" t="inlineStr">
        <is>
          <t>32285003423588</t>
        </is>
      </c>
      <c r="BD2319" t="inlineStr">
        <is>
          <t>893239648</t>
        </is>
      </c>
    </row>
    <row r="2320">
      <c r="A2320" t="inlineStr">
        <is>
          <t>No</t>
        </is>
      </c>
      <c r="B2320" t="inlineStr">
        <is>
          <t>E885 .M37 1993</t>
        </is>
      </c>
      <c r="C2320" t="inlineStr">
        <is>
          <t>0                      E  0885000M  37          1993</t>
        </is>
      </c>
      <c r="D2320" t="inlineStr">
        <is>
          <t>Market liberalism : a paradigm for the 21st century / edited by David Boaz and Edward H. Crane.</t>
        </is>
      </c>
      <c r="F2320" t="inlineStr">
        <is>
          <t>No</t>
        </is>
      </c>
      <c r="G2320" t="inlineStr">
        <is>
          <t>1</t>
        </is>
      </c>
      <c r="H2320" t="inlineStr">
        <is>
          <t>No</t>
        </is>
      </c>
      <c r="I2320" t="inlineStr">
        <is>
          <t>No</t>
        </is>
      </c>
      <c r="J2320" t="inlineStr">
        <is>
          <t>0</t>
        </is>
      </c>
      <c r="L2320" t="inlineStr">
        <is>
          <t>Washington, D.C. : Cato Institute ; [Lanham, MD] : Distributed to the trade by National Book Network, c1993.</t>
        </is>
      </c>
      <c r="M2320" t="inlineStr">
        <is>
          <t>1993</t>
        </is>
      </c>
      <c r="O2320" t="inlineStr">
        <is>
          <t>eng</t>
        </is>
      </c>
      <c r="P2320" t="inlineStr">
        <is>
          <t>dcu</t>
        </is>
      </c>
      <c r="R2320" t="inlineStr">
        <is>
          <t xml:space="preserve">E  </t>
        </is>
      </c>
      <c r="S2320" t="n">
        <v>4</v>
      </c>
      <c r="T2320" t="n">
        <v>4</v>
      </c>
      <c r="U2320" t="inlineStr">
        <is>
          <t>1996-08-06</t>
        </is>
      </c>
      <c r="V2320" t="inlineStr">
        <is>
          <t>1996-08-06</t>
        </is>
      </c>
      <c r="W2320" t="inlineStr">
        <is>
          <t>1994-04-21</t>
        </is>
      </c>
      <c r="X2320" t="inlineStr">
        <is>
          <t>1994-04-21</t>
        </is>
      </c>
      <c r="Y2320" t="n">
        <v>499</v>
      </c>
      <c r="Z2320" t="n">
        <v>443</v>
      </c>
      <c r="AA2320" t="n">
        <v>458</v>
      </c>
      <c r="AB2320" t="n">
        <v>3</v>
      </c>
      <c r="AC2320" t="n">
        <v>3</v>
      </c>
      <c r="AD2320" t="n">
        <v>27</v>
      </c>
      <c r="AE2320" t="n">
        <v>28</v>
      </c>
      <c r="AF2320" t="n">
        <v>10</v>
      </c>
      <c r="AG2320" t="n">
        <v>11</v>
      </c>
      <c r="AH2320" t="n">
        <v>7</v>
      </c>
      <c r="AI2320" t="n">
        <v>7</v>
      </c>
      <c r="AJ2320" t="n">
        <v>12</v>
      </c>
      <c r="AK2320" t="n">
        <v>12</v>
      </c>
      <c r="AL2320" t="n">
        <v>2</v>
      </c>
      <c r="AM2320" t="n">
        <v>2</v>
      </c>
      <c r="AN2320" t="n">
        <v>2</v>
      </c>
      <c r="AO2320" t="n">
        <v>2</v>
      </c>
      <c r="AP2320" t="inlineStr">
        <is>
          <t>No</t>
        </is>
      </c>
      <c r="AQ2320" t="inlineStr">
        <is>
          <t>Yes</t>
        </is>
      </c>
      <c r="AR2320">
        <f>HYPERLINK("http://catalog.hathitrust.org/Record/002643682","HathiTrust Record")</f>
        <v/>
      </c>
      <c r="AS2320">
        <f>HYPERLINK("https://creighton-primo.hosted.exlibrisgroup.com/primo-explore/search?tab=default_tab&amp;search_scope=EVERYTHING&amp;vid=01CRU&amp;lang=en_US&amp;offset=0&amp;query=any,contains,991002130459702656","Catalog Record")</f>
        <v/>
      </c>
      <c r="AT2320">
        <f>HYPERLINK("http://www.worldcat.org/oclc/27267709","WorldCat Record")</f>
        <v/>
      </c>
      <c r="AU2320" t="inlineStr">
        <is>
          <t>368375644:eng</t>
        </is>
      </c>
      <c r="AV2320" t="inlineStr">
        <is>
          <t>27267709</t>
        </is>
      </c>
      <c r="AW2320" t="inlineStr">
        <is>
          <t>991002130459702656</t>
        </is>
      </c>
      <c r="AX2320" t="inlineStr">
        <is>
          <t>991002130459702656</t>
        </is>
      </c>
      <c r="AY2320" t="inlineStr">
        <is>
          <t>2270915670002656</t>
        </is>
      </c>
      <c r="AZ2320" t="inlineStr">
        <is>
          <t>BOOK</t>
        </is>
      </c>
      <c r="BB2320" t="inlineStr">
        <is>
          <t>9780932790972</t>
        </is>
      </c>
      <c r="BC2320" t="inlineStr">
        <is>
          <t>32285001876944</t>
        </is>
      </c>
      <c r="BD2320" t="inlineStr">
        <is>
          <t>893590949</t>
        </is>
      </c>
    </row>
    <row r="2321">
      <c r="A2321" t="inlineStr">
        <is>
          <t>No</t>
        </is>
      </c>
      <c r="B2321" t="inlineStr">
        <is>
          <t>E885 .R44 1996</t>
        </is>
      </c>
      <c r="C2321" t="inlineStr">
        <is>
          <t>0                      E  0885000R  44          1996</t>
        </is>
      </c>
      <c r="D2321" t="inlineStr">
        <is>
          <t>Running in place : how Bill Clinton disappointed America / Richard Reeves.</t>
        </is>
      </c>
      <c r="F2321" t="inlineStr">
        <is>
          <t>No</t>
        </is>
      </c>
      <c r="G2321" t="inlineStr">
        <is>
          <t>1</t>
        </is>
      </c>
      <c r="H2321" t="inlineStr">
        <is>
          <t>No</t>
        </is>
      </c>
      <c r="I2321" t="inlineStr">
        <is>
          <t>No</t>
        </is>
      </c>
      <c r="J2321" t="inlineStr">
        <is>
          <t>0</t>
        </is>
      </c>
      <c r="K2321" t="inlineStr">
        <is>
          <t>Reeves, Richard.</t>
        </is>
      </c>
      <c r="L2321" t="inlineStr">
        <is>
          <t>Kansas City : Andrews and McMeel, c1996.</t>
        </is>
      </c>
      <c r="M2321" t="inlineStr">
        <is>
          <t>1996</t>
        </is>
      </c>
      <c r="O2321" t="inlineStr">
        <is>
          <t>eng</t>
        </is>
      </c>
      <c r="P2321" t="inlineStr">
        <is>
          <t>mou</t>
        </is>
      </c>
      <c r="R2321" t="inlineStr">
        <is>
          <t xml:space="preserve">E  </t>
        </is>
      </c>
      <c r="S2321" t="n">
        <v>6</v>
      </c>
      <c r="T2321" t="n">
        <v>6</v>
      </c>
      <c r="U2321" t="inlineStr">
        <is>
          <t>1996-11-03</t>
        </is>
      </c>
      <c r="V2321" t="inlineStr">
        <is>
          <t>1996-11-03</t>
        </is>
      </c>
      <c r="W2321" t="inlineStr">
        <is>
          <t>1996-09-05</t>
        </is>
      </c>
      <c r="X2321" t="inlineStr">
        <is>
          <t>1996-09-05</t>
        </is>
      </c>
      <c r="Y2321" t="n">
        <v>281</v>
      </c>
      <c r="Z2321" t="n">
        <v>274</v>
      </c>
      <c r="AA2321" t="n">
        <v>281</v>
      </c>
      <c r="AB2321" t="n">
        <v>3</v>
      </c>
      <c r="AC2321" t="n">
        <v>3</v>
      </c>
      <c r="AD2321" t="n">
        <v>6</v>
      </c>
      <c r="AE2321" t="n">
        <v>6</v>
      </c>
      <c r="AF2321" t="n">
        <v>1</v>
      </c>
      <c r="AG2321" t="n">
        <v>1</v>
      </c>
      <c r="AH2321" t="n">
        <v>1</v>
      </c>
      <c r="AI2321" t="n">
        <v>1</v>
      </c>
      <c r="AJ2321" t="n">
        <v>5</v>
      </c>
      <c r="AK2321" t="n">
        <v>5</v>
      </c>
      <c r="AL2321" t="n">
        <v>1</v>
      </c>
      <c r="AM2321" t="n">
        <v>1</v>
      </c>
      <c r="AN2321" t="n">
        <v>0</v>
      </c>
      <c r="AO2321" t="n">
        <v>0</v>
      </c>
      <c r="AP2321" t="inlineStr">
        <is>
          <t>No</t>
        </is>
      </c>
      <c r="AQ2321" t="inlineStr">
        <is>
          <t>Yes</t>
        </is>
      </c>
      <c r="AR2321">
        <f>HYPERLINK("http://catalog.hathitrust.org/Record/008574895","HathiTrust Record")</f>
        <v/>
      </c>
      <c r="AS2321">
        <f>HYPERLINK("https://creighton-primo.hosted.exlibrisgroup.com/primo-explore/search?tab=default_tab&amp;search_scope=EVERYTHING&amp;vid=01CRU&amp;lang=en_US&amp;offset=0&amp;query=any,contains,991002581319702656","Catalog Record")</f>
        <v/>
      </c>
      <c r="AT2321">
        <f>HYPERLINK("http://www.worldcat.org/oclc/33819988","WorldCat Record")</f>
        <v/>
      </c>
      <c r="AU2321" t="inlineStr">
        <is>
          <t>502673256:eng</t>
        </is>
      </c>
      <c r="AV2321" t="inlineStr">
        <is>
          <t>33819988</t>
        </is>
      </c>
      <c r="AW2321" t="inlineStr">
        <is>
          <t>991002581319702656</t>
        </is>
      </c>
      <c r="AX2321" t="inlineStr">
        <is>
          <t>991002581319702656</t>
        </is>
      </c>
      <c r="AY2321" t="inlineStr">
        <is>
          <t>2271314890002656</t>
        </is>
      </c>
      <c r="AZ2321" t="inlineStr">
        <is>
          <t>BOOK</t>
        </is>
      </c>
      <c r="BB2321" t="inlineStr">
        <is>
          <t>9780836210910</t>
        </is>
      </c>
      <c r="BC2321" t="inlineStr">
        <is>
          <t>32285002294600</t>
        </is>
      </c>
      <c r="BD2321" t="inlineStr">
        <is>
          <t>893798748</t>
        </is>
      </c>
    </row>
    <row r="2322">
      <c r="A2322" t="inlineStr">
        <is>
          <t>No</t>
        </is>
      </c>
      <c r="B2322" t="inlineStr">
        <is>
          <t>E885 .S25 2004</t>
        </is>
      </c>
      <c r="C2322" t="inlineStr">
        <is>
          <t>0                      E  0885000S  25          2004</t>
        </is>
      </c>
      <c r="D2322" t="inlineStr">
        <is>
          <t>From Oslo to Iraq and the road map / Edward W. Said ; foreword by Tony Judt ; afterword by Wadie E. Said.</t>
        </is>
      </c>
      <c r="F2322" t="inlineStr">
        <is>
          <t>No</t>
        </is>
      </c>
      <c r="G2322" t="inlineStr">
        <is>
          <t>1</t>
        </is>
      </c>
      <c r="H2322" t="inlineStr">
        <is>
          <t>No</t>
        </is>
      </c>
      <c r="I2322" t="inlineStr">
        <is>
          <t>No</t>
        </is>
      </c>
      <c r="J2322" t="inlineStr">
        <is>
          <t>0</t>
        </is>
      </c>
      <c r="K2322" t="inlineStr">
        <is>
          <t>Said, Edward W.</t>
        </is>
      </c>
      <c r="L2322" t="inlineStr">
        <is>
          <t>New York : Pantheon Books, c2004.</t>
        </is>
      </c>
      <c r="M2322" t="inlineStr">
        <is>
          <t>2004</t>
        </is>
      </c>
      <c r="N2322" t="inlineStr">
        <is>
          <t>1st ed.</t>
        </is>
      </c>
      <c r="O2322" t="inlineStr">
        <is>
          <t>eng</t>
        </is>
      </c>
      <c r="P2322" t="inlineStr">
        <is>
          <t>nyu</t>
        </is>
      </c>
      <c r="R2322" t="inlineStr">
        <is>
          <t xml:space="preserve">E  </t>
        </is>
      </c>
      <c r="S2322" t="n">
        <v>1</v>
      </c>
      <c r="T2322" t="n">
        <v>1</v>
      </c>
      <c r="U2322" t="inlineStr">
        <is>
          <t>2004-10-13</t>
        </is>
      </c>
      <c r="V2322" t="inlineStr">
        <is>
          <t>2004-10-13</t>
        </is>
      </c>
      <c r="W2322" t="inlineStr">
        <is>
          <t>2004-10-13</t>
        </is>
      </c>
      <c r="X2322" t="inlineStr">
        <is>
          <t>2004-10-13</t>
        </is>
      </c>
      <c r="Y2322" t="n">
        <v>527</v>
      </c>
      <c r="Z2322" t="n">
        <v>436</v>
      </c>
      <c r="AA2322" t="n">
        <v>506</v>
      </c>
      <c r="AB2322" t="n">
        <v>3</v>
      </c>
      <c r="AC2322" t="n">
        <v>3</v>
      </c>
      <c r="AD2322" t="n">
        <v>18</v>
      </c>
      <c r="AE2322" t="n">
        <v>20</v>
      </c>
      <c r="AF2322" t="n">
        <v>4</v>
      </c>
      <c r="AG2322" t="n">
        <v>5</v>
      </c>
      <c r="AH2322" t="n">
        <v>6</v>
      </c>
      <c r="AI2322" t="n">
        <v>7</v>
      </c>
      <c r="AJ2322" t="n">
        <v>11</v>
      </c>
      <c r="AK2322" t="n">
        <v>11</v>
      </c>
      <c r="AL2322" t="n">
        <v>2</v>
      </c>
      <c r="AM2322" t="n">
        <v>2</v>
      </c>
      <c r="AN2322" t="n">
        <v>0</v>
      </c>
      <c r="AO2322" t="n">
        <v>0</v>
      </c>
      <c r="AP2322" t="inlineStr">
        <is>
          <t>No</t>
        </is>
      </c>
      <c r="AQ2322" t="inlineStr">
        <is>
          <t>Yes</t>
        </is>
      </c>
      <c r="AR2322">
        <f>HYPERLINK("http://catalog.hathitrust.org/Record/004741698","HathiTrust Record")</f>
        <v/>
      </c>
      <c r="AS2322">
        <f>HYPERLINK("https://creighton-primo.hosted.exlibrisgroup.com/primo-explore/search?tab=default_tab&amp;search_scope=EVERYTHING&amp;vid=01CRU&amp;lang=en_US&amp;offset=0&amp;query=any,contains,991004376509702656","Catalog Record")</f>
        <v/>
      </c>
      <c r="AT2322">
        <f>HYPERLINK("http://www.worldcat.org/oclc/54022643","WorldCat Record")</f>
        <v/>
      </c>
      <c r="AU2322" t="inlineStr">
        <is>
          <t>1527:eng</t>
        </is>
      </c>
      <c r="AV2322" t="inlineStr">
        <is>
          <t>54022643</t>
        </is>
      </c>
      <c r="AW2322" t="inlineStr">
        <is>
          <t>991004376509702656</t>
        </is>
      </c>
      <c r="AX2322" t="inlineStr">
        <is>
          <t>991004376509702656</t>
        </is>
      </c>
      <c r="AY2322" t="inlineStr">
        <is>
          <t>2257606370002656</t>
        </is>
      </c>
      <c r="AZ2322" t="inlineStr">
        <is>
          <t>BOOK</t>
        </is>
      </c>
      <c r="BB2322" t="inlineStr">
        <is>
          <t>9780375422874</t>
        </is>
      </c>
      <c r="BC2322" t="inlineStr">
        <is>
          <t>32285005003388</t>
        </is>
      </c>
      <c r="BD2322" t="inlineStr">
        <is>
          <t>893876020</t>
        </is>
      </c>
    </row>
    <row r="2323">
      <c r="A2323" t="inlineStr">
        <is>
          <t>No</t>
        </is>
      </c>
      <c r="B2323" t="inlineStr">
        <is>
          <t>E885 .S63 2000</t>
        </is>
      </c>
      <c r="C2323" t="inlineStr">
        <is>
          <t>0                      E  0885000S  63          2000</t>
        </is>
      </c>
      <c r="D2323" t="inlineStr">
        <is>
          <t>Talk to me : listening between the lines / Anna Deavere Smith.</t>
        </is>
      </c>
      <c r="F2323" t="inlineStr">
        <is>
          <t>No</t>
        </is>
      </c>
      <c r="G2323" t="inlineStr">
        <is>
          <t>1</t>
        </is>
      </c>
      <c r="H2323" t="inlineStr">
        <is>
          <t>No</t>
        </is>
      </c>
      <c r="I2323" t="inlineStr">
        <is>
          <t>No</t>
        </is>
      </c>
      <c r="J2323" t="inlineStr">
        <is>
          <t>0</t>
        </is>
      </c>
      <c r="K2323" t="inlineStr">
        <is>
          <t>Smith, Anna Deavere.</t>
        </is>
      </c>
      <c r="L2323" t="inlineStr">
        <is>
          <t>New York : Random House, c2000.</t>
        </is>
      </c>
      <c r="M2323" t="inlineStr">
        <is>
          <t>2000</t>
        </is>
      </c>
      <c r="N2323" t="inlineStr">
        <is>
          <t>1st ed.</t>
        </is>
      </c>
      <c r="O2323" t="inlineStr">
        <is>
          <t>eng</t>
        </is>
      </c>
      <c r="P2323" t="inlineStr">
        <is>
          <t>nyu</t>
        </is>
      </c>
      <c r="R2323" t="inlineStr">
        <is>
          <t xml:space="preserve">E  </t>
        </is>
      </c>
      <c r="S2323" t="n">
        <v>3</v>
      </c>
      <c r="T2323" t="n">
        <v>3</v>
      </c>
      <c r="U2323" t="inlineStr">
        <is>
          <t>2001-02-02</t>
        </is>
      </c>
      <c r="V2323" t="inlineStr">
        <is>
          <t>2001-02-02</t>
        </is>
      </c>
      <c r="W2323" t="inlineStr">
        <is>
          <t>2000-12-19</t>
        </is>
      </c>
      <c r="X2323" t="inlineStr">
        <is>
          <t>2000-12-19</t>
        </is>
      </c>
      <c r="Y2323" t="n">
        <v>515</v>
      </c>
      <c r="Z2323" t="n">
        <v>499</v>
      </c>
      <c r="AA2323" t="n">
        <v>540</v>
      </c>
      <c r="AB2323" t="n">
        <v>4</v>
      </c>
      <c r="AC2323" t="n">
        <v>5</v>
      </c>
      <c r="AD2323" t="n">
        <v>21</v>
      </c>
      <c r="AE2323" t="n">
        <v>23</v>
      </c>
      <c r="AF2323" t="n">
        <v>7</v>
      </c>
      <c r="AG2323" t="n">
        <v>8</v>
      </c>
      <c r="AH2323" t="n">
        <v>6</v>
      </c>
      <c r="AI2323" t="n">
        <v>6</v>
      </c>
      <c r="AJ2323" t="n">
        <v>10</v>
      </c>
      <c r="AK2323" t="n">
        <v>10</v>
      </c>
      <c r="AL2323" t="n">
        <v>3</v>
      </c>
      <c r="AM2323" t="n">
        <v>4</v>
      </c>
      <c r="AN2323" t="n">
        <v>0</v>
      </c>
      <c r="AO2323" t="n">
        <v>0</v>
      </c>
      <c r="AP2323" t="inlineStr">
        <is>
          <t>No</t>
        </is>
      </c>
      <c r="AQ2323" t="inlineStr">
        <is>
          <t>Yes</t>
        </is>
      </c>
      <c r="AR2323">
        <f>HYPERLINK("http://catalog.hathitrust.org/Record/004129711","HathiTrust Record")</f>
        <v/>
      </c>
      <c r="AS2323">
        <f>HYPERLINK("https://creighton-primo.hosted.exlibrisgroup.com/primo-explore/search?tab=default_tab&amp;search_scope=EVERYTHING&amp;vid=01CRU&amp;lang=en_US&amp;offset=0&amp;query=any,contains,991003361199702656","Catalog Record")</f>
        <v/>
      </c>
      <c r="AT2323">
        <f>HYPERLINK("http://www.worldcat.org/oclc/44613006","WorldCat Record")</f>
        <v/>
      </c>
      <c r="AU2323" t="inlineStr">
        <is>
          <t>793833651:eng</t>
        </is>
      </c>
      <c r="AV2323" t="inlineStr">
        <is>
          <t>44613006</t>
        </is>
      </c>
      <c r="AW2323" t="inlineStr">
        <is>
          <t>991003361199702656</t>
        </is>
      </c>
      <c r="AX2323" t="inlineStr">
        <is>
          <t>991003361199702656</t>
        </is>
      </c>
      <c r="AY2323" t="inlineStr">
        <is>
          <t>2260847070002656</t>
        </is>
      </c>
      <c r="AZ2323" t="inlineStr">
        <is>
          <t>BOOK</t>
        </is>
      </c>
      <c r="BB2323" t="inlineStr">
        <is>
          <t>9780375501500</t>
        </is>
      </c>
      <c r="BC2323" t="inlineStr">
        <is>
          <t>32285004277603</t>
        </is>
      </c>
      <c r="BD2323" t="inlineStr">
        <is>
          <t>893336420</t>
        </is>
      </c>
    </row>
    <row r="2324">
      <c r="A2324" t="inlineStr">
        <is>
          <t>No</t>
        </is>
      </c>
      <c r="B2324" t="inlineStr">
        <is>
          <t>E885 .S82 1997</t>
        </is>
      </c>
      <c r="C2324" t="inlineStr">
        <is>
          <t>0                      E  0885000S  82          1997</t>
        </is>
      </c>
      <c r="D2324" t="inlineStr">
        <is>
          <t>Late-breaking foreign policy : the news media's influence on peace operations / Warren P. Strobel.</t>
        </is>
      </c>
      <c r="F2324" t="inlineStr">
        <is>
          <t>No</t>
        </is>
      </c>
      <c r="G2324" t="inlineStr">
        <is>
          <t>1</t>
        </is>
      </c>
      <c r="H2324" t="inlineStr">
        <is>
          <t>No</t>
        </is>
      </c>
      <c r="I2324" t="inlineStr">
        <is>
          <t>No</t>
        </is>
      </c>
      <c r="J2324" t="inlineStr">
        <is>
          <t>0</t>
        </is>
      </c>
      <c r="K2324" t="inlineStr">
        <is>
          <t>Strobel, Warren P., 1962-</t>
        </is>
      </c>
      <c r="L2324" t="inlineStr">
        <is>
          <t>Washington, DC: U.S. Institute of Peace Press, 1997.</t>
        </is>
      </c>
      <c r="M2324" t="inlineStr">
        <is>
          <t>1997</t>
        </is>
      </c>
      <c r="O2324" t="inlineStr">
        <is>
          <t>eng</t>
        </is>
      </c>
      <c r="P2324" t="inlineStr">
        <is>
          <t>dcu</t>
        </is>
      </c>
      <c r="R2324" t="inlineStr">
        <is>
          <t xml:space="preserve">E  </t>
        </is>
      </c>
      <c r="S2324" t="n">
        <v>4</v>
      </c>
      <c r="T2324" t="n">
        <v>4</v>
      </c>
      <c r="U2324" t="inlineStr">
        <is>
          <t>2001-04-26</t>
        </is>
      </c>
      <c r="V2324" t="inlineStr">
        <is>
          <t>2001-04-26</t>
        </is>
      </c>
      <c r="W2324" t="inlineStr">
        <is>
          <t>1997-06-17</t>
        </is>
      </c>
      <c r="X2324" t="inlineStr">
        <is>
          <t>1997-06-17</t>
        </is>
      </c>
      <c r="Y2324" t="n">
        <v>523</v>
      </c>
      <c r="Z2324" t="n">
        <v>414</v>
      </c>
      <c r="AA2324" t="n">
        <v>569</v>
      </c>
      <c r="AB2324" t="n">
        <v>2</v>
      </c>
      <c r="AC2324" t="n">
        <v>3</v>
      </c>
      <c r="AD2324" t="n">
        <v>26</v>
      </c>
      <c r="AE2324" t="n">
        <v>32</v>
      </c>
      <c r="AF2324" t="n">
        <v>12</v>
      </c>
      <c r="AG2324" t="n">
        <v>13</v>
      </c>
      <c r="AH2324" t="n">
        <v>7</v>
      </c>
      <c r="AI2324" t="n">
        <v>7</v>
      </c>
      <c r="AJ2324" t="n">
        <v>14</v>
      </c>
      <c r="AK2324" t="n">
        <v>15</v>
      </c>
      <c r="AL2324" t="n">
        <v>1</v>
      </c>
      <c r="AM2324" t="n">
        <v>2</v>
      </c>
      <c r="AN2324" t="n">
        <v>0</v>
      </c>
      <c r="AO2324" t="n">
        <v>3</v>
      </c>
      <c r="AP2324" t="inlineStr">
        <is>
          <t>No</t>
        </is>
      </c>
      <c r="AQ2324" t="inlineStr">
        <is>
          <t>Yes</t>
        </is>
      </c>
      <c r="AR2324">
        <f>HYPERLINK("http://catalog.hathitrust.org/Record/003170761","HathiTrust Record")</f>
        <v/>
      </c>
      <c r="AS2324">
        <f>HYPERLINK("https://creighton-primo.hosted.exlibrisgroup.com/primo-explore/search?tab=default_tab&amp;search_scope=EVERYTHING&amp;vid=01CRU&amp;lang=en_US&amp;offset=0&amp;query=any,contains,991002775209702656","Catalog Record")</f>
        <v/>
      </c>
      <c r="AT2324">
        <f>HYPERLINK("http://www.worldcat.org/oclc/36438922","WorldCat Record")</f>
        <v/>
      </c>
      <c r="AU2324" t="inlineStr">
        <is>
          <t>697855:eng</t>
        </is>
      </c>
      <c r="AV2324" t="inlineStr">
        <is>
          <t>36438922</t>
        </is>
      </c>
      <c r="AW2324" t="inlineStr">
        <is>
          <t>991002775209702656</t>
        </is>
      </c>
      <c r="AX2324" t="inlineStr">
        <is>
          <t>991002775209702656</t>
        </is>
      </c>
      <c r="AY2324" t="inlineStr">
        <is>
          <t>2272151480002656</t>
        </is>
      </c>
      <c r="AZ2324" t="inlineStr">
        <is>
          <t>BOOK</t>
        </is>
      </c>
      <c r="BB2324" t="inlineStr">
        <is>
          <t>9781878379672</t>
        </is>
      </c>
      <c r="BC2324" t="inlineStr">
        <is>
          <t>32285002751831</t>
        </is>
      </c>
      <c r="BD2324" t="inlineStr">
        <is>
          <t>893347910</t>
        </is>
      </c>
    </row>
    <row r="2325">
      <c r="A2325" t="inlineStr">
        <is>
          <t>No</t>
        </is>
      </c>
      <c r="B2325" t="inlineStr">
        <is>
          <t>E885 .W55 2002</t>
        </is>
      </c>
      <c r="C2325" t="inlineStr">
        <is>
          <t>0                      E  0885000W  55          2002</t>
        </is>
      </c>
      <c r="D2325" t="inlineStr">
        <is>
          <t>With a happy eye but... : America and the world, 1997-2002 / George F. Will.</t>
        </is>
      </c>
      <c r="F2325" t="inlineStr">
        <is>
          <t>No</t>
        </is>
      </c>
      <c r="G2325" t="inlineStr">
        <is>
          <t>1</t>
        </is>
      </c>
      <c r="H2325" t="inlineStr">
        <is>
          <t>No</t>
        </is>
      </c>
      <c r="I2325" t="inlineStr">
        <is>
          <t>No</t>
        </is>
      </c>
      <c r="J2325" t="inlineStr">
        <is>
          <t>0</t>
        </is>
      </c>
      <c r="K2325" t="inlineStr">
        <is>
          <t>Will, George F.</t>
        </is>
      </c>
      <c r="L2325" t="inlineStr">
        <is>
          <t>New York : Free Press, c2002.</t>
        </is>
      </c>
      <c r="M2325" t="inlineStr">
        <is>
          <t>2002</t>
        </is>
      </c>
      <c r="O2325" t="inlineStr">
        <is>
          <t>eng</t>
        </is>
      </c>
      <c r="P2325" t="inlineStr">
        <is>
          <t>nyu</t>
        </is>
      </c>
      <c r="R2325" t="inlineStr">
        <is>
          <t xml:space="preserve">E  </t>
        </is>
      </c>
      <c r="S2325" t="n">
        <v>2</v>
      </c>
      <c r="T2325" t="n">
        <v>2</v>
      </c>
      <c r="U2325" t="inlineStr">
        <is>
          <t>2002-10-29</t>
        </is>
      </c>
      <c r="V2325" t="inlineStr">
        <is>
          <t>2002-10-29</t>
        </is>
      </c>
      <c r="W2325" t="inlineStr">
        <is>
          <t>2002-10-29</t>
        </is>
      </c>
      <c r="X2325" t="inlineStr">
        <is>
          <t>2002-10-29</t>
        </is>
      </c>
      <c r="Y2325" t="n">
        <v>660</v>
      </c>
      <c r="Z2325" t="n">
        <v>640</v>
      </c>
      <c r="AA2325" t="n">
        <v>663</v>
      </c>
      <c r="AB2325" t="n">
        <v>3</v>
      </c>
      <c r="AC2325" t="n">
        <v>3</v>
      </c>
      <c r="AD2325" t="n">
        <v>13</v>
      </c>
      <c r="AE2325" t="n">
        <v>13</v>
      </c>
      <c r="AF2325" t="n">
        <v>6</v>
      </c>
      <c r="AG2325" t="n">
        <v>6</v>
      </c>
      <c r="AH2325" t="n">
        <v>1</v>
      </c>
      <c r="AI2325" t="n">
        <v>1</v>
      </c>
      <c r="AJ2325" t="n">
        <v>7</v>
      </c>
      <c r="AK2325" t="n">
        <v>7</v>
      </c>
      <c r="AL2325" t="n">
        <v>2</v>
      </c>
      <c r="AM2325" t="n">
        <v>2</v>
      </c>
      <c r="AN2325" t="n">
        <v>0</v>
      </c>
      <c r="AO2325" t="n">
        <v>0</v>
      </c>
      <c r="AP2325" t="inlineStr">
        <is>
          <t>No</t>
        </is>
      </c>
      <c r="AQ2325" t="inlineStr">
        <is>
          <t>Yes</t>
        </is>
      </c>
      <c r="AR2325">
        <f>HYPERLINK("http://catalog.hathitrust.org/Record/004275498","HathiTrust Record")</f>
        <v/>
      </c>
      <c r="AS2325">
        <f>HYPERLINK("https://creighton-primo.hosted.exlibrisgroup.com/primo-explore/search?tab=default_tab&amp;search_scope=EVERYTHING&amp;vid=01CRU&amp;lang=en_US&amp;offset=0&amp;query=any,contains,991003907679702656","Catalog Record")</f>
        <v/>
      </c>
      <c r="AT2325">
        <f>HYPERLINK("http://www.worldcat.org/oclc/49894603","WorldCat Record")</f>
        <v/>
      </c>
      <c r="AU2325" t="inlineStr">
        <is>
          <t>741484:eng</t>
        </is>
      </c>
      <c r="AV2325" t="inlineStr">
        <is>
          <t>49894603</t>
        </is>
      </c>
      <c r="AW2325" t="inlineStr">
        <is>
          <t>991003907679702656</t>
        </is>
      </c>
      <c r="AX2325" t="inlineStr">
        <is>
          <t>991003907679702656</t>
        </is>
      </c>
      <c r="AY2325" t="inlineStr">
        <is>
          <t>2258595490002656</t>
        </is>
      </c>
      <c r="AZ2325" t="inlineStr">
        <is>
          <t>BOOK</t>
        </is>
      </c>
      <c r="BB2325" t="inlineStr">
        <is>
          <t>9780684838212</t>
        </is>
      </c>
      <c r="BC2325" t="inlineStr">
        <is>
          <t>32285004659099</t>
        </is>
      </c>
      <c r="BD2325" t="inlineStr">
        <is>
          <t>893423137</t>
        </is>
      </c>
    </row>
    <row r="2326">
      <c r="A2326" t="inlineStr">
        <is>
          <t>No</t>
        </is>
      </c>
      <c r="B2326" t="inlineStr">
        <is>
          <t>E886 .C5784 2000</t>
        </is>
      </c>
      <c r="C2326" t="inlineStr">
        <is>
          <t>0                      E  0886000C  5784        2000</t>
        </is>
      </c>
      <c r="D2326" t="inlineStr">
        <is>
          <t>The Clinton scandal and the future of American government / edited by Mark J. Rozell and Clyde Wilcox.</t>
        </is>
      </c>
      <c r="F2326" t="inlineStr">
        <is>
          <t>No</t>
        </is>
      </c>
      <c r="G2326" t="inlineStr">
        <is>
          <t>1</t>
        </is>
      </c>
      <c r="H2326" t="inlineStr">
        <is>
          <t>No</t>
        </is>
      </c>
      <c r="I2326" t="inlineStr">
        <is>
          <t>No</t>
        </is>
      </c>
      <c r="J2326" t="inlineStr">
        <is>
          <t>0</t>
        </is>
      </c>
      <c r="L2326" t="inlineStr">
        <is>
          <t>Washington, D.C. : Georgetown University Press, c2000.</t>
        </is>
      </c>
      <c r="M2326" t="inlineStr">
        <is>
          <t>2000</t>
        </is>
      </c>
      <c r="O2326" t="inlineStr">
        <is>
          <t>eng</t>
        </is>
      </c>
      <c r="P2326" t="inlineStr">
        <is>
          <t>dcu</t>
        </is>
      </c>
      <c r="R2326" t="inlineStr">
        <is>
          <t xml:space="preserve">E  </t>
        </is>
      </c>
      <c r="S2326" t="n">
        <v>10</v>
      </c>
      <c r="T2326" t="n">
        <v>10</v>
      </c>
      <c r="U2326" t="inlineStr">
        <is>
          <t>2003-04-30</t>
        </is>
      </c>
      <c r="V2326" t="inlineStr">
        <is>
          <t>2003-04-30</t>
        </is>
      </c>
      <c r="W2326" t="inlineStr">
        <is>
          <t>2001-03-27</t>
        </is>
      </c>
      <c r="X2326" t="inlineStr">
        <is>
          <t>2001-03-27</t>
        </is>
      </c>
      <c r="Y2326" t="n">
        <v>653</v>
      </c>
      <c r="Z2326" t="n">
        <v>593</v>
      </c>
      <c r="AA2326" t="n">
        <v>599</v>
      </c>
      <c r="AB2326" t="n">
        <v>4</v>
      </c>
      <c r="AC2326" t="n">
        <v>4</v>
      </c>
      <c r="AD2326" t="n">
        <v>32</v>
      </c>
      <c r="AE2326" t="n">
        <v>32</v>
      </c>
      <c r="AF2326" t="n">
        <v>12</v>
      </c>
      <c r="AG2326" t="n">
        <v>12</v>
      </c>
      <c r="AH2326" t="n">
        <v>7</v>
      </c>
      <c r="AI2326" t="n">
        <v>7</v>
      </c>
      <c r="AJ2326" t="n">
        <v>15</v>
      </c>
      <c r="AK2326" t="n">
        <v>15</v>
      </c>
      <c r="AL2326" t="n">
        <v>3</v>
      </c>
      <c r="AM2326" t="n">
        <v>3</v>
      </c>
      <c r="AN2326" t="n">
        <v>3</v>
      </c>
      <c r="AO2326" t="n">
        <v>3</v>
      </c>
      <c r="AP2326" t="inlineStr">
        <is>
          <t>No</t>
        </is>
      </c>
      <c r="AQ2326" t="inlineStr">
        <is>
          <t>Yes</t>
        </is>
      </c>
      <c r="AR2326">
        <f>HYPERLINK("http://catalog.hathitrust.org/Record/004071823","HathiTrust Record")</f>
        <v/>
      </c>
      <c r="AS2326">
        <f>HYPERLINK("https://creighton-primo.hosted.exlibrisgroup.com/primo-explore/search?tab=default_tab&amp;search_scope=EVERYTHING&amp;vid=01CRU&amp;lang=en_US&amp;offset=0&amp;query=any,contains,991003499759702656","Catalog Record")</f>
        <v/>
      </c>
      <c r="AT2326">
        <f>HYPERLINK("http://www.worldcat.org/oclc/41880305","WorldCat Record")</f>
        <v/>
      </c>
      <c r="AU2326" t="inlineStr">
        <is>
          <t>346332847:eng</t>
        </is>
      </c>
      <c r="AV2326" t="inlineStr">
        <is>
          <t>41880305</t>
        </is>
      </c>
      <c r="AW2326" t="inlineStr">
        <is>
          <t>991003499759702656</t>
        </is>
      </c>
      <c r="AX2326" t="inlineStr">
        <is>
          <t>991003499759702656</t>
        </is>
      </c>
      <c r="AY2326" t="inlineStr">
        <is>
          <t>2258301940002656</t>
        </is>
      </c>
      <c r="AZ2326" t="inlineStr">
        <is>
          <t>BOOK</t>
        </is>
      </c>
      <c r="BB2326" t="inlineStr">
        <is>
          <t>9780878407767</t>
        </is>
      </c>
      <c r="BC2326" t="inlineStr">
        <is>
          <t>32285004307897</t>
        </is>
      </c>
      <c r="BD2326" t="inlineStr">
        <is>
          <t>893228099</t>
        </is>
      </c>
    </row>
    <row r="2327">
      <c r="A2327" t="inlineStr">
        <is>
          <t>No</t>
        </is>
      </c>
      <c r="B2327" t="inlineStr">
        <is>
          <t>E886 .M29 1995</t>
        </is>
      </c>
      <c r="C2327" t="inlineStr">
        <is>
          <t>0                      E  0886000M  29          1995</t>
        </is>
      </c>
      <c r="D2327" t="inlineStr">
        <is>
          <t>First in his class : a biography of Bill Clinton / David Maraniss.</t>
        </is>
      </c>
      <c r="F2327" t="inlineStr">
        <is>
          <t>No</t>
        </is>
      </c>
      <c r="G2327" t="inlineStr">
        <is>
          <t>1</t>
        </is>
      </c>
      <c r="H2327" t="inlineStr">
        <is>
          <t>No</t>
        </is>
      </c>
      <c r="I2327" t="inlineStr">
        <is>
          <t>No</t>
        </is>
      </c>
      <c r="J2327" t="inlineStr">
        <is>
          <t>0</t>
        </is>
      </c>
      <c r="K2327" t="inlineStr">
        <is>
          <t>Maraniss, David.</t>
        </is>
      </c>
      <c r="L2327" t="inlineStr">
        <is>
          <t>New York : Simon &amp; Schuster, c1995.</t>
        </is>
      </c>
      <c r="M2327" t="inlineStr">
        <is>
          <t>1995</t>
        </is>
      </c>
      <c r="O2327" t="inlineStr">
        <is>
          <t>eng</t>
        </is>
      </c>
      <c r="P2327" t="inlineStr">
        <is>
          <t>nyu</t>
        </is>
      </c>
      <c r="R2327" t="inlineStr">
        <is>
          <t xml:space="preserve">E  </t>
        </is>
      </c>
      <c r="S2327" t="n">
        <v>7</v>
      </c>
      <c r="T2327" t="n">
        <v>7</v>
      </c>
      <c r="U2327" t="inlineStr">
        <is>
          <t>2002-08-01</t>
        </is>
      </c>
      <c r="V2327" t="inlineStr">
        <is>
          <t>2002-08-01</t>
        </is>
      </c>
      <c r="W2327" t="inlineStr">
        <is>
          <t>1995-05-22</t>
        </is>
      </c>
      <c r="X2327" t="inlineStr">
        <is>
          <t>1995-05-22</t>
        </is>
      </c>
      <c r="Y2327" t="n">
        <v>1966</v>
      </c>
      <c r="Z2327" t="n">
        <v>1835</v>
      </c>
      <c r="AA2327" t="n">
        <v>2199</v>
      </c>
      <c r="AB2327" t="n">
        <v>10</v>
      </c>
      <c r="AC2327" t="n">
        <v>14</v>
      </c>
      <c r="AD2327" t="n">
        <v>46</v>
      </c>
      <c r="AE2327" t="n">
        <v>54</v>
      </c>
      <c r="AF2327" t="n">
        <v>18</v>
      </c>
      <c r="AG2327" t="n">
        <v>21</v>
      </c>
      <c r="AH2327" t="n">
        <v>8</v>
      </c>
      <c r="AI2327" t="n">
        <v>8</v>
      </c>
      <c r="AJ2327" t="n">
        <v>18</v>
      </c>
      <c r="AK2327" t="n">
        <v>20</v>
      </c>
      <c r="AL2327" t="n">
        <v>4</v>
      </c>
      <c r="AM2327" t="n">
        <v>7</v>
      </c>
      <c r="AN2327" t="n">
        <v>7</v>
      </c>
      <c r="AO2327" t="n">
        <v>7</v>
      </c>
      <c r="AP2327" t="inlineStr">
        <is>
          <t>No</t>
        </is>
      </c>
      <c r="AQ2327" t="inlineStr">
        <is>
          <t>Yes</t>
        </is>
      </c>
      <c r="AR2327">
        <f>HYPERLINK("http://catalog.hathitrust.org/Record/002952992","HathiTrust Record")</f>
        <v/>
      </c>
      <c r="AS2327">
        <f>HYPERLINK("https://creighton-primo.hosted.exlibrisgroup.com/primo-explore/search?tab=default_tab&amp;search_scope=EVERYTHING&amp;vid=01CRU&amp;lang=en_US&amp;offset=0&amp;query=any,contains,991002433599702656","Catalog Record")</f>
        <v/>
      </c>
      <c r="AT2327">
        <f>HYPERLINK("http://www.worldcat.org/oclc/31737634","WorldCat Record")</f>
        <v/>
      </c>
      <c r="AU2327" t="inlineStr">
        <is>
          <t>837010622:eng</t>
        </is>
      </c>
      <c r="AV2327" t="inlineStr">
        <is>
          <t>31737634</t>
        </is>
      </c>
      <c r="AW2327" t="inlineStr">
        <is>
          <t>991002433599702656</t>
        </is>
      </c>
      <c r="AX2327" t="inlineStr">
        <is>
          <t>991002433599702656</t>
        </is>
      </c>
      <c r="AY2327" t="inlineStr">
        <is>
          <t>2263589200002656</t>
        </is>
      </c>
      <c r="AZ2327" t="inlineStr">
        <is>
          <t>BOOK</t>
        </is>
      </c>
      <c r="BB2327" t="inlineStr">
        <is>
          <t>9780671871093</t>
        </is>
      </c>
      <c r="BC2327" t="inlineStr">
        <is>
          <t>32285002046067</t>
        </is>
      </c>
      <c r="BD2327" t="inlineStr">
        <is>
          <t>893704075</t>
        </is>
      </c>
    </row>
    <row r="2328">
      <c r="A2328" t="inlineStr">
        <is>
          <t>No</t>
        </is>
      </c>
      <c r="B2328" t="inlineStr">
        <is>
          <t>E886 .W35 1996</t>
        </is>
      </c>
      <c r="C2328" t="inlineStr">
        <is>
          <t>0                      E  0886000W  35          1996</t>
        </is>
      </c>
      <c r="D2328" t="inlineStr">
        <is>
          <t>The President we deserve : Bill Clinton, his rise, falls, and comebacks / Martin Walker.</t>
        </is>
      </c>
      <c r="F2328" t="inlineStr">
        <is>
          <t>No</t>
        </is>
      </c>
      <c r="G2328" t="inlineStr">
        <is>
          <t>1</t>
        </is>
      </c>
      <c r="H2328" t="inlineStr">
        <is>
          <t>No</t>
        </is>
      </c>
      <c r="I2328" t="inlineStr">
        <is>
          <t>No</t>
        </is>
      </c>
      <c r="J2328" t="inlineStr">
        <is>
          <t>0</t>
        </is>
      </c>
      <c r="K2328" t="inlineStr">
        <is>
          <t>Walker, Martin J., 1947-</t>
        </is>
      </c>
      <c r="L2328" t="inlineStr">
        <is>
          <t>New York : Crown Publishers, c1996.</t>
        </is>
      </c>
      <c r="M2328" t="inlineStr">
        <is>
          <t>1996</t>
        </is>
      </c>
      <c r="N2328" t="inlineStr">
        <is>
          <t>1st ed.</t>
        </is>
      </c>
      <c r="O2328" t="inlineStr">
        <is>
          <t>eng</t>
        </is>
      </c>
      <c r="P2328" t="inlineStr">
        <is>
          <t>nyu</t>
        </is>
      </c>
      <c r="R2328" t="inlineStr">
        <is>
          <t xml:space="preserve">E  </t>
        </is>
      </c>
      <c r="S2328" t="n">
        <v>7</v>
      </c>
      <c r="T2328" t="n">
        <v>7</v>
      </c>
      <c r="U2328" t="inlineStr">
        <is>
          <t>2001-11-26</t>
        </is>
      </c>
      <c r="V2328" t="inlineStr">
        <is>
          <t>2001-11-26</t>
        </is>
      </c>
      <c r="W2328" t="inlineStr">
        <is>
          <t>1996-10-03</t>
        </is>
      </c>
      <c r="X2328" t="inlineStr">
        <is>
          <t>1996-10-03</t>
        </is>
      </c>
      <c r="Y2328" t="n">
        <v>708</v>
      </c>
      <c r="Z2328" t="n">
        <v>663</v>
      </c>
      <c r="AA2328" t="n">
        <v>670</v>
      </c>
      <c r="AB2328" t="n">
        <v>3</v>
      </c>
      <c r="AC2328" t="n">
        <v>3</v>
      </c>
      <c r="AD2328" t="n">
        <v>21</v>
      </c>
      <c r="AE2328" t="n">
        <v>21</v>
      </c>
      <c r="AF2328" t="n">
        <v>5</v>
      </c>
      <c r="AG2328" t="n">
        <v>5</v>
      </c>
      <c r="AH2328" t="n">
        <v>4</v>
      </c>
      <c r="AI2328" t="n">
        <v>4</v>
      </c>
      <c r="AJ2328" t="n">
        <v>13</v>
      </c>
      <c r="AK2328" t="n">
        <v>13</v>
      </c>
      <c r="AL2328" t="n">
        <v>2</v>
      </c>
      <c r="AM2328" t="n">
        <v>2</v>
      </c>
      <c r="AN2328" t="n">
        <v>1</v>
      </c>
      <c r="AO2328" t="n">
        <v>1</v>
      </c>
      <c r="AP2328" t="inlineStr">
        <is>
          <t>No</t>
        </is>
      </c>
      <c r="AQ2328" t="inlineStr">
        <is>
          <t>Yes</t>
        </is>
      </c>
      <c r="AR2328">
        <f>HYPERLINK("http://catalog.hathitrust.org/Record/003101075","HathiTrust Record")</f>
        <v/>
      </c>
      <c r="AS2328">
        <f>HYPERLINK("https://creighton-primo.hosted.exlibrisgroup.com/primo-explore/search?tab=default_tab&amp;search_scope=EVERYTHING&amp;vid=01CRU&amp;lang=en_US&amp;offset=0&amp;query=any,contains,991002709429702656","Catalog Record")</f>
        <v/>
      </c>
      <c r="AT2328">
        <f>HYPERLINK("http://www.worldcat.org/oclc/35518015","WorldCat Record")</f>
        <v/>
      </c>
      <c r="AU2328" t="inlineStr">
        <is>
          <t>370122932:eng</t>
        </is>
      </c>
      <c r="AV2328" t="inlineStr">
        <is>
          <t>35518015</t>
        </is>
      </c>
      <c r="AW2328" t="inlineStr">
        <is>
          <t>991002709429702656</t>
        </is>
      </c>
      <c r="AX2328" t="inlineStr">
        <is>
          <t>991002709429702656</t>
        </is>
      </c>
      <c r="AY2328" t="inlineStr">
        <is>
          <t>2260162930002656</t>
        </is>
      </c>
      <c r="AZ2328" t="inlineStr">
        <is>
          <t>BOOK</t>
        </is>
      </c>
      <c r="BB2328" t="inlineStr">
        <is>
          <t>9780517598719</t>
        </is>
      </c>
      <c r="BC2328" t="inlineStr">
        <is>
          <t>32285002322468</t>
        </is>
      </c>
      <c r="BD2328" t="inlineStr">
        <is>
          <t>893786437</t>
        </is>
      </c>
    </row>
    <row r="2329">
      <c r="A2329" t="inlineStr">
        <is>
          <t>No</t>
        </is>
      </c>
      <c r="B2329" t="inlineStr">
        <is>
          <t>E886.2 .A53 1999</t>
        </is>
      </c>
      <c r="C2329" t="inlineStr">
        <is>
          <t>0                      E  0886200A  53          1999</t>
        </is>
      </c>
      <c r="D2329" t="inlineStr">
        <is>
          <t>Bill and Hillary : the marriage / Christopher Andersen.</t>
        </is>
      </c>
      <c r="F2329" t="inlineStr">
        <is>
          <t>No</t>
        </is>
      </c>
      <c r="G2329" t="inlineStr">
        <is>
          <t>1</t>
        </is>
      </c>
      <c r="H2329" t="inlineStr">
        <is>
          <t>No</t>
        </is>
      </c>
      <c r="I2329" t="inlineStr">
        <is>
          <t>No</t>
        </is>
      </c>
      <c r="J2329" t="inlineStr">
        <is>
          <t>0</t>
        </is>
      </c>
      <c r="K2329" t="inlineStr">
        <is>
          <t>Andersen, Christopher P.</t>
        </is>
      </c>
      <c r="L2329" t="inlineStr">
        <is>
          <t>New York : Morrow, c1999.</t>
        </is>
      </c>
      <c r="M2329" t="inlineStr">
        <is>
          <t>1999</t>
        </is>
      </c>
      <c r="N2329" t="inlineStr">
        <is>
          <t>1st ed.</t>
        </is>
      </c>
      <c r="O2329" t="inlineStr">
        <is>
          <t>eng</t>
        </is>
      </c>
      <c r="P2329" t="inlineStr">
        <is>
          <t>nyu</t>
        </is>
      </c>
      <c r="R2329" t="inlineStr">
        <is>
          <t xml:space="preserve">E  </t>
        </is>
      </c>
      <c r="S2329" t="n">
        <v>5</v>
      </c>
      <c r="T2329" t="n">
        <v>5</v>
      </c>
      <c r="U2329" t="inlineStr">
        <is>
          <t>1999-10-04</t>
        </is>
      </c>
      <c r="V2329" t="inlineStr">
        <is>
          <t>1999-10-04</t>
        </is>
      </c>
      <c r="W2329" t="inlineStr">
        <is>
          <t>1999-09-29</t>
        </is>
      </c>
      <c r="X2329" t="inlineStr">
        <is>
          <t>1999-09-29</t>
        </is>
      </c>
      <c r="Y2329" t="n">
        <v>1109</v>
      </c>
      <c r="Z2329" t="n">
        <v>1060</v>
      </c>
      <c r="AA2329" t="n">
        <v>1164</v>
      </c>
      <c r="AB2329" t="n">
        <v>14</v>
      </c>
      <c r="AC2329" t="n">
        <v>14</v>
      </c>
      <c r="AD2329" t="n">
        <v>12</v>
      </c>
      <c r="AE2329" t="n">
        <v>12</v>
      </c>
      <c r="AF2329" t="n">
        <v>5</v>
      </c>
      <c r="AG2329" t="n">
        <v>5</v>
      </c>
      <c r="AH2329" t="n">
        <v>2</v>
      </c>
      <c r="AI2329" t="n">
        <v>2</v>
      </c>
      <c r="AJ2329" t="n">
        <v>4</v>
      </c>
      <c r="AK2329" t="n">
        <v>4</v>
      </c>
      <c r="AL2329" t="n">
        <v>2</v>
      </c>
      <c r="AM2329" t="n">
        <v>2</v>
      </c>
      <c r="AN2329" t="n">
        <v>1</v>
      </c>
      <c r="AO2329" t="n">
        <v>1</v>
      </c>
      <c r="AP2329" t="inlineStr">
        <is>
          <t>No</t>
        </is>
      </c>
      <c r="AQ2329" t="inlineStr">
        <is>
          <t>No</t>
        </is>
      </c>
      <c r="AS2329">
        <f>HYPERLINK("https://creighton-primo.hosted.exlibrisgroup.com/primo-explore/search?tab=default_tab&amp;search_scope=EVERYTHING&amp;vid=01CRU&amp;lang=en_US&amp;offset=0&amp;query=any,contains,991003026399702656","Catalog Record")</f>
        <v/>
      </c>
      <c r="AT2329">
        <f>HYPERLINK("http://www.worldcat.org/oclc/41347063","WorldCat Record")</f>
        <v/>
      </c>
      <c r="AU2329" t="inlineStr">
        <is>
          <t>44484450:eng</t>
        </is>
      </c>
      <c r="AV2329" t="inlineStr">
        <is>
          <t>41347063</t>
        </is>
      </c>
      <c r="AW2329" t="inlineStr">
        <is>
          <t>991003026399702656</t>
        </is>
      </c>
      <c r="AX2329" t="inlineStr">
        <is>
          <t>991003026399702656</t>
        </is>
      </c>
      <c r="AY2329" t="inlineStr">
        <is>
          <t>2262925170002656</t>
        </is>
      </c>
      <c r="AZ2329" t="inlineStr">
        <is>
          <t>BOOK</t>
        </is>
      </c>
      <c r="BB2329" t="inlineStr">
        <is>
          <t>9780688167554</t>
        </is>
      </c>
      <c r="BC2329" t="inlineStr">
        <is>
          <t>32285003591616</t>
        </is>
      </c>
      <c r="BD2329" t="inlineStr">
        <is>
          <t>893704825</t>
        </is>
      </c>
    </row>
    <row r="2330">
      <c r="A2330" t="inlineStr">
        <is>
          <t>No</t>
        </is>
      </c>
      <c r="B2330" t="inlineStr">
        <is>
          <t>E886.2 .B47 1998</t>
        </is>
      </c>
      <c r="C2330" t="inlineStr">
        <is>
          <t>0                      E  0886200B  47          1998</t>
        </is>
      </c>
      <c r="D2330" t="inlineStr">
        <is>
          <t>The death of outrage : Bill Clinton and the assault on American ideals / William J. Bennett.</t>
        </is>
      </c>
      <c r="F2330" t="inlineStr">
        <is>
          <t>No</t>
        </is>
      </c>
      <c r="G2330" t="inlineStr">
        <is>
          <t>1</t>
        </is>
      </c>
      <c r="H2330" t="inlineStr">
        <is>
          <t>No</t>
        </is>
      </c>
      <c r="I2330" t="inlineStr">
        <is>
          <t>No</t>
        </is>
      </c>
      <c r="J2330" t="inlineStr">
        <is>
          <t>0</t>
        </is>
      </c>
      <c r="K2330" t="inlineStr">
        <is>
          <t>Bennett, William J. (William John), 1943-</t>
        </is>
      </c>
      <c r="L2330" t="inlineStr">
        <is>
          <t>New York : Free Press, 1998.</t>
        </is>
      </c>
      <c r="M2330" t="inlineStr">
        <is>
          <t>1998</t>
        </is>
      </c>
      <c r="O2330" t="inlineStr">
        <is>
          <t>eng</t>
        </is>
      </c>
      <c r="P2330" t="inlineStr">
        <is>
          <t>nyu</t>
        </is>
      </c>
      <c r="R2330" t="inlineStr">
        <is>
          <t xml:space="preserve">E  </t>
        </is>
      </c>
      <c r="S2330" t="n">
        <v>5</v>
      </c>
      <c r="T2330" t="n">
        <v>5</v>
      </c>
      <c r="U2330" t="inlineStr">
        <is>
          <t>1999-10-25</t>
        </is>
      </c>
      <c r="V2330" t="inlineStr">
        <is>
          <t>1999-10-25</t>
        </is>
      </c>
      <c r="W2330" t="inlineStr">
        <is>
          <t>1998-11-12</t>
        </is>
      </c>
      <c r="X2330" t="inlineStr">
        <is>
          <t>1998-11-12</t>
        </is>
      </c>
      <c r="Y2330" t="n">
        <v>1881</v>
      </c>
      <c r="Z2330" t="n">
        <v>1817</v>
      </c>
      <c r="AA2330" t="n">
        <v>1994</v>
      </c>
      <c r="AB2330" t="n">
        <v>18</v>
      </c>
      <c r="AC2330" t="n">
        <v>18</v>
      </c>
      <c r="AD2330" t="n">
        <v>37</v>
      </c>
      <c r="AE2330" t="n">
        <v>37</v>
      </c>
      <c r="AF2330" t="n">
        <v>13</v>
      </c>
      <c r="AG2330" t="n">
        <v>13</v>
      </c>
      <c r="AH2330" t="n">
        <v>5</v>
      </c>
      <c r="AI2330" t="n">
        <v>5</v>
      </c>
      <c r="AJ2330" t="n">
        <v>16</v>
      </c>
      <c r="AK2330" t="n">
        <v>16</v>
      </c>
      <c r="AL2330" t="n">
        <v>5</v>
      </c>
      <c r="AM2330" t="n">
        <v>5</v>
      </c>
      <c r="AN2330" t="n">
        <v>3</v>
      </c>
      <c r="AO2330" t="n">
        <v>3</v>
      </c>
      <c r="AP2330" t="inlineStr">
        <is>
          <t>No</t>
        </is>
      </c>
      <c r="AQ2330" t="inlineStr">
        <is>
          <t>No</t>
        </is>
      </c>
      <c r="AS2330">
        <f>HYPERLINK("https://creighton-primo.hosted.exlibrisgroup.com/primo-explore/search?tab=default_tab&amp;search_scope=EVERYTHING&amp;vid=01CRU&amp;lang=en_US&amp;offset=0&amp;query=any,contains,991002969609702656","Catalog Record")</f>
        <v/>
      </c>
      <c r="AT2330">
        <f>HYPERLINK("http://www.worldcat.org/oclc/39749929","WorldCat Record")</f>
        <v/>
      </c>
      <c r="AU2330" t="inlineStr">
        <is>
          <t>101916730:eng</t>
        </is>
      </c>
      <c r="AV2330" t="inlineStr">
        <is>
          <t>39749929</t>
        </is>
      </c>
      <c r="AW2330" t="inlineStr">
        <is>
          <t>991002969609702656</t>
        </is>
      </c>
      <c r="AX2330" t="inlineStr">
        <is>
          <t>991002969609702656</t>
        </is>
      </c>
      <c r="AY2330" t="inlineStr">
        <is>
          <t>2255877580002656</t>
        </is>
      </c>
      <c r="AZ2330" t="inlineStr">
        <is>
          <t>BOOK</t>
        </is>
      </c>
      <c r="BB2330" t="inlineStr">
        <is>
          <t>9780684813721</t>
        </is>
      </c>
      <c r="BC2330" t="inlineStr">
        <is>
          <t>32285003488540</t>
        </is>
      </c>
      <c r="BD2330" t="inlineStr">
        <is>
          <t>893428287</t>
        </is>
      </c>
    </row>
    <row r="2331">
      <c r="A2331" t="inlineStr">
        <is>
          <t>No</t>
        </is>
      </c>
      <c r="B2331" t="inlineStr">
        <is>
          <t>E886.2 .E89 2000</t>
        </is>
      </c>
      <c r="C2331" t="inlineStr">
        <is>
          <t>0                      E  0886200E  89          2000</t>
        </is>
      </c>
      <c r="D2331" t="inlineStr">
        <is>
          <t>American rhapsody / Joe Eszterhas.</t>
        </is>
      </c>
      <c r="F2331" t="inlineStr">
        <is>
          <t>No</t>
        </is>
      </c>
      <c r="G2331" t="inlineStr">
        <is>
          <t>1</t>
        </is>
      </c>
      <c r="H2331" t="inlineStr">
        <is>
          <t>No</t>
        </is>
      </c>
      <c r="I2331" t="inlineStr">
        <is>
          <t>No</t>
        </is>
      </c>
      <c r="J2331" t="inlineStr">
        <is>
          <t>0</t>
        </is>
      </c>
      <c r="K2331" t="inlineStr">
        <is>
          <t>Eszterhas, Joe.</t>
        </is>
      </c>
      <c r="L2331" t="inlineStr">
        <is>
          <t>New York : Knopf : Distributed by Random House, 2000.</t>
        </is>
      </c>
      <c r="M2331" t="inlineStr">
        <is>
          <t>2000</t>
        </is>
      </c>
      <c r="N2331" t="inlineStr">
        <is>
          <t>1st ed.</t>
        </is>
      </c>
      <c r="O2331" t="inlineStr">
        <is>
          <t>eng</t>
        </is>
      </c>
      <c r="P2331" t="inlineStr">
        <is>
          <t>nyu</t>
        </is>
      </c>
      <c r="R2331" t="inlineStr">
        <is>
          <t xml:space="preserve">E  </t>
        </is>
      </c>
      <c r="S2331" t="n">
        <v>1</v>
      </c>
      <c r="T2331" t="n">
        <v>1</v>
      </c>
      <c r="U2331" t="inlineStr">
        <is>
          <t>2000-09-26</t>
        </is>
      </c>
      <c r="V2331" t="inlineStr">
        <is>
          <t>2000-09-26</t>
        </is>
      </c>
      <c r="W2331" t="inlineStr">
        <is>
          <t>2000-09-25</t>
        </is>
      </c>
      <c r="X2331" t="inlineStr">
        <is>
          <t>2000-09-25</t>
        </is>
      </c>
      <c r="Y2331" t="n">
        <v>1019</v>
      </c>
      <c r="Z2331" t="n">
        <v>978</v>
      </c>
      <c r="AA2331" t="n">
        <v>1073</v>
      </c>
      <c r="AB2331" t="n">
        <v>7</v>
      </c>
      <c r="AC2331" t="n">
        <v>7</v>
      </c>
      <c r="AD2331" t="n">
        <v>14</v>
      </c>
      <c r="AE2331" t="n">
        <v>14</v>
      </c>
      <c r="AF2331" t="n">
        <v>5</v>
      </c>
      <c r="AG2331" t="n">
        <v>5</v>
      </c>
      <c r="AH2331" t="n">
        <v>4</v>
      </c>
      <c r="AI2331" t="n">
        <v>4</v>
      </c>
      <c r="AJ2331" t="n">
        <v>6</v>
      </c>
      <c r="AK2331" t="n">
        <v>6</v>
      </c>
      <c r="AL2331" t="n">
        <v>2</v>
      </c>
      <c r="AM2331" t="n">
        <v>2</v>
      </c>
      <c r="AN2331" t="n">
        <v>1</v>
      </c>
      <c r="AO2331" t="n">
        <v>1</v>
      </c>
      <c r="AP2331" t="inlineStr">
        <is>
          <t>No</t>
        </is>
      </c>
      <c r="AQ2331" t="inlineStr">
        <is>
          <t>Yes</t>
        </is>
      </c>
      <c r="AR2331">
        <f>HYPERLINK("http://catalog.hathitrust.org/Record/004130727","HathiTrust Record")</f>
        <v/>
      </c>
      <c r="AS2331">
        <f>HYPERLINK("https://creighton-primo.hosted.exlibrisgroup.com/primo-explore/search?tab=default_tab&amp;search_scope=EVERYTHING&amp;vid=01CRU&amp;lang=en_US&amp;offset=0&amp;query=any,contains,991003263909702656","Catalog Record")</f>
        <v/>
      </c>
      <c r="AT2331">
        <f>HYPERLINK("http://www.worldcat.org/oclc/44602385","WorldCat Record")</f>
        <v/>
      </c>
      <c r="AU2331" t="inlineStr">
        <is>
          <t>44855:eng</t>
        </is>
      </c>
      <c r="AV2331" t="inlineStr">
        <is>
          <t>44602385</t>
        </is>
      </c>
      <c r="AW2331" t="inlineStr">
        <is>
          <t>991003263909702656</t>
        </is>
      </c>
      <c r="AX2331" t="inlineStr">
        <is>
          <t>991003263909702656</t>
        </is>
      </c>
      <c r="AY2331" t="inlineStr">
        <is>
          <t>2261314670002656</t>
        </is>
      </c>
      <c r="AZ2331" t="inlineStr">
        <is>
          <t>BOOK</t>
        </is>
      </c>
      <c r="BB2331" t="inlineStr">
        <is>
          <t>9780375411441</t>
        </is>
      </c>
      <c r="BC2331" t="inlineStr">
        <is>
          <t>32285003764338</t>
        </is>
      </c>
      <c r="BD2331" t="inlineStr">
        <is>
          <t>893330144</t>
        </is>
      </c>
    </row>
    <row r="2332">
      <c r="A2332" t="inlineStr">
        <is>
          <t>No</t>
        </is>
      </c>
      <c r="B2332" t="inlineStr">
        <is>
          <t>E886.2 .I85 1999</t>
        </is>
      </c>
      <c r="C2332" t="inlineStr">
        <is>
          <t>0                      E  0886200I  85          1999</t>
        </is>
      </c>
      <c r="D2332" t="inlineStr">
        <is>
          <t>Uncovering Clinton : a reporter's story / Michael Isikoff.</t>
        </is>
      </c>
      <c r="F2332" t="inlineStr">
        <is>
          <t>No</t>
        </is>
      </c>
      <c r="G2332" t="inlineStr">
        <is>
          <t>1</t>
        </is>
      </c>
      <c r="H2332" t="inlineStr">
        <is>
          <t>No</t>
        </is>
      </c>
      <c r="I2332" t="inlineStr">
        <is>
          <t>No</t>
        </is>
      </c>
      <c r="J2332" t="inlineStr">
        <is>
          <t>0</t>
        </is>
      </c>
      <c r="K2332" t="inlineStr">
        <is>
          <t>Isikoff, Michael.</t>
        </is>
      </c>
      <c r="L2332" t="inlineStr">
        <is>
          <t>New York, N.Y. : Crown Publishers, c1999.</t>
        </is>
      </c>
      <c r="M2332" t="inlineStr">
        <is>
          <t>1999</t>
        </is>
      </c>
      <c r="O2332" t="inlineStr">
        <is>
          <t>eng</t>
        </is>
      </c>
      <c r="P2332" t="inlineStr">
        <is>
          <t>nyu</t>
        </is>
      </c>
      <c r="R2332" t="inlineStr">
        <is>
          <t xml:space="preserve">E  </t>
        </is>
      </c>
      <c r="S2332" t="n">
        <v>3</v>
      </c>
      <c r="T2332" t="n">
        <v>3</v>
      </c>
      <c r="U2332" t="inlineStr">
        <is>
          <t>1999-10-25</t>
        </is>
      </c>
      <c r="V2332" t="inlineStr">
        <is>
          <t>1999-10-25</t>
        </is>
      </c>
      <c r="W2332" t="inlineStr">
        <is>
          <t>1999-08-09</t>
        </is>
      </c>
      <c r="X2332" t="inlineStr">
        <is>
          <t>1999-08-09</t>
        </is>
      </c>
      <c r="Y2332" t="n">
        <v>1329</v>
      </c>
      <c r="Z2332" t="n">
        <v>1251</v>
      </c>
      <c r="AA2332" t="n">
        <v>1303</v>
      </c>
      <c r="AB2332" t="n">
        <v>9</v>
      </c>
      <c r="AC2332" t="n">
        <v>10</v>
      </c>
      <c r="AD2332" t="n">
        <v>24</v>
      </c>
      <c r="AE2332" t="n">
        <v>24</v>
      </c>
      <c r="AF2332" t="n">
        <v>10</v>
      </c>
      <c r="AG2332" t="n">
        <v>10</v>
      </c>
      <c r="AH2332" t="n">
        <v>5</v>
      </c>
      <c r="AI2332" t="n">
        <v>5</v>
      </c>
      <c r="AJ2332" t="n">
        <v>12</v>
      </c>
      <c r="AK2332" t="n">
        <v>12</v>
      </c>
      <c r="AL2332" t="n">
        <v>2</v>
      </c>
      <c r="AM2332" t="n">
        <v>2</v>
      </c>
      <c r="AN2332" t="n">
        <v>1</v>
      </c>
      <c r="AO2332" t="n">
        <v>1</v>
      </c>
      <c r="AP2332" t="inlineStr">
        <is>
          <t>No</t>
        </is>
      </c>
      <c r="AQ2332" t="inlineStr">
        <is>
          <t>Yes</t>
        </is>
      </c>
      <c r="AR2332">
        <f>HYPERLINK("http://catalog.hathitrust.org/Record/004025576","HathiTrust Record")</f>
        <v/>
      </c>
      <c r="AS2332">
        <f>HYPERLINK("https://creighton-primo.hosted.exlibrisgroup.com/primo-explore/search?tab=default_tab&amp;search_scope=EVERYTHING&amp;vid=01CRU&amp;lang=en_US&amp;offset=0&amp;query=any,contains,991003011289702656","Catalog Record")</f>
        <v/>
      </c>
      <c r="AT2332">
        <f>HYPERLINK("http://www.worldcat.org/oclc/40881389","WorldCat Record")</f>
        <v/>
      </c>
      <c r="AU2332" t="inlineStr">
        <is>
          <t>20185120:eng</t>
        </is>
      </c>
      <c r="AV2332" t="inlineStr">
        <is>
          <t>40881389</t>
        </is>
      </c>
      <c r="AW2332" t="inlineStr">
        <is>
          <t>991003011289702656</t>
        </is>
      </c>
      <c r="AX2332" t="inlineStr">
        <is>
          <t>991003011289702656</t>
        </is>
      </c>
      <c r="AY2332" t="inlineStr">
        <is>
          <t>2256213580002656</t>
        </is>
      </c>
      <c r="AZ2332" t="inlineStr">
        <is>
          <t>BOOK</t>
        </is>
      </c>
      <c r="BB2332" t="inlineStr">
        <is>
          <t>9780609603932</t>
        </is>
      </c>
      <c r="BC2332" t="inlineStr">
        <is>
          <t>32285003580510</t>
        </is>
      </c>
      <c r="BD2332" t="inlineStr">
        <is>
          <t>893342141</t>
        </is>
      </c>
    </row>
    <row r="2333">
      <c r="A2333" t="inlineStr">
        <is>
          <t>No</t>
        </is>
      </c>
      <c r="B2333" t="inlineStr">
        <is>
          <t>E886.2 .J84 1999</t>
        </is>
      </c>
      <c r="C2333" t="inlineStr">
        <is>
          <t>0                      E  0886200J  84          1999</t>
        </is>
      </c>
      <c r="D2333" t="inlineStr">
        <is>
          <t>Judgment day at the White House : a critical declaration exploring moral issues and the political use and abuse of religion / edited by Gabriel J. Fackre.</t>
        </is>
      </c>
      <c r="F2333" t="inlineStr">
        <is>
          <t>No</t>
        </is>
      </c>
      <c r="G2333" t="inlineStr">
        <is>
          <t>1</t>
        </is>
      </c>
      <c r="H2333" t="inlineStr">
        <is>
          <t>No</t>
        </is>
      </c>
      <c r="I2333" t="inlineStr">
        <is>
          <t>No</t>
        </is>
      </c>
      <c r="J2333" t="inlineStr">
        <is>
          <t>0</t>
        </is>
      </c>
      <c r="L2333" t="inlineStr">
        <is>
          <t>Grand Rapids, Mich. : W.B. Eerdmans, c1999.</t>
        </is>
      </c>
      <c r="M2333" t="inlineStr">
        <is>
          <t>1999</t>
        </is>
      </c>
      <c r="O2333" t="inlineStr">
        <is>
          <t>eng</t>
        </is>
      </c>
      <c r="P2333" t="inlineStr">
        <is>
          <t>miu</t>
        </is>
      </c>
      <c r="R2333" t="inlineStr">
        <is>
          <t xml:space="preserve">E  </t>
        </is>
      </c>
      <c r="S2333" t="n">
        <v>2</v>
      </c>
      <c r="T2333" t="n">
        <v>2</v>
      </c>
      <c r="U2333" t="inlineStr">
        <is>
          <t>1999-07-14</t>
        </is>
      </c>
      <c r="V2333" t="inlineStr">
        <is>
          <t>1999-07-14</t>
        </is>
      </c>
      <c r="W2333" t="inlineStr">
        <is>
          <t>1999-05-04</t>
        </is>
      </c>
      <c r="X2333" t="inlineStr">
        <is>
          <t>1999-05-04</t>
        </is>
      </c>
      <c r="Y2333" t="n">
        <v>430</v>
      </c>
      <c r="Z2333" t="n">
        <v>406</v>
      </c>
      <c r="AA2333" t="n">
        <v>408</v>
      </c>
      <c r="AB2333" t="n">
        <v>2</v>
      </c>
      <c r="AC2333" t="n">
        <v>2</v>
      </c>
      <c r="AD2333" t="n">
        <v>26</v>
      </c>
      <c r="AE2333" t="n">
        <v>26</v>
      </c>
      <c r="AF2333" t="n">
        <v>8</v>
      </c>
      <c r="AG2333" t="n">
        <v>8</v>
      </c>
      <c r="AH2333" t="n">
        <v>5</v>
      </c>
      <c r="AI2333" t="n">
        <v>5</v>
      </c>
      <c r="AJ2333" t="n">
        <v>14</v>
      </c>
      <c r="AK2333" t="n">
        <v>14</v>
      </c>
      <c r="AL2333" t="n">
        <v>1</v>
      </c>
      <c r="AM2333" t="n">
        <v>1</v>
      </c>
      <c r="AN2333" t="n">
        <v>4</v>
      </c>
      <c r="AO2333" t="n">
        <v>4</v>
      </c>
      <c r="AP2333" t="inlineStr">
        <is>
          <t>No</t>
        </is>
      </c>
      <c r="AQ2333" t="inlineStr">
        <is>
          <t>Yes</t>
        </is>
      </c>
      <c r="AR2333">
        <f>HYPERLINK("http://catalog.hathitrust.org/Record/004022949","HathiTrust Record")</f>
        <v/>
      </c>
      <c r="AS2333">
        <f>HYPERLINK("https://creighton-primo.hosted.exlibrisgroup.com/primo-explore/search?tab=default_tab&amp;search_scope=EVERYTHING&amp;vid=01CRU&amp;lang=en_US&amp;offset=0&amp;query=any,contains,991002998329702656","Catalog Record")</f>
        <v/>
      </c>
      <c r="AT2333">
        <f>HYPERLINK("http://www.worldcat.org/oclc/40567359","WorldCat Record")</f>
        <v/>
      </c>
      <c r="AU2333" t="inlineStr">
        <is>
          <t>25378405:eng</t>
        </is>
      </c>
      <c r="AV2333" t="inlineStr">
        <is>
          <t>40567359</t>
        </is>
      </c>
      <c r="AW2333" t="inlineStr">
        <is>
          <t>991002998329702656</t>
        </is>
      </c>
      <c r="AX2333" t="inlineStr">
        <is>
          <t>991002998329702656</t>
        </is>
      </c>
      <c r="AY2333" t="inlineStr">
        <is>
          <t>2261516010002656</t>
        </is>
      </c>
      <c r="AZ2333" t="inlineStr">
        <is>
          <t>BOOK</t>
        </is>
      </c>
      <c r="BB2333" t="inlineStr">
        <is>
          <t>9780802846716</t>
        </is>
      </c>
      <c r="BC2333" t="inlineStr">
        <is>
          <t>32285003558193</t>
        </is>
      </c>
      <c r="BD2333" t="inlineStr">
        <is>
          <t>893592063</t>
        </is>
      </c>
    </row>
    <row r="2334">
      <c r="A2334" t="inlineStr">
        <is>
          <t>No</t>
        </is>
      </c>
      <c r="B2334" t="inlineStr">
        <is>
          <t>E886.2 .L96 1996</t>
        </is>
      </c>
      <c r="C2334" t="inlineStr">
        <is>
          <t>0                      E  0886200L  96          1996</t>
        </is>
      </c>
      <c r="D2334" t="inlineStr">
        <is>
          <t>Fools for scandal : how the media invented Whitewater / Gene Lyons and the editors of Harper's magazine.</t>
        </is>
      </c>
      <c r="F2334" t="inlineStr">
        <is>
          <t>No</t>
        </is>
      </c>
      <c r="G2334" t="inlineStr">
        <is>
          <t>1</t>
        </is>
      </c>
      <c r="H2334" t="inlineStr">
        <is>
          <t>No</t>
        </is>
      </c>
      <c r="I2334" t="inlineStr">
        <is>
          <t>No</t>
        </is>
      </c>
      <c r="J2334" t="inlineStr">
        <is>
          <t>0</t>
        </is>
      </c>
      <c r="K2334" t="inlineStr">
        <is>
          <t>Lyons, Gene, 1943-</t>
        </is>
      </c>
      <c r="L2334" t="inlineStr">
        <is>
          <t>New York : Franklin Square Press, 1996.</t>
        </is>
      </c>
      <c r="M2334" t="inlineStr">
        <is>
          <t>1996</t>
        </is>
      </c>
      <c r="O2334" t="inlineStr">
        <is>
          <t>eng</t>
        </is>
      </c>
      <c r="P2334" t="inlineStr">
        <is>
          <t>nyu</t>
        </is>
      </c>
      <c r="R2334" t="inlineStr">
        <is>
          <t xml:space="preserve">E  </t>
        </is>
      </c>
      <c r="S2334" t="n">
        <v>10</v>
      </c>
      <c r="T2334" t="n">
        <v>10</v>
      </c>
      <c r="U2334" t="inlineStr">
        <is>
          <t>2001-11-26</t>
        </is>
      </c>
      <c r="V2334" t="inlineStr">
        <is>
          <t>2001-11-26</t>
        </is>
      </c>
      <c r="W2334" t="inlineStr">
        <is>
          <t>1996-08-28</t>
        </is>
      </c>
      <c r="X2334" t="inlineStr">
        <is>
          <t>1996-08-28</t>
        </is>
      </c>
      <c r="Y2334" t="n">
        <v>513</v>
      </c>
      <c r="Z2334" t="n">
        <v>489</v>
      </c>
      <c r="AA2334" t="n">
        <v>497</v>
      </c>
      <c r="AB2334" t="n">
        <v>4</v>
      </c>
      <c r="AC2334" t="n">
        <v>4</v>
      </c>
      <c r="AD2334" t="n">
        <v>17</v>
      </c>
      <c r="AE2334" t="n">
        <v>17</v>
      </c>
      <c r="AF2334" t="n">
        <v>4</v>
      </c>
      <c r="AG2334" t="n">
        <v>4</v>
      </c>
      <c r="AH2334" t="n">
        <v>4</v>
      </c>
      <c r="AI2334" t="n">
        <v>4</v>
      </c>
      <c r="AJ2334" t="n">
        <v>8</v>
      </c>
      <c r="AK2334" t="n">
        <v>8</v>
      </c>
      <c r="AL2334" t="n">
        <v>3</v>
      </c>
      <c r="AM2334" t="n">
        <v>3</v>
      </c>
      <c r="AN2334" t="n">
        <v>1</v>
      </c>
      <c r="AO2334" t="n">
        <v>1</v>
      </c>
      <c r="AP2334" t="inlineStr">
        <is>
          <t>No</t>
        </is>
      </c>
      <c r="AQ2334" t="inlineStr">
        <is>
          <t>Yes</t>
        </is>
      </c>
      <c r="AR2334">
        <f>HYPERLINK("http://catalog.hathitrust.org/Record/003131257","HathiTrust Record")</f>
        <v/>
      </c>
      <c r="AS2334">
        <f>HYPERLINK("https://creighton-primo.hosted.exlibrisgroup.com/primo-explore/search?tab=default_tab&amp;search_scope=EVERYTHING&amp;vid=01CRU&amp;lang=en_US&amp;offset=0&amp;query=any,contains,991002437099702656","Catalog Record")</f>
        <v/>
      </c>
      <c r="AT2334">
        <f>HYPERLINK("http://www.worldcat.org/oclc/31755375","WorldCat Record")</f>
        <v/>
      </c>
      <c r="AU2334" t="inlineStr">
        <is>
          <t>33631942:eng</t>
        </is>
      </c>
      <c r="AV2334" t="inlineStr">
        <is>
          <t>31755375</t>
        </is>
      </c>
      <c r="AW2334" t="inlineStr">
        <is>
          <t>991002437099702656</t>
        </is>
      </c>
      <c r="AX2334" t="inlineStr">
        <is>
          <t>991002437099702656</t>
        </is>
      </c>
      <c r="AY2334" t="inlineStr">
        <is>
          <t>2271220530002656</t>
        </is>
      </c>
      <c r="AZ2334" t="inlineStr">
        <is>
          <t>BOOK</t>
        </is>
      </c>
      <c r="BB2334" t="inlineStr">
        <is>
          <t>9781879957244</t>
        </is>
      </c>
      <c r="BC2334" t="inlineStr">
        <is>
          <t>32285002292729</t>
        </is>
      </c>
      <c r="BD2334" t="inlineStr">
        <is>
          <t>893510732</t>
        </is>
      </c>
    </row>
    <row r="2335">
      <c r="A2335" t="inlineStr">
        <is>
          <t>No</t>
        </is>
      </c>
      <c r="B2335" t="inlineStr">
        <is>
          <t>E886.2 .M36 1998</t>
        </is>
      </c>
      <c r="C2335" t="inlineStr">
        <is>
          <t>0                      E  0886200M  36          1998</t>
        </is>
      </c>
      <c r="D2335" t="inlineStr">
        <is>
          <t>The Clinton enigma : a four-and-a-half-minute speech reveals this president's entire life / David Maraniss.</t>
        </is>
      </c>
      <c r="F2335" t="inlineStr">
        <is>
          <t>No</t>
        </is>
      </c>
      <c r="G2335" t="inlineStr">
        <is>
          <t>1</t>
        </is>
      </c>
      <c r="H2335" t="inlineStr">
        <is>
          <t>No</t>
        </is>
      </c>
      <c r="I2335" t="inlineStr">
        <is>
          <t>No</t>
        </is>
      </c>
      <c r="J2335" t="inlineStr">
        <is>
          <t>0</t>
        </is>
      </c>
      <c r="K2335" t="inlineStr">
        <is>
          <t>Maraniss, David.</t>
        </is>
      </c>
      <c r="L2335" t="inlineStr">
        <is>
          <t>New York : Simon &amp; Schuster, c1998.</t>
        </is>
      </c>
      <c r="M2335" t="inlineStr">
        <is>
          <t>1998</t>
        </is>
      </c>
      <c r="O2335" t="inlineStr">
        <is>
          <t>eng</t>
        </is>
      </c>
      <c r="P2335" t="inlineStr">
        <is>
          <t>nyu</t>
        </is>
      </c>
      <c r="R2335" t="inlineStr">
        <is>
          <t xml:space="preserve">E  </t>
        </is>
      </c>
      <c r="S2335" t="n">
        <v>8</v>
      </c>
      <c r="T2335" t="n">
        <v>8</v>
      </c>
      <c r="U2335" t="inlineStr">
        <is>
          <t>2002-10-23</t>
        </is>
      </c>
      <c r="V2335" t="inlineStr">
        <is>
          <t>2002-10-23</t>
        </is>
      </c>
      <c r="W2335" t="inlineStr">
        <is>
          <t>1999-01-04</t>
        </is>
      </c>
      <c r="X2335" t="inlineStr">
        <is>
          <t>1999-01-04</t>
        </is>
      </c>
      <c r="Y2335" t="n">
        <v>520</v>
      </c>
      <c r="Z2335" t="n">
        <v>499</v>
      </c>
      <c r="AA2335" t="n">
        <v>522</v>
      </c>
      <c r="AB2335" t="n">
        <v>4</v>
      </c>
      <c r="AC2335" t="n">
        <v>4</v>
      </c>
      <c r="AD2335" t="n">
        <v>16</v>
      </c>
      <c r="AE2335" t="n">
        <v>16</v>
      </c>
      <c r="AF2335" t="n">
        <v>5</v>
      </c>
      <c r="AG2335" t="n">
        <v>5</v>
      </c>
      <c r="AH2335" t="n">
        <v>3</v>
      </c>
      <c r="AI2335" t="n">
        <v>3</v>
      </c>
      <c r="AJ2335" t="n">
        <v>8</v>
      </c>
      <c r="AK2335" t="n">
        <v>8</v>
      </c>
      <c r="AL2335" t="n">
        <v>2</v>
      </c>
      <c r="AM2335" t="n">
        <v>2</v>
      </c>
      <c r="AN2335" t="n">
        <v>1</v>
      </c>
      <c r="AO2335" t="n">
        <v>1</v>
      </c>
      <c r="AP2335" t="inlineStr">
        <is>
          <t>No</t>
        </is>
      </c>
      <c r="AQ2335" t="inlineStr">
        <is>
          <t>No</t>
        </is>
      </c>
      <c r="AS2335">
        <f>HYPERLINK("https://creighton-primo.hosted.exlibrisgroup.com/primo-explore/search?tab=default_tab&amp;search_scope=EVERYTHING&amp;vid=01CRU&amp;lang=en_US&amp;offset=0&amp;query=any,contains,991002980509702656","Catalog Record")</f>
        <v/>
      </c>
      <c r="AT2335">
        <f>HYPERLINK("http://www.worldcat.org/oclc/40074058","WorldCat Record")</f>
        <v/>
      </c>
      <c r="AU2335" t="inlineStr">
        <is>
          <t>20600629:eng</t>
        </is>
      </c>
      <c r="AV2335" t="inlineStr">
        <is>
          <t>40074058</t>
        </is>
      </c>
      <c r="AW2335" t="inlineStr">
        <is>
          <t>991002980509702656</t>
        </is>
      </c>
      <c r="AX2335" t="inlineStr">
        <is>
          <t>991002980509702656</t>
        </is>
      </c>
      <c r="AY2335" t="inlineStr">
        <is>
          <t>2262655000002656</t>
        </is>
      </c>
      <c r="AZ2335" t="inlineStr">
        <is>
          <t>BOOK</t>
        </is>
      </c>
      <c r="BB2335" t="inlineStr">
        <is>
          <t>9780684862965</t>
        </is>
      </c>
      <c r="BC2335" t="inlineStr">
        <is>
          <t>32285003508412</t>
        </is>
      </c>
      <c r="BD2335" t="inlineStr">
        <is>
          <t>893511440</t>
        </is>
      </c>
    </row>
    <row r="2336">
      <c r="A2336" t="inlineStr">
        <is>
          <t>No</t>
        </is>
      </c>
      <c r="B2336" t="inlineStr">
        <is>
          <t>E886.2 .O47 2001</t>
        </is>
      </c>
      <c r="C2336" t="inlineStr">
        <is>
          <t>0                      E  0886200O  47          2001</t>
        </is>
      </c>
      <c r="D2336" t="inlineStr">
        <is>
          <t>The final days : the last, desperate abuses of power by the Clinton White House / Barbara Olson.</t>
        </is>
      </c>
      <c r="F2336" t="inlineStr">
        <is>
          <t>No</t>
        </is>
      </c>
      <c r="G2336" t="inlineStr">
        <is>
          <t>1</t>
        </is>
      </c>
      <c r="H2336" t="inlineStr">
        <is>
          <t>No</t>
        </is>
      </c>
      <c r="I2336" t="inlineStr">
        <is>
          <t>No</t>
        </is>
      </c>
      <c r="J2336" t="inlineStr">
        <is>
          <t>0</t>
        </is>
      </c>
      <c r="K2336" t="inlineStr">
        <is>
          <t>Olson, Barbara, 1955-2001.</t>
        </is>
      </c>
      <c r="L2336" t="inlineStr">
        <is>
          <t>Washington, DC : Regnery Pub. ; Lanham, MD : Distributed to the trade by National Book Network, c2001.</t>
        </is>
      </c>
      <c r="M2336" t="inlineStr">
        <is>
          <t>2001</t>
        </is>
      </c>
      <c r="O2336" t="inlineStr">
        <is>
          <t>eng</t>
        </is>
      </c>
      <c r="P2336" t="inlineStr">
        <is>
          <t>dcu</t>
        </is>
      </c>
      <c r="R2336" t="inlineStr">
        <is>
          <t xml:space="preserve">E  </t>
        </is>
      </c>
      <c r="S2336" t="n">
        <v>5</v>
      </c>
      <c r="T2336" t="n">
        <v>5</v>
      </c>
      <c r="U2336" t="inlineStr">
        <is>
          <t>2002-03-06</t>
        </is>
      </c>
      <c r="V2336" t="inlineStr">
        <is>
          <t>2002-03-06</t>
        </is>
      </c>
      <c r="W2336" t="inlineStr">
        <is>
          <t>2001-11-15</t>
        </is>
      </c>
      <c r="X2336" t="inlineStr">
        <is>
          <t>2001-11-15</t>
        </is>
      </c>
      <c r="Y2336" t="n">
        <v>1774</v>
      </c>
      <c r="Z2336" t="n">
        <v>1727</v>
      </c>
      <c r="AA2336" t="n">
        <v>1744</v>
      </c>
      <c r="AB2336" t="n">
        <v>27</v>
      </c>
      <c r="AC2336" t="n">
        <v>27</v>
      </c>
      <c r="AD2336" t="n">
        <v>28</v>
      </c>
      <c r="AE2336" t="n">
        <v>28</v>
      </c>
      <c r="AF2336" t="n">
        <v>13</v>
      </c>
      <c r="AG2336" t="n">
        <v>13</v>
      </c>
      <c r="AH2336" t="n">
        <v>6</v>
      </c>
      <c r="AI2336" t="n">
        <v>6</v>
      </c>
      <c r="AJ2336" t="n">
        <v>10</v>
      </c>
      <c r="AK2336" t="n">
        <v>10</v>
      </c>
      <c r="AL2336" t="n">
        <v>4</v>
      </c>
      <c r="AM2336" t="n">
        <v>4</v>
      </c>
      <c r="AN2336" t="n">
        <v>2</v>
      </c>
      <c r="AO2336" t="n">
        <v>2</v>
      </c>
      <c r="AP2336" t="inlineStr">
        <is>
          <t>No</t>
        </is>
      </c>
      <c r="AQ2336" t="inlineStr">
        <is>
          <t>Yes</t>
        </is>
      </c>
      <c r="AR2336">
        <f>HYPERLINK("http://catalog.hathitrust.org/Record/004211561","HathiTrust Record")</f>
        <v/>
      </c>
      <c r="AS2336">
        <f>HYPERLINK("https://creighton-primo.hosted.exlibrisgroup.com/primo-explore/search?tab=default_tab&amp;search_scope=EVERYTHING&amp;vid=01CRU&amp;lang=en_US&amp;offset=0&amp;query=any,contains,991003656129702656","Catalog Record")</f>
        <v/>
      </c>
      <c r="AT2336">
        <f>HYPERLINK("http://www.worldcat.org/oclc/47844512","WorldCat Record")</f>
        <v/>
      </c>
      <c r="AU2336" t="inlineStr">
        <is>
          <t>203082239:eng</t>
        </is>
      </c>
      <c r="AV2336" t="inlineStr">
        <is>
          <t>47844512</t>
        </is>
      </c>
      <c r="AW2336" t="inlineStr">
        <is>
          <t>991003656129702656</t>
        </is>
      </c>
      <c r="AX2336" t="inlineStr">
        <is>
          <t>991003656129702656</t>
        </is>
      </c>
      <c r="AY2336" t="inlineStr">
        <is>
          <t>2260680100002656</t>
        </is>
      </c>
      <c r="AZ2336" t="inlineStr">
        <is>
          <t>BOOK</t>
        </is>
      </c>
      <c r="BB2336" t="inlineStr">
        <is>
          <t>9780895261670</t>
        </is>
      </c>
      <c r="BC2336" t="inlineStr">
        <is>
          <t>32285004411947</t>
        </is>
      </c>
      <c r="BD2336" t="inlineStr">
        <is>
          <t>893881402</t>
        </is>
      </c>
    </row>
    <row r="2337">
      <c r="A2337" t="inlineStr">
        <is>
          <t>No</t>
        </is>
      </c>
      <c r="B2337" t="inlineStr">
        <is>
          <t>E886.2 .P38 2003</t>
        </is>
      </c>
      <c r="C2337" t="inlineStr">
        <is>
          <t>0                      E  0886200P  38          2003</t>
        </is>
      </c>
      <c r="D2337" t="inlineStr">
        <is>
          <t>Dereliction of duty : the eyewitness account of how Bill Clinton compromised America's national security / Robert "Buzz" Patterson.</t>
        </is>
      </c>
      <c r="F2337" t="inlineStr">
        <is>
          <t>No</t>
        </is>
      </c>
      <c r="G2337" t="inlineStr">
        <is>
          <t>1</t>
        </is>
      </c>
      <c r="H2337" t="inlineStr">
        <is>
          <t>No</t>
        </is>
      </c>
      <c r="I2337" t="inlineStr">
        <is>
          <t>No</t>
        </is>
      </c>
      <c r="J2337" t="inlineStr">
        <is>
          <t>0</t>
        </is>
      </c>
      <c r="K2337" t="inlineStr">
        <is>
          <t>Patterson, Robert, 1955-</t>
        </is>
      </c>
      <c r="L2337" t="inlineStr">
        <is>
          <t>Washington, DC : Regnery Pub. ; Lanham, MD : Distributed to the trade by National Book Network, c2003.</t>
        </is>
      </c>
      <c r="M2337" t="inlineStr">
        <is>
          <t>2003</t>
        </is>
      </c>
      <c r="O2337" t="inlineStr">
        <is>
          <t>eng</t>
        </is>
      </c>
      <c r="P2337" t="inlineStr">
        <is>
          <t>dcu</t>
        </is>
      </c>
      <c r="R2337" t="inlineStr">
        <is>
          <t xml:space="preserve">E  </t>
        </is>
      </c>
      <c r="S2337" t="n">
        <v>4</v>
      </c>
      <c r="T2337" t="n">
        <v>4</v>
      </c>
      <c r="U2337" t="inlineStr">
        <is>
          <t>2003-10-07</t>
        </is>
      </c>
      <c r="V2337" t="inlineStr">
        <is>
          <t>2003-10-07</t>
        </is>
      </c>
      <c r="W2337" t="inlineStr">
        <is>
          <t>2003-06-16</t>
        </is>
      </c>
      <c r="X2337" t="inlineStr">
        <is>
          <t>2003-06-16</t>
        </is>
      </c>
      <c r="Y2337" t="n">
        <v>1408</v>
      </c>
      <c r="Z2337" t="n">
        <v>1364</v>
      </c>
      <c r="AA2337" t="n">
        <v>1381</v>
      </c>
      <c r="AB2337" t="n">
        <v>10</v>
      </c>
      <c r="AC2337" t="n">
        <v>10</v>
      </c>
      <c r="AD2337" t="n">
        <v>15</v>
      </c>
      <c r="AE2337" t="n">
        <v>15</v>
      </c>
      <c r="AF2337" t="n">
        <v>9</v>
      </c>
      <c r="AG2337" t="n">
        <v>9</v>
      </c>
      <c r="AH2337" t="n">
        <v>2</v>
      </c>
      <c r="AI2337" t="n">
        <v>2</v>
      </c>
      <c r="AJ2337" t="n">
        <v>6</v>
      </c>
      <c r="AK2337" t="n">
        <v>6</v>
      </c>
      <c r="AL2337" t="n">
        <v>0</v>
      </c>
      <c r="AM2337" t="n">
        <v>0</v>
      </c>
      <c r="AN2337" t="n">
        <v>1</v>
      </c>
      <c r="AO2337" t="n">
        <v>1</v>
      </c>
      <c r="AP2337" t="inlineStr">
        <is>
          <t>No</t>
        </is>
      </c>
      <c r="AQ2337" t="inlineStr">
        <is>
          <t>No</t>
        </is>
      </c>
      <c r="AS2337">
        <f>HYPERLINK("https://creighton-primo.hosted.exlibrisgroup.com/primo-explore/search?tab=default_tab&amp;search_scope=EVERYTHING&amp;vid=01CRU&amp;lang=en_US&amp;offset=0&amp;query=any,contains,991004058949702656","Catalog Record")</f>
        <v/>
      </c>
      <c r="AT2337">
        <f>HYPERLINK("http://www.worldcat.org/oclc/51647584","WorldCat Record")</f>
        <v/>
      </c>
      <c r="AU2337" t="inlineStr">
        <is>
          <t>3859366551:eng</t>
        </is>
      </c>
      <c r="AV2337" t="inlineStr">
        <is>
          <t>51647584</t>
        </is>
      </c>
      <c r="AW2337" t="inlineStr">
        <is>
          <t>991004058949702656</t>
        </is>
      </c>
      <c r="AX2337" t="inlineStr">
        <is>
          <t>991004058949702656</t>
        </is>
      </c>
      <c r="AY2337" t="inlineStr">
        <is>
          <t>2271070040002656</t>
        </is>
      </c>
      <c r="AZ2337" t="inlineStr">
        <is>
          <t>BOOK</t>
        </is>
      </c>
      <c r="BB2337" t="inlineStr">
        <is>
          <t>9780895261403</t>
        </is>
      </c>
      <c r="BC2337" t="inlineStr">
        <is>
          <t>32285004752571</t>
        </is>
      </c>
      <c r="BD2337" t="inlineStr">
        <is>
          <t>893624295</t>
        </is>
      </c>
    </row>
    <row r="2338">
      <c r="A2338" t="inlineStr">
        <is>
          <t>No</t>
        </is>
      </c>
      <c r="B2338" t="inlineStr">
        <is>
          <t>E886.2 .S74 1996</t>
        </is>
      </c>
      <c r="C2338" t="inlineStr">
        <is>
          <t>0                      E  0886200S  74          1996</t>
        </is>
      </c>
      <c r="D2338" t="inlineStr">
        <is>
          <t>Blood sport : the President and his adversaries / James B,. Stewart.</t>
        </is>
      </c>
      <c r="F2338" t="inlineStr">
        <is>
          <t>No</t>
        </is>
      </c>
      <c r="G2338" t="inlineStr">
        <is>
          <t>1</t>
        </is>
      </c>
      <c r="H2338" t="inlineStr">
        <is>
          <t>No</t>
        </is>
      </c>
      <c r="I2338" t="inlineStr">
        <is>
          <t>No</t>
        </is>
      </c>
      <c r="J2338" t="inlineStr">
        <is>
          <t>0</t>
        </is>
      </c>
      <c r="K2338" t="inlineStr">
        <is>
          <t>Stewart, James B.</t>
        </is>
      </c>
      <c r="L2338" t="inlineStr">
        <is>
          <t>New York : Simon &amp; Schuster, c1996.</t>
        </is>
      </c>
      <c r="M2338" t="inlineStr">
        <is>
          <t>1996</t>
        </is>
      </c>
      <c r="O2338" t="inlineStr">
        <is>
          <t>eng</t>
        </is>
      </c>
      <c r="P2338" t="inlineStr">
        <is>
          <t>nyu</t>
        </is>
      </c>
      <c r="R2338" t="inlineStr">
        <is>
          <t xml:space="preserve">E  </t>
        </is>
      </c>
      <c r="S2338" t="n">
        <v>4</v>
      </c>
      <c r="T2338" t="n">
        <v>4</v>
      </c>
      <c r="U2338" t="inlineStr">
        <is>
          <t>1996-06-21</t>
        </is>
      </c>
      <c r="V2338" t="inlineStr">
        <is>
          <t>1996-06-21</t>
        </is>
      </c>
      <c r="W2338" t="inlineStr">
        <is>
          <t>1996-04-12</t>
        </is>
      </c>
      <c r="X2338" t="inlineStr">
        <is>
          <t>1996-04-12</t>
        </is>
      </c>
      <c r="Y2338" t="n">
        <v>2200</v>
      </c>
      <c r="Z2338" t="n">
        <v>2089</v>
      </c>
      <c r="AA2338" t="n">
        <v>2241</v>
      </c>
      <c r="AB2338" t="n">
        <v>16</v>
      </c>
      <c r="AC2338" t="n">
        <v>17</v>
      </c>
      <c r="AD2338" t="n">
        <v>40</v>
      </c>
      <c r="AE2338" t="n">
        <v>40</v>
      </c>
      <c r="AF2338" t="n">
        <v>18</v>
      </c>
      <c r="AG2338" t="n">
        <v>18</v>
      </c>
      <c r="AH2338" t="n">
        <v>7</v>
      </c>
      <c r="AI2338" t="n">
        <v>7</v>
      </c>
      <c r="AJ2338" t="n">
        <v>15</v>
      </c>
      <c r="AK2338" t="n">
        <v>15</v>
      </c>
      <c r="AL2338" t="n">
        <v>5</v>
      </c>
      <c r="AM2338" t="n">
        <v>5</v>
      </c>
      <c r="AN2338" t="n">
        <v>6</v>
      </c>
      <c r="AO2338" t="n">
        <v>6</v>
      </c>
      <c r="AP2338" t="inlineStr">
        <is>
          <t>No</t>
        </is>
      </c>
      <c r="AQ2338" t="inlineStr">
        <is>
          <t>Yes</t>
        </is>
      </c>
      <c r="AR2338">
        <f>HYPERLINK("http://catalog.hathitrust.org/Record/003052925","HathiTrust Record")</f>
        <v/>
      </c>
      <c r="AS2338">
        <f>HYPERLINK("https://creighton-primo.hosted.exlibrisgroup.com/primo-explore/search?tab=default_tab&amp;search_scope=EVERYTHING&amp;vid=01CRU&amp;lang=en_US&amp;offset=0&amp;query=any,contains,991002614699702656","Catalog Record")</f>
        <v/>
      </c>
      <c r="AT2338">
        <f>HYPERLINK("http://www.worldcat.org/oclc/34282174","WorldCat Record")</f>
        <v/>
      </c>
      <c r="AU2338" t="inlineStr">
        <is>
          <t>39121016:eng</t>
        </is>
      </c>
      <c r="AV2338" t="inlineStr">
        <is>
          <t>34282174</t>
        </is>
      </c>
      <c r="AW2338" t="inlineStr">
        <is>
          <t>991002614699702656</t>
        </is>
      </c>
      <c r="AX2338" t="inlineStr">
        <is>
          <t>991002614699702656</t>
        </is>
      </c>
      <c r="AY2338" t="inlineStr">
        <is>
          <t>2259674350002656</t>
        </is>
      </c>
      <c r="AZ2338" t="inlineStr">
        <is>
          <t>BOOK</t>
        </is>
      </c>
      <c r="BB2338" t="inlineStr">
        <is>
          <t>9780684802305</t>
        </is>
      </c>
      <c r="BC2338" t="inlineStr">
        <is>
          <t>32285002152196</t>
        </is>
      </c>
      <c r="BD2338" t="inlineStr">
        <is>
          <t>893409318</t>
        </is>
      </c>
    </row>
    <row r="2339">
      <c r="A2339" t="inlineStr">
        <is>
          <t>No</t>
        </is>
      </c>
      <c r="B2339" t="inlineStr">
        <is>
          <t>E886.2 .W53 2002</t>
        </is>
      </c>
      <c r="C2339" t="inlineStr">
        <is>
          <t>0                      E  0886200W  53          2002</t>
        </is>
      </c>
      <c r="D2339" t="inlineStr">
        <is>
          <t>Bill Clinton and Black America / DeWayne Wickham.</t>
        </is>
      </c>
      <c r="F2339" t="inlineStr">
        <is>
          <t>No</t>
        </is>
      </c>
      <c r="G2339" t="inlineStr">
        <is>
          <t>1</t>
        </is>
      </c>
      <c r="H2339" t="inlineStr">
        <is>
          <t>No</t>
        </is>
      </c>
      <c r="I2339" t="inlineStr">
        <is>
          <t>No</t>
        </is>
      </c>
      <c r="J2339" t="inlineStr">
        <is>
          <t>0</t>
        </is>
      </c>
      <c r="K2339" t="inlineStr">
        <is>
          <t>Wickham, DeWayne.</t>
        </is>
      </c>
      <c r="L2339" t="inlineStr">
        <is>
          <t>New York : Ballantine Books, c2002.</t>
        </is>
      </c>
      <c r="M2339" t="inlineStr">
        <is>
          <t>2002</t>
        </is>
      </c>
      <c r="N2339" t="inlineStr">
        <is>
          <t>1st ed.</t>
        </is>
      </c>
      <c r="O2339" t="inlineStr">
        <is>
          <t>eng</t>
        </is>
      </c>
      <c r="P2339" t="inlineStr">
        <is>
          <t>nyu</t>
        </is>
      </c>
      <c r="R2339" t="inlineStr">
        <is>
          <t xml:space="preserve">E  </t>
        </is>
      </c>
      <c r="S2339" t="n">
        <v>5</v>
      </c>
      <c r="T2339" t="n">
        <v>5</v>
      </c>
      <c r="U2339" t="inlineStr">
        <is>
          <t>2003-04-30</t>
        </is>
      </c>
      <c r="V2339" t="inlineStr">
        <is>
          <t>2003-04-30</t>
        </is>
      </c>
      <c r="W2339" t="inlineStr">
        <is>
          <t>2002-03-27</t>
        </is>
      </c>
      <c r="X2339" t="inlineStr">
        <is>
          <t>2002-03-27</t>
        </is>
      </c>
      <c r="Y2339" t="n">
        <v>898</v>
      </c>
      <c r="Z2339" t="n">
        <v>875</v>
      </c>
      <c r="AA2339" t="n">
        <v>904</v>
      </c>
      <c r="AB2339" t="n">
        <v>6</v>
      </c>
      <c r="AC2339" t="n">
        <v>6</v>
      </c>
      <c r="AD2339" t="n">
        <v>38</v>
      </c>
      <c r="AE2339" t="n">
        <v>38</v>
      </c>
      <c r="AF2339" t="n">
        <v>17</v>
      </c>
      <c r="AG2339" t="n">
        <v>17</v>
      </c>
      <c r="AH2339" t="n">
        <v>7</v>
      </c>
      <c r="AI2339" t="n">
        <v>7</v>
      </c>
      <c r="AJ2339" t="n">
        <v>18</v>
      </c>
      <c r="AK2339" t="n">
        <v>18</v>
      </c>
      <c r="AL2339" t="n">
        <v>4</v>
      </c>
      <c r="AM2339" t="n">
        <v>4</v>
      </c>
      <c r="AN2339" t="n">
        <v>0</v>
      </c>
      <c r="AO2339" t="n">
        <v>0</v>
      </c>
      <c r="AP2339" t="inlineStr">
        <is>
          <t>No</t>
        </is>
      </c>
      <c r="AQ2339" t="inlineStr">
        <is>
          <t>Yes</t>
        </is>
      </c>
      <c r="AR2339">
        <f>HYPERLINK("http://catalog.hathitrust.org/Record/004228959","HathiTrust Record")</f>
        <v/>
      </c>
      <c r="AS2339">
        <f>HYPERLINK("https://creighton-primo.hosted.exlibrisgroup.com/primo-explore/search?tab=default_tab&amp;search_scope=EVERYTHING&amp;vid=01CRU&amp;lang=en_US&amp;offset=0&amp;query=any,contains,991003767619702656","Catalog Record")</f>
        <v/>
      </c>
      <c r="AT2339">
        <f>HYPERLINK("http://www.worldcat.org/oclc/48770722","WorldCat Record")</f>
        <v/>
      </c>
      <c r="AU2339" t="inlineStr">
        <is>
          <t>17498170:eng</t>
        </is>
      </c>
      <c r="AV2339" t="inlineStr">
        <is>
          <t>48770722</t>
        </is>
      </c>
      <c r="AW2339" t="inlineStr">
        <is>
          <t>991003767619702656</t>
        </is>
      </c>
      <c r="AX2339" t="inlineStr">
        <is>
          <t>991003767619702656</t>
        </is>
      </c>
      <c r="AY2339" t="inlineStr">
        <is>
          <t>2269393620002656</t>
        </is>
      </c>
      <c r="AZ2339" t="inlineStr">
        <is>
          <t>BOOK</t>
        </is>
      </c>
      <c r="BB2339" t="inlineStr">
        <is>
          <t>9780345450326</t>
        </is>
      </c>
      <c r="BC2339" t="inlineStr">
        <is>
          <t>32285004475348</t>
        </is>
      </c>
      <c r="BD2339" t="inlineStr">
        <is>
          <t>893722088</t>
        </is>
      </c>
    </row>
    <row r="2340">
      <c r="A2340" t="inlineStr">
        <is>
          <t>No</t>
        </is>
      </c>
      <c r="B2340" t="inlineStr">
        <is>
          <t>E886.2 .W66 1994</t>
        </is>
      </c>
      <c r="C2340" t="inlineStr">
        <is>
          <t>0                      E  0886200W  66          1994</t>
        </is>
      </c>
      <c r="D2340" t="inlineStr">
        <is>
          <t>The agenda : inside the Clinton White House / Bob Woodward.</t>
        </is>
      </c>
      <c r="F2340" t="inlineStr">
        <is>
          <t>No</t>
        </is>
      </c>
      <c r="G2340" t="inlineStr">
        <is>
          <t>1</t>
        </is>
      </c>
      <c r="H2340" t="inlineStr">
        <is>
          <t>No</t>
        </is>
      </c>
      <c r="I2340" t="inlineStr">
        <is>
          <t>No</t>
        </is>
      </c>
      <c r="J2340" t="inlineStr">
        <is>
          <t>0</t>
        </is>
      </c>
      <c r="K2340" t="inlineStr">
        <is>
          <t>Woodward, Bob, 1943-</t>
        </is>
      </c>
      <c r="L2340" t="inlineStr">
        <is>
          <t>New York : Simon &amp; Schuster, c1994.</t>
        </is>
      </c>
      <c r="M2340" t="inlineStr">
        <is>
          <t>1994</t>
        </is>
      </c>
      <c r="O2340" t="inlineStr">
        <is>
          <t>eng</t>
        </is>
      </c>
      <c r="P2340" t="inlineStr">
        <is>
          <t>nyu</t>
        </is>
      </c>
      <c r="R2340" t="inlineStr">
        <is>
          <t xml:space="preserve">E  </t>
        </is>
      </c>
      <c r="S2340" t="n">
        <v>8</v>
      </c>
      <c r="T2340" t="n">
        <v>8</v>
      </c>
      <c r="U2340" t="inlineStr">
        <is>
          <t>1994-12-02</t>
        </is>
      </c>
      <c r="V2340" t="inlineStr">
        <is>
          <t>1994-12-02</t>
        </is>
      </c>
      <c r="W2340" t="inlineStr">
        <is>
          <t>1994-07-22</t>
        </is>
      </c>
      <c r="X2340" t="inlineStr">
        <is>
          <t>1994-07-22</t>
        </is>
      </c>
      <c r="Y2340" t="n">
        <v>3088</v>
      </c>
      <c r="Z2340" t="n">
        <v>2860</v>
      </c>
      <c r="AA2340" t="n">
        <v>3031</v>
      </c>
      <c r="AB2340" t="n">
        <v>27</v>
      </c>
      <c r="AC2340" t="n">
        <v>28</v>
      </c>
      <c r="AD2340" t="n">
        <v>58</v>
      </c>
      <c r="AE2340" t="n">
        <v>60</v>
      </c>
      <c r="AF2340" t="n">
        <v>24</v>
      </c>
      <c r="AG2340" t="n">
        <v>24</v>
      </c>
      <c r="AH2340" t="n">
        <v>10</v>
      </c>
      <c r="AI2340" t="n">
        <v>10</v>
      </c>
      <c r="AJ2340" t="n">
        <v>21</v>
      </c>
      <c r="AK2340" t="n">
        <v>22</v>
      </c>
      <c r="AL2340" t="n">
        <v>9</v>
      </c>
      <c r="AM2340" t="n">
        <v>10</v>
      </c>
      <c r="AN2340" t="n">
        <v>6</v>
      </c>
      <c r="AO2340" t="n">
        <v>6</v>
      </c>
      <c r="AP2340" t="inlineStr">
        <is>
          <t>No</t>
        </is>
      </c>
      <c r="AQ2340" t="inlineStr">
        <is>
          <t>Yes</t>
        </is>
      </c>
      <c r="AR2340">
        <f>HYPERLINK("http://catalog.hathitrust.org/Record/002860960","HathiTrust Record")</f>
        <v/>
      </c>
      <c r="AS2340">
        <f>HYPERLINK("https://creighton-primo.hosted.exlibrisgroup.com/primo-explore/search?tab=default_tab&amp;search_scope=EVERYTHING&amp;vid=01CRU&amp;lang=en_US&amp;offset=0&amp;query=any,contains,991002341129702656","Catalog Record")</f>
        <v/>
      </c>
      <c r="AT2340">
        <f>HYPERLINK("http://www.worldcat.org/oclc/30475630","WorldCat Record")</f>
        <v/>
      </c>
      <c r="AU2340" t="inlineStr">
        <is>
          <t>20744343:eng</t>
        </is>
      </c>
      <c r="AV2340" t="inlineStr">
        <is>
          <t>30475630</t>
        </is>
      </c>
      <c r="AW2340" t="inlineStr">
        <is>
          <t>991002341129702656</t>
        </is>
      </c>
      <c r="AX2340" t="inlineStr">
        <is>
          <t>991002341129702656</t>
        </is>
      </c>
      <c r="AY2340" t="inlineStr">
        <is>
          <t>2263607070002656</t>
        </is>
      </c>
      <c r="AZ2340" t="inlineStr">
        <is>
          <t>BOOK</t>
        </is>
      </c>
      <c r="BB2340" t="inlineStr">
        <is>
          <t>9780671864866</t>
        </is>
      </c>
      <c r="BC2340" t="inlineStr">
        <is>
          <t>32285001933190</t>
        </is>
      </c>
      <c r="BD2340" t="inlineStr">
        <is>
          <t>893627076</t>
        </is>
      </c>
    </row>
    <row r="2341">
      <c r="A2341" t="inlineStr">
        <is>
          <t>No</t>
        </is>
      </c>
      <c r="B2341" t="inlineStr">
        <is>
          <t>E887.C55 B87 1997</t>
        </is>
      </c>
      <c r="C2341" t="inlineStr">
        <is>
          <t>0                      E  0887000C  55                 B  87          1997</t>
        </is>
      </c>
      <c r="D2341" t="inlineStr">
        <is>
          <t>Public opinion, the first ladyship, and Hillary Rodham Clinton / Barbara Burrell.</t>
        </is>
      </c>
      <c r="F2341" t="inlineStr">
        <is>
          <t>No</t>
        </is>
      </c>
      <c r="G2341" t="inlineStr">
        <is>
          <t>1</t>
        </is>
      </c>
      <c r="H2341" t="inlineStr">
        <is>
          <t>No</t>
        </is>
      </c>
      <c r="I2341" t="inlineStr">
        <is>
          <t>No</t>
        </is>
      </c>
      <c r="J2341" t="inlineStr">
        <is>
          <t>0</t>
        </is>
      </c>
      <c r="K2341" t="inlineStr">
        <is>
          <t>Burrell, Barbara C., 1947-</t>
        </is>
      </c>
      <c r="L2341" t="inlineStr">
        <is>
          <t>New York : Garland Pub., 1997.</t>
        </is>
      </c>
      <c r="M2341" t="inlineStr">
        <is>
          <t>1997</t>
        </is>
      </c>
      <c r="O2341" t="inlineStr">
        <is>
          <t>eng</t>
        </is>
      </c>
      <c r="P2341" t="inlineStr">
        <is>
          <t>nyu</t>
        </is>
      </c>
      <c r="Q2341" t="inlineStr">
        <is>
          <t>Garland reference library of social science ; v. 1074</t>
        </is>
      </c>
      <c r="R2341" t="inlineStr">
        <is>
          <t xml:space="preserve">E  </t>
        </is>
      </c>
      <c r="S2341" t="n">
        <v>1</v>
      </c>
      <c r="T2341" t="n">
        <v>1</v>
      </c>
      <c r="U2341" t="inlineStr">
        <is>
          <t>1999-04-13</t>
        </is>
      </c>
      <c r="V2341" t="inlineStr">
        <is>
          <t>1999-04-13</t>
        </is>
      </c>
      <c r="W2341" t="inlineStr">
        <is>
          <t>1997-04-04</t>
        </is>
      </c>
      <c r="X2341" t="inlineStr">
        <is>
          <t>1997-04-04</t>
        </is>
      </c>
      <c r="Y2341" t="n">
        <v>309</v>
      </c>
      <c r="Z2341" t="n">
        <v>292</v>
      </c>
      <c r="AA2341" t="n">
        <v>292</v>
      </c>
      <c r="AB2341" t="n">
        <v>2</v>
      </c>
      <c r="AC2341" t="n">
        <v>2</v>
      </c>
      <c r="AD2341" t="n">
        <v>19</v>
      </c>
      <c r="AE2341" t="n">
        <v>19</v>
      </c>
      <c r="AF2341" t="n">
        <v>6</v>
      </c>
      <c r="AG2341" t="n">
        <v>6</v>
      </c>
      <c r="AH2341" t="n">
        <v>5</v>
      </c>
      <c r="AI2341" t="n">
        <v>5</v>
      </c>
      <c r="AJ2341" t="n">
        <v>13</v>
      </c>
      <c r="AK2341" t="n">
        <v>13</v>
      </c>
      <c r="AL2341" t="n">
        <v>1</v>
      </c>
      <c r="AM2341" t="n">
        <v>1</v>
      </c>
      <c r="AN2341" t="n">
        <v>1</v>
      </c>
      <c r="AO2341" t="n">
        <v>1</v>
      </c>
      <c r="AP2341" t="inlineStr">
        <is>
          <t>No</t>
        </is>
      </c>
      <c r="AQ2341" t="inlineStr">
        <is>
          <t>No</t>
        </is>
      </c>
      <c r="AS2341">
        <f>HYPERLINK("https://creighton-primo.hosted.exlibrisgroup.com/primo-explore/search?tab=default_tab&amp;search_scope=EVERYTHING&amp;vid=01CRU&amp;lang=en_US&amp;offset=0&amp;query=any,contains,991002700419702656","Catalog Record")</f>
        <v/>
      </c>
      <c r="AT2341">
        <f>HYPERLINK("http://www.worldcat.org/oclc/35262243","WorldCat Record")</f>
        <v/>
      </c>
      <c r="AU2341" t="inlineStr">
        <is>
          <t>8908698031:eng</t>
        </is>
      </c>
      <c r="AV2341" t="inlineStr">
        <is>
          <t>35262243</t>
        </is>
      </c>
      <c r="AW2341" t="inlineStr">
        <is>
          <t>991002700419702656</t>
        </is>
      </c>
      <c r="AX2341" t="inlineStr">
        <is>
          <t>991002700419702656</t>
        </is>
      </c>
      <c r="AY2341" t="inlineStr">
        <is>
          <t>2264199470002656</t>
        </is>
      </c>
      <c r="AZ2341" t="inlineStr">
        <is>
          <t>BOOK</t>
        </is>
      </c>
      <c r="BB2341" t="inlineStr">
        <is>
          <t>9780815321422</t>
        </is>
      </c>
      <c r="BC2341" t="inlineStr">
        <is>
          <t>32285002479292</t>
        </is>
      </c>
      <c r="BD2341" t="inlineStr">
        <is>
          <t>893335610</t>
        </is>
      </c>
    </row>
    <row r="2342">
      <c r="A2342" t="inlineStr">
        <is>
          <t>No</t>
        </is>
      </c>
      <c r="B2342" t="inlineStr">
        <is>
          <t>E887.C55 O47 1999</t>
        </is>
      </c>
      <c r="C2342" t="inlineStr">
        <is>
          <t>0                      E  0887000C  55                 O  47          1999</t>
        </is>
      </c>
      <c r="D2342" t="inlineStr">
        <is>
          <t>Hell to pay : the unfolding story of Hillary Rodham Clinton / Barbara Olson.</t>
        </is>
      </c>
      <c r="F2342" t="inlineStr">
        <is>
          <t>No</t>
        </is>
      </c>
      <c r="G2342" t="inlineStr">
        <is>
          <t>1</t>
        </is>
      </c>
      <c r="H2342" t="inlineStr">
        <is>
          <t>No</t>
        </is>
      </c>
      <c r="I2342" t="inlineStr">
        <is>
          <t>No</t>
        </is>
      </c>
      <c r="J2342" t="inlineStr">
        <is>
          <t>0</t>
        </is>
      </c>
      <c r="K2342" t="inlineStr">
        <is>
          <t>Olson, Barbara, 1955-2001.</t>
        </is>
      </c>
      <c r="L2342" t="inlineStr">
        <is>
          <t>Washington, DC : Regnery Pub., 1999.</t>
        </is>
      </c>
      <c r="M2342" t="inlineStr">
        <is>
          <t>1999</t>
        </is>
      </c>
      <c r="O2342" t="inlineStr">
        <is>
          <t>eng</t>
        </is>
      </c>
      <c r="P2342" t="inlineStr">
        <is>
          <t>dcu</t>
        </is>
      </c>
      <c r="R2342" t="inlineStr">
        <is>
          <t xml:space="preserve">E  </t>
        </is>
      </c>
      <c r="S2342" t="n">
        <v>3</v>
      </c>
      <c r="T2342" t="n">
        <v>3</v>
      </c>
      <c r="U2342" t="inlineStr">
        <is>
          <t>2001-09-26</t>
        </is>
      </c>
      <c r="V2342" t="inlineStr">
        <is>
          <t>2001-09-26</t>
        </is>
      </c>
      <c r="W2342" t="inlineStr">
        <is>
          <t>1999-11-16</t>
        </is>
      </c>
      <c r="X2342" t="inlineStr">
        <is>
          <t>1999-11-16</t>
        </is>
      </c>
      <c r="Y2342" t="n">
        <v>1335</v>
      </c>
      <c r="Z2342" t="n">
        <v>1292</v>
      </c>
      <c r="AA2342" t="n">
        <v>1464</v>
      </c>
      <c r="AB2342" t="n">
        <v>12</v>
      </c>
      <c r="AC2342" t="n">
        <v>17</v>
      </c>
      <c r="AD2342" t="n">
        <v>25</v>
      </c>
      <c r="AE2342" t="n">
        <v>26</v>
      </c>
      <c r="AF2342" t="n">
        <v>12</v>
      </c>
      <c r="AG2342" t="n">
        <v>12</v>
      </c>
      <c r="AH2342" t="n">
        <v>6</v>
      </c>
      <c r="AI2342" t="n">
        <v>6</v>
      </c>
      <c r="AJ2342" t="n">
        <v>8</v>
      </c>
      <c r="AK2342" t="n">
        <v>9</v>
      </c>
      <c r="AL2342" t="n">
        <v>3</v>
      </c>
      <c r="AM2342" t="n">
        <v>3</v>
      </c>
      <c r="AN2342" t="n">
        <v>2</v>
      </c>
      <c r="AO2342" t="n">
        <v>2</v>
      </c>
      <c r="AP2342" t="inlineStr">
        <is>
          <t>No</t>
        </is>
      </c>
      <c r="AQ2342" t="inlineStr">
        <is>
          <t>Yes</t>
        </is>
      </c>
      <c r="AR2342">
        <f>HYPERLINK("http://catalog.hathitrust.org/Record/004064927","HathiTrust Record")</f>
        <v/>
      </c>
      <c r="AS2342">
        <f>HYPERLINK("https://creighton-primo.hosted.exlibrisgroup.com/primo-explore/search?tab=default_tab&amp;search_scope=EVERYTHING&amp;vid=01CRU&amp;lang=en_US&amp;offset=0&amp;query=any,contains,991003044609702656","Catalog Record")</f>
        <v/>
      </c>
      <c r="AT2342">
        <f>HYPERLINK("http://www.worldcat.org/oclc/42428734","WorldCat Record")</f>
        <v/>
      </c>
      <c r="AU2342" t="inlineStr">
        <is>
          <t>196091785:eng</t>
        </is>
      </c>
      <c r="AV2342" t="inlineStr">
        <is>
          <t>42428734</t>
        </is>
      </c>
      <c r="AW2342" t="inlineStr">
        <is>
          <t>991003044609702656</t>
        </is>
      </c>
      <c r="AX2342" t="inlineStr">
        <is>
          <t>991003044609702656</t>
        </is>
      </c>
      <c r="AY2342" t="inlineStr">
        <is>
          <t>2269576200002656</t>
        </is>
      </c>
      <c r="AZ2342" t="inlineStr">
        <is>
          <t>BOOK</t>
        </is>
      </c>
      <c r="BB2342" t="inlineStr">
        <is>
          <t>9780895262745</t>
        </is>
      </c>
      <c r="BC2342" t="inlineStr">
        <is>
          <t>32285003623260</t>
        </is>
      </c>
      <c r="BD2342" t="inlineStr">
        <is>
          <t>893717263</t>
        </is>
      </c>
    </row>
    <row r="2343">
      <c r="A2343" t="inlineStr">
        <is>
          <t>No</t>
        </is>
      </c>
      <c r="B2343" t="inlineStr">
        <is>
          <t>E887.C55 R33 1993</t>
        </is>
      </c>
      <c r="C2343" t="inlineStr">
        <is>
          <t>0                      E  0887000C  55                 R  33          1993</t>
        </is>
      </c>
      <c r="D2343" t="inlineStr">
        <is>
          <t>Hillary Rodham Clinton : a first lady for our time / Donnie Radcliffe.</t>
        </is>
      </c>
      <c r="F2343" t="inlineStr">
        <is>
          <t>No</t>
        </is>
      </c>
      <c r="G2343" t="inlineStr">
        <is>
          <t>1</t>
        </is>
      </c>
      <c r="H2343" t="inlineStr">
        <is>
          <t>No</t>
        </is>
      </c>
      <c r="I2343" t="inlineStr">
        <is>
          <t>No</t>
        </is>
      </c>
      <c r="J2343" t="inlineStr">
        <is>
          <t>0</t>
        </is>
      </c>
      <c r="K2343" t="inlineStr">
        <is>
          <t>Radcliffe, Donnie.</t>
        </is>
      </c>
      <c r="L2343" t="inlineStr">
        <is>
          <t>New York : Warner Books, c1993.</t>
        </is>
      </c>
      <c r="M2343" t="inlineStr">
        <is>
          <t>1993</t>
        </is>
      </c>
      <c r="O2343" t="inlineStr">
        <is>
          <t>eng</t>
        </is>
      </c>
      <c r="P2343" t="inlineStr">
        <is>
          <t>nyu</t>
        </is>
      </c>
      <c r="R2343" t="inlineStr">
        <is>
          <t xml:space="preserve">E  </t>
        </is>
      </c>
      <c r="S2343" t="n">
        <v>22</v>
      </c>
      <c r="T2343" t="n">
        <v>22</v>
      </c>
      <c r="U2343" t="inlineStr">
        <is>
          <t>2000-12-10</t>
        </is>
      </c>
      <c r="V2343" t="inlineStr">
        <is>
          <t>2000-12-10</t>
        </is>
      </c>
      <c r="W2343" t="inlineStr">
        <is>
          <t>1993-12-06</t>
        </is>
      </c>
      <c r="X2343" t="inlineStr">
        <is>
          <t>1993-12-06</t>
        </is>
      </c>
      <c r="Y2343" t="n">
        <v>1517</v>
      </c>
      <c r="Z2343" t="n">
        <v>1479</v>
      </c>
      <c r="AA2343" t="n">
        <v>1547</v>
      </c>
      <c r="AB2343" t="n">
        <v>10</v>
      </c>
      <c r="AC2343" t="n">
        <v>10</v>
      </c>
      <c r="AD2343" t="n">
        <v>22</v>
      </c>
      <c r="AE2343" t="n">
        <v>22</v>
      </c>
      <c r="AF2343" t="n">
        <v>7</v>
      </c>
      <c r="AG2343" t="n">
        <v>7</v>
      </c>
      <c r="AH2343" t="n">
        <v>2</v>
      </c>
      <c r="AI2343" t="n">
        <v>2</v>
      </c>
      <c r="AJ2343" t="n">
        <v>7</v>
      </c>
      <c r="AK2343" t="n">
        <v>7</v>
      </c>
      <c r="AL2343" t="n">
        <v>4</v>
      </c>
      <c r="AM2343" t="n">
        <v>4</v>
      </c>
      <c r="AN2343" t="n">
        <v>3</v>
      </c>
      <c r="AO2343" t="n">
        <v>3</v>
      </c>
      <c r="AP2343" t="inlineStr">
        <is>
          <t>No</t>
        </is>
      </c>
      <c r="AQ2343" t="inlineStr">
        <is>
          <t>No</t>
        </is>
      </c>
      <c r="AS2343">
        <f>HYPERLINK("https://creighton-primo.hosted.exlibrisgroup.com/primo-explore/search?tab=default_tab&amp;search_scope=EVERYTHING&amp;vid=01CRU&amp;lang=en_US&amp;offset=0&amp;query=any,contains,991002167609702656","Catalog Record")</f>
        <v/>
      </c>
      <c r="AT2343">
        <f>HYPERLINK("http://www.worldcat.org/oclc/27897250","WorldCat Record")</f>
        <v/>
      </c>
      <c r="AU2343" t="inlineStr">
        <is>
          <t>339171:eng</t>
        </is>
      </c>
      <c r="AV2343" t="inlineStr">
        <is>
          <t>27897250</t>
        </is>
      </c>
      <c r="AW2343" t="inlineStr">
        <is>
          <t>991002167609702656</t>
        </is>
      </c>
      <c r="AX2343" t="inlineStr">
        <is>
          <t>991002167609702656</t>
        </is>
      </c>
      <c r="AY2343" t="inlineStr">
        <is>
          <t>2260876420002656</t>
        </is>
      </c>
      <c r="AZ2343" t="inlineStr">
        <is>
          <t>BOOK</t>
        </is>
      </c>
      <c r="BB2343" t="inlineStr">
        <is>
          <t>9780446517669</t>
        </is>
      </c>
      <c r="BC2343" t="inlineStr">
        <is>
          <t>32285001814143</t>
        </is>
      </c>
      <c r="BD2343" t="inlineStr">
        <is>
          <t>893773288</t>
        </is>
      </c>
    </row>
    <row r="2344">
      <c r="A2344" t="inlineStr">
        <is>
          <t>No</t>
        </is>
      </c>
      <c r="B2344" t="inlineStr">
        <is>
          <t>E887.C55 S47 1999b</t>
        </is>
      </c>
      <c r="C2344" t="inlineStr">
        <is>
          <t>0                      E  0887000C  55                 S  47          1999b</t>
        </is>
      </c>
      <c r="D2344" t="inlineStr">
        <is>
          <t>Hillary's choice / Gail Sheehy.</t>
        </is>
      </c>
      <c r="F2344" t="inlineStr">
        <is>
          <t>No</t>
        </is>
      </c>
      <c r="G2344" t="inlineStr">
        <is>
          <t>1</t>
        </is>
      </c>
      <c r="H2344" t="inlineStr">
        <is>
          <t>No</t>
        </is>
      </c>
      <c r="I2344" t="inlineStr">
        <is>
          <t>No</t>
        </is>
      </c>
      <c r="J2344" t="inlineStr">
        <is>
          <t>0</t>
        </is>
      </c>
      <c r="K2344" t="inlineStr">
        <is>
          <t>Sheehy, Gail.</t>
        </is>
      </c>
      <c r="L2344" t="inlineStr">
        <is>
          <t>New York : Random House, c1999.</t>
        </is>
      </c>
      <c r="M2344" t="inlineStr">
        <is>
          <t>1999</t>
        </is>
      </c>
      <c r="N2344" t="inlineStr">
        <is>
          <t>1st ed.</t>
        </is>
      </c>
      <c r="O2344" t="inlineStr">
        <is>
          <t>eng</t>
        </is>
      </c>
      <c r="P2344" t="inlineStr">
        <is>
          <t>nyu</t>
        </is>
      </c>
      <c r="R2344" t="inlineStr">
        <is>
          <t xml:space="preserve">E  </t>
        </is>
      </c>
      <c r="S2344" t="n">
        <v>7</v>
      </c>
      <c r="T2344" t="n">
        <v>7</v>
      </c>
      <c r="U2344" t="inlineStr">
        <is>
          <t>2003-12-18</t>
        </is>
      </c>
      <c r="V2344" t="inlineStr">
        <is>
          <t>2003-12-18</t>
        </is>
      </c>
      <c r="W2344" t="inlineStr">
        <is>
          <t>1999-12-13</t>
        </is>
      </c>
      <c r="X2344" t="inlineStr">
        <is>
          <t>1999-12-13</t>
        </is>
      </c>
      <c r="Y2344" t="n">
        <v>1510</v>
      </c>
      <c r="Z2344" t="n">
        <v>1451</v>
      </c>
      <c r="AA2344" t="n">
        <v>1703</v>
      </c>
      <c r="AB2344" t="n">
        <v>11</v>
      </c>
      <c r="AC2344" t="n">
        <v>14</v>
      </c>
      <c r="AD2344" t="n">
        <v>20</v>
      </c>
      <c r="AE2344" t="n">
        <v>23</v>
      </c>
      <c r="AF2344" t="n">
        <v>9</v>
      </c>
      <c r="AG2344" t="n">
        <v>10</v>
      </c>
      <c r="AH2344" t="n">
        <v>3</v>
      </c>
      <c r="AI2344" t="n">
        <v>4</v>
      </c>
      <c r="AJ2344" t="n">
        <v>10</v>
      </c>
      <c r="AK2344" t="n">
        <v>10</v>
      </c>
      <c r="AL2344" t="n">
        <v>3</v>
      </c>
      <c r="AM2344" t="n">
        <v>4</v>
      </c>
      <c r="AN2344" t="n">
        <v>1</v>
      </c>
      <c r="AO2344" t="n">
        <v>1</v>
      </c>
      <c r="AP2344" t="inlineStr">
        <is>
          <t>No</t>
        </is>
      </c>
      <c r="AQ2344" t="inlineStr">
        <is>
          <t>Yes</t>
        </is>
      </c>
      <c r="AR2344">
        <f>HYPERLINK("http://catalog.hathitrust.org/Record/004067768","HathiTrust Record")</f>
        <v/>
      </c>
      <c r="AS2344">
        <f>HYPERLINK("https://creighton-primo.hosted.exlibrisgroup.com/primo-explore/search?tab=default_tab&amp;search_scope=EVERYTHING&amp;vid=01CRU&amp;lang=en_US&amp;offset=0&amp;query=any,contains,991003046889702656","Catalog Record")</f>
        <v/>
      </c>
      <c r="AT2344">
        <f>HYPERLINK("http://www.worldcat.org/oclc/42667937","WorldCat Record")</f>
        <v/>
      </c>
      <c r="AU2344" t="inlineStr">
        <is>
          <t>26971127:eng</t>
        </is>
      </c>
      <c r="AV2344" t="inlineStr">
        <is>
          <t>42667937</t>
        </is>
      </c>
      <c r="AW2344" t="inlineStr">
        <is>
          <t>991003046889702656</t>
        </is>
      </c>
      <c r="AX2344" t="inlineStr">
        <is>
          <t>991003046889702656</t>
        </is>
      </c>
      <c r="AY2344" t="inlineStr">
        <is>
          <t>2271964860002656</t>
        </is>
      </c>
      <c r="AZ2344" t="inlineStr">
        <is>
          <t>BOOK</t>
        </is>
      </c>
      <c r="BB2344" t="inlineStr">
        <is>
          <t>9780375503443</t>
        </is>
      </c>
      <c r="BC2344" t="inlineStr">
        <is>
          <t>32285003632170</t>
        </is>
      </c>
      <c r="BD2344" t="inlineStr">
        <is>
          <t>893893328</t>
        </is>
      </c>
    </row>
    <row r="2345">
      <c r="A2345" t="inlineStr">
        <is>
          <t>No</t>
        </is>
      </c>
      <c r="B2345" t="inlineStr">
        <is>
          <t>E888 .H65 1997</t>
        </is>
      </c>
      <c r="C2345" t="inlineStr">
        <is>
          <t>0                      E  0888000H  65          1997</t>
        </is>
      </c>
      <c r="D2345" t="inlineStr">
        <is>
          <t>Reelecting Bill Clinton : why America chose a "new" democrat / John Hohenberg.</t>
        </is>
      </c>
      <c r="F2345" t="inlineStr">
        <is>
          <t>No</t>
        </is>
      </c>
      <c r="G2345" t="inlineStr">
        <is>
          <t>1</t>
        </is>
      </c>
      <c r="H2345" t="inlineStr">
        <is>
          <t>No</t>
        </is>
      </c>
      <c r="I2345" t="inlineStr">
        <is>
          <t>No</t>
        </is>
      </c>
      <c r="J2345" t="inlineStr">
        <is>
          <t>0</t>
        </is>
      </c>
      <c r="K2345" t="inlineStr">
        <is>
          <t>Hohenberg, John.</t>
        </is>
      </c>
      <c r="L2345" t="inlineStr">
        <is>
          <t>Syracuse, N.Y. : Syracuse University Press, 1997.</t>
        </is>
      </c>
      <c r="M2345" t="inlineStr">
        <is>
          <t>1997</t>
        </is>
      </c>
      <c r="N2345" t="inlineStr">
        <is>
          <t>1st ed.</t>
        </is>
      </c>
      <c r="O2345" t="inlineStr">
        <is>
          <t>eng</t>
        </is>
      </c>
      <c r="P2345" t="inlineStr">
        <is>
          <t>nyu</t>
        </is>
      </c>
      <c r="R2345" t="inlineStr">
        <is>
          <t xml:space="preserve">E  </t>
        </is>
      </c>
      <c r="S2345" t="n">
        <v>1</v>
      </c>
      <c r="T2345" t="n">
        <v>1</v>
      </c>
      <c r="U2345" t="inlineStr">
        <is>
          <t>2002-05-02</t>
        </is>
      </c>
      <c r="V2345" t="inlineStr">
        <is>
          <t>2002-05-02</t>
        </is>
      </c>
      <c r="W2345" t="inlineStr">
        <is>
          <t>1998-10-26</t>
        </is>
      </c>
      <c r="X2345" t="inlineStr">
        <is>
          <t>1998-10-26</t>
        </is>
      </c>
      <c r="Y2345" t="n">
        <v>350</v>
      </c>
      <c r="Z2345" t="n">
        <v>317</v>
      </c>
      <c r="AA2345" t="n">
        <v>324</v>
      </c>
      <c r="AB2345" t="n">
        <v>3</v>
      </c>
      <c r="AC2345" t="n">
        <v>3</v>
      </c>
      <c r="AD2345" t="n">
        <v>16</v>
      </c>
      <c r="AE2345" t="n">
        <v>16</v>
      </c>
      <c r="AF2345" t="n">
        <v>3</v>
      </c>
      <c r="AG2345" t="n">
        <v>3</v>
      </c>
      <c r="AH2345" t="n">
        <v>7</v>
      </c>
      <c r="AI2345" t="n">
        <v>7</v>
      </c>
      <c r="AJ2345" t="n">
        <v>9</v>
      </c>
      <c r="AK2345" t="n">
        <v>9</v>
      </c>
      <c r="AL2345" t="n">
        <v>2</v>
      </c>
      <c r="AM2345" t="n">
        <v>2</v>
      </c>
      <c r="AN2345" t="n">
        <v>0</v>
      </c>
      <c r="AO2345" t="n">
        <v>0</v>
      </c>
      <c r="AP2345" t="inlineStr">
        <is>
          <t>No</t>
        </is>
      </c>
      <c r="AQ2345" t="inlineStr">
        <is>
          <t>Yes</t>
        </is>
      </c>
      <c r="AR2345">
        <f>HYPERLINK("http://catalog.hathitrust.org/Record/003955262","HathiTrust Record")</f>
        <v/>
      </c>
      <c r="AS2345">
        <f>HYPERLINK("https://creighton-primo.hosted.exlibrisgroup.com/primo-explore/search?tab=default_tab&amp;search_scope=EVERYTHING&amp;vid=01CRU&amp;lang=en_US&amp;offset=0&amp;query=any,contains,991002790799702656","Catalog Record")</f>
        <v/>
      </c>
      <c r="AT2345">
        <f>HYPERLINK("http://www.worldcat.org/oclc/36649517","WorldCat Record")</f>
        <v/>
      </c>
      <c r="AU2345" t="inlineStr">
        <is>
          <t>365890357:eng</t>
        </is>
      </c>
      <c r="AV2345" t="inlineStr">
        <is>
          <t>36649517</t>
        </is>
      </c>
      <c r="AW2345" t="inlineStr">
        <is>
          <t>991002790799702656</t>
        </is>
      </c>
      <c r="AX2345" t="inlineStr">
        <is>
          <t>991002790799702656</t>
        </is>
      </c>
      <c r="AY2345" t="inlineStr">
        <is>
          <t>2262673720002656</t>
        </is>
      </c>
      <c r="AZ2345" t="inlineStr">
        <is>
          <t>BOOK</t>
        </is>
      </c>
      <c r="BB2345" t="inlineStr">
        <is>
          <t>9780815604914</t>
        </is>
      </c>
      <c r="BC2345" t="inlineStr">
        <is>
          <t>32285003477444</t>
        </is>
      </c>
      <c r="BD2345" t="inlineStr">
        <is>
          <t>893704525</t>
        </is>
      </c>
    </row>
    <row r="2346">
      <c r="A2346" t="inlineStr">
        <is>
          <t>No</t>
        </is>
      </c>
      <c r="B2346" t="inlineStr">
        <is>
          <t>E888 .W66 1996</t>
        </is>
      </c>
      <c r="C2346" t="inlineStr">
        <is>
          <t>0                      E  0888000W  66          1996</t>
        </is>
      </c>
      <c r="D2346" t="inlineStr">
        <is>
          <t>The choice / Bob Woodward.</t>
        </is>
      </c>
      <c r="F2346" t="inlineStr">
        <is>
          <t>No</t>
        </is>
      </c>
      <c r="G2346" t="inlineStr">
        <is>
          <t>1</t>
        </is>
      </c>
      <c r="H2346" t="inlineStr">
        <is>
          <t>No</t>
        </is>
      </c>
      <c r="I2346" t="inlineStr">
        <is>
          <t>No</t>
        </is>
      </c>
      <c r="J2346" t="inlineStr">
        <is>
          <t>0</t>
        </is>
      </c>
      <c r="K2346" t="inlineStr">
        <is>
          <t>Woodward, Bob, 1943-</t>
        </is>
      </c>
      <c r="L2346" t="inlineStr">
        <is>
          <t>New York : Simon &amp; Schuster, c1996.</t>
        </is>
      </c>
      <c r="M2346" t="inlineStr">
        <is>
          <t>1996</t>
        </is>
      </c>
      <c r="O2346" t="inlineStr">
        <is>
          <t>eng</t>
        </is>
      </c>
      <c r="P2346" t="inlineStr">
        <is>
          <t>nyu</t>
        </is>
      </c>
      <c r="R2346" t="inlineStr">
        <is>
          <t xml:space="preserve">E  </t>
        </is>
      </c>
      <c r="S2346" t="n">
        <v>8</v>
      </c>
      <c r="T2346" t="n">
        <v>8</v>
      </c>
      <c r="U2346" t="inlineStr">
        <is>
          <t>1998-02-14</t>
        </is>
      </c>
      <c r="V2346" t="inlineStr">
        <is>
          <t>1998-02-14</t>
        </is>
      </c>
      <c r="W2346" t="inlineStr">
        <is>
          <t>1996-08-13</t>
        </is>
      </c>
      <c r="X2346" t="inlineStr">
        <is>
          <t>1996-08-13</t>
        </is>
      </c>
      <c r="Y2346" t="n">
        <v>1891</v>
      </c>
      <c r="Z2346" t="n">
        <v>1792</v>
      </c>
      <c r="AA2346" t="n">
        <v>1803</v>
      </c>
      <c r="AB2346" t="n">
        <v>14</v>
      </c>
      <c r="AC2346" t="n">
        <v>14</v>
      </c>
      <c r="AD2346" t="n">
        <v>36</v>
      </c>
      <c r="AE2346" t="n">
        <v>36</v>
      </c>
      <c r="AF2346" t="n">
        <v>14</v>
      </c>
      <c r="AG2346" t="n">
        <v>14</v>
      </c>
      <c r="AH2346" t="n">
        <v>6</v>
      </c>
      <c r="AI2346" t="n">
        <v>6</v>
      </c>
      <c r="AJ2346" t="n">
        <v>19</v>
      </c>
      <c r="AK2346" t="n">
        <v>19</v>
      </c>
      <c r="AL2346" t="n">
        <v>3</v>
      </c>
      <c r="AM2346" t="n">
        <v>3</v>
      </c>
      <c r="AN2346" t="n">
        <v>3</v>
      </c>
      <c r="AO2346" t="n">
        <v>3</v>
      </c>
      <c r="AP2346" t="inlineStr">
        <is>
          <t>No</t>
        </is>
      </c>
      <c r="AQ2346" t="inlineStr">
        <is>
          <t>Yes</t>
        </is>
      </c>
      <c r="AR2346">
        <f>HYPERLINK("http://catalog.hathitrust.org/Record/003076424","HathiTrust Record")</f>
        <v/>
      </c>
      <c r="AS2346">
        <f>HYPERLINK("https://creighton-primo.hosted.exlibrisgroup.com/primo-explore/search?tab=default_tab&amp;search_scope=EVERYTHING&amp;vid=01CRU&amp;lang=en_US&amp;offset=0&amp;query=any,contains,991002675399702656","Catalog Record")</f>
        <v/>
      </c>
      <c r="AT2346">
        <f>HYPERLINK("http://www.worldcat.org/oclc/34983589","WorldCat Record")</f>
        <v/>
      </c>
      <c r="AU2346" t="inlineStr">
        <is>
          <t>2564893428:eng</t>
        </is>
      </c>
      <c r="AV2346" t="inlineStr">
        <is>
          <t>34983589</t>
        </is>
      </c>
      <c r="AW2346" t="inlineStr">
        <is>
          <t>991002675399702656</t>
        </is>
      </c>
      <c r="AX2346" t="inlineStr">
        <is>
          <t>991002675399702656</t>
        </is>
      </c>
      <c r="AY2346" t="inlineStr">
        <is>
          <t>2265333140002656</t>
        </is>
      </c>
      <c r="AZ2346" t="inlineStr">
        <is>
          <t>BOOK</t>
        </is>
      </c>
      <c r="BB2346" t="inlineStr">
        <is>
          <t>9780684813080</t>
        </is>
      </c>
      <c r="BC2346" t="inlineStr">
        <is>
          <t>32285002274743</t>
        </is>
      </c>
      <c r="BD2346" t="inlineStr">
        <is>
          <t>893517585</t>
        </is>
      </c>
    </row>
    <row r="2347">
      <c r="A2347" t="inlineStr">
        <is>
          <t>No</t>
        </is>
      </c>
      <c r="B2347" t="inlineStr">
        <is>
          <t>E889 .B78 2002</t>
        </is>
      </c>
      <c r="C2347" t="inlineStr">
        <is>
          <t>0                      E  0889000B  78          2002</t>
        </is>
      </c>
      <c r="D2347" t="inlineStr">
        <is>
          <t>Ambling into history : the unlikely odyssey of George W. Bush / Frank Bruni.</t>
        </is>
      </c>
      <c r="F2347" t="inlineStr">
        <is>
          <t>No</t>
        </is>
      </c>
      <c r="G2347" t="inlineStr">
        <is>
          <t>1</t>
        </is>
      </c>
      <c r="H2347" t="inlineStr">
        <is>
          <t>No</t>
        </is>
      </c>
      <c r="I2347" t="inlineStr">
        <is>
          <t>No</t>
        </is>
      </c>
      <c r="J2347" t="inlineStr">
        <is>
          <t>0</t>
        </is>
      </c>
      <c r="K2347" t="inlineStr">
        <is>
          <t>Bruni, Frank.</t>
        </is>
      </c>
      <c r="L2347" t="inlineStr">
        <is>
          <t>New York : HarperCollins, c2002.</t>
        </is>
      </c>
      <c r="M2347" t="inlineStr">
        <is>
          <t>2002</t>
        </is>
      </c>
      <c r="N2347" t="inlineStr">
        <is>
          <t>1st ed.</t>
        </is>
      </c>
      <c r="O2347" t="inlineStr">
        <is>
          <t>eng</t>
        </is>
      </c>
      <c r="P2347" t="inlineStr">
        <is>
          <t>nyu</t>
        </is>
      </c>
      <c r="R2347" t="inlineStr">
        <is>
          <t xml:space="preserve">E  </t>
        </is>
      </c>
      <c r="S2347" t="n">
        <v>2</v>
      </c>
      <c r="T2347" t="n">
        <v>2</v>
      </c>
      <c r="U2347" t="inlineStr">
        <is>
          <t>2003-04-23</t>
        </is>
      </c>
      <c r="V2347" t="inlineStr">
        <is>
          <t>2003-04-23</t>
        </is>
      </c>
      <c r="W2347" t="inlineStr">
        <is>
          <t>2002-03-20</t>
        </is>
      </c>
      <c r="X2347" t="inlineStr">
        <is>
          <t>2002-03-20</t>
        </is>
      </c>
      <c r="Y2347" t="n">
        <v>1369</v>
      </c>
      <c r="Z2347" t="n">
        <v>1300</v>
      </c>
      <c r="AA2347" t="n">
        <v>1466</v>
      </c>
      <c r="AB2347" t="n">
        <v>9</v>
      </c>
      <c r="AC2347" t="n">
        <v>9</v>
      </c>
      <c r="AD2347" t="n">
        <v>28</v>
      </c>
      <c r="AE2347" t="n">
        <v>30</v>
      </c>
      <c r="AF2347" t="n">
        <v>12</v>
      </c>
      <c r="AG2347" t="n">
        <v>13</v>
      </c>
      <c r="AH2347" t="n">
        <v>5</v>
      </c>
      <c r="AI2347" t="n">
        <v>6</v>
      </c>
      <c r="AJ2347" t="n">
        <v>13</v>
      </c>
      <c r="AK2347" t="n">
        <v>14</v>
      </c>
      <c r="AL2347" t="n">
        <v>3</v>
      </c>
      <c r="AM2347" t="n">
        <v>3</v>
      </c>
      <c r="AN2347" t="n">
        <v>2</v>
      </c>
      <c r="AO2347" t="n">
        <v>2</v>
      </c>
      <c r="AP2347" t="inlineStr">
        <is>
          <t>No</t>
        </is>
      </c>
      <c r="AQ2347" t="inlineStr">
        <is>
          <t>No</t>
        </is>
      </c>
      <c r="AS2347">
        <f>HYPERLINK("https://creighton-primo.hosted.exlibrisgroup.com/primo-explore/search?tab=default_tab&amp;search_scope=EVERYTHING&amp;vid=01CRU&amp;lang=en_US&amp;offset=0&amp;query=any,contains,991003755449702656","Catalog Record")</f>
        <v/>
      </c>
      <c r="AT2347">
        <f>HYPERLINK("http://www.worldcat.org/oclc/49222231","WorldCat Record")</f>
        <v/>
      </c>
      <c r="AU2347" t="inlineStr">
        <is>
          <t>1059816:eng</t>
        </is>
      </c>
      <c r="AV2347" t="inlineStr">
        <is>
          <t>49222231</t>
        </is>
      </c>
      <c r="AW2347" t="inlineStr">
        <is>
          <t>991003755449702656</t>
        </is>
      </c>
      <c r="AX2347" t="inlineStr">
        <is>
          <t>991003755449702656</t>
        </is>
      </c>
      <c r="AY2347" t="inlineStr">
        <is>
          <t>2263514890002656</t>
        </is>
      </c>
      <c r="AZ2347" t="inlineStr">
        <is>
          <t>BOOK</t>
        </is>
      </c>
      <c r="BB2347" t="inlineStr">
        <is>
          <t>9780066213712</t>
        </is>
      </c>
      <c r="BC2347" t="inlineStr">
        <is>
          <t>32285004463377</t>
        </is>
      </c>
      <c r="BD2347" t="inlineStr">
        <is>
          <t>893617706</t>
        </is>
      </c>
    </row>
    <row r="2348">
      <c r="A2348" t="inlineStr">
        <is>
          <t>No</t>
        </is>
      </c>
      <c r="B2348" t="inlineStr">
        <is>
          <t>E895 .M34 2005</t>
        </is>
      </c>
      <c r="C2348" t="inlineStr">
        <is>
          <t>0                      E  0895000M  34          2005</t>
        </is>
      </c>
      <c r="D2348" t="inlineStr">
        <is>
          <t>Beyond the age of innocence : rebuilding trust between America and the world / Kishore Mahbubani.</t>
        </is>
      </c>
      <c r="F2348" t="inlineStr">
        <is>
          <t>No</t>
        </is>
      </c>
      <c r="G2348" t="inlineStr">
        <is>
          <t>1</t>
        </is>
      </c>
      <c r="H2348" t="inlineStr">
        <is>
          <t>No</t>
        </is>
      </c>
      <c r="I2348" t="inlineStr">
        <is>
          <t>No</t>
        </is>
      </c>
      <c r="J2348" t="inlineStr">
        <is>
          <t>0</t>
        </is>
      </c>
      <c r="K2348" t="inlineStr">
        <is>
          <t>Mahbubani, Kishore.</t>
        </is>
      </c>
      <c r="L2348" t="inlineStr">
        <is>
          <t>New York : Public Affairs, c2005.</t>
        </is>
      </c>
      <c r="M2348" t="inlineStr">
        <is>
          <t>2005</t>
        </is>
      </c>
      <c r="N2348" t="inlineStr">
        <is>
          <t>1st ed.</t>
        </is>
      </c>
      <c r="O2348" t="inlineStr">
        <is>
          <t>eng</t>
        </is>
      </c>
      <c r="P2348" t="inlineStr">
        <is>
          <t>nyu</t>
        </is>
      </c>
      <c r="R2348" t="inlineStr">
        <is>
          <t xml:space="preserve">E  </t>
        </is>
      </c>
      <c r="S2348" t="n">
        <v>2</v>
      </c>
      <c r="T2348" t="n">
        <v>2</v>
      </c>
      <c r="U2348" t="inlineStr">
        <is>
          <t>2005-03-17</t>
        </is>
      </c>
      <c r="V2348" t="inlineStr">
        <is>
          <t>2005-03-17</t>
        </is>
      </c>
      <c r="W2348" t="inlineStr">
        <is>
          <t>2005-03-17</t>
        </is>
      </c>
      <c r="X2348" t="inlineStr">
        <is>
          <t>2005-03-17</t>
        </is>
      </c>
      <c r="Y2348" t="n">
        <v>465</v>
      </c>
      <c r="Z2348" t="n">
        <v>429</v>
      </c>
      <c r="AA2348" t="n">
        <v>575</v>
      </c>
      <c r="AB2348" t="n">
        <v>3</v>
      </c>
      <c r="AC2348" t="n">
        <v>3</v>
      </c>
      <c r="AD2348" t="n">
        <v>15</v>
      </c>
      <c r="AE2348" t="n">
        <v>19</v>
      </c>
      <c r="AF2348" t="n">
        <v>1</v>
      </c>
      <c r="AG2348" t="n">
        <v>3</v>
      </c>
      <c r="AH2348" t="n">
        <v>5</v>
      </c>
      <c r="AI2348" t="n">
        <v>6</v>
      </c>
      <c r="AJ2348" t="n">
        <v>8</v>
      </c>
      <c r="AK2348" t="n">
        <v>12</v>
      </c>
      <c r="AL2348" t="n">
        <v>2</v>
      </c>
      <c r="AM2348" t="n">
        <v>2</v>
      </c>
      <c r="AN2348" t="n">
        <v>1</v>
      </c>
      <c r="AO2348" t="n">
        <v>1</v>
      </c>
      <c r="AP2348" t="inlineStr">
        <is>
          <t>No</t>
        </is>
      </c>
      <c r="AQ2348" t="inlineStr">
        <is>
          <t>No</t>
        </is>
      </c>
      <c r="AS2348">
        <f>HYPERLINK("https://creighton-primo.hosted.exlibrisgroup.com/primo-explore/search?tab=default_tab&amp;search_scope=EVERYTHING&amp;vid=01CRU&amp;lang=en_US&amp;offset=0&amp;query=any,contains,991004480809702656","Catalog Record")</f>
        <v/>
      </c>
      <c r="AT2348">
        <f>HYPERLINK("http://www.worldcat.org/oclc/56755624","WorldCat Record")</f>
        <v/>
      </c>
      <c r="AU2348" t="inlineStr">
        <is>
          <t>16936903:eng</t>
        </is>
      </c>
      <c r="AV2348" t="inlineStr">
        <is>
          <t>56755624</t>
        </is>
      </c>
      <c r="AW2348" t="inlineStr">
        <is>
          <t>991004480809702656</t>
        </is>
      </c>
      <c r="AX2348" t="inlineStr">
        <is>
          <t>991004480809702656</t>
        </is>
      </c>
      <c r="AY2348" t="inlineStr">
        <is>
          <t>2272114170002656</t>
        </is>
      </c>
      <c r="AZ2348" t="inlineStr">
        <is>
          <t>BOOK</t>
        </is>
      </c>
      <c r="BB2348" t="inlineStr">
        <is>
          <t>9781586482688</t>
        </is>
      </c>
      <c r="BC2348" t="inlineStr">
        <is>
          <t>32285005042675</t>
        </is>
      </c>
      <c r="BD2348" t="inlineStr">
        <is>
          <t>893706471</t>
        </is>
      </c>
    </row>
    <row r="2349">
      <c r="A2349" t="inlineStr">
        <is>
          <t>No</t>
        </is>
      </c>
      <c r="B2349" t="inlineStr">
        <is>
          <t>E895 .R96 2003</t>
        </is>
      </c>
      <c r="C2349" t="inlineStr">
        <is>
          <t>0                      E  0895000R  96          2003</t>
        </is>
      </c>
      <c r="D2349" t="inlineStr">
        <is>
          <t>America the virtuous : the crisis of democracy and the quest for empire / Claes G. Ryn.</t>
        </is>
      </c>
      <c r="F2349" t="inlineStr">
        <is>
          <t>No</t>
        </is>
      </c>
      <c r="G2349" t="inlineStr">
        <is>
          <t>1</t>
        </is>
      </c>
      <c r="H2349" t="inlineStr">
        <is>
          <t>No</t>
        </is>
      </c>
      <c r="I2349" t="inlineStr">
        <is>
          <t>No</t>
        </is>
      </c>
      <c r="J2349" t="inlineStr">
        <is>
          <t>0</t>
        </is>
      </c>
      <c r="K2349" t="inlineStr">
        <is>
          <t>Ryn, Claes G., 1943-</t>
        </is>
      </c>
      <c r="L2349" t="inlineStr">
        <is>
          <t>New Brunswick, U.S.A. : Transaction Publishers, c2003.</t>
        </is>
      </c>
      <c r="M2349" t="inlineStr">
        <is>
          <t>2003</t>
        </is>
      </c>
      <c r="O2349" t="inlineStr">
        <is>
          <t>eng</t>
        </is>
      </c>
      <c r="P2349" t="inlineStr">
        <is>
          <t>nju</t>
        </is>
      </c>
      <c r="R2349" t="inlineStr">
        <is>
          <t xml:space="preserve">E  </t>
        </is>
      </c>
      <c r="S2349" t="n">
        <v>4</v>
      </c>
      <c r="T2349" t="n">
        <v>4</v>
      </c>
      <c r="U2349" t="inlineStr">
        <is>
          <t>2004-02-03</t>
        </is>
      </c>
      <c r="V2349" t="inlineStr">
        <is>
          <t>2004-02-03</t>
        </is>
      </c>
      <c r="W2349" t="inlineStr">
        <is>
          <t>2004-02-03</t>
        </is>
      </c>
      <c r="X2349" t="inlineStr">
        <is>
          <t>2004-02-03</t>
        </is>
      </c>
      <c r="Y2349" t="n">
        <v>418</v>
      </c>
      <c r="Z2349" t="n">
        <v>341</v>
      </c>
      <c r="AA2349" t="n">
        <v>371</v>
      </c>
      <c r="AB2349" t="n">
        <v>5</v>
      </c>
      <c r="AC2349" t="n">
        <v>5</v>
      </c>
      <c r="AD2349" t="n">
        <v>22</v>
      </c>
      <c r="AE2349" t="n">
        <v>22</v>
      </c>
      <c r="AF2349" t="n">
        <v>8</v>
      </c>
      <c r="AG2349" t="n">
        <v>8</v>
      </c>
      <c r="AH2349" t="n">
        <v>5</v>
      </c>
      <c r="AI2349" t="n">
        <v>5</v>
      </c>
      <c r="AJ2349" t="n">
        <v>10</v>
      </c>
      <c r="AK2349" t="n">
        <v>10</v>
      </c>
      <c r="AL2349" t="n">
        <v>4</v>
      </c>
      <c r="AM2349" t="n">
        <v>4</v>
      </c>
      <c r="AN2349" t="n">
        <v>1</v>
      </c>
      <c r="AO2349" t="n">
        <v>1</v>
      </c>
      <c r="AP2349" t="inlineStr">
        <is>
          <t>No</t>
        </is>
      </c>
      <c r="AQ2349" t="inlineStr">
        <is>
          <t>No</t>
        </is>
      </c>
      <c r="AS2349">
        <f>HYPERLINK("https://creighton-primo.hosted.exlibrisgroup.com/primo-explore/search?tab=default_tab&amp;search_scope=EVERYTHING&amp;vid=01CRU&amp;lang=en_US&amp;offset=0&amp;query=any,contains,991004205179702656","Catalog Record")</f>
        <v/>
      </c>
      <c r="AT2349">
        <f>HYPERLINK("http://www.worldcat.org/oclc/52639196","WorldCat Record")</f>
        <v/>
      </c>
      <c r="AU2349" t="inlineStr">
        <is>
          <t>890887641:eng</t>
        </is>
      </c>
      <c r="AV2349" t="inlineStr">
        <is>
          <t>52639196</t>
        </is>
      </c>
      <c r="AW2349" t="inlineStr">
        <is>
          <t>991004205179702656</t>
        </is>
      </c>
      <c r="AX2349" t="inlineStr">
        <is>
          <t>991004205179702656</t>
        </is>
      </c>
      <c r="AY2349" t="inlineStr">
        <is>
          <t>2270819260002656</t>
        </is>
      </c>
      <c r="AZ2349" t="inlineStr">
        <is>
          <t>BOOK</t>
        </is>
      </c>
      <c r="BB2349" t="inlineStr">
        <is>
          <t>9780765802194</t>
        </is>
      </c>
      <c r="BC2349" t="inlineStr">
        <is>
          <t>32285004636758</t>
        </is>
      </c>
      <c r="BD2349" t="inlineStr">
        <is>
          <t>893618382</t>
        </is>
      </c>
    </row>
    <row r="2350">
      <c r="A2350" t="inlineStr">
        <is>
          <t>No</t>
        </is>
      </c>
      <c r="B2350" t="inlineStr">
        <is>
          <t>E902 .C365 2003</t>
        </is>
      </c>
      <c r="C2350" t="inlineStr">
        <is>
          <t>0                      E  0902000C  365         2003</t>
        </is>
      </c>
      <c r="D2350" t="inlineStr">
        <is>
          <t>Big lies : the right-wing propaganda machine and how it distorts the truth / Joe Conason.</t>
        </is>
      </c>
      <c r="F2350" t="inlineStr">
        <is>
          <t>No</t>
        </is>
      </c>
      <c r="G2350" t="inlineStr">
        <is>
          <t>1</t>
        </is>
      </c>
      <c r="H2350" t="inlineStr">
        <is>
          <t>No</t>
        </is>
      </c>
      <c r="I2350" t="inlineStr">
        <is>
          <t>No</t>
        </is>
      </c>
      <c r="J2350" t="inlineStr">
        <is>
          <t>0</t>
        </is>
      </c>
      <c r="K2350" t="inlineStr">
        <is>
          <t>Conason, Joe.</t>
        </is>
      </c>
      <c r="L2350" t="inlineStr">
        <is>
          <t>New York : Thomas Dunne Books, 2003.</t>
        </is>
      </c>
      <c r="M2350" t="inlineStr">
        <is>
          <t>2003</t>
        </is>
      </c>
      <c r="N2350" t="inlineStr">
        <is>
          <t>1st ed.</t>
        </is>
      </c>
      <c r="O2350" t="inlineStr">
        <is>
          <t>eng</t>
        </is>
      </c>
      <c r="P2350" t="inlineStr">
        <is>
          <t>nyu</t>
        </is>
      </c>
      <c r="R2350" t="inlineStr">
        <is>
          <t xml:space="preserve">E  </t>
        </is>
      </c>
      <c r="S2350" t="n">
        <v>4</v>
      </c>
      <c r="T2350" t="n">
        <v>4</v>
      </c>
      <c r="U2350" t="inlineStr">
        <is>
          <t>2004-04-07</t>
        </is>
      </c>
      <c r="V2350" t="inlineStr">
        <is>
          <t>2004-04-07</t>
        </is>
      </c>
      <c r="W2350" t="inlineStr">
        <is>
          <t>2003-10-06</t>
        </is>
      </c>
      <c r="X2350" t="inlineStr">
        <is>
          <t>2003-10-06</t>
        </is>
      </c>
      <c r="Y2350" t="n">
        <v>1295</v>
      </c>
      <c r="Z2350" t="n">
        <v>1212</v>
      </c>
      <c r="AA2350" t="n">
        <v>1260</v>
      </c>
      <c r="AB2350" t="n">
        <v>13</v>
      </c>
      <c r="AC2350" t="n">
        <v>14</v>
      </c>
      <c r="AD2350" t="n">
        <v>29</v>
      </c>
      <c r="AE2350" t="n">
        <v>31</v>
      </c>
      <c r="AF2350" t="n">
        <v>9</v>
      </c>
      <c r="AG2350" t="n">
        <v>10</v>
      </c>
      <c r="AH2350" t="n">
        <v>3</v>
      </c>
      <c r="AI2350" t="n">
        <v>4</v>
      </c>
      <c r="AJ2350" t="n">
        <v>14</v>
      </c>
      <c r="AK2350" t="n">
        <v>15</v>
      </c>
      <c r="AL2350" t="n">
        <v>6</v>
      </c>
      <c r="AM2350" t="n">
        <v>6</v>
      </c>
      <c r="AN2350" t="n">
        <v>2</v>
      </c>
      <c r="AO2350" t="n">
        <v>2</v>
      </c>
      <c r="AP2350" t="inlineStr">
        <is>
          <t>No</t>
        </is>
      </c>
      <c r="AQ2350" t="inlineStr">
        <is>
          <t>No</t>
        </is>
      </c>
      <c r="AS2350">
        <f>HYPERLINK("https://creighton-primo.hosted.exlibrisgroup.com/primo-explore/search?tab=default_tab&amp;search_scope=EVERYTHING&amp;vid=01CRU&amp;lang=en_US&amp;offset=0&amp;query=any,contains,991004121429702656","Catalog Record")</f>
        <v/>
      </c>
      <c r="AT2350">
        <f>HYPERLINK("http://www.worldcat.org/oclc/52381481","WorldCat Record")</f>
        <v/>
      </c>
      <c r="AU2350" t="inlineStr">
        <is>
          <t>675781:eng</t>
        </is>
      </c>
      <c r="AV2350" t="inlineStr">
        <is>
          <t>52381481</t>
        </is>
      </c>
      <c r="AW2350" t="inlineStr">
        <is>
          <t>991004121429702656</t>
        </is>
      </c>
      <c r="AX2350" t="inlineStr">
        <is>
          <t>991004121429702656</t>
        </is>
      </c>
      <c r="AY2350" t="inlineStr">
        <is>
          <t>2257044690002656</t>
        </is>
      </c>
      <c r="AZ2350" t="inlineStr">
        <is>
          <t>BOOK</t>
        </is>
      </c>
      <c r="BB2350" t="inlineStr">
        <is>
          <t>9780312315603</t>
        </is>
      </c>
      <c r="BC2350" t="inlineStr">
        <is>
          <t>32285004786819</t>
        </is>
      </c>
      <c r="BD2350" t="inlineStr">
        <is>
          <t>893519267</t>
        </is>
      </c>
    </row>
    <row r="2351">
      <c r="A2351" t="inlineStr">
        <is>
          <t>No</t>
        </is>
      </c>
      <c r="B2351" t="inlineStr">
        <is>
          <t>E902 .D42 2004</t>
        </is>
      </c>
      <c r="C2351" t="inlineStr">
        <is>
          <t>0                      E  0902000D  42          2004</t>
        </is>
      </c>
      <c r="D2351" t="inlineStr">
        <is>
          <t>Worse than Watergate : the secret presidency of George W. Bush / John W. Dean.</t>
        </is>
      </c>
      <c r="F2351" t="inlineStr">
        <is>
          <t>No</t>
        </is>
      </c>
      <c r="G2351" t="inlineStr">
        <is>
          <t>1</t>
        </is>
      </c>
      <c r="H2351" t="inlineStr">
        <is>
          <t>No</t>
        </is>
      </c>
      <c r="I2351" t="inlineStr">
        <is>
          <t>No</t>
        </is>
      </c>
      <c r="J2351" t="inlineStr">
        <is>
          <t>0</t>
        </is>
      </c>
      <c r="K2351" t="inlineStr">
        <is>
          <t>Dean, John W. (John Wesley), 1938-</t>
        </is>
      </c>
      <c r="L2351" t="inlineStr">
        <is>
          <t>New York : Little, Brown and Co., 2004.</t>
        </is>
      </c>
      <c r="M2351" t="inlineStr">
        <is>
          <t>2004</t>
        </is>
      </c>
      <c r="N2351" t="inlineStr">
        <is>
          <t>1st ed.</t>
        </is>
      </c>
      <c r="O2351" t="inlineStr">
        <is>
          <t>eng</t>
        </is>
      </c>
      <c r="P2351" t="inlineStr">
        <is>
          <t>nyu</t>
        </is>
      </c>
      <c r="R2351" t="inlineStr">
        <is>
          <t xml:space="preserve">E  </t>
        </is>
      </c>
      <c r="S2351" t="n">
        <v>2</v>
      </c>
      <c r="T2351" t="n">
        <v>2</v>
      </c>
      <c r="U2351" t="inlineStr">
        <is>
          <t>2004-05-18</t>
        </is>
      </c>
      <c r="V2351" t="inlineStr">
        <is>
          <t>2004-05-18</t>
        </is>
      </c>
      <c r="W2351" t="inlineStr">
        <is>
          <t>2004-05-18</t>
        </is>
      </c>
      <c r="X2351" t="inlineStr">
        <is>
          <t>2004-05-18</t>
        </is>
      </c>
      <c r="Y2351" t="n">
        <v>1832</v>
      </c>
      <c r="Z2351" t="n">
        <v>1693</v>
      </c>
      <c r="AA2351" t="n">
        <v>1774</v>
      </c>
      <c r="AB2351" t="n">
        <v>13</v>
      </c>
      <c r="AC2351" t="n">
        <v>14</v>
      </c>
      <c r="AD2351" t="n">
        <v>28</v>
      </c>
      <c r="AE2351" t="n">
        <v>29</v>
      </c>
      <c r="AF2351" t="n">
        <v>13</v>
      </c>
      <c r="AG2351" t="n">
        <v>13</v>
      </c>
      <c r="AH2351" t="n">
        <v>3</v>
      </c>
      <c r="AI2351" t="n">
        <v>3</v>
      </c>
      <c r="AJ2351" t="n">
        <v>15</v>
      </c>
      <c r="AK2351" t="n">
        <v>15</v>
      </c>
      <c r="AL2351" t="n">
        <v>4</v>
      </c>
      <c r="AM2351" t="n">
        <v>5</v>
      </c>
      <c r="AN2351" t="n">
        <v>1</v>
      </c>
      <c r="AO2351" t="n">
        <v>1</v>
      </c>
      <c r="AP2351" t="inlineStr">
        <is>
          <t>No</t>
        </is>
      </c>
      <c r="AQ2351" t="inlineStr">
        <is>
          <t>No</t>
        </is>
      </c>
      <c r="AS2351">
        <f>HYPERLINK("https://creighton-primo.hosted.exlibrisgroup.com/primo-explore/search?tab=default_tab&amp;search_scope=EVERYTHING&amp;vid=01CRU&amp;lang=en_US&amp;offset=0&amp;query=any,contains,991004301649702656","Catalog Record")</f>
        <v/>
      </c>
      <c r="AT2351">
        <f>HYPERLINK("http://www.worldcat.org/oclc/54096730","WorldCat Record")</f>
        <v/>
      </c>
      <c r="AU2351" t="inlineStr">
        <is>
          <t>677903:eng</t>
        </is>
      </c>
      <c r="AV2351" t="inlineStr">
        <is>
          <t>54096730</t>
        </is>
      </c>
      <c r="AW2351" t="inlineStr">
        <is>
          <t>991004301649702656</t>
        </is>
      </c>
      <c r="AX2351" t="inlineStr">
        <is>
          <t>991004301649702656</t>
        </is>
      </c>
      <c r="AY2351" t="inlineStr">
        <is>
          <t>2258041730002656</t>
        </is>
      </c>
      <c r="AZ2351" t="inlineStr">
        <is>
          <t>BOOK</t>
        </is>
      </c>
      <c r="BB2351" t="inlineStr">
        <is>
          <t>9780316000239</t>
        </is>
      </c>
      <c r="BC2351" t="inlineStr">
        <is>
          <t>32285004906144</t>
        </is>
      </c>
      <c r="BD2351" t="inlineStr">
        <is>
          <t>893706223</t>
        </is>
      </c>
    </row>
    <row r="2352">
      <c r="A2352" t="inlineStr">
        <is>
          <t>No</t>
        </is>
      </c>
      <c r="B2352" t="inlineStr">
        <is>
          <t>E902 .D43 2003</t>
        </is>
      </c>
      <c r="C2352" t="inlineStr">
        <is>
          <t>0                      E  0902000D  43          2003</t>
        </is>
      </c>
      <c r="D2352" t="inlineStr">
        <is>
          <t>Fixed ideas : America since 9.11 / Joan Didion ; preface by Frank Rich.</t>
        </is>
      </c>
      <c r="F2352" t="inlineStr">
        <is>
          <t>No</t>
        </is>
      </c>
      <c r="G2352" t="inlineStr">
        <is>
          <t>1</t>
        </is>
      </c>
      <c r="H2352" t="inlineStr">
        <is>
          <t>No</t>
        </is>
      </c>
      <c r="I2352" t="inlineStr">
        <is>
          <t>No</t>
        </is>
      </c>
      <c r="J2352" t="inlineStr">
        <is>
          <t>0</t>
        </is>
      </c>
      <c r="K2352" t="inlineStr">
        <is>
          <t>Didion, Joan.</t>
        </is>
      </c>
      <c r="L2352" t="inlineStr">
        <is>
          <t>New York : New York Review Books, 2003.</t>
        </is>
      </c>
      <c r="M2352" t="inlineStr">
        <is>
          <t>2003</t>
        </is>
      </c>
      <c r="O2352" t="inlineStr">
        <is>
          <t>eng</t>
        </is>
      </c>
      <c r="P2352" t="inlineStr">
        <is>
          <t>nyu</t>
        </is>
      </c>
      <c r="R2352" t="inlineStr">
        <is>
          <t xml:space="preserve">E  </t>
        </is>
      </c>
      <c r="S2352" t="n">
        <v>4</v>
      </c>
      <c r="T2352" t="n">
        <v>4</v>
      </c>
      <c r="U2352" t="inlineStr">
        <is>
          <t>2005-05-31</t>
        </is>
      </c>
      <c r="V2352" t="inlineStr">
        <is>
          <t>2005-05-31</t>
        </is>
      </c>
      <c r="W2352" t="inlineStr">
        <is>
          <t>2004-02-24</t>
        </is>
      </c>
      <c r="X2352" t="inlineStr">
        <is>
          <t>2004-02-24</t>
        </is>
      </c>
      <c r="Y2352" t="n">
        <v>505</v>
      </c>
      <c r="Z2352" t="n">
        <v>463</v>
      </c>
      <c r="AA2352" t="n">
        <v>470</v>
      </c>
      <c r="AB2352" t="n">
        <v>2</v>
      </c>
      <c r="AC2352" t="n">
        <v>2</v>
      </c>
      <c r="AD2352" t="n">
        <v>11</v>
      </c>
      <c r="AE2352" t="n">
        <v>11</v>
      </c>
      <c r="AF2352" t="n">
        <v>3</v>
      </c>
      <c r="AG2352" t="n">
        <v>3</v>
      </c>
      <c r="AH2352" t="n">
        <v>4</v>
      </c>
      <c r="AI2352" t="n">
        <v>4</v>
      </c>
      <c r="AJ2352" t="n">
        <v>3</v>
      </c>
      <c r="AK2352" t="n">
        <v>3</v>
      </c>
      <c r="AL2352" t="n">
        <v>1</v>
      </c>
      <c r="AM2352" t="n">
        <v>1</v>
      </c>
      <c r="AN2352" t="n">
        <v>0</v>
      </c>
      <c r="AO2352" t="n">
        <v>0</v>
      </c>
      <c r="AP2352" t="inlineStr">
        <is>
          <t>No</t>
        </is>
      </c>
      <c r="AQ2352" t="inlineStr">
        <is>
          <t>Yes</t>
        </is>
      </c>
      <c r="AR2352">
        <f>HYPERLINK("http://catalog.hathitrust.org/Record/004342696","HathiTrust Record")</f>
        <v/>
      </c>
      <c r="AS2352">
        <f>HYPERLINK("https://creighton-primo.hosted.exlibrisgroup.com/primo-explore/search?tab=default_tab&amp;search_scope=EVERYTHING&amp;vid=01CRU&amp;lang=en_US&amp;offset=0&amp;query=any,contains,991004230109702656","Catalog Record")</f>
        <v/>
      </c>
      <c r="AT2352">
        <f>HYPERLINK("http://www.worldcat.org/oclc/51984914","WorldCat Record")</f>
        <v/>
      </c>
      <c r="AU2352" t="inlineStr">
        <is>
          <t>799659:eng</t>
        </is>
      </c>
      <c r="AV2352" t="inlineStr">
        <is>
          <t>51984914</t>
        </is>
      </c>
      <c r="AW2352" t="inlineStr">
        <is>
          <t>991004230109702656</t>
        </is>
      </c>
      <c r="AX2352" t="inlineStr">
        <is>
          <t>991004230109702656</t>
        </is>
      </c>
      <c r="AY2352" t="inlineStr">
        <is>
          <t>2267641910002656</t>
        </is>
      </c>
      <c r="AZ2352" t="inlineStr">
        <is>
          <t>BOOK</t>
        </is>
      </c>
      <c r="BB2352" t="inlineStr">
        <is>
          <t>9781590170731</t>
        </is>
      </c>
      <c r="BC2352" t="inlineStr">
        <is>
          <t>32285004890066</t>
        </is>
      </c>
      <c r="BD2352" t="inlineStr">
        <is>
          <t>893512985</t>
        </is>
      </c>
    </row>
    <row r="2353">
      <c r="A2353" t="inlineStr">
        <is>
          <t>No</t>
        </is>
      </c>
      <c r="B2353" t="inlineStr">
        <is>
          <t>E902 .D56 2004</t>
        </is>
      </c>
      <c r="C2353" t="inlineStr">
        <is>
          <t>0                      E  0902000D  56          2004</t>
        </is>
      </c>
      <c r="D2353" t="inlineStr">
        <is>
          <t>Stand up, fight back : Republican toughs, Democratic wimps, and the politics of revenge / E.J. Dionne, Jr.</t>
        </is>
      </c>
      <c r="F2353" t="inlineStr">
        <is>
          <t>No</t>
        </is>
      </c>
      <c r="G2353" t="inlineStr">
        <is>
          <t>1</t>
        </is>
      </c>
      <c r="H2353" t="inlineStr">
        <is>
          <t>No</t>
        </is>
      </c>
      <c r="I2353" t="inlineStr">
        <is>
          <t>No</t>
        </is>
      </c>
      <c r="J2353" t="inlineStr">
        <is>
          <t>0</t>
        </is>
      </c>
      <c r="K2353" t="inlineStr">
        <is>
          <t>Dionne, E. J., Jr.</t>
        </is>
      </c>
      <c r="L2353" t="inlineStr">
        <is>
          <t>New York : Simon &amp; Schuster, c2004.</t>
        </is>
      </c>
      <c r="M2353" t="inlineStr">
        <is>
          <t>2004</t>
        </is>
      </c>
      <c r="O2353" t="inlineStr">
        <is>
          <t>eng</t>
        </is>
      </c>
      <c r="P2353" t="inlineStr">
        <is>
          <t>nyu</t>
        </is>
      </c>
      <c r="R2353" t="inlineStr">
        <is>
          <t xml:space="preserve">E  </t>
        </is>
      </c>
      <c r="S2353" t="n">
        <v>3</v>
      </c>
      <c r="T2353" t="n">
        <v>3</v>
      </c>
      <c r="U2353" t="inlineStr">
        <is>
          <t>2004-08-11</t>
        </is>
      </c>
      <c r="V2353" t="inlineStr">
        <is>
          <t>2004-08-11</t>
        </is>
      </c>
      <c r="W2353" t="inlineStr">
        <is>
          <t>2004-07-21</t>
        </is>
      </c>
      <c r="X2353" t="inlineStr">
        <is>
          <t>2004-07-21</t>
        </is>
      </c>
      <c r="Y2353" t="n">
        <v>466</v>
      </c>
      <c r="Z2353" t="n">
        <v>444</v>
      </c>
      <c r="AA2353" t="n">
        <v>463</v>
      </c>
      <c r="AB2353" t="n">
        <v>3</v>
      </c>
      <c r="AC2353" t="n">
        <v>3</v>
      </c>
      <c r="AD2353" t="n">
        <v>18</v>
      </c>
      <c r="AE2353" t="n">
        <v>18</v>
      </c>
      <c r="AF2353" t="n">
        <v>4</v>
      </c>
      <c r="AG2353" t="n">
        <v>4</v>
      </c>
      <c r="AH2353" t="n">
        <v>4</v>
      </c>
      <c r="AI2353" t="n">
        <v>4</v>
      </c>
      <c r="AJ2353" t="n">
        <v>12</v>
      </c>
      <c r="AK2353" t="n">
        <v>12</v>
      </c>
      <c r="AL2353" t="n">
        <v>2</v>
      </c>
      <c r="AM2353" t="n">
        <v>2</v>
      </c>
      <c r="AN2353" t="n">
        <v>0</v>
      </c>
      <c r="AO2353" t="n">
        <v>0</v>
      </c>
      <c r="AP2353" t="inlineStr">
        <is>
          <t>No</t>
        </is>
      </c>
      <c r="AQ2353" t="inlineStr">
        <is>
          <t>Yes</t>
        </is>
      </c>
      <c r="AR2353">
        <f>HYPERLINK("http://catalog.hathitrust.org/Record/004722136","HathiTrust Record")</f>
        <v/>
      </c>
      <c r="AS2353">
        <f>HYPERLINK("https://creighton-primo.hosted.exlibrisgroup.com/primo-explore/search?tab=default_tab&amp;search_scope=EVERYTHING&amp;vid=01CRU&amp;lang=en_US&amp;offset=0&amp;query=any,contains,991004312569702656","Catalog Record")</f>
        <v/>
      </c>
      <c r="AT2353">
        <f>HYPERLINK("http://www.worldcat.org/oclc/54499903","WorldCat Record")</f>
        <v/>
      </c>
      <c r="AU2353" t="inlineStr">
        <is>
          <t>312640244:eng</t>
        </is>
      </c>
      <c r="AV2353" t="inlineStr">
        <is>
          <t>54499903</t>
        </is>
      </c>
      <c r="AW2353" t="inlineStr">
        <is>
          <t>991004312569702656</t>
        </is>
      </c>
      <c r="AX2353" t="inlineStr">
        <is>
          <t>991004312569702656</t>
        </is>
      </c>
      <c r="AY2353" t="inlineStr">
        <is>
          <t>2267787320002656</t>
        </is>
      </c>
      <c r="AZ2353" t="inlineStr">
        <is>
          <t>BOOK</t>
        </is>
      </c>
      <c r="BB2353" t="inlineStr">
        <is>
          <t>9780743258586</t>
        </is>
      </c>
      <c r="BC2353" t="inlineStr">
        <is>
          <t>32285004924436</t>
        </is>
      </c>
      <c r="BD2353" t="inlineStr">
        <is>
          <t>893519482</t>
        </is>
      </c>
    </row>
    <row r="2354">
      <c r="A2354" t="inlineStr">
        <is>
          <t>No</t>
        </is>
      </c>
      <c r="B2354" t="inlineStr">
        <is>
          <t>E902 .F76 2004</t>
        </is>
      </c>
      <c r="C2354" t="inlineStr">
        <is>
          <t>0                      E  0902000F  76          2004</t>
        </is>
      </c>
      <c r="D2354" t="inlineStr">
        <is>
          <t>America's secret war : inside the hidden worldwide struggle between America and its enemies / George Friedman.</t>
        </is>
      </c>
      <c r="F2354" t="inlineStr">
        <is>
          <t>No</t>
        </is>
      </c>
      <c r="G2354" t="inlineStr">
        <is>
          <t>1</t>
        </is>
      </c>
      <c r="H2354" t="inlineStr">
        <is>
          <t>No</t>
        </is>
      </c>
      <c r="I2354" t="inlineStr">
        <is>
          <t>No</t>
        </is>
      </c>
      <c r="J2354" t="inlineStr">
        <is>
          <t>0</t>
        </is>
      </c>
      <c r="K2354" t="inlineStr">
        <is>
          <t>Friedman, George.</t>
        </is>
      </c>
      <c r="L2354" t="inlineStr">
        <is>
          <t>New York : Doubleday : c2004.</t>
        </is>
      </c>
      <c r="M2354" t="inlineStr">
        <is>
          <t>2004</t>
        </is>
      </c>
      <c r="N2354" t="inlineStr">
        <is>
          <t>1st ed.</t>
        </is>
      </c>
      <c r="O2354" t="inlineStr">
        <is>
          <t>eng</t>
        </is>
      </c>
      <c r="P2354" t="inlineStr">
        <is>
          <t>nyu</t>
        </is>
      </c>
      <c r="R2354" t="inlineStr">
        <is>
          <t xml:space="preserve">E  </t>
        </is>
      </c>
      <c r="S2354" t="n">
        <v>4</v>
      </c>
      <c r="T2354" t="n">
        <v>4</v>
      </c>
      <c r="U2354" t="inlineStr">
        <is>
          <t>2005-08-17</t>
        </is>
      </c>
      <c r="V2354" t="inlineStr">
        <is>
          <t>2005-08-17</t>
        </is>
      </c>
      <c r="W2354" t="inlineStr">
        <is>
          <t>2004-11-15</t>
        </is>
      </c>
      <c r="X2354" t="inlineStr">
        <is>
          <t>2004-11-15</t>
        </is>
      </c>
      <c r="Y2354" t="n">
        <v>790</v>
      </c>
      <c r="Z2354" t="n">
        <v>725</v>
      </c>
      <c r="AA2354" t="n">
        <v>833</v>
      </c>
      <c r="AB2354" t="n">
        <v>5</v>
      </c>
      <c r="AC2354" t="n">
        <v>6</v>
      </c>
      <c r="AD2354" t="n">
        <v>18</v>
      </c>
      <c r="AE2354" t="n">
        <v>20</v>
      </c>
      <c r="AF2354" t="n">
        <v>7</v>
      </c>
      <c r="AG2354" t="n">
        <v>8</v>
      </c>
      <c r="AH2354" t="n">
        <v>4</v>
      </c>
      <c r="AI2354" t="n">
        <v>4</v>
      </c>
      <c r="AJ2354" t="n">
        <v>8</v>
      </c>
      <c r="AK2354" t="n">
        <v>9</v>
      </c>
      <c r="AL2354" t="n">
        <v>2</v>
      </c>
      <c r="AM2354" t="n">
        <v>3</v>
      </c>
      <c r="AN2354" t="n">
        <v>1</v>
      </c>
      <c r="AO2354" t="n">
        <v>1</v>
      </c>
      <c r="AP2354" t="inlineStr">
        <is>
          <t>No</t>
        </is>
      </c>
      <c r="AQ2354" t="inlineStr">
        <is>
          <t>No</t>
        </is>
      </c>
      <c r="AS2354">
        <f>HYPERLINK("https://creighton-primo.hosted.exlibrisgroup.com/primo-explore/search?tab=default_tab&amp;search_scope=EVERYTHING&amp;vid=01CRU&amp;lang=en_US&amp;offset=0&amp;query=any,contains,991004405259702656","Catalog Record")</f>
        <v/>
      </c>
      <c r="AT2354">
        <f>HYPERLINK("http://www.worldcat.org/oclc/55960944","WorldCat Record")</f>
        <v/>
      </c>
      <c r="AU2354" t="inlineStr">
        <is>
          <t>799253767:eng</t>
        </is>
      </c>
      <c r="AV2354" t="inlineStr">
        <is>
          <t>55960944</t>
        </is>
      </c>
      <c r="AW2354" t="inlineStr">
        <is>
          <t>991004405259702656</t>
        </is>
      </c>
      <c r="AX2354" t="inlineStr">
        <is>
          <t>991004405259702656</t>
        </is>
      </c>
      <c r="AY2354" t="inlineStr">
        <is>
          <t>2265588710002656</t>
        </is>
      </c>
      <c r="AZ2354" t="inlineStr">
        <is>
          <t>BOOK</t>
        </is>
      </c>
      <c r="BB2354" t="inlineStr">
        <is>
          <t>9780385512459</t>
        </is>
      </c>
      <c r="BC2354" t="inlineStr">
        <is>
          <t>32285005010250</t>
        </is>
      </c>
      <c r="BD2354" t="inlineStr">
        <is>
          <t>893247549</t>
        </is>
      </c>
    </row>
    <row r="2355">
      <c r="A2355" t="inlineStr">
        <is>
          <t>No</t>
        </is>
      </c>
      <c r="B2355" t="inlineStr">
        <is>
          <t>E902 .S36 2002</t>
        </is>
      </c>
      <c r="C2355" t="inlineStr">
        <is>
          <t>0                      E  0902000S  36          2002</t>
        </is>
      </c>
      <c r="D2355" t="inlineStr">
        <is>
          <t>Fighting back : the War on Terrorism--from inside the Bush White House / Bill Sammon.</t>
        </is>
      </c>
      <c r="F2355" t="inlineStr">
        <is>
          <t>No</t>
        </is>
      </c>
      <c r="G2355" t="inlineStr">
        <is>
          <t>1</t>
        </is>
      </c>
      <c r="H2355" t="inlineStr">
        <is>
          <t>No</t>
        </is>
      </c>
      <c r="I2355" t="inlineStr">
        <is>
          <t>No</t>
        </is>
      </c>
      <c r="J2355" t="inlineStr">
        <is>
          <t>0</t>
        </is>
      </c>
      <c r="K2355" t="inlineStr">
        <is>
          <t>Sammon, Bill.</t>
        </is>
      </c>
      <c r="L2355" t="inlineStr">
        <is>
          <t>Washington, DC : Regnery Pub. ; Lanham, MD : Distributed to the trade by National Book Network, c2002.</t>
        </is>
      </c>
      <c r="M2355" t="inlineStr">
        <is>
          <t>2002</t>
        </is>
      </c>
      <c r="O2355" t="inlineStr">
        <is>
          <t>eng</t>
        </is>
      </c>
      <c r="P2355" t="inlineStr">
        <is>
          <t>dcu</t>
        </is>
      </c>
      <c r="R2355" t="inlineStr">
        <is>
          <t xml:space="preserve">E  </t>
        </is>
      </c>
      <c r="S2355" t="n">
        <v>8</v>
      </c>
      <c r="T2355" t="n">
        <v>8</v>
      </c>
      <c r="U2355" t="inlineStr">
        <is>
          <t>2004-11-08</t>
        </is>
      </c>
      <c r="V2355" t="inlineStr">
        <is>
          <t>2004-11-08</t>
        </is>
      </c>
      <c r="W2355" t="inlineStr">
        <is>
          <t>2003-01-08</t>
        </is>
      </c>
      <c r="X2355" t="inlineStr">
        <is>
          <t>2003-01-08</t>
        </is>
      </c>
      <c r="Y2355" t="n">
        <v>749</v>
      </c>
      <c r="Z2355" t="n">
        <v>714</v>
      </c>
      <c r="AA2355" t="n">
        <v>738</v>
      </c>
      <c r="AB2355" t="n">
        <v>7</v>
      </c>
      <c r="AC2355" t="n">
        <v>7</v>
      </c>
      <c r="AD2355" t="n">
        <v>18</v>
      </c>
      <c r="AE2355" t="n">
        <v>18</v>
      </c>
      <c r="AF2355" t="n">
        <v>8</v>
      </c>
      <c r="AG2355" t="n">
        <v>8</v>
      </c>
      <c r="AH2355" t="n">
        <v>3</v>
      </c>
      <c r="AI2355" t="n">
        <v>3</v>
      </c>
      <c r="AJ2355" t="n">
        <v>8</v>
      </c>
      <c r="AK2355" t="n">
        <v>8</v>
      </c>
      <c r="AL2355" t="n">
        <v>2</v>
      </c>
      <c r="AM2355" t="n">
        <v>2</v>
      </c>
      <c r="AN2355" t="n">
        <v>1</v>
      </c>
      <c r="AO2355" t="n">
        <v>1</v>
      </c>
      <c r="AP2355" t="inlineStr">
        <is>
          <t>No</t>
        </is>
      </c>
      <c r="AQ2355" t="inlineStr">
        <is>
          <t>Yes</t>
        </is>
      </c>
      <c r="AR2355">
        <f>HYPERLINK("http://catalog.hathitrust.org/Record/004296985","HathiTrust Record")</f>
        <v/>
      </c>
      <c r="AS2355">
        <f>HYPERLINK("https://creighton-primo.hosted.exlibrisgroup.com/primo-explore/search?tab=default_tab&amp;search_scope=EVERYTHING&amp;vid=01CRU&amp;lang=en_US&amp;offset=0&amp;query=any,contains,991003955879702656","Catalog Record")</f>
        <v/>
      </c>
      <c r="AT2355">
        <f>HYPERLINK("http://www.worldcat.org/oclc/50348235","WorldCat Record")</f>
        <v/>
      </c>
      <c r="AU2355" t="inlineStr">
        <is>
          <t>738332:eng</t>
        </is>
      </c>
      <c r="AV2355" t="inlineStr">
        <is>
          <t>50348235</t>
        </is>
      </c>
      <c r="AW2355" t="inlineStr">
        <is>
          <t>991003955879702656</t>
        </is>
      </c>
      <c r="AX2355" t="inlineStr">
        <is>
          <t>991003955879702656</t>
        </is>
      </c>
      <c r="AY2355" t="inlineStr">
        <is>
          <t>2260130370002656</t>
        </is>
      </c>
      <c r="AZ2355" t="inlineStr">
        <is>
          <t>BOOK</t>
        </is>
      </c>
      <c r="BB2355" t="inlineStr">
        <is>
          <t>9780895261496</t>
        </is>
      </c>
      <c r="BC2355" t="inlineStr">
        <is>
          <t>32285004692371</t>
        </is>
      </c>
      <c r="BD2355" t="inlineStr">
        <is>
          <t>893593103</t>
        </is>
      </c>
    </row>
    <row r="2356">
      <c r="A2356" t="inlineStr">
        <is>
          <t>No</t>
        </is>
      </c>
      <c r="B2356" t="inlineStr">
        <is>
          <t>E902 .U54 2004</t>
        </is>
      </c>
      <c r="C2356" t="inlineStr">
        <is>
          <t>0                      E  0902000U  54          2004</t>
        </is>
      </c>
      <c r="D2356" t="inlineStr">
        <is>
          <t>House of Bush, house of Saud : the secret relationship between the world's two most powerful dynasties / Craig Unger.</t>
        </is>
      </c>
      <c r="F2356" t="inlineStr">
        <is>
          <t>No</t>
        </is>
      </c>
      <c r="G2356" t="inlineStr">
        <is>
          <t>1</t>
        </is>
      </c>
      <c r="H2356" t="inlineStr">
        <is>
          <t>No</t>
        </is>
      </c>
      <c r="I2356" t="inlineStr">
        <is>
          <t>No</t>
        </is>
      </c>
      <c r="J2356" t="inlineStr">
        <is>
          <t>0</t>
        </is>
      </c>
      <c r="K2356" t="inlineStr">
        <is>
          <t>Unger, Craig.</t>
        </is>
      </c>
      <c r="L2356" t="inlineStr">
        <is>
          <t>New York : Scribner, 2004.</t>
        </is>
      </c>
      <c r="M2356" t="inlineStr">
        <is>
          <t>2004</t>
        </is>
      </c>
      <c r="O2356" t="inlineStr">
        <is>
          <t>eng</t>
        </is>
      </c>
      <c r="P2356" t="inlineStr">
        <is>
          <t>nyu</t>
        </is>
      </c>
      <c r="R2356" t="inlineStr">
        <is>
          <t xml:space="preserve">E  </t>
        </is>
      </c>
      <c r="S2356" t="n">
        <v>11</v>
      </c>
      <c r="T2356" t="n">
        <v>11</v>
      </c>
      <c r="U2356" t="inlineStr">
        <is>
          <t>2005-03-21</t>
        </is>
      </c>
      <c r="V2356" t="inlineStr">
        <is>
          <t>2005-03-21</t>
        </is>
      </c>
      <c r="W2356" t="inlineStr">
        <is>
          <t>2004-05-03</t>
        </is>
      </c>
      <c r="X2356" t="inlineStr">
        <is>
          <t>2004-05-03</t>
        </is>
      </c>
      <c r="Y2356" t="n">
        <v>1614</v>
      </c>
      <c r="Z2356" t="n">
        <v>1486</v>
      </c>
      <c r="AA2356" t="n">
        <v>1665</v>
      </c>
      <c r="AB2356" t="n">
        <v>14</v>
      </c>
      <c r="AC2356" t="n">
        <v>17</v>
      </c>
      <c r="AD2356" t="n">
        <v>33</v>
      </c>
      <c r="AE2356" t="n">
        <v>36</v>
      </c>
      <c r="AF2356" t="n">
        <v>12</v>
      </c>
      <c r="AG2356" t="n">
        <v>13</v>
      </c>
      <c r="AH2356" t="n">
        <v>8</v>
      </c>
      <c r="AI2356" t="n">
        <v>8</v>
      </c>
      <c r="AJ2356" t="n">
        <v>16</v>
      </c>
      <c r="AK2356" t="n">
        <v>17</v>
      </c>
      <c r="AL2356" t="n">
        <v>7</v>
      </c>
      <c r="AM2356" t="n">
        <v>8</v>
      </c>
      <c r="AN2356" t="n">
        <v>1</v>
      </c>
      <c r="AO2356" t="n">
        <v>1</v>
      </c>
      <c r="AP2356" t="inlineStr">
        <is>
          <t>No</t>
        </is>
      </c>
      <c r="AQ2356" t="inlineStr">
        <is>
          <t>Yes</t>
        </is>
      </c>
      <c r="AR2356">
        <f>HYPERLINK("http://catalog.hathitrust.org/Record/004370652","HathiTrust Record")</f>
        <v/>
      </c>
      <c r="AS2356">
        <f>HYPERLINK("https://creighton-primo.hosted.exlibrisgroup.com/primo-explore/search?tab=default_tab&amp;search_scope=EVERYTHING&amp;vid=01CRU&amp;lang=en_US&amp;offset=0&amp;query=any,contains,991004292879702656","Catalog Record")</f>
        <v/>
      </c>
      <c r="AT2356">
        <f>HYPERLINK("http://www.worldcat.org/oclc/54662981","WorldCat Record")</f>
        <v/>
      </c>
      <c r="AU2356" t="inlineStr">
        <is>
          <t>741951:eng</t>
        </is>
      </c>
      <c r="AV2356" t="inlineStr">
        <is>
          <t>54662981</t>
        </is>
      </c>
      <c r="AW2356" t="inlineStr">
        <is>
          <t>991004292879702656</t>
        </is>
      </c>
      <c r="AX2356" t="inlineStr">
        <is>
          <t>991004292879702656</t>
        </is>
      </c>
      <c r="AY2356" t="inlineStr">
        <is>
          <t>2267251970002656</t>
        </is>
      </c>
      <c r="AZ2356" t="inlineStr">
        <is>
          <t>BOOK</t>
        </is>
      </c>
      <c r="BB2356" t="inlineStr">
        <is>
          <t>9780743253376</t>
        </is>
      </c>
      <c r="BC2356" t="inlineStr">
        <is>
          <t>32285004902788</t>
        </is>
      </c>
      <c r="BD2356" t="inlineStr">
        <is>
          <t>893513055</t>
        </is>
      </c>
    </row>
    <row r="2357">
      <c r="A2357" t="inlineStr">
        <is>
          <t>No</t>
        </is>
      </c>
      <c r="B2357" t="inlineStr">
        <is>
          <t>E902 .W64 2004</t>
        </is>
      </c>
      <c r="C2357" t="inlineStr">
        <is>
          <t>0                      E  0902000W  64          2004</t>
        </is>
      </c>
      <c r="D2357" t="inlineStr">
        <is>
          <t>Attack poodles and other media mutants : the looting of the news in a time of terror / James Wolcott.</t>
        </is>
      </c>
      <c r="F2357" t="inlineStr">
        <is>
          <t>No</t>
        </is>
      </c>
      <c r="G2357" t="inlineStr">
        <is>
          <t>1</t>
        </is>
      </c>
      <c r="H2357" t="inlineStr">
        <is>
          <t>No</t>
        </is>
      </c>
      <c r="I2357" t="inlineStr">
        <is>
          <t>No</t>
        </is>
      </c>
      <c r="J2357" t="inlineStr">
        <is>
          <t>0</t>
        </is>
      </c>
      <c r="K2357" t="inlineStr">
        <is>
          <t>Wolcott, James, 1952-</t>
        </is>
      </c>
      <c r="L2357" t="inlineStr">
        <is>
          <t>New York : Miramax Books, 2004.</t>
        </is>
      </c>
      <c r="M2357" t="inlineStr">
        <is>
          <t>2004</t>
        </is>
      </c>
      <c r="O2357" t="inlineStr">
        <is>
          <t>eng</t>
        </is>
      </c>
      <c r="P2357" t="inlineStr">
        <is>
          <t>nyu</t>
        </is>
      </c>
      <c r="R2357" t="inlineStr">
        <is>
          <t xml:space="preserve">E  </t>
        </is>
      </c>
      <c r="S2357" t="n">
        <v>3</v>
      </c>
      <c r="T2357" t="n">
        <v>3</v>
      </c>
      <c r="U2357" t="inlineStr">
        <is>
          <t>2005-03-04</t>
        </is>
      </c>
      <c r="V2357" t="inlineStr">
        <is>
          <t>2005-03-04</t>
        </is>
      </c>
      <c r="W2357" t="inlineStr">
        <is>
          <t>2005-02-01</t>
        </is>
      </c>
      <c r="X2357" t="inlineStr">
        <is>
          <t>2005-02-01</t>
        </is>
      </c>
      <c r="Y2357" t="n">
        <v>501</v>
      </c>
      <c r="Z2357" t="n">
        <v>456</v>
      </c>
      <c r="AA2357" t="n">
        <v>462</v>
      </c>
      <c r="AB2357" t="n">
        <v>4</v>
      </c>
      <c r="AC2357" t="n">
        <v>4</v>
      </c>
      <c r="AD2357" t="n">
        <v>17</v>
      </c>
      <c r="AE2357" t="n">
        <v>17</v>
      </c>
      <c r="AF2357" t="n">
        <v>5</v>
      </c>
      <c r="AG2357" t="n">
        <v>5</v>
      </c>
      <c r="AH2357" t="n">
        <v>5</v>
      </c>
      <c r="AI2357" t="n">
        <v>5</v>
      </c>
      <c r="AJ2357" t="n">
        <v>9</v>
      </c>
      <c r="AK2357" t="n">
        <v>9</v>
      </c>
      <c r="AL2357" t="n">
        <v>3</v>
      </c>
      <c r="AM2357" t="n">
        <v>3</v>
      </c>
      <c r="AN2357" t="n">
        <v>0</v>
      </c>
      <c r="AO2357" t="n">
        <v>0</v>
      </c>
      <c r="AP2357" t="inlineStr">
        <is>
          <t>No</t>
        </is>
      </c>
      <c r="AQ2357" t="inlineStr">
        <is>
          <t>Yes</t>
        </is>
      </c>
      <c r="AR2357">
        <f>HYPERLINK("http://catalog.hathitrust.org/Record/004913987","HathiTrust Record")</f>
        <v/>
      </c>
      <c r="AS2357">
        <f>HYPERLINK("https://creighton-primo.hosted.exlibrisgroup.com/primo-explore/search?tab=default_tab&amp;search_scope=EVERYTHING&amp;vid=01CRU&amp;lang=en_US&amp;offset=0&amp;query=any,contains,991004455199702656","Catalog Record")</f>
        <v/>
      </c>
      <c r="AT2357">
        <f>HYPERLINK("http://www.worldcat.org/oclc/56190183","WorldCat Record")</f>
        <v/>
      </c>
      <c r="AU2357" t="inlineStr">
        <is>
          <t>4812439609:eng</t>
        </is>
      </c>
      <c r="AV2357" t="inlineStr">
        <is>
          <t>56190183</t>
        </is>
      </c>
      <c r="AW2357" t="inlineStr">
        <is>
          <t>991004455199702656</t>
        </is>
      </c>
      <c r="AX2357" t="inlineStr">
        <is>
          <t>991004455199702656</t>
        </is>
      </c>
      <c r="AY2357" t="inlineStr">
        <is>
          <t>2265703420002656</t>
        </is>
      </c>
      <c r="AZ2357" t="inlineStr">
        <is>
          <t>BOOK</t>
        </is>
      </c>
      <c r="BB2357" t="inlineStr">
        <is>
          <t>9781401352127</t>
        </is>
      </c>
      <c r="BC2357" t="inlineStr">
        <is>
          <t>32285005024152</t>
        </is>
      </c>
      <c r="BD2357" t="inlineStr">
        <is>
          <t>893241445</t>
        </is>
      </c>
    </row>
    <row r="2358">
      <c r="A2358" t="inlineStr">
        <is>
          <t>No</t>
        </is>
      </c>
      <c r="B2358" t="inlineStr">
        <is>
          <t>E903 .N66 2003</t>
        </is>
      </c>
      <c r="C2358" t="inlineStr">
        <is>
          <t>0                      E  0903000N  66          2003</t>
        </is>
      </c>
      <c r="D2358" t="inlineStr">
        <is>
          <t>A heart, a cross &amp; a flag : America today / Peggy Noonan.</t>
        </is>
      </c>
      <c r="F2358" t="inlineStr">
        <is>
          <t>No</t>
        </is>
      </c>
      <c r="G2358" t="inlineStr">
        <is>
          <t>1</t>
        </is>
      </c>
      <c r="H2358" t="inlineStr">
        <is>
          <t>No</t>
        </is>
      </c>
      <c r="I2358" t="inlineStr">
        <is>
          <t>No</t>
        </is>
      </c>
      <c r="J2358" t="inlineStr">
        <is>
          <t>0</t>
        </is>
      </c>
      <c r="K2358" t="inlineStr">
        <is>
          <t>Noonan, Peggy, 1950-</t>
        </is>
      </c>
      <c r="L2358" t="inlineStr">
        <is>
          <t>New York : Free Press, c2003.</t>
        </is>
      </c>
      <c r="M2358" t="inlineStr">
        <is>
          <t>2003</t>
        </is>
      </c>
      <c r="O2358" t="inlineStr">
        <is>
          <t>eng</t>
        </is>
      </c>
      <c r="P2358" t="inlineStr">
        <is>
          <t>nyu</t>
        </is>
      </c>
      <c r="Q2358" t="inlineStr">
        <is>
          <t>A Wall Street journal book</t>
        </is>
      </c>
      <c r="R2358" t="inlineStr">
        <is>
          <t xml:space="preserve">E  </t>
        </is>
      </c>
      <c r="S2358" t="n">
        <v>5</v>
      </c>
      <c r="T2358" t="n">
        <v>5</v>
      </c>
      <c r="U2358" t="inlineStr">
        <is>
          <t>2005-06-29</t>
        </is>
      </c>
      <c r="V2358" t="inlineStr">
        <is>
          <t>2005-06-29</t>
        </is>
      </c>
      <c r="W2358" t="inlineStr">
        <is>
          <t>2003-09-11</t>
        </is>
      </c>
      <c r="X2358" t="inlineStr">
        <is>
          <t>2003-09-11</t>
        </is>
      </c>
      <c r="Y2358" t="n">
        <v>638</v>
      </c>
      <c r="Z2358" t="n">
        <v>622</v>
      </c>
      <c r="AA2358" t="n">
        <v>640</v>
      </c>
      <c r="AB2358" t="n">
        <v>4</v>
      </c>
      <c r="AC2358" t="n">
        <v>4</v>
      </c>
      <c r="AD2358" t="n">
        <v>11</v>
      </c>
      <c r="AE2358" t="n">
        <v>11</v>
      </c>
      <c r="AF2358" t="n">
        <v>6</v>
      </c>
      <c r="AG2358" t="n">
        <v>6</v>
      </c>
      <c r="AH2358" t="n">
        <v>3</v>
      </c>
      <c r="AI2358" t="n">
        <v>3</v>
      </c>
      <c r="AJ2358" t="n">
        <v>5</v>
      </c>
      <c r="AK2358" t="n">
        <v>5</v>
      </c>
      <c r="AL2358" t="n">
        <v>1</v>
      </c>
      <c r="AM2358" t="n">
        <v>1</v>
      </c>
      <c r="AN2358" t="n">
        <v>0</v>
      </c>
      <c r="AO2358" t="n">
        <v>0</v>
      </c>
      <c r="AP2358" t="inlineStr">
        <is>
          <t>No</t>
        </is>
      </c>
      <c r="AQ2358" t="inlineStr">
        <is>
          <t>No</t>
        </is>
      </c>
      <c r="AS2358">
        <f>HYPERLINK("https://creighton-primo.hosted.exlibrisgroup.com/primo-explore/search?tab=default_tab&amp;search_scope=EVERYTHING&amp;vid=01CRU&amp;lang=en_US&amp;offset=0&amp;query=any,contains,991004114819702656","Catalog Record")</f>
        <v/>
      </c>
      <c r="AT2358">
        <f>HYPERLINK("http://www.worldcat.org/oclc/51968951","WorldCat Record")</f>
        <v/>
      </c>
      <c r="AU2358" t="inlineStr">
        <is>
          <t>741832:eng</t>
        </is>
      </c>
      <c r="AV2358" t="inlineStr">
        <is>
          <t>51968951</t>
        </is>
      </c>
      <c r="AW2358" t="inlineStr">
        <is>
          <t>991004114819702656</t>
        </is>
      </c>
      <c r="AX2358" t="inlineStr">
        <is>
          <t>991004114819702656</t>
        </is>
      </c>
      <c r="AY2358" t="inlineStr">
        <is>
          <t>2257768140002656</t>
        </is>
      </c>
      <c r="AZ2358" t="inlineStr">
        <is>
          <t>BOOK</t>
        </is>
      </c>
      <c r="BB2358" t="inlineStr">
        <is>
          <t>9780743250054</t>
        </is>
      </c>
      <c r="BC2358" t="inlineStr">
        <is>
          <t>32285004782735</t>
        </is>
      </c>
      <c r="BD2358" t="inlineStr">
        <is>
          <t>893343477</t>
        </is>
      </c>
    </row>
    <row r="2359">
      <c r="A2359" t="inlineStr">
        <is>
          <t>No</t>
        </is>
      </c>
      <c r="B2359" t="inlineStr">
        <is>
          <t>E903.3 .F55 2005</t>
        </is>
      </c>
      <c r="C2359" t="inlineStr">
        <is>
          <t>0                      E  0903300F  55          2005</t>
        </is>
      </c>
      <c r="D2359" t="inlineStr">
        <is>
          <t>Taking heat : the president, the press, and my years in the White House / Ari Fleischer.</t>
        </is>
      </c>
      <c r="F2359" t="inlineStr">
        <is>
          <t>No</t>
        </is>
      </c>
      <c r="G2359" t="inlineStr">
        <is>
          <t>1</t>
        </is>
      </c>
      <c r="H2359" t="inlineStr">
        <is>
          <t>No</t>
        </is>
      </c>
      <c r="I2359" t="inlineStr">
        <is>
          <t>No</t>
        </is>
      </c>
      <c r="J2359" t="inlineStr">
        <is>
          <t>0</t>
        </is>
      </c>
      <c r="K2359" t="inlineStr">
        <is>
          <t>Fleischer, Ari, 1960-</t>
        </is>
      </c>
      <c r="L2359" t="inlineStr">
        <is>
          <t>New York : William Morrow, c2005.</t>
        </is>
      </c>
      <c r="M2359" t="inlineStr">
        <is>
          <t>2005</t>
        </is>
      </c>
      <c r="N2359" t="inlineStr">
        <is>
          <t>1st ed.</t>
        </is>
      </c>
      <c r="O2359" t="inlineStr">
        <is>
          <t>eng</t>
        </is>
      </c>
      <c r="P2359" t="inlineStr">
        <is>
          <t>nyu</t>
        </is>
      </c>
      <c r="R2359" t="inlineStr">
        <is>
          <t xml:space="preserve">E  </t>
        </is>
      </c>
      <c r="S2359" t="n">
        <v>2</v>
      </c>
      <c r="T2359" t="n">
        <v>2</v>
      </c>
      <c r="U2359" t="inlineStr">
        <is>
          <t>2005-05-19</t>
        </is>
      </c>
      <c r="V2359" t="inlineStr">
        <is>
          <t>2005-05-19</t>
        </is>
      </c>
      <c r="W2359" t="inlineStr">
        <is>
          <t>2005-05-04</t>
        </is>
      </c>
      <c r="X2359" t="inlineStr">
        <is>
          <t>2005-05-04</t>
        </is>
      </c>
      <c r="Y2359" t="n">
        <v>1043</v>
      </c>
      <c r="Z2359" t="n">
        <v>1005</v>
      </c>
      <c r="AA2359" t="n">
        <v>1120</v>
      </c>
      <c r="AB2359" t="n">
        <v>7</v>
      </c>
      <c r="AC2359" t="n">
        <v>7</v>
      </c>
      <c r="AD2359" t="n">
        <v>19</v>
      </c>
      <c r="AE2359" t="n">
        <v>20</v>
      </c>
      <c r="AF2359" t="n">
        <v>6</v>
      </c>
      <c r="AG2359" t="n">
        <v>7</v>
      </c>
      <c r="AH2359" t="n">
        <v>5</v>
      </c>
      <c r="AI2359" t="n">
        <v>5</v>
      </c>
      <c r="AJ2359" t="n">
        <v>8</v>
      </c>
      <c r="AK2359" t="n">
        <v>9</v>
      </c>
      <c r="AL2359" t="n">
        <v>2</v>
      </c>
      <c r="AM2359" t="n">
        <v>2</v>
      </c>
      <c r="AN2359" t="n">
        <v>1</v>
      </c>
      <c r="AO2359" t="n">
        <v>1</v>
      </c>
      <c r="AP2359" t="inlineStr">
        <is>
          <t>No</t>
        </is>
      </c>
      <c r="AQ2359" t="inlineStr">
        <is>
          <t>No</t>
        </is>
      </c>
      <c r="AS2359">
        <f>HYPERLINK("https://creighton-primo.hosted.exlibrisgroup.com/primo-explore/search?tab=default_tab&amp;search_scope=EVERYTHING&amp;vid=01CRU&amp;lang=en_US&amp;offset=0&amp;query=any,contains,991004531939702656","Catalog Record")</f>
        <v/>
      </c>
      <c r="AT2359">
        <f>HYPERLINK("http://www.worldcat.org/oclc/57142709","WorldCat Record")</f>
        <v/>
      </c>
      <c r="AU2359" t="inlineStr">
        <is>
          <t>30491:eng</t>
        </is>
      </c>
      <c r="AV2359" t="inlineStr">
        <is>
          <t>57142709</t>
        </is>
      </c>
      <c r="AW2359" t="inlineStr">
        <is>
          <t>991004531939702656</t>
        </is>
      </c>
      <c r="AX2359" t="inlineStr">
        <is>
          <t>991004531939702656</t>
        </is>
      </c>
      <c r="AY2359" t="inlineStr">
        <is>
          <t>2272341970002656</t>
        </is>
      </c>
      <c r="AZ2359" t="inlineStr">
        <is>
          <t>BOOK</t>
        </is>
      </c>
      <c r="BB2359" t="inlineStr">
        <is>
          <t>9780060747626</t>
        </is>
      </c>
      <c r="BC2359" t="inlineStr">
        <is>
          <t>32285005035182</t>
        </is>
      </c>
      <c r="BD2359" t="inlineStr">
        <is>
          <t>893343952</t>
        </is>
      </c>
    </row>
    <row r="2360">
      <c r="A2360" t="inlineStr">
        <is>
          <t>No</t>
        </is>
      </c>
      <c r="B2360" t="inlineStr">
        <is>
          <t>E903.3 .H47 2004</t>
        </is>
      </c>
      <c r="C2360" t="inlineStr">
        <is>
          <t>0                      E  0903300H  47          2004</t>
        </is>
      </c>
      <c r="D2360" t="inlineStr">
        <is>
          <t>Chain of command : the road from 9/11 to Abu Ghraib / Seymour M. Hersh.</t>
        </is>
      </c>
      <c r="F2360" t="inlineStr">
        <is>
          <t>No</t>
        </is>
      </c>
      <c r="G2360" t="inlineStr">
        <is>
          <t>1</t>
        </is>
      </c>
      <c r="H2360" t="inlineStr">
        <is>
          <t>No</t>
        </is>
      </c>
      <c r="I2360" t="inlineStr">
        <is>
          <t>No</t>
        </is>
      </c>
      <c r="J2360" t="inlineStr">
        <is>
          <t>0</t>
        </is>
      </c>
      <c r="K2360" t="inlineStr">
        <is>
          <t>Hersh, Seymour M.</t>
        </is>
      </c>
      <c r="L2360" t="inlineStr">
        <is>
          <t>New York : HarperCollins, c2004.</t>
        </is>
      </c>
      <c r="M2360" t="inlineStr">
        <is>
          <t>2004</t>
        </is>
      </c>
      <c r="N2360" t="inlineStr">
        <is>
          <t>1st ed.</t>
        </is>
      </c>
      <c r="O2360" t="inlineStr">
        <is>
          <t>eng</t>
        </is>
      </c>
      <c r="P2360" t="inlineStr">
        <is>
          <t>nyu</t>
        </is>
      </c>
      <c r="R2360" t="inlineStr">
        <is>
          <t xml:space="preserve">E  </t>
        </is>
      </c>
      <c r="S2360" t="n">
        <v>1</v>
      </c>
      <c r="T2360" t="n">
        <v>1</v>
      </c>
      <c r="U2360" t="inlineStr">
        <is>
          <t>2004-10-27</t>
        </is>
      </c>
      <c r="V2360" t="inlineStr">
        <is>
          <t>2004-10-27</t>
        </is>
      </c>
      <c r="W2360" t="inlineStr">
        <is>
          <t>2004-10-27</t>
        </is>
      </c>
      <c r="X2360" t="inlineStr">
        <is>
          <t>2004-10-27</t>
        </is>
      </c>
      <c r="Y2360" t="n">
        <v>2239</v>
      </c>
      <c r="Z2360" t="n">
        <v>2075</v>
      </c>
      <c r="AA2360" t="n">
        <v>2220</v>
      </c>
      <c r="AB2360" t="n">
        <v>20</v>
      </c>
      <c r="AC2360" t="n">
        <v>20</v>
      </c>
      <c r="AD2360" t="n">
        <v>45</v>
      </c>
      <c r="AE2360" t="n">
        <v>49</v>
      </c>
      <c r="AF2360" t="n">
        <v>18</v>
      </c>
      <c r="AG2360" t="n">
        <v>20</v>
      </c>
      <c r="AH2360" t="n">
        <v>7</v>
      </c>
      <c r="AI2360" t="n">
        <v>8</v>
      </c>
      <c r="AJ2360" t="n">
        <v>20</v>
      </c>
      <c r="AK2360" t="n">
        <v>21</v>
      </c>
      <c r="AL2360" t="n">
        <v>7</v>
      </c>
      <c r="AM2360" t="n">
        <v>7</v>
      </c>
      <c r="AN2360" t="n">
        <v>1</v>
      </c>
      <c r="AO2360" t="n">
        <v>2</v>
      </c>
      <c r="AP2360" t="inlineStr">
        <is>
          <t>No</t>
        </is>
      </c>
      <c r="AQ2360" t="inlineStr">
        <is>
          <t>No</t>
        </is>
      </c>
      <c r="AS2360">
        <f>HYPERLINK("https://creighton-primo.hosted.exlibrisgroup.com/primo-explore/search?tab=default_tab&amp;search_scope=EVERYTHING&amp;vid=01CRU&amp;lang=en_US&amp;offset=0&amp;query=any,contains,991004404829702656","Catalog Record")</f>
        <v/>
      </c>
      <c r="AT2360">
        <f>HYPERLINK("http://www.worldcat.org/oclc/56496381","WorldCat Record")</f>
        <v/>
      </c>
      <c r="AU2360" t="inlineStr">
        <is>
          <t>2564795451:eng</t>
        </is>
      </c>
      <c r="AV2360" t="inlineStr">
        <is>
          <t>56496381</t>
        </is>
      </c>
      <c r="AW2360" t="inlineStr">
        <is>
          <t>991004404829702656</t>
        </is>
      </c>
      <c r="AX2360" t="inlineStr">
        <is>
          <t>991004404829702656</t>
        </is>
      </c>
      <c r="AY2360" t="inlineStr">
        <is>
          <t>2260050030002656</t>
        </is>
      </c>
      <c r="AZ2360" t="inlineStr">
        <is>
          <t>BOOK</t>
        </is>
      </c>
      <c r="BB2360" t="inlineStr">
        <is>
          <t>9780060195915</t>
        </is>
      </c>
      <c r="BC2360" t="inlineStr">
        <is>
          <t>32285005007231</t>
        </is>
      </c>
      <c r="BD2360" t="inlineStr">
        <is>
          <t>893532349</t>
        </is>
      </c>
    </row>
    <row r="2361">
      <c r="A2361" t="inlineStr">
        <is>
          <t>No</t>
        </is>
      </c>
      <c r="B2361" t="inlineStr">
        <is>
          <t>E903.3 .M36 2003</t>
        </is>
      </c>
      <c r="C2361" t="inlineStr">
        <is>
          <t>0                      E  0903300M  36          2003</t>
        </is>
      </c>
      <c r="D2361" t="inlineStr">
        <is>
          <t>The faith of George W. Bush / Stephen Mansfield.</t>
        </is>
      </c>
      <c r="F2361" t="inlineStr">
        <is>
          <t>No</t>
        </is>
      </c>
      <c r="G2361" t="inlineStr">
        <is>
          <t>1</t>
        </is>
      </c>
      <c r="H2361" t="inlineStr">
        <is>
          <t>No</t>
        </is>
      </c>
      <c r="I2361" t="inlineStr">
        <is>
          <t>No</t>
        </is>
      </c>
      <c r="J2361" t="inlineStr">
        <is>
          <t>0</t>
        </is>
      </c>
      <c r="K2361" t="inlineStr">
        <is>
          <t>Mansfield, Stephen, 1958-</t>
        </is>
      </c>
      <c r="L2361" t="inlineStr">
        <is>
          <t>Lake Mary, Fla. : Charisma House, c2003.</t>
        </is>
      </c>
      <c r="M2361" t="inlineStr">
        <is>
          <t>2003</t>
        </is>
      </c>
      <c r="O2361" t="inlineStr">
        <is>
          <t>eng</t>
        </is>
      </c>
      <c r="P2361" t="inlineStr">
        <is>
          <t>flu</t>
        </is>
      </c>
      <c r="R2361" t="inlineStr">
        <is>
          <t xml:space="preserve">E  </t>
        </is>
      </c>
      <c r="S2361" t="n">
        <v>4</v>
      </c>
      <c r="T2361" t="n">
        <v>4</v>
      </c>
      <c r="U2361" t="inlineStr">
        <is>
          <t>2004-11-08</t>
        </is>
      </c>
      <c r="V2361" t="inlineStr">
        <is>
          <t>2004-11-08</t>
        </is>
      </c>
      <c r="W2361" t="inlineStr">
        <is>
          <t>2003-11-18</t>
        </is>
      </c>
      <c r="X2361" t="inlineStr">
        <is>
          <t>2003-11-18</t>
        </is>
      </c>
      <c r="Y2361" t="n">
        <v>351</v>
      </c>
      <c r="Z2361" t="n">
        <v>340</v>
      </c>
      <c r="AA2361" t="n">
        <v>1704</v>
      </c>
      <c r="AB2361" t="n">
        <v>6</v>
      </c>
      <c r="AC2361" t="n">
        <v>39</v>
      </c>
      <c r="AD2361" t="n">
        <v>1</v>
      </c>
      <c r="AE2361" t="n">
        <v>27</v>
      </c>
      <c r="AF2361" t="n">
        <v>1</v>
      </c>
      <c r="AG2361" t="n">
        <v>8</v>
      </c>
      <c r="AH2361" t="n">
        <v>0</v>
      </c>
      <c r="AI2361" t="n">
        <v>5</v>
      </c>
      <c r="AJ2361" t="n">
        <v>0</v>
      </c>
      <c r="AK2361" t="n">
        <v>10</v>
      </c>
      <c r="AL2361" t="n">
        <v>0</v>
      </c>
      <c r="AM2361" t="n">
        <v>9</v>
      </c>
      <c r="AN2361" t="n">
        <v>0</v>
      </c>
      <c r="AO2361" t="n">
        <v>0</v>
      </c>
      <c r="AP2361" t="inlineStr">
        <is>
          <t>No</t>
        </is>
      </c>
      <c r="AQ2361" t="inlineStr">
        <is>
          <t>No</t>
        </is>
      </c>
      <c r="AS2361">
        <f>HYPERLINK("https://creighton-primo.hosted.exlibrisgroup.com/primo-explore/search?tab=default_tab&amp;search_scope=EVERYTHING&amp;vid=01CRU&amp;lang=en_US&amp;offset=0&amp;query=any,contains,991004171549702656","Catalog Record")</f>
        <v/>
      </c>
      <c r="AT2361">
        <f>HYPERLINK("http://www.worldcat.org/oclc/52901805","WorldCat Record")</f>
        <v/>
      </c>
      <c r="AU2361" t="inlineStr">
        <is>
          <t>795750:eng</t>
        </is>
      </c>
      <c r="AV2361" t="inlineStr">
        <is>
          <t>52901805</t>
        </is>
      </c>
      <c r="AW2361" t="inlineStr">
        <is>
          <t>991004171549702656</t>
        </is>
      </c>
      <c r="AX2361" t="inlineStr">
        <is>
          <t>991004171549702656</t>
        </is>
      </c>
      <c r="AY2361" t="inlineStr">
        <is>
          <t>2260265470002656</t>
        </is>
      </c>
      <c r="AZ2361" t="inlineStr">
        <is>
          <t>BOOK</t>
        </is>
      </c>
      <c r="BB2361" t="inlineStr">
        <is>
          <t>9781591852421</t>
        </is>
      </c>
      <c r="BC2361" t="inlineStr">
        <is>
          <t>32285004799259</t>
        </is>
      </c>
      <c r="BD2361" t="inlineStr">
        <is>
          <t>893618341</t>
        </is>
      </c>
    </row>
    <row r="2362">
      <c r="A2362" t="inlineStr">
        <is>
          <t>No</t>
        </is>
      </c>
      <c r="B2362" t="inlineStr">
        <is>
          <t>E903.3 .S36 2004</t>
        </is>
      </c>
      <c r="C2362" t="inlineStr">
        <is>
          <t>0                      E  0903300S  36          2004</t>
        </is>
      </c>
      <c r="D2362" t="inlineStr">
        <is>
          <t>Misunderestimated : the president battles terrorism, John Kerry, and the Bush haters / Bill Sammon.</t>
        </is>
      </c>
      <c r="F2362" t="inlineStr">
        <is>
          <t>No</t>
        </is>
      </c>
      <c r="G2362" t="inlineStr">
        <is>
          <t>1</t>
        </is>
      </c>
      <c r="H2362" t="inlineStr">
        <is>
          <t>No</t>
        </is>
      </c>
      <c r="I2362" t="inlineStr">
        <is>
          <t>No</t>
        </is>
      </c>
      <c r="J2362" t="inlineStr">
        <is>
          <t>0</t>
        </is>
      </c>
      <c r="K2362" t="inlineStr">
        <is>
          <t>Sammon, Bill.</t>
        </is>
      </c>
      <c r="L2362" t="inlineStr">
        <is>
          <t>New York : Regan Books, c2004.</t>
        </is>
      </c>
      <c r="M2362" t="inlineStr">
        <is>
          <t>2004</t>
        </is>
      </c>
      <c r="N2362" t="inlineStr">
        <is>
          <t>1st ed.</t>
        </is>
      </c>
      <c r="O2362" t="inlineStr">
        <is>
          <t>eng</t>
        </is>
      </c>
      <c r="P2362" t="inlineStr">
        <is>
          <t>nyu</t>
        </is>
      </c>
      <c r="R2362" t="inlineStr">
        <is>
          <t xml:space="preserve">E  </t>
        </is>
      </c>
      <c r="S2362" t="n">
        <v>6</v>
      </c>
      <c r="T2362" t="n">
        <v>6</v>
      </c>
      <c r="U2362" t="inlineStr">
        <is>
          <t>2005-03-10</t>
        </is>
      </c>
      <c r="V2362" t="inlineStr">
        <is>
          <t>2005-03-10</t>
        </is>
      </c>
      <c r="W2362" t="inlineStr">
        <is>
          <t>2004-06-09</t>
        </is>
      </c>
      <c r="X2362" t="inlineStr">
        <is>
          <t>2004-06-09</t>
        </is>
      </c>
      <c r="Y2362" t="n">
        <v>742</v>
      </c>
      <c r="Z2362" t="n">
        <v>710</v>
      </c>
      <c r="AA2362" t="n">
        <v>748</v>
      </c>
      <c r="AB2362" t="n">
        <v>6</v>
      </c>
      <c r="AC2362" t="n">
        <v>6</v>
      </c>
      <c r="AD2362" t="n">
        <v>15</v>
      </c>
      <c r="AE2362" t="n">
        <v>15</v>
      </c>
      <c r="AF2362" t="n">
        <v>4</v>
      </c>
      <c r="AG2362" t="n">
        <v>4</v>
      </c>
      <c r="AH2362" t="n">
        <v>3</v>
      </c>
      <c r="AI2362" t="n">
        <v>3</v>
      </c>
      <c r="AJ2362" t="n">
        <v>8</v>
      </c>
      <c r="AK2362" t="n">
        <v>8</v>
      </c>
      <c r="AL2362" t="n">
        <v>2</v>
      </c>
      <c r="AM2362" t="n">
        <v>2</v>
      </c>
      <c r="AN2362" t="n">
        <v>1</v>
      </c>
      <c r="AO2362" t="n">
        <v>1</v>
      </c>
      <c r="AP2362" t="inlineStr">
        <is>
          <t>No</t>
        </is>
      </c>
      <c r="AQ2362" t="inlineStr">
        <is>
          <t>No</t>
        </is>
      </c>
      <c r="AS2362">
        <f>HYPERLINK("https://creighton-primo.hosted.exlibrisgroup.com/primo-explore/search?tab=default_tab&amp;search_scope=EVERYTHING&amp;vid=01CRU&amp;lang=en_US&amp;offset=0&amp;query=any,contains,991004300649702656","Catalog Record")</f>
        <v/>
      </c>
      <c r="AT2362">
        <f>HYPERLINK("http://www.worldcat.org/oclc/54853003","WorldCat Record")</f>
        <v/>
      </c>
      <c r="AU2362" t="inlineStr">
        <is>
          <t>799398494:eng</t>
        </is>
      </c>
      <c r="AV2362" t="inlineStr">
        <is>
          <t>54853003</t>
        </is>
      </c>
      <c r="AW2362" t="inlineStr">
        <is>
          <t>991004300649702656</t>
        </is>
      </c>
      <c r="AX2362" t="inlineStr">
        <is>
          <t>991004300649702656</t>
        </is>
      </c>
      <c r="AY2362" t="inlineStr">
        <is>
          <t>2269414470002656</t>
        </is>
      </c>
      <c r="AZ2362" t="inlineStr">
        <is>
          <t>BOOK</t>
        </is>
      </c>
      <c r="BB2362" t="inlineStr">
        <is>
          <t>9780060723835</t>
        </is>
      </c>
      <c r="BC2362" t="inlineStr">
        <is>
          <t>32285004908702</t>
        </is>
      </c>
      <c r="BD2362" t="inlineStr">
        <is>
          <t>893535903</t>
        </is>
      </c>
    </row>
    <row r="2363">
      <c r="A2363" t="inlineStr">
        <is>
          <t>No</t>
        </is>
      </c>
      <c r="B2363" t="inlineStr">
        <is>
          <t>E909 .F78 2003</t>
        </is>
      </c>
      <c r="C2363" t="inlineStr">
        <is>
          <t>0                      E  0909000F  78          2003</t>
        </is>
      </c>
      <c r="D2363" t="inlineStr">
        <is>
          <t>The right man : the surprise presidency of George W. Bush / David Frum.</t>
        </is>
      </c>
      <c r="F2363" t="inlineStr">
        <is>
          <t>No</t>
        </is>
      </c>
      <c r="G2363" t="inlineStr">
        <is>
          <t>1</t>
        </is>
      </c>
      <c r="H2363" t="inlineStr">
        <is>
          <t>No</t>
        </is>
      </c>
      <c r="I2363" t="inlineStr">
        <is>
          <t>No</t>
        </is>
      </c>
      <c r="J2363" t="inlineStr">
        <is>
          <t>0</t>
        </is>
      </c>
      <c r="K2363" t="inlineStr">
        <is>
          <t>Frum, David, 1960-</t>
        </is>
      </c>
      <c r="L2363" t="inlineStr">
        <is>
          <t>New York : Random House, c2003.</t>
        </is>
      </c>
      <c r="M2363" t="inlineStr">
        <is>
          <t>2003</t>
        </is>
      </c>
      <c r="N2363" t="inlineStr">
        <is>
          <t>1st ed.</t>
        </is>
      </c>
      <c r="O2363" t="inlineStr">
        <is>
          <t>eng</t>
        </is>
      </c>
      <c r="P2363" t="inlineStr">
        <is>
          <t>nyu</t>
        </is>
      </c>
      <c r="R2363" t="inlineStr">
        <is>
          <t xml:space="preserve">E  </t>
        </is>
      </c>
      <c r="S2363" t="n">
        <v>6</v>
      </c>
      <c r="T2363" t="n">
        <v>6</v>
      </c>
      <c r="U2363" t="inlineStr">
        <is>
          <t>2004-11-19</t>
        </is>
      </c>
      <c r="V2363" t="inlineStr">
        <is>
          <t>2004-11-19</t>
        </is>
      </c>
      <c r="W2363" t="inlineStr">
        <is>
          <t>2003-03-05</t>
        </is>
      </c>
      <c r="X2363" t="inlineStr">
        <is>
          <t>2003-03-05</t>
        </is>
      </c>
      <c r="Y2363" t="n">
        <v>1537</v>
      </c>
      <c r="Z2363" t="n">
        <v>1422</v>
      </c>
      <c r="AA2363" t="n">
        <v>1529</v>
      </c>
      <c r="AB2363" t="n">
        <v>10</v>
      </c>
      <c r="AC2363" t="n">
        <v>13</v>
      </c>
      <c r="AD2363" t="n">
        <v>23</v>
      </c>
      <c r="AE2363" t="n">
        <v>25</v>
      </c>
      <c r="AF2363" t="n">
        <v>10</v>
      </c>
      <c r="AG2363" t="n">
        <v>10</v>
      </c>
      <c r="AH2363" t="n">
        <v>5</v>
      </c>
      <c r="AI2363" t="n">
        <v>5</v>
      </c>
      <c r="AJ2363" t="n">
        <v>9</v>
      </c>
      <c r="AK2363" t="n">
        <v>9</v>
      </c>
      <c r="AL2363" t="n">
        <v>2</v>
      </c>
      <c r="AM2363" t="n">
        <v>4</v>
      </c>
      <c r="AN2363" t="n">
        <v>0</v>
      </c>
      <c r="AO2363" t="n">
        <v>0</v>
      </c>
      <c r="AP2363" t="inlineStr">
        <is>
          <t>No</t>
        </is>
      </c>
      <c r="AQ2363" t="inlineStr">
        <is>
          <t>Yes</t>
        </is>
      </c>
      <c r="AR2363">
        <f>HYPERLINK("http://catalog.hathitrust.org/Record/004309669","HathiTrust Record")</f>
        <v/>
      </c>
      <c r="AS2363">
        <f>HYPERLINK("https://creighton-primo.hosted.exlibrisgroup.com/primo-explore/search?tab=default_tab&amp;search_scope=EVERYTHING&amp;vid=01CRU&amp;lang=en_US&amp;offset=0&amp;query=any,contains,991004002329702656","Catalog Record")</f>
        <v/>
      </c>
      <c r="AT2363">
        <f>HYPERLINK("http://www.worldcat.org/oclc/51287508","WorldCat Record")</f>
        <v/>
      </c>
      <c r="AU2363" t="inlineStr">
        <is>
          <t>796420784:eng</t>
        </is>
      </c>
      <c r="AV2363" t="inlineStr">
        <is>
          <t>51287508</t>
        </is>
      </c>
      <c r="AW2363" t="inlineStr">
        <is>
          <t>991004002329702656</t>
        </is>
      </c>
      <c r="AX2363" t="inlineStr">
        <is>
          <t>991004002329702656</t>
        </is>
      </c>
      <c r="AY2363" t="inlineStr">
        <is>
          <t>2259644100002656</t>
        </is>
      </c>
      <c r="AZ2363" t="inlineStr">
        <is>
          <t>BOOK</t>
        </is>
      </c>
      <c r="BB2363" t="inlineStr">
        <is>
          <t>9780375509032</t>
        </is>
      </c>
      <c r="BC2363" t="inlineStr">
        <is>
          <t>32285004682372</t>
        </is>
      </c>
      <c r="BD2363" t="inlineStr">
        <is>
          <t>893247038</t>
        </is>
      </c>
    </row>
    <row r="2364">
      <c r="A2364" t="inlineStr">
        <is>
          <t>No</t>
        </is>
      </c>
      <c r="B2364" t="inlineStr">
        <is>
          <t>F1030 .W95</t>
        </is>
      </c>
      <c r="C2364" t="inlineStr">
        <is>
          <t>0                      F  1030000W  95</t>
        </is>
      </c>
      <c r="D2364" t="inlineStr">
        <is>
          <t>The rise and fall of New France / by George M. Wrong.</t>
        </is>
      </c>
      <c r="E2364" t="inlineStr">
        <is>
          <t>V.2</t>
        </is>
      </c>
      <c r="F2364" t="inlineStr">
        <is>
          <t>Yes</t>
        </is>
      </c>
      <c r="G2364" t="inlineStr">
        <is>
          <t>1</t>
        </is>
      </c>
      <c r="H2364" t="inlineStr">
        <is>
          <t>No</t>
        </is>
      </c>
      <c r="I2364" t="inlineStr">
        <is>
          <t>No</t>
        </is>
      </c>
      <c r="J2364" t="inlineStr">
        <is>
          <t>0</t>
        </is>
      </c>
      <c r="K2364" t="inlineStr">
        <is>
          <t>Wrong, George McKinnon, 1860-1948.</t>
        </is>
      </c>
      <c r="L2364" t="inlineStr">
        <is>
          <t>New York : The Macmillan Co., 1928.</t>
        </is>
      </c>
      <c r="M2364" t="inlineStr">
        <is>
          <t>1928</t>
        </is>
      </c>
      <c r="O2364" t="inlineStr">
        <is>
          <t>eng</t>
        </is>
      </c>
      <c r="P2364" t="inlineStr">
        <is>
          <t>nyu</t>
        </is>
      </c>
      <c r="R2364" t="inlineStr">
        <is>
          <t xml:space="preserve">F  </t>
        </is>
      </c>
      <c r="S2364" t="n">
        <v>0</v>
      </c>
      <c r="T2364" t="n">
        <v>3</v>
      </c>
      <c r="U2364" t="inlineStr">
        <is>
          <t>2008-01-24</t>
        </is>
      </c>
      <c r="V2364" t="inlineStr">
        <is>
          <t>2008-01-24</t>
        </is>
      </c>
      <c r="W2364" t="inlineStr">
        <is>
          <t>1997-04-14</t>
        </is>
      </c>
      <c r="X2364" t="inlineStr">
        <is>
          <t>1997-04-14</t>
        </is>
      </c>
      <c r="Y2364" t="n">
        <v>426</v>
      </c>
      <c r="Z2364" t="n">
        <v>371</v>
      </c>
      <c r="AA2364" t="n">
        <v>639</v>
      </c>
      <c r="AB2364" t="n">
        <v>3</v>
      </c>
      <c r="AC2364" t="n">
        <v>6</v>
      </c>
      <c r="AD2364" t="n">
        <v>25</v>
      </c>
      <c r="AE2364" t="n">
        <v>38</v>
      </c>
      <c r="AF2364" t="n">
        <v>8</v>
      </c>
      <c r="AG2364" t="n">
        <v>14</v>
      </c>
      <c r="AH2364" t="n">
        <v>7</v>
      </c>
      <c r="AI2364" t="n">
        <v>9</v>
      </c>
      <c r="AJ2364" t="n">
        <v>15</v>
      </c>
      <c r="AK2364" t="n">
        <v>19</v>
      </c>
      <c r="AL2364" t="n">
        <v>2</v>
      </c>
      <c r="AM2364" t="n">
        <v>5</v>
      </c>
      <c r="AN2364" t="n">
        <v>0</v>
      </c>
      <c r="AO2364" t="n">
        <v>0</v>
      </c>
      <c r="AP2364" t="inlineStr">
        <is>
          <t>No</t>
        </is>
      </c>
      <c r="AQ2364" t="inlineStr">
        <is>
          <t>Yes</t>
        </is>
      </c>
      <c r="AR2364">
        <f>HYPERLINK("http://catalog.hathitrust.org/Record/001444693","HathiTrust Record")</f>
        <v/>
      </c>
      <c r="AS2364">
        <f>HYPERLINK("https://creighton-primo.hosted.exlibrisgroup.com/primo-explore/search?tab=default_tab&amp;search_scope=EVERYTHING&amp;vid=01CRU&amp;lang=en_US&amp;offset=0&amp;query=any,contains,991004257789702656","Catalog Record")</f>
        <v/>
      </c>
      <c r="AT2364">
        <f>HYPERLINK("http://www.worldcat.org/oclc/2831394","WorldCat Record")</f>
        <v/>
      </c>
      <c r="AU2364" t="inlineStr">
        <is>
          <t>1187167:eng</t>
        </is>
      </c>
      <c r="AV2364" t="inlineStr">
        <is>
          <t>2831394</t>
        </is>
      </c>
      <c r="AW2364" t="inlineStr">
        <is>
          <t>991004257789702656</t>
        </is>
      </c>
      <c r="AX2364" t="inlineStr">
        <is>
          <t>991004257789702656</t>
        </is>
      </c>
      <c r="AY2364" t="inlineStr">
        <is>
          <t>2260010860002656</t>
        </is>
      </c>
      <c r="AZ2364" t="inlineStr">
        <is>
          <t>BOOK</t>
        </is>
      </c>
      <c r="BC2364" t="inlineStr">
        <is>
          <t>32285002533825</t>
        </is>
      </c>
      <c r="BD2364" t="inlineStr">
        <is>
          <t>893628056</t>
        </is>
      </c>
    </row>
    <row r="2365">
      <c r="A2365" t="inlineStr">
        <is>
          <t>No</t>
        </is>
      </c>
      <c r="B2365" t="inlineStr">
        <is>
          <t>F122 .D63</t>
        </is>
      </c>
      <c r="C2365" t="inlineStr">
        <is>
          <t>0                      F  0122000D  63</t>
        </is>
      </c>
      <c r="D2365" t="inlineStr">
        <is>
          <t>The Documentary history of the state of New-York : arranged under direction of the Hon. Christopher Morgan, secretary of State / by E. B. O'Callaghan.</t>
        </is>
      </c>
      <c r="E2365" t="inlineStr">
        <is>
          <t>V. 4</t>
        </is>
      </c>
      <c r="F2365" t="inlineStr">
        <is>
          <t>Yes</t>
        </is>
      </c>
      <c r="G2365" t="inlineStr">
        <is>
          <t>1</t>
        </is>
      </c>
      <c r="H2365" t="inlineStr">
        <is>
          <t>No</t>
        </is>
      </c>
      <c r="I2365" t="inlineStr">
        <is>
          <t>No</t>
        </is>
      </c>
      <c r="J2365" t="inlineStr">
        <is>
          <t>0</t>
        </is>
      </c>
      <c r="L2365" t="inlineStr">
        <is>
          <t>Albany : Weed, Parsons &amp; co., public printers, 1849-51.</t>
        </is>
      </c>
      <c r="M2365" t="inlineStr">
        <is>
          <t>1849</t>
        </is>
      </c>
      <c r="O2365" t="inlineStr">
        <is>
          <t>eng</t>
        </is>
      </c>
      <c r="P2365" t="inlineStr">
        <is>
          <t>nyu</t>
        </is>
      </c>
      <c r="R2365" t="inlineStr">
        <is>
          <t xml:space="preserve">F  </t>
        </is>
      </c>
      <c r="S2365" t="n">
        <v>0</v>
      </c>
      <c r="T2365" t="n">
        <v>1</v>
      </c>
      <c r="V2365" t="inlineStr">
        <is>
          <t>2008-05-21</t>
        </is>
      </c>
      <c r="W2365" t="inlineStr">
        <is>
          <t>1994-04-18</t>
        </is>
      </c>
      <c r="X2365" t="inlineStr">
        <is>
          <t>1994-04-18</t>
        </is>
      </c>
      <c r="Y2365" t="n">
        <v>447</v>
      </c>
      <c r="Z2365" t="n">
        <v>418</v>
      </c>
      <c r="AA2365" t="n">
        <v>742</v>
      </c>
      <c r="AB2365" t="n">
        <v>3</v>
      </c>
      <c r="AC2365" t="n">
        <v>6</v>
      </c>
      <c r="AD2365" t="n">
        <v>20</v>
      </c>
      <c r="AE2365" t="n">
        <v>30</v>
      </c>
      <c r="AF2365" t="n">
        <v>7</v>
      </c>
      <c r="AG2365" t="n">
        <v>10</v>
      </c>
      <c r="AH2365" t="n">
        <v>7</v>
      </c>
      <c r="AI2365" t="n">
        <v>8</v>
      </c>
      <c r="AJ2365" t="n">
        <v>12</v>
      </c>
      <c r="AK2365" t="n">
        <v>16</v>
      </c>
      <c r="AL2365" t="n">
        <v>1</v>
      </c>
      <c r="AM2365" t="n">
        <v>3</v>
      </c>
      <c r="AN2365" t="n">
        <v>1</v>
      </c>
      <c r="AO2365" t="n">
        <v>3</v>
      </c>
      <c r="AP2365" t="inlineStr">
        <is>
          <t>Yes</t>
        </is>
      </c>
      <c r="AQ2365" t="inlineStr">
        <is>
          <t>No</t>
        </is>
      </c>
      <c r="AR2365">
        <f>HYPERLINK("http://catalog.hathitrust.org/Record/001262480","HathiTrust Record")</f>
        <v/>
      </c>
      <c r="AS2365">
        <f>HYPERLINK("https://creighton-primo.hosted.exlibrisgroup.com/primo-explore/search?tab=default_tab&amp;search_scope=EVERYTHING&amp;vid=01CRU&amp;lang=en_US&amp;offset=0&amp;query=any,contains,991002860359702656","Catalog Record")</f>
        <v/>
      </c>
      <c r="AT2365">
        <f>HYPERLINK("http://www.worldcat.org/oclc/492507","WorldCat Record")</f>
        <v/>
      </c>
      <c r="AU2365" t="inlineStr">
        <is>
          <t>373160315:eng</t>
        </is>
      </c>
      <c r="AV2365" t="inlineStr">
        <is>
          <t>492507</t>
        </is>
      </c>
      <c r="AW2365" t="inlineStr">
        <is>
          <t>991002860359702656</t>
        </is>
      </c>
      <c r="AX2365" t="inlineStr">
        <is>
          <t>991002860359702656</t>
        </is>
      </c>
      <c r="AY2365" t="inlineStr">
        <is>
          <t>2256451420002656</t>
        </is>
      </c>
      <c r="AZ2365" t="inlineStr">
        <is>
          <t>BOOK</t>
        </is>
      </c>
      <c r="BC2365" t="inlineStr">
        <is>
          <t>32285001889293</t>
        </is>
      </c>
      <c r="BD2365" t="inlineStr">
        <is>
          <t>893597970</t>
        </is>
      </c>
    </row>
    <row r="2366">
      <c r="A2366" t="inlineStr">
        <is>
          <t>No</t>
        </is>
      </c>
      <c r="B2366" t="inlineStr">
        <is>
          <t>F122 .D63</t>
        </is>
      </c>
      <c r="C2366" t="inlineStr">
        <is>
          <t>0                      F  0122000D  63</t>
        </is>
      </c>
      <c r="D2366" t="inlineStr">
        <is>
          <t>The Documentary history of the state of New-York : arranged under direction of the Hon. Christopher Morgan, secretary of State / by E. B. O'Callaghan.</t>
        </is>
      </c>
      <c r="E2366" t="inlineStr">
        <is>
          <t>V. 1</t>
        </is>
      </c>
      <c r="F2366" t="inlineStr">
        <is>
          <t>Yes</t>
        </is>
      </c>
      <c r="G2366" t="inlineStr">
        <is>
          <t>1</t>
        </is>
      </c>
      <c r="H2366" t="inlineStr">
        <is>
          <t>No</t>
        </is>
      </c>
      <c r="I2366" t="inlineStr">
        <is>
          <t>No</t>
        </is>
      </c>
      <c r="J2366" t="inlineStr">
        <is>
          <t>0</t>
        </is>
      </c>
      <c r="L2366" t="inlineStr">
        <is>
          <t>Albany : Weed, Parsons &amp; co., public printers, 1849-51.</t>
        </is>
      </c>
      <c r="M2366" t="inlineStr">
        <is>
          <t>1849</t>
        </is>
      </c>
      <c r="O2366" t="inlineStr">
        <is>
          <t>eng</t>
        </is>
      </c>
      <c r="P2366" t="inlineStr">
        <is>
          <t>nyu</t>
        </is>
      </c>
      <c r="R2366" t="inlineStr">
        <is>
          <t xml:space="preserve">F  </t>
        </is>
      </c>
      <c r="S2366" t="n">
        <v>0</v>
      </c>
      <c r="T2366" t="n">
        <v>1</v>
      </c>
      <c r="V2366" t="inlineStr">
        <is>
          <t>2008-05-21</t>
        </is>
      </c>
      <c r="W2366" t="inlineStr">
        <is>
          <t>1994-04-18</t>
        </is>
      </c>
      <c r="X2366" t="inlineStr">
        <is>
          <t>1994-04-18</t>
        </is>
      </c>
      <c r="Y2366" t="n">
        <v>447</v>
      </c>
      <c r="Z2366" t="n">
        <v>418</v>
      </c>
      <c r="AA2366" t="n">
        <v>742</v>
      </c>
      <c r="AB2366" t="n">
        <v>3</v>
      </c>
      <c r="AC2366" t="n">
        <v>6</v>
      </c>
      <c r="AD2366" t="n">
        <v>20</v>
      </c>
      <c r="AE2366" t="n">
        <v>30</v>
      </c>
      <c r="AF2366" t="n">
        <v>7</v>
      </c>
      <c r="AG2366" t="n">
        <v>10</v>
      </c>
      <c r="AH2366" t="n">
        <v>7</v>
      </c>
      <c r="AI2366" t="n">
        <v>8</v>
      </c>
      <c r="AJ2366" t="n">
        <v>12</v>
      </c>
      <c r="AK2366" t="n">
        <v>16</v>
      </c>
      <c r="AL2366" t="n">
        <v>1</v>
      </c>
      <c r="AM2366" t="n">
        <v>3</v>
      </c>
      <c r="AN2366" t="n">
        <v>1</v>
      </c>
      <c r="AO2366" t="n">
        <v>3</v>
      </c>
      <c r="AP2366" t="inlineStr">
        <is>
          <t>Yes</t>
        </is>
      </c>
      <c r="AQ2366" t="inlineStr">
        <is>
          <t>No</t>
        </is>
      </c>
      <c r="AR2366">
        <f>HYPERLINK("http://catalog.hathitrust.org/Record/001262480","HathiTrust Record")</f>
        <v/>
      </c>
      <c r="AS2366">
        <f>HYPERLINK("https://creighton-primo.hosted.exlibrisgroup.com/primo-explore/search?tab=default_tab&amp;search_scope=EVERYTHING&amp;vid=01CRU&amp;lang=en_US&amp;offset=0&amp;query=any,contains,991002860359702656","Catalog Record")</f>
        <v/>
      </c>
      <c r="AT2366">
        <f>HYPERLINK("http://www.worldcat.org/oclc/492507","WorldCat Record")</f>
        <v/>
      </c>
      <c r="AU2366" t="inlineStr">
        <is>
          <t>373160315:eng</t>
        </is>
      </c>
      <c r="AV2366" t="inlineStr">
        <is>
          <t>492507</t>
        </is>
      </c>
      <c r="AW2366" t="inlineStr">
        <is>
          <t>991002860359702656</t>
        </is>
      </c>
      <c r="AX2366" t="inlineStr">
        <is>
          <t>991002860359702656</t>
        </is>
      </c>
      <c r="AY2366" t="inlineStr">
        <is>
          <t>2256451420002656</t>
        </is>
      </c>
      <c r="AZ2366" t="inlineStr">
        <is>
          <t>BOOK</t>
        </is>
      </c>
      <c r="BC2366" t="inlineStr">
        <is>
          <t>32285001889269</t>
        </is>
      </c>
      <c r="BD2366" t="inlineStr">
        <is>
          <t>893616670</t>
        </is>
      </c>
    </row>
    <row r="2367">
      <c r="A2367" t="inlineStr">
        <is>
          <t>No</t>
        </is>
      </c>
      <c r="B2367" t="inlineStr">
        <is>
          <t>F122 .D63</t>
        </is>
      </c>
      <c r="C2367" t="inlineStr">
        <is>
          <t>0                      F  0122000D  63</t>
        </is>
      </c>
      <c r="D2367" t="inlineStr">
        <is>
          <t>The Documentary history of the state of New-York : arranged under direction of the Hon. Christopher Morgan, secretary of State / by E. B. O'Callaghan.</t>
        </is>
      </c>
      <c r="E2367" t="inlineStr">
        <is>
          <t>V. 2</t>
        </is>
      </c>
      <c r="F2367" t="inlineStr">
        <is>
          <t>Yes</t>
        </is>
      </c>
      <c r="G2367" t="inlineStr">
        <is>
          <t>1</t>
        </is>
      </c>
      <c r="H2367" t="inlineStr">
        <is>
          <t>No</t>
        </is>
      </c>
      <c r="I2367" t="inlineStr">
        <is>
          <t>No</t>
        </is>
      </c>
      <c r="J2367" t="inlineStr">
        <is>
          <t>0</t>
        </is>
      </c>
      <c r="L2367" t="inlineStr">
        <is>
          <t>Albany : Weed, Parsons &amp; co., public printers, 1849-51.</t>
        </is>
      </c>
      <c r="M2367" t="inlineStr">
        <is>
          <t>1849</t>
        </is>
      </c>
      <c r="O2367" t="inlineStr">
        <is>
          <t>eng</t>
        </is>
      </c>
      <c r="P2367" t="inlineStr">
        <is>
          <t>nyu</t>
        </is>
      </c>
      <c r="R2367" t="inlineStr">
        <is>
          <t xml:space="preserve">F  </t>
        </is>
      </c>
      <c r="S2367" t="n">
        <v>0</v>
      </c>
      <c r="T2367" t="n">
        <v>1</v>
      </c>
      <c r="V2367" t="inlineStr">
        <is>
          <t>2008-05-21</t>
        </is>
      </c>
      <c r="W2367" t="inlineStr">
        <is>
          <t>1994-04-18</t>
        </is>
      </c>
      <c r="X2367" t="inlineStr">
        <is>
          <t>1994-04-18</t>
        </is>
      </c>
      <c r="Y2367" t="n">
        <v>447</v>
      </c>
      <c r="Z2367" t="n">
        <v>418</v>
      </c>
      <c r="AA2367" t="n">
        <v>742</v>
      </c>
      <c r="AB2367" t="n">
        <v>3</v>
      </c>
      <c r="AC2367" t="n">
        <v>6</v>
      </c>
      <c r="AD2367" t="n">
        <v>20</v>
      </c>
      <c r="AE2367" t="n">
        <v>30</v>
      </c>
      <c r="AF2367" t="n">
        <v>7</v>
      </c>
      <c r="AG2367" t="n">
        <v>10</v>
      </c>
      <c r="AH2367" t="n">
        <v>7</v>
      </c>
      <c r="AI2367" t="n">
        <v>8</v>
      </c>
      <c r="AJ2367" t="n">
        <v>12</v>
      </c>
      <c r="AK2367" t="n">
        <v>16</v>
      </c>
      <c r="AL2367" t="n">
        <v>1</v>
      </c>
      <c r="AM2367" t="n">
        <v>3</v>
      </c>
      <c r="AN2367" t="n">
        <v>1</v>
      </c>
      <c r="AO2367" t="n">
        <v>3</v>
      </c>
      <c r="AP2367" t="inlineStr">
        <is>
          <t>Yes</t>
        </is>
      </c>
      <c r="AQ2367" t="inlineStr">
        <is>
          <t>No</t>
        </is>
      </c>
      <c r="AR2367">
        <f>HYPERLINK("http://catalog.hathitrust.org/Record/001262480","HathiTrust Record")</f>
        <v/>
      </c>
      <c r="AS2367">
        <f>HYPERLINK("https://creighton-primo.hosted.exlibrisgroup.com/primo-explore/search?tab=default_tab&amp;search_scope=EVERYTHING&amp;vid=01CRU&amp;lang=en_US&amp;offset=0&amp;query=any,contains,991002860359702656","Catalog Record")</f>
        <v/>
      </c>
      <c r="AT2367">
        <f>HYPERLINK("http://www.worldcat.org/oclc/492507","WorldCat Record")</f>
        <v/>
      </c>
      <c r="AU2367" t="inlineStr">
        <is>
          <t>373160315:eng</t>
        </is>
      </c>
      <c r="AV2367" t="inlineStr">
        <is>
          <t>492507</t>
        </is>
      </c>
      <c r="AW2367" t="inlineStr">
        <is>
          <t>991002860359702656</t>
        </is>
      </c>
      <c r="AX2367" t="inlineStr">
        <is>
          <t>991002860359702656</t>
        </is>
      </c>
      <c r="AY2367" t="inlineStr">
        <is>
          <t>2256451420002656</t>
        </is>
      </c>
      <c r="AZ2367" t="inlineStr">
        <is>
          <t>BOOK</t>
        </is>
      </c>
      <c r="BC2367" t="inlineStr">
        <is>
          <t>32285001889277</t>
        </is>
      </c>
      <c r="BD2367" t="inlineStr">
        <is>
          <t>893597972</t>
        </is>
      </c>
    </row>
    <row r="2368">
      <c r="A2368" t="inlineStr">
        <is>
          <t>No</t>
        </is>
      </c>
      <c r="B2368" t="inlineStr">
        <is>
          <t>F122 D66</t>
        </is>
      </c>
      <c r="C2368" t="inlineStr">
        <is>
          <t>0                      F  0122000D  66</t>
        </is>
      </c>
      <c r="D2368" t="inlineStr">
        <is>
          <t>Documents relative to the colonial history of the State of New York : procured in Holland, England, and France / by John Romeyn Brodhead. Edited by E. B. O'Callaghan. With a general introd. by the agent.</t>
        </is>
      </c>
      <c r="F2368" t="inlineStr">
        <is>
          <t>Yes</t>
        </is>
      </c>
      <c r="G2368" t="inlineStr">
        <is>
          <t>1</t>
        </is>
      </c>
      <c r="H2368" t="inlineStr">
        <is>
          <t>Yes</t>
        </is>
      </c>
      <c r="I2368" t="inlineStr">
        <is>
          <t>No</t>
        </is>
      </c>
      <c r="J2368" t="inlineStr">
        <is>
          <t>0</t>
        </is>
      </c>
      <c r="L2368" t="inlineStr">
        <is>
          <t>Albany : Weed, Parsons, Printers, 1853-87 [v. 1, 1856]</t>
        </is>
      </c>
      <c r="M2368" t="inlineStr">
        <is>
          <t>1969</t>
        </is>
      </c>
      <c r="O2368" t="inlineStr">
        <is>
          <t>eng</t>
        </is>
      </c>
      <c r="P2368" t="inlineStr">
        <is>
          <t>nyu</t>
        </is>
      </c>
      <c r="R2368" t="inlineStr">
        <is>
          <t xml:space="preserve">F  </t>
        </is>
      </c>
      <c r="S2368" t="n">
        <v>0</v>
      </c>
      <c r="T2368" t="n">
        <v>4</v>
      </c>
      <c r="V2368" t="inlineStr">
        <is>
          <t>2008-05-21</t>
        </is>
      </c>
      <c r="W2368" t="inlineStr">
        <is>
          <t>1994-04-14</t>
        </is>
      </c>
      <c r="X2368" t="inlineStr">
        <is>
          <t>1994-04-14</t>
        </is>
      </c>
      <c r="Y2368" t="n">
        <v>88</v>
      </c>
      <c r="Z2368" t="n">
        <v>83</v>
      </c>
      <c r="AA2368" t="n">
        <v>610</v>
      </c>
      <c r="AB2368" t="n">
        <v>2</v>
      </c>
      <c r="AC2368" t="n">
        <v>6</v>
      </c>
      <c r="AD2368" t="n">
        <v>2</v>
      </c>
      <c r="AE2368" t="n">
        <v>27</v>
      </c>
      <c r="AF2368" t="n">
        <v>0</v>
      </c>
      <c r="AG2368" t="n">
        <v>6</v>
      </c>
      <c r="AH2368" t="n">
        <v>0</v>
      </c>
      <c r="AI2368" t="n">
        <v>8</v>
      </c>
      <c r="AJ2368" t="n">
        <v>2</v>
      </c>
      <c r="AK2368" t="n">
        <v>13</v>
      </c>
      <c r="AL2368" t="n">
        <v>0</v>
      </c>
      <c r="AM2368" t="n">
        <v>3</v>
      </c>
      <c r="AN2368" t="n">
        <v>0</v>
      </c>
      <c r="AO2368" t="n">
        <v>4</v>
      </c>
      <c r="AP2368" t="inlineStr">
        <is>
          <t>No</t>
        </is>
      </c>
      <c r="AQ2368" t="inlineStr">
        <is>
          <t>Yes</t>
        </is>
      </c>
      <c r="AR2368">
        <f>HYPERLINK("http://catalog.hathitrust.org/Record/100713925","HathiTrust Record")</f>
        <v/>
      </c>
      <c r="AS2368">
        <f>HYPERLINK("https://creighton-primo.hosted.exlibrisgroup.com/primo-explore/search?tab=default_tab&amp;search_scope=EVERYTHING&amp;vid=01CRU&amp;lang=en_US&amp;offset=0&amp;query=any,contains,991000547229702656","Catalog Record")</f>
        <v/>
      </c>
      <c r="AT2368">
        <f>HYPERLINK("http://www.worldcat.org/oclc/91727","WorldCat Record")</f>
        <v/>
      </c>
      <c r="AU2368" t="inlineStr">
        <is>
          <t>1852538167:eng</t>
        </is>
      </c>
      <c r="AV2368" t="inlineStr">
        <is>
          <t>91727</t>
        </is>
      </c>
      <c r="AW2368" t="inlineStr">
        <is>
          <t>991000547229702656</t>
        </is>
      </c>
      <c r="AX2368" t="inlineStr">
        <is>
          <t>991000547229702656</t>
        </is>
      </c>
      <c r="AY2368" t="inlineStr">
        <is>
          <t>2264709690002656</t>
        </is>
      </c>
      <c r="AZ2368" t="inlineStr">
        <is>
          <t>BOOK</t>
        </is>
      </c>
      <c r="BC2368" t="inlineStr">
        <is>
          <t>32285001888493</t>
        </is>
      </c>
      <c r="BD2368" t="inlineStr">
        <is>
          <t>893589553</t>
        </is>
      </c>
    </row>
    <row r="2369">
      <c r="A2369" t="inlineStr">
        <is>
          <t>No</t>
        </is>
      </c>
      <c r="B2369" t="inlineStr">
        <is>
          <t>F122 D66 V. 11</t>
        </is>
      </c>
      <c r="C2369" t="inlineStr">
        <is>
          <t>0                      F  0122000D  66                                                      V. 11</t>
        </is>
      </c>
      <c r="D2369" t="inlineStr">
        <is>
          <t>Documents relative to the colonial history of the State of New York : procured in Holland, England, and France / by John Romeyn Brodhead. Edited by E. B. O'Callaghan. With a general introd. by the agent.</t>
        </is>
      </c>
      <c r="E2369" t="inlineStr">
        <is>
          <t>V. 11*</t>
        </is>
      </c>
      <c r="F2369" t="inlineStr">
        <is>
          <t>Yes</t>
        </is>
      </c>
      <c r="G2369" t="inlineStr">
        <is>
          <t>1</t>
        </is>
      </c>
      <c r="H2369" t="inlineStr">
        <is>
          <t>No</t>
        </is>
      </c>
      <c r="I2369" t="inlineStr">
        <is>
          <t>No</t>
        </is>
      </c>
      <c r="J2369" t="inlineStr">
        <is>
          <t>0</t>
        </is>
      </c>
      <c r="L2369" t="inlineStr">
        <is>
          <t>Albany : Weed, Parsons, Printers, 1853-87 [v. 1, 1856]</t>
        </is>
      </c>
      <c r="M2369" t="inlineStr">
        <is>
          <t>1969</t>
        </is>
      </c>
      <c r="O2369" t="inlineStr">
        <is>
          <t>eng</t>
        </is>
      </c>
      <c r="P2369" t="inlineStr">
        <is>
          <t>nyu</t>
        </is>
      </c>
      <c r="R2369" t="inlineStr">
        <is>
          <t xml:space="preserve">F  </t>
        </is>
      </c>
      <c r="S2369" t="n">
        <v>0</v>
      </c>
      <c r="T2369" t="n">
        <v>4</v>
      </c>
      <c r="V2369" t="inlineStr">
        <is>
          <t>2008-05-21</t>
        </is>
      </c>
      <c r="W2369" t="inlineStr">
        <is>
          <t>1994-04-14</t>
        </is>
      </c>
      <c r="X2369" t="inlineStr">
        <is>
          <t>1994-04-14</t>
        </is>
      </c>
      <c r="Y2369" t="n">
        <v>88</v>
      </c>
      <c r="Z2369" t="n">
        <v>83</v>
      </c>
      <c r="AA2369" t="n">
        <v>610</v>
      </c>
      <c r="AB2369" t="n">
        <v>2</v>
      </c>
      <c r="AC2369" t="n">
        <v>6</v>
      </c>
      <c r="AD2369" t="n">
        <v>2</v>
      </c>
      <c r="AE2369" t="n">
        <v>27</v>
      </c>
      <c r="AF2369" t="n">
        <v>0</v>
      </c>
      <c r="AG2369" t="n">
        <v>6</v>
      </c>
      <c r="AH2369" t="n">
        <v>0</v>
      </c>
      <c r="AI2369" t="n">
        <v>8</v>
      </c>
      <c r="AJ2369" t="n">
        <v>2</v>
      </c>
      <c r="AK2369" t="n">
        <v>13</v>
      </c>
      <c r="AL2369" t="n">
        <v>0</v>
      </c>
      <c r="AM2369" t="n">
        <v>3</v>
      </c>
      <c r="AN2369" t="n">
        <v>0</v>
      </c>
      <c r="AO2369" t="n">
        <v>4</v>
      </c>
      <c r="AP2369" t="inlineStr">
        <is>
          <t>No</t>
        </is>
      </c>
      <c r="AQ2369" t="inlineStr">
        <is>
          <t>Yes</t>
        </is>
      </c>
      <c r="AR2369">
        <f>HYPERLINK("http://catalog.hathitrust.org/Record/100713925","HathiTrust Record")</f>
        <v/>
      </c>
      <c r="AS2369">
        <f>HYPERLINK("https://creighton-primo.hosted.exlibrisgroup.com/primo-explore/search?tab=default_tab&amp;search_scope=EVERYTHING&amp;vid=01CRU&amp;lang=en_US&amp;offset=0&amp;query=any,contains,991000547229702656","Catalog Record")</f>
        <v/>
      </c>
      <c r="AT2369">
        <f>HYPERLINK("http://www.worldcat.org/oclc/91727","WorldCat Record")</f>
        <v/>
      </c>
      <c r="AU2369" t="inlineStr">
        <is>
          <t>1852538167:eng</t>
        </is>
      </c>
      <c r="AV2369" t="inlineStr">
        <is>
          <t>91727</t>
        </is>
      </c>
      <c r="AW2369" t="inlineStr">
        <is>
          <t>991000547229702656</t>
        </is>
      </c>
      <c r="AX2369" t="inlineStr">
        <is>
          <t>991000547229702656</t>
        </is>
      </c>
      <c r="AY2369" t="inlineStr">
        <is>
          <t>2264709690002656</t>
        </is>
      </c>
      <c r="AZ2369" t="inlineStr">
        <is>
          <t>BOOK</t>
        </is>
      </c>
      <c r="BC2369" t="inlineStr">
        <is>
          <t>32285001888592</t>
        </is>
      </c>
      <c r="BD2369" t="inlineStr">
        <is>
          <t>893614282</t>
        </is>
      </c>
    </row>
    <row r="2370">
      <c r="A2370" t="inlineStr">
        <is>
          <t>No</t>
        </is>
      </c>
      <c r="B2370" t="inlineStr">
        <is>
          <t>F122 D66 V. 2</t>
        </is>
      </c>
      <c r="C2370" t="inlineStr">
        <is>
          <t>0                      F  0122000D  66                                                      V. 2</t>
        </is>
      </c>
      <c r="D2370" t="inlineStr">
        <is>
          <t>Documents relative to the colonial history of the State of New York : procured in Holland, England, and France / by John Romeyn Brodhead. Edited by E. B. O'Callaghan. With a general introd. by the agent.</t>
        </is>
      </c>
      <c r="E2370" t="inlineStr">
        <is>
          <t>V. 2*</t>
        </is>
      </c>
      <c r="F2370" t="inlineStr">
        <is>
          <t>Yes</t>
        </is>
      </c>
      <c r="G2370" t="inlineStr">
        <is>
          <t>1</t>
        </is>
      </c>
      <c r="H2370" t="inlineStr">
        <is>
          <t>No</t>
        </is>
      </c>
      <c r="I2370" t="inlineStr">
        <is>
          <t>No</t>
        </is>
      </c>
      <c r="J2370" t="inlineStr">
        <is>
          <t>0</t>
        </is>
      </c>
      <c r="L2370" t="inlineStr">
        <is>
          <t>Albany : Weed, Parsons, Printers, 1853-87 [v. 1, 1856]</t>
        </is>
      </c>
      <c r="M2370" t="inlineStr">
        <is>
          <t>1969</t>
        </is>
      </c>
      <c r="O2370" t="inlineStr">
        <is>
          <t>eng</t>
        </is>
      </c>
      <c r="P2370" t="inlineStr">
        <is>
          <t>nyu</t>
        </is>
      </c>
      <c r="R2370" t="inlineStr">
        <is>
          <t xml:space="preserve">F  </t>
        </is>
      </c>
      <c r="S2370" t="n">
        <v>0</v>
      </c>
      <c r="T2370" t="n">
        <v>4</v>
      </c>
      <c r="V2370" t="inlineStr">
        <is>
          <t>2008-05-21</t>
        </is>
      </c>
      <c r="W2370" t="inlineStr">
        <is>
          <t>1994-04-14</t>
        </is>
      </c>
      <c r="X2370" t="inlineStr">
        <is>
          <t>1994-04-14</t>
        </is>
      </c>
      <c r="Y2370" t="n">
        <v>88</v>
      </c>
      <c r="Z2370" t="n">
        <v>83</v>
      </c>
      <c r="AA2370" t="n">
        <v>610</v>
      </c>
      <c r="AB2370" t="n">
        <v>2</v>
      </c>
      <c r="AC2370" t="n">
        <v>6</v>
      </c>
      <c r="AD2370" t="n">
        <v>2</v>
      </c>
      <c r="AE2370" t="n">
        <v>27</v>
      </c>
      <c r="AF2370" t="n">
        <v>0</v>
      </c>
      <c r="AG2370" t="n">
        <v>6</v>
      </c>
      <c r="AH2370" t="n">
        <v>0</v>
      </c>
      <c r="AI2370" t="n">
        <v>8</v>
      </c>
      <c r="AJ2370" t="n">
        <v>2</v>
      </c>
      <c r="AK2370" t="n">
        <v>13</v>
      </c>
      <c r="AL2370" t="n">
        <v>0</v>
      </c>
      <c r="AM2370" t="n">
        <v>3</v>
      </c>
      <c r="AN2370" t="n">
        <v>0</v>
      </c>
      <c r="AO2370" t="n">
        <v>4</v>
      </c>
      <c r="AP2370" t="inlineStr">
        <is>
          <t>No</t>
        </is>
      </c>
      <c r="AQ2370" t="inlineStr">
        <is>
          <t>Yes</t>
        </is>
      </c>
      <c r="AR2370">
        <f>HYPERLINK("http://catalog.hathitrust.org/Record/100713925","HathiTrust Record")</f>
        <v/>
      </c>
      <c r="AS2370">
        <f>HYPERLINK("https://creighton-primo.hosted.exlibrisgroup.com/primo-explore/search?tab=default_tab&amp;search_scope=EVERYTHING&amp;vid=01CRU&amp;lang=en_US&amp;offset=0&amp;query=any,contains,991000547229702656","Catalog Record")</f>
        <v/>
      </c>
      <c r="AT2370">
        <f>HYPERLINK("http://www.worldcat.org/oclc/91727","WorldCat Record")</f>
        <v/>
      </c>
      <c r="AU2370" t="inlineStr">
        <is>
          <t>1852538167:eng</t>
        </is>
      </c>
      <c r="AV2370" t="inlineStr">
        <is>
          <t>91727</t>
        </is>
      </c>
      <c r="AW2370" t="inlineStr">
        <is>
          <t>991000547229702656</t>
        </is>
      </c>
      <c r="AX2370" t="inlineStr">
        <is>
          <t>991000547229702656</t>
        </is>
      </c>
      <c r="AY2370" t="inlineStr">
        <is>
          <t>2264709690002656</t>
        </is>
      </c>
      <c r="AZ2370" t="inlineStr">
        <is>
          <t>BOOK</t>
        </is>
      </c>
      <c r="BC2370" t="inlineStr">
        <is>
          <t>32285001888501</t>
        </is>
      </c>
      <c r="BD2370" t="inlineStr">
        <is>
          <t>893626358</t>
        </is>
      </c>
    </row>
    <row r="2371">
      <c r="A2371" t="inlineStr">
        <is>
          <t>No</t>
        </is>
      </c>
      <c r="B2371" t="inlineStr">
        <is>
          <t>F122 D66 V. 5</t>
        </is>
      </c>
      <c r="C2371" t="inlineStr">
        <is>
          <t>0                      F  0122000D  66                                                      V. 5</t>
        </is>
      </c>
      <c r="D2371" t="inlineStr">
        <is>
          <t>Documents relative to the colonial history of the State of New York : procured in Holland, England, and France / by John Romeyn Brodhead. Edited by E. B. O'Callaghan. With a general introd. by the agent.</t>
        </is>
      </c>
      <c r="E2371" t="inlineStr">
        <is>
          <t>V. 5*</t>
        </is>
      </c>
      <c r="F2371" t="inlineStr">
        <is>
          <t>Yes</t>
        </is>
      </c>
      <c r="G2371" t="inlineStr">
        <is>
          <t>1</t>
        </is>
      </c>
      <c r="H2371" t="inlineStr">
        <is>
          <t>No</t>
        </is>
      </c>
      <c r="I2371" t="inlineStr">
        <is>
          <t>No</t>
        </is>
      </c>
      <c r="J2371" t="inlineStr">
        <is>
          <t>0</t>
        </is>
      </c>
      <c r="L2371" t="inlineStr">
        <is>
          <t>Albany : Weed, Parsons, Printers, 1853-87 [v. 1, 1856]</t>
        </is>
      </c>
      <c r="M2371" t="inlineStr">
        <is>
          <t>1969</t>
        </is>
      </c>
      <c r="O2371" t="inlineStr">
        <is>
          <t>eng</t>
        </is>
      </c>
      <c r="P2371" t="inlineStr">
        <is>
          <t>nyu</t>
        </is>
      </c>
      <c r="R2371" t="inlineStr">
        <is>
          <t xml:space="preserve">F  </t>
        </is>
      </c>
      <c r="S2371" t="n">
        <v>0</v>
      </c>
      <c r="T2371" t="n">
        <v>4</v>
      </c>
      <c r="U2371" t="inlineStr">
        <is>
          <t>2001-10-09</t>
        </is>
      </c>
      <c r="V2371" t="inlineStr">
        <is>
          <t>2008-05-21</t>
        </is>
      </c>
      <c r="W2371" t="inlineStr">
        <is>
          <t>1994-04-14</t>
        </is>
      </c>
      <c r="X2371" t="inlineStr">
        <is>
          <t>1994-04-14</t>
        </is>
      </c>
      <c r="Y2371" t="n">
        <v>88</v>
      </c>
      <c r="Z2371" t="n">
        <v>83</v>
      </c>
      <c r="AA2371" t="n">
        <v>610</v>
      </c>
      <c r="AB2371" t="n">
        <v>2</v>
      </c>
      <c r="AC2371" t="n">
        <v>6</v>
      </c>
      <c r="AD2371" t="n">
        <v>2</v>
      </c>
      <c r="AE2371" t="n">
        <v>27</v>
      </c>
      <c r="AF2371" t="n">
        <v>0</v>
      </c>
      <c r="AG2371" t="n">
        <v>6</v>
      </c>
      <c r="AH2371" t="n">
        <v>0</v>
      </c>
      <c r="AI2371" t="n">
        <v>8</v>
      </c>
      <c r="AJ2371" t="n">
        <v>2</v>
      </c>
      <c r="AK2371" t="n">
        <v>13</v>
      </c>
      <c r="AL2371" t="n">
        <v>0</v>
      </c>
      <c r="AM2371" t="n">
        <v>3</v>
      </c>
      <c r="AN2371" t="n">
        <v>0</v>
      </c>
      <c r="AO2371" t="n">
        <v>4</v>
      </c>
      <c r="AP2371" t="inlineStr">
        <is>
          <t>No</t>
        </is>
      </c>
      <c r="AQ2371" t="inlineStr">
        <is>
          <t>Yes</t>
        </is>
      </c>
      <c r="AR2371">
        <f>HYPERLINK("http://catalog.hathitrust.org/Record/100713925","HathiTrust Record")</f>
        <v/>
      </c>
      <c r="AS2371">
        <f>HYPERLINK("https://creighton-primo.hosted.exlibrisgroup.com/primo-explore/search?tab=default_tab&amp;search_scope=EVERYTHING&amp;vid=01CRU&amp;lang=en_US&amp;offset=0&amp;query=any,contains,991000547229702656","Catalog Record")</f>
        <v/>
      </c>
      <c r="AT2371">
        <f>HYPERLINK("http://www.worldcat.org/oclc/91727","WorldCat Record")</f>
        <v/>
      </c>
      <c r="AU2371" t="inlineStr">
        <is>
          <t>1852538167:eng</t>
        </is>
      </c>
      <c r="AV2371" t="inlineStr">
        <is>
          <t>91727</t>
        </is>
      </c>
      <c r="AW2371" t="inlineStr">
        <is>
          <t>991000547229702656</t>
        </is>
      </c>
      <c r="AX2371" t="inlineStr">
        <is>
          <t>991000547229702656</t>
        </is>
      </c>
      <c r="AY2371" t="inlineStr">
        <is>
          <t>2264709690002656</t>
        </is>
      </c>
      <c r="AZ2371" t="inlineStr">
        <is>
          <t>BOOK</t>
        </is>
      </c>
      <c r="BC2371" t="inlineStr">
        <is>
          <t>32285001888535</t>
        </is>
      </c>
      <c r="BD2371" t="inlineStr">
        <is>
          <t>893608031</t>
        </is>
      </c>
    </row>
    <row r="2372">
      <c r="A2372" t="inlineStr">
        <is>
          <t>No</t>
        </is>
      </c>
      <c r="B2372" t="inlineStr">
        <is>
          <t>F122 D66 V. 6</t>
        </is>
      </c>
      <c r="C2372" t="inlineStr">
        <is>
          <t>0                      F  0122000D  66                                                      V. 6</t>
        </is>
      </c>
      <c r="D2372" t="inlineStr">
        <is>
          <t>Documents relative to the colonial history of the State of New York : procured in Holland, England, and France / by John Romeyn Brodhead. Edited by E. B. O'Callaghan. With a general introd. by the agent.</t>
        </is>
      </c>
      <c r="E2372" t="inlineStr">
        <is>
          <t>V. 6*</t>
        </is>
      </c>
      <c r="F2372" t="inlineStr">
        <is>
          <t>Yes</t>
        </is>
      </c>
      <c r="G2372" t="inlineStr">
        <is>
          <t>1</t>
        </is>
      </c>
      <c r="H2372" t="inlineStr">
        <is>
          <t>No</t>
        </is>
      </c>
      <c r="I2372" t="inlineStr">
        <is>
          <t>No</t>
        </is>
      </c>
      <c r="J2372" t="inlineStr">
        <is>
          <t>0</t>
        </is>
      </c>
      <c r="L2372" t="inlineStr">
        <is>
          <t>Albany : Weed, Parsons, Printers, 1853-87 [v. 1, 1856]</t>
        </is>
      </c>
      <c r="M2372" t="inlineStr">
        <is>
          <t>1969</t>
        </is>
      </c>
      <c r="O2372" t="inlineStr">
        <is>
          <t>eng</t>
        </is>
      </c>
      <c r="P2372" t="inlineStr">
        <is>
          <t>nyu</t>
        </is>
      </c>
      <c r="R2372" t="inlineStr">
        <is>
          <t xml:space="preserve">F  </t>
        </is>
      </c>
      <c r="S2372" t="n">
        <v>0</v>
      </c>
      <c r="T2372" t="n">
        <v>4</v>
      </c>
      <c r="V2372" t="inlineStr">
        <is>
          <t>2008-05-21</t>
        </is>
      </c>
      <c r="W2372" t="inlineStr">
        <is>
          <t>1994-04-14</t>
        </is>
      </c>
      <c r="X2372" t="inlineStr">
        <is>
          <t>1994-04-14</t>
        </is>
      </c>
      <c r="Y2372" t="n">
        <v>88</v>
      </c>
      <c r="Z2372" t="n">
        <v>83</v>
      </c>
      <c r="AA2372" t="n">
        <v>610</v>
      </c>
      <c r="AB2372" t="n">
        <v>2</v>
      </c>
      <c r="AC2372" t="n">
        <v>6</v>
      </c>
      <c r="AD2372" t="n">
        <v>2</v>
      </c>
      <c r="AE2372" t="n">
        <v>27</v>
      </c>
      <c r="AF2372" t="n">
        <v>0</v>
      </c>
      <c r="AG2372" t="n">
        <v>6</v>
      </c>
      <c r="AH2372" t="n">
        <v>0</v>
      </c>
      <c r="AI2372" t="n">
        <v>8</v>
      </c>
      <c r="AJ2372" t="n">
        <v>2</v>
      </c>
      <c r="AK2372" t="n">
        <v>13</v>
      </c>
      <c r="AL2372" t="n">
        <v>0</v>
      </c>
      <c r="AM2372" t="n">
        <v>3</v>
      </c>
      <c r="AN2372" t="n">
        <v>0</v>
      </c>
      <c r="AO2372" t="n">
        <v>4</v>
      </c>
      <c r="AP2372" t="inlineStr">
        <is>
          <t>No</t>
        </is>
      </c>
      <c r="AQ2372" t="inlineStr">
        <is>
          <t>Yes</t>
        </is>
      </c>
      <c r="AR2372">
        <f>HYPERLINK("http://catalog.hathitrust.org/Record/100713925","HathiTrust Record")</f>
        <v/>
      </c>
      <c r="AS2372">
        <f>HYPERLINK("https://creighton-primo.hosted.exlibrisgroup.com/primo-explore/search?tab=default_tab&amp;search_scope=EVERYTHING&amp;vid=01CRU&amp;lang=en_US&amp;offset=0&amp;query=any,contains,991000547229702656","Catalog Record")</f>
        <v/>
      </c>
      <c r="AT2372">
        <f>HYPERLINK("http://www.worldcat.org/oclc/91727","WorldCat Record")</f>
        <v/>
      </c>
      <c r="AU2372" t="inlineStr">
        <is>
          <t>1852538167:eng</t>
        </is>
      </c>
      <c r="AV2372" t="inlineStr">
        <is>
          <t>91727</t>
        </is>
      </c>
      <c r="AW2372" t="inlineStr">
        <is>
          <t>991000547229702656</t>
        </is>
      </c>
      <c r="AX2372" t="inlineStr">
        <is>
          <t>991000547229702656</t>
        </is>
      </c>
      <c r="AY2372" t="inlineStr">
        <is>
          <t>2264709690002656</t>
        </is>
      </c>
      <c r="AZ2372" t="inlineStr">
        <is>
          <t>BOOK</t>
        </is>
      </c>
      <c r="BC2372" t="inlineStr">
        <is>
          <t>32285001888543</t>
        </is>
      </c>
      <c r="BD2372" t="inlineStr">
        <is>
          <t>893589551</t>
        </is>
      </c>
    </row>
    <row r="2373">
      <c r="A2373" t="inlineStr">
        <is>
          <t>No</t>
        </is>
      </c>
      <c r="B2373" t="inlineStr">
        <is>
          <t>F122 D66 V. 7</t>
        </is>
      </c>
      <c r="C2373" t="inlineStr">
        <is>
          <t>0                      F  0122000D  66                                                      V. 7</t>
        </is>
      </c>
      <c r="D2373" t="inlineStr">
        <is>
          <t>Documents relative to the colonial history of the State of New York : procured in Holland, England, and France / by John Romeyn Brodhead. Edited by E. B. O'Callaghan. With a general introd. by the agent.</t>
        </is>
      </c>
      <c r="E2373" t="inlineStr">
        <is>
          <t>V. 7*</t>
        </is>
      </c>
      <c r="F2373" t="inlineStr">
        <is>
          <t>Yes</t>
        </is>
      </c>
      <c r="G2373" t="inlineStr">
        <is>
          <t>1</t>
        </is>
      </c>
      <c r="H2373" t="inlineStr">
        <is>
          <t>No</t>
        </is>
      </c>
      <c r="I2373" t="inlineStr">
        <is>
          <t>No</t>
        </is>
      </c>
      <c r="J2373" t="inlineStr">
        <is>
          <t>0</t>
        </is>
      </c>
      <c r="L2373" t="inlineStr">
        <is>
          <t>Albany : Weed, Parsons, Printers, 1853-87 [v. 1, 1856]</t>
        </is>
      </c>
      <c r="M2373" t="inlineStr">
        <is>
          <t>1969</t>
        </is>
      </c>
      <c r="O2373" t="inlineStr">
        <is>
          <t>eng</t>
        </is>
      </c>
      <c r="P2373" t="inlineStr">
        <is>
          <t>nyu</t>
        </is>
      </c>
      <c r="R2373" t="inlineStr">
        <is>
          <t xml:space="preserve">F  </t>
        </is>
      </c>
      <c r="S2373" t="n">
        <v>0</v>
      </c>
      <c r="T2373" t="n">
        <v>4</v>
      </c>
      <c r="V2373" t="inlineStr">
        <is>
          <t>2008-05-21</t>
        </is>
      </c>
      <c r="W2373" t="inlineStr">
        <is>
          <t>1994-04-14</t>
        </is>
      </c>
      <c r="X2373" t="inlineStr">
        <is>
          <t>1994-04-14</t>
        </is>
      </c>
      <c r="Y2373" t="n">
        <v>88</v>
      </c>
      <c r="Z2373" t="n">
        <v>83</v>
      </c>
      <c r="AA2373" t="n">
        <v>610</v>
      </c>
      <c r="AB2373" t="n">
        <v>2</v>
      </c>
      <c r="AC2373" t="n">
        <v>6</v>
      </c>
      <c r="AD2373" t="n">
        <v>2</v>
      </c>
      <c r="AE2373" t="n">
        <v>27</v>
      </c>
      <c r="AF2373" t="n">
        <v>0</v>
      </c>
      <c r="AG2373" t="n">
        <v>6</v>
      </c>
      <c r="AH2373" t="n">
        <v>0</v>
      </c>
      <c r="AI2373" t="n">
        <v>8</v>
      </c>
      <c r="AJ2373" t="n">
        <v>2</v>
      </c>
      <c r="AK2373" t="n">
        <v>13</v>
      </c>
      <c r="AL2373" t="n">
        <v>0</v>
      </c>
      <c r="AM2373" t="n">
        <v>3</v>
      </c>
      <c r="AN2373" t="n">
        <v>0</v>
      </c>
      <c r="AO2373" t="n">
        <v>4</v>
      </c>
      <c r="AP2373" t="inlineStr">
        <is>
          <t>No</t>
        </is>
      </c>
      <c r="AQ2373" t="inlineStr">
        <is>
          <t>Yes</t>
        </is>
      </c>
      <c r="AR2373">
        <f>HYPERLINK("http://catalog.hathitrust.org/Record/100713925","HathiTrust Record")</f>
        <v/>
      </c>
      <c r="AS2373">
        <f>HYPERLINK("https://creighton-primo.hosted.exlibrisgroup.com/primo-explore/search?tab=default_tab&amp;search_scope=EVERYTHING&amp;vid=01CRU&amp;lang=en_US&amp;offset=0&amp;query=any,contains,991000547229702656","Catalog Record")</f>
        <v/>
      </c>
      <c r="AT2373">
        <f>HYPERLINK("http://www.worldcat.org/oclc/91727","WorldCat Record")</f>
        <v/>
      </c>
      <c r="AU2373" t="inlineStr">
        <is>
          <t>1852538167:eng</t>
        </is>
      </c>
      <c r="AV2373" t="inlineStr">
        <is>
          <t>91727</t>
        </is>
      </c>
      <c r="AW2373" t="inlineStr">
        <is>
          <t>991000547229702656</t>
        </is>
      </c>
      <c r="AX2373" t="inlineStr">
        <is>
          <t>991000547229702656</t>
        </is>
      </c>
      <c r="AY2373" t="inlineStr">
        <is>
          <t>2264709690002656</t>
        </is>
      </c>
      <c r="AZ2373" t="inlineStr">
        <is>
          <t>BOOK</t>
        </is>
      </c>
      <c r="BC2373" t="inlineStr">
        <is>
          <t>32285001888550</t>
        </is>
      </c>
      <c r="BD2373" t="inlineStr">
        <is>
          <t>893608030</t>
        </is>
      </c>
    </row>
    <row r="2374">
      <c r="A2374" t="inlineStr">
        <is>
          <t>No</t>
        </is>
      </c>
      <c r="B2374" t="inlineStr">
        <is>
          <t>F122 D66 V. 9</t>
        </is>
      </c>
      <c r="C2374" t="inlineStr">
        <is>
          <t>0                      F  0122000D  66                                                      V. 9</t>
        </is>
      </c>
      <c r="D2374" t="inlineStr">
        <is>
          <t>Documents relative to the colonial history of the State of New York : procured in Holland, England, and France / by John Romeyn Brodhead. Edited by E. B. O'Callaghan. With a general introd. by the agent.</t>
        </is>
      </c>
      <c r="E2374" t="inlineStr">
        <is>
          <t>V. 9*</t>
        </is>
      </c>
      <c r="F2374" t="inlineStr">
        <is>
          <t>Yes</t>
        </is>
      </c>
      <c r="G2374" t="inlineStr">
        <is>
          <t>1</t>
        </is>
      </c>
      <c r="H2374" t="inlineStr">
        <is>
          <t>No</t>
        </is>
      </c>
      <c r="I2374" t="inlineStr">
        <is>
          <t>No</t>
        </is>
      </c>
      <c r="J2374" t="inlineStr">
        <is>
          <t>0</t>
        </is>
      </c>
      <c r="L2374" t="inlineStr">
        <is>
          <t>Albany : Weed, Parsons, Printers, 1853-87 [v. 1, 1856]</t>
        </is>
      </c>
      <c r="M2374" t="inlineStr">
        <is>
          <t>1969</t>
        </is>
      </c>
      <c r="O2374" t="inlineStr">
        <is>
          <t>eng</t>
        </is>
      </c>
      <c r="P2374" t="inlineStr">
        <is>
          <t>nyu</t>
        </is>
      </c>
      <c r="R2374" t="inlineStr">
        <is>
          <t xml:space="preserve">F  </t>
        </is>
      </c>
      <c r="S2374" t="n">
        <v>0</v>
      </c>
      <c r="T2374" t="n">
        <v>4</v>
      </c>
      <c r="V2374" t="inlineStr">
        <is>
          <t>2008-05-21</t>
        </is>
      </c>
      <c r="W2374" t="inlineStr">
        <is>
          <t>1994-04-14</t>
        </is>
      </c>
      <c r="X2374" t="inlineStr">
        <is>
          <t>1994-04-14</t>
        </is>
      </c>
      <c r="Y2374" t="n">
        <v>88</v>
      </c>
      <c r="Z2374" t="n">
        <v>83</v>
      </c>
      <c r="AA2374" t="n">
        <v>610</v>
      </c>
      <c r="AB2374" t="n">
        <v>2</v>
      </c>
      <c r="AC2374" t="n">
        <v>6</v>
      </c>
      <c r="AD2374" t="n">
        <v>2</v>
      </c>
      <c r="AE2374" t="n">
        <v>27</v>
      </c>
      <c r="AF2374" t="n">
        <v>0</v>
      </c>
      <c r="AG2374" t="n">
        <v>6</v>
      </c>
      <c r="AH2374" t="n">
        <v>0</v>
      </c>
      <c r="AI2374" t="n">
        <v>8</v>
      </c>
      <c r="AJ2374" t="n">
        <v>2</v>
      </c>
      <c r="AK2374" t="n">
        <v>13</v>
      </c>
      <c r="AL2374" t="n">
        <v>0</v>
      </c>
      <c r="AM2374" t="n">
        <v>3</v>
      </c>
      <c r="AN2374" t="n">
        <v>0</v>
      </c>
      <c r="AO2374" t="n">
        <v>4</v>
      </c>
      <c r="AP2374" t="inlineStr">
        <is>
          <t>No</t>
        </is>
      </c>
      <c r="AQ2374" t="inlineStr">
        <is>
          <t>Yes</t>
        </is>
      </c>
      <c r="AR2374">
        <f>HYPERLINK("http://catalog.hathitrust.org/Record/100713925","HathiTrust Record")</f>
        <v/>
      </c>
      <c r="AS2374">
        <f>HYPERLINK("https://creighton-primo.hosted.exlibrisgroup.com/primo-explore/search?tab=default_tab&amp;search_scope=EVERYTHING&amp;vid=01CRU&amp;lang=en_US&amp;offset=0&amp;query=any,contains,991000547229702656","Catalog Record")</f>
        <v/>
      </c>
      <c r="AT2374">
        <f>HYPERLINK("http://www.worldcat.org/oclc/91727","WorldCat Record")</f>
        <v/>
      </c>
      <c r="AU2374" t="inlineStr">
        <is>
          <t>1852538167:eng</t>
        </is>
      </c>
      <c r="AV2374" t="inlineStr">
        <is>
          <t>91727</t>
        </is>
      </c>
      <c r="AW2374" t="inlineStr">
        <is>
          <t>991000547229702656</t>
        </is>
      </c>
      <c r="AX2374" t="inlineStr">
        <is>
          <t>991000547229702656</t>
        </is>
      </c>
      <c r="AY2374" t="inlineStr">
        <is>
          <t>2264709690002656</t>
        </is>
      </c>
      <c r="AZ2374" t="inlineStr">
        <is>
          <t>BOOK</t>
        </is>
      </c>
      <c r="BC2374" t="inlineStr">
        <is>
          <t>32285001888576</t>
        </is>
      </c>
      <c r="BD2374" t="inlineStr">
        <is>
          <t>893595649</t>
        </is>
      </c>
    </row>
    <row r="2375">
      <c r="A2375" t="inlineStr">
        <is>
          <t>No</t>
        </is>
      </c>
      <c r="B2375" t="inlineStr">
        <is>
          <t>F128.47 .T96</t>
        </is>
      </c>
      <c r="C2375" t="inlineStr">
        <is>
          <t>0                      F  0128470T  96</t>
        </is>
      </c>
      <c r="D2375" t="inlineStr">
        <is>
          <t>"Boss" Tweed : the story of a grim generation / by Denis Tilden Lynch.</t>
        </is>
      </c>
      <c r="F2375" t="inlineStr">
        <is>
          <t>No</t>
        </is>
      </c>
      <c r="G2375" t="inlineStr">
        <is>
          <t>1</t>
        </is>
      </c>
      <c r="H2375" t="inlineStr">
        <is>
          <t>No</t>
        </is>
      </c>
      <c r="I2375" t="inlineStr">
        <is>
          <t>No</t>
        </is>
      </c>
      <c r="J2375" t="inlineStr">
        <is>
          <t>0</t>
        </is>
      </c>
      <c r="K2375" t="inlineStr">
        <is>
          <t>Lynch, Denis Tilden.</t>
        </is>
      </c>
      <c r="L2375" t="inlineStr">
        <is>
          <t>New York : Boni and Liveright, 1927.</t>
        </is>
      </c>
      <c r="M2375" t="inlineStr">
        <is>
          <t>1927</t>
        </is>
      </c>
      <c r="O2375" t="inlineStr">
        <is>
          <t>eng</t>
        </is>
      </c>
      <c r="P2375" t="inlineStr">
        <is>
          <t>nyu</t>
        </is>
      </c>
      <c r="R2375" t="inlineStr">
        <is>
          <t xml:space="preserve">F  </t>
        </is>
      </c>
      <c r="S2375" t="n">
        <v>0</v>
      </c>
      <c r="T2375" t="n">
        <v>0</v>
      </c>
      <c r="U2375" t="inlineStr">
        <is>
          <t>2006-08-30</t>
        </is>
      </c>
      <c r="V2375" t="inlineStr">
        <is>
          <t>2006-08-30</t>
        </is>
      </c>
      <c r="W2375" t="inlineStr">
        <is>
          <t>1994-04-25</t>
        </is>
      </c>
      <c r="X2375" t="inlineStr">
        <is>
          <t>1994-04-25</t>
        </is>
      </c>
      <c r="Y2375" t="n">
        <v>662</v>
      </c>
      <c r="Z2375" t="n">
        <v>618</v>
      </c>
      <c r="AA2375" t="n">
        <v>858</v>
      </c>
      <c r="AB2375" t="n">
        <v>5</v>
      </c>
      <c r="AC2375" t="n">
        <v>6</v>
      </c>
      <c r="AD2375" t="n">
        <v>30</v>
      </c>
      <c r="AE2375" t="n">
        <v>40</v>
      </c>
      <c r="AF2375" t="n">
        <v>10</v>
      </c>
      <c r="AG2375" t="n">
        <v>16</v>
      </c>
      <c r="AH2375" t="n">
        <v>6</v>
      </c>
      <c r="AI2375" t="n">
        <v>6</v>
      </c>
      <c r="AJ2375" t="n">
        <v>17</v>
      </c>
      <c r="AK2375" t="n">
        <v>24</v>
      </c>
      <c r="AL2375" t="n">
        <v>4</v>
      </c>
      <c r="AM2375" t="n">
        <v>5</v>
      </c>
      <c r="AN2375" t="n">
        <v>1</v>
      </c>
      <c r="AO2375" t="n">
        <v>1</v>
      </c>
      <c r="AP2375" t="inlineStr">
        <is>
          <t>No</t>
        </is>
      </c>
      <c r="AQ2375" t="inlineStr">
        <is>
          <t>Yes</t>
        </is>
      </c>
      <c r="AR2375">
        <f>HYPERLINK("http://catalog.hathitrust.org/Record/001873900","HathiTrust Record")</f>
        <v/>
      </c>
      <c r="AS2375">
        <f>HYPERLINK("https://creighton-primo.hosted.exlibrisgroup.com/primo-explore/search?tab=default_tab&amp;search_scope=EVERYTHING&amp;vid=01CRU&amp;lang=en_US&amp;offset=0&amp;query=any,contains,991003841609702656","Catalog Record")</f>
        <v/>
      </c>
      <c r="AT2375">
        <f>HYPERLINK("http://www.worldcat.org/oclc/1618917","WorldCat Record")</f>
        <v/>
      </c>
      <c r="AU2375" t="inlineStr">
        <is>
          <t>476713:eng</t>
        </is>
      </c>
      <c r="AV2375" t="inlineStr">
        <is>
          <t>1618917</t>
        </is>
      </c>
      <c r="AW2375" t="inlineStr">
        <is>
          <t>991003841609702656</t>
        </is>
      </c>
      <c r="AX2375" t="inlineStr">
        <is>
          <t>991003841609702656</t>
        </is>
      </c>
      <c r="AY2375" t="inlineStr">
        <is>
          <t>2264296720002656</t>
        </is>
      </c>
      <c r="AZ2375" t="inlineStr">
        <is>
          <t>BOOK</t>
        </is>
      </c>
      <c r="BC2375" t="inlineStr">
        <is>
          <t>32285001891588</t>
        </is>
      </c>
      <c r="BD2375" t="inlineStr">
        <is>
          <t>893343083</t>
        </is>
      </c>
    </row>
    <row r="2376">
      <c r="A2376" t="inlineStr">
        <is>
          <t>No</t>
        </is>
      </c>
      <c r="B2376" t="inlineStr">
        <is>
          <t>F1414.2 .C38 1993</t>
        </is>
      </c>
      <c r="C2376" t="inlineStr">
        <is>
          <t>0                      F  1414200C  38          1993</t>
        </is>
      </c>
      <c r="D2376" t="inlineStr">
        <is>
          <t>Utopia unarmed : the Latin American left after the Cold War / Jorge G. Castañeda.</t>
        </is>
      </c>
      <c r="F2376" t="inlineStr">
        <is>
          <t>No</t>
        </is>
      </c>
      <c r="G2376" t="inlineStr">
        <is>
          <t>1</t>
        </is>
      </c>
      <c r="H2376" t="inlineStr">
        <is>
          <t>No</t>
        </is>
      </c>
      <c r="I2376" t="inlineStr">
        <is>
          <t>No</t>
        </is>
      </c>
      <c r="J2376" t="inlineStr">
        <is>
          <t>0</t>
        </is>
      </c>
      <c r="K2376" t="inlineStr">
        <is>
          <t>Castañeda, Jorge G., 1953-</t>
        </is>
      </c>
      <c r="L2376" t="inlineStr">
        <is>
          <t>New York : Knopf : Distributed by Random House, c1993.</t>
        </is>
      </c>
      <c r="M2376" t="inlineStr">
        <is>
          <t>1993</t>
        </is>
      </c>
      <c r="N2376" t="inlineStr">
        <is>
          <t>1st ed.</t>
        </is>
      </c>
      <c r="O2376" t="inlineStr">
        <is>
          <t>eng</t>
        </is>
      </c>
      <c r="P2376" t="inlineStr">
        <is>
          <t>nyu</t>
        </is>
      </c>
      <c r="R2376" t="inlineStr">
        <is>
          <t xml:space="preserve">F  </t>
        </is>
      </c>
      <c r="S2376" t="n">
        <v>0</v>
      </c>
      <c r="T2376" t="n">
        <v>0</v>
      </c>
      <c r="U2376" t="inlineStr">
        <is>
          <t>2002-10-09</t>
        </is>
      </c>
      <c r="V2376" t="inlineStr">
        <is>
          <t>2002-10-09</t>
        </is>
      </c>
      <c r="W2376" t="inlineStr">
        <is>
          <t>1994-01-21</t>
        </is>
      </c>
      <c r="X2376" t="inlineStr">
        <is>
          <t>1994-01-21</t>
        </is>
      </c>
      <c r="Y2376" t="n">
        <v>739</v>
      </c>
      <c r="Z2376" t="n">
        <v>638</v>
      </c>
      <c r="AA2376" t="n">
        <v>809</v>
      </c>
      <c r="AB2376" t="n">
        <v>3</v>
      </c>
      <c r="AC2376" t="n">
        <v>3</v>
      </c>
      <c r="AD2376" t="n">
        <v>28</v>
      </c>
      <c r="AE2376" t="n">
        <v>38</v>
      </c>
      <c r="AF2376" t="n">
        <v>10</v>
      </c>
      <c r="AG2376" t="n">
        <v>17</v>
      </c>
      <c r="AH2376" t="n">
        <v>10</v>
      </c>
      <c r="AI2376" t="n">
        <v>11</v>
      </c>
      <c r="AJ2376" t="n">
        <v>15</v>
      </c>
      <c r="AK2376" t="n">
        <v>18</v>
      </c>
      <c r="AL2376" t="n">
        <v>2</v>
      </c>
      <c r="AM2376" t="n">
        <v>2</v>
      </c>
      <c r="AN2376" t="n">
        <v>0</v>
      </c>
      <c r="AO2376" t="n">
        <v>0</v>
      </c>
      <c r="AP2376" t="inlineStr">
        <is>
          <t>No</t>
        </is>
      </c>
      <c r="AQ2376" t="inlineStr">
        <is>
          <t>Yes</t>
        </is>
      </c>
      <c r="AR2376">
        <f>HYPERLINK("http://catalog.hathitrust.org/Record/002726220","HathiTrust Record")</f>
        <v/>
      </c>
      <c r="AS2376">
        <f>HYPERLINK("https://creighton-primo.hosted.exlibrisgroup.com/primo-explore/search?tab=default_tab&amp;search_scope=EVERYTHING&amp;vid=01CRU&amp;lang=en_US&amp;offset=0&amp;query=any,contains,991002107779702656","Catalog Record")</f>
        <v/>
      </c>
      <c r="AT2376">
        <f>HYPERLINK("http://www.worldcat.org/oclc/27034299","WorldCat Record")</f>
        <v/>
      </c>
      <c r="AU2376" t="inlineStr">
        <is>
          <t>335902:eng</t>
        </is>
      </c>
      <c r="AV2376" t="inlineStr">
        <is>
          <t>27034299</t>
        </is>
      </c>
      <c r="AW2376" t="inlineStr">
        <is>
          <t>991002107779702656</t>
        </is>
      </c>
      <c r="AX2376" t="inlineStr">
        <is>
          <t>991002107779702656</t>
        </is>
      </c>
      <c r="AY2376" t="inlineStr">
        <is>
          <t>2267244410002656</t>
        </is>
      </c>
      <c r="AZ2376" t="inlineStr">
        <is>
          <t>BOOK</t>
        </is>
      </c>
      <c r="BB2376" t="inlineStr">
        <is>
          <t>9780394582597</t>
        </is>
      </c>
      <c r="BC2376" t="inlineStr">
        <is>
          <t>32285001833028</t>
        </is>
      </c>
      <c r="BD2376" t="inlineStr">
        <is>
          <t>893609474</t>
        </is>
      </c>
    </row>
    <row r="2377">
      <c r="A2377" t="inlineStr">
        <is>
          <t>No</t>
        </is>
      </c>
      <c r="B2377" t="inlineStr">
        <is>
          <t>F1439.5 .M36 1985</t>
        </is>
      </c>
      <c r="C2377" t="inlineStr">
        <is>
          <t>0                      F  1439500M  36          1985</t>
        </is>
      </c>
      <c r="D2377" t="inlineStr">
        <is>
          <t>So far from God : a journey to Central America / Patrick Marnham.</t>
        </is>
      </c>
      <c r="F2377" t="inlineStr">
        <is>
          <t>No</t>
        </is>
      </c>
      <c r="G2377" t="inlineStr">
        <is>
          <t>1</t>
        </is>
      </c>
      <c r="H2377" t="inlineStr">
        <is>
          <t>No</t>
        </is>
      </c>
      <c r="I2377" t="inlineStr">
        <is>
          <t>No</t>
        </is>
      </c>
      <c r="J2377" t="inlineStr">
        <is>
          <t>0</t>
        </is>
      </c>
      <c r="K2377" t="inlineStr">
        <is>
          <t>Marnham, Patrick.</t>
        </is>
      </c>
      <c r="L2377" t="inlineStr">
        <is>
          <t>New York, N.Y. : Viking, 1985.</t>
        </is>
      </c>
      <c r="M2377" t="inlineStr">
        <is>
          <t>1985</t>
        </is>
      </c>
      <c r="N2377" t="inlineStr">
        <is>
          <t>1st American ed.</t>
        </is>
      </c>
      <c r="O2377" t="inlineStr">
        <is>
          <t>eng</t>
        </is>
      </c>
      <c r="P2377" t="inlineStr">
        <is>
          <t>nyu</t>
        </is>
      </c>
      <c r="R2377" t="inlineStr">
        <is>
          <t xml:space="preserve">F  </t>
        </is>
      </c>
      <c r="S2377" t="n">
        <v>0</v>
      </c>
      <c r="T2377" t="n">
        <v>0</v>
      </c>
      <c r="U2377" t="inlineStr">
        <is>
          <t>2005-06-16</t>
        </is>
      </c>
      <c r="V2377" t="inlineStr">
        <is>
          <t>2005-06-16</t>
        </is>
      </c>
      <c r="W2377" t="inlineStr">
        <is>
          <t>1991-11-22</t>
        </is>
      </c>
      <c r="X2377" t="inlineStr">
        <is>
          <t>1991-11-22</t>
        </is>
      </c>
      <c r="Y2377" t="n">
        <v>561</v>
      </c>
      <c r="Z2377" t="n">
        <v>548</v>
      </c>
      <c r="AA2377" t="n">
        <v>683</v>
      </c>
      <c r="AB2377" t="n">
        <v>1</v>
      </c>
      <c r="AC2377" t="n">
        <v>3</v>
      </c>
      <c r="AD2377" t="n">
        <v>13</v>
      </c>
      <c r="AE2377" t="n">
        <v>20</v>
      </c>
      <c r="AF2377" t="n">
        <v>6</v>
      </c>
      <c r="AG2377" t="n">
        <v>9</v>
      </c>
      <c r="AH2377" t="n">
        <v>3</v>
      </c>
      <c r="AI2377" t="n">
        <v>5</v>
      </c>
      <c r="AJ2377" t="n">
        <v>10</v>
      </c>
      <c r="AK2377" t="n">
        <v>12</v>
      </c>
      <c r="AL2377" t="n">
        <v>0</v>
      </c>
      <c r="AM2377" t="n">
        <v>1</v>
      </c>
      <c r="AN2377" t="n">
        <v>0</v>
      </c>
      <c r="AO2377" t="n">
        <v>0</v>
      </c>
      <c r="AP2377" t="inlineStr">
        <is>
          <t>No</t>
        </is>
      </c>
      <c r="AQ2377" t="inlineStr">
        <is>
          <t>Yes</t>
        </is>
      </c>
      <c r="AR2377">
        <f>HYPERLINK("http://catalog.hathitrust.org/Record/004391673","HathiTrust Record")</f>
        <v/>
      </c>
      <c r="AS2377">
        <f>HYPERLINK("https://creighton-primo.hosted.exlibrisgroup.com/primo-explore/search?tab=default_tab&amp;search_scope=EVERYTHING&amp;vid=01CRU&amp;lang=en_US&amp;offset=0&amp;query=any,contains,991000646049702656","Catalog Record")</f>
        <v/>
      </c>
      <c r="AT2377">
        <f>HYPERLINK("http://www.worldcat.org/oclc/12133527","WorldCat Record")</f>
        <v/>
      </c>
      <c r="AU2377" t="inlineStr">
        <is>
          <t>4991864:eng</t>
        </is>
      </c>
      <c r="AV2377" t="inlineStr">
        <is>
          <t>12133527</t>
        </is>
      </c>
      <c r="AW2377" t="inlineStr">
        <is>
          <t>991000646049702656</t>
        </is>
      </c>
      <c r="AX2377" t="inlineStr">
        <is>
          <t>991000646049702656</t>
        </is>
      </c>
      <c r="AY2377" t="inlineStr">
        <is>
          <t>2263081910002656</t>
        </is>
      </c>
      <c r="AZ2377" t="inlineStr">
        <is>
          <t>BOOK</t>
        </is>
      </c>
      <c r="BB2377" t="inlineStr">
        <is>
          <t>9780670804498</t>
        </is>
      </c>
      <c r="BC2377" t="inlineStr">
        <is>
          <t>32285000827104</t>
        </is>
      </c>
      <c r="BD2377" t="inlineStr">
        <is>
          <t>893243442</t>
        </is>
      </c>
    </row>
    <row r="2378">
      <c r="A2378" t="inlineStr">
        <is>
          <t>No</t>
        </is>
      </c>
      <c r="B2378" t="inlineStr">
        <is>
          <t>F229 F551</t>
        </is>
      </c>
      <c r="C2378" t="inlineStr">
        <is>
          <t>0                      F  0229000F  551</t>
        </is>
      </c>
      <c r="D2378" t="inlineStr">
        <is>
          <t>Old Virginia and her neighbours / by John Fiske.</t>
        </is>
      </c>
      <c r="E2378" t="inlineStr">
        <is>
          <t>V.1</t>
        </is>
      </c>
      <c r="F2378" t="inlineStr">
        <is>
          <t>Yes</t>
        </is>
      </c>
      <c r="G2378" t="inlineStr">
        <is>
          <t>1</t>
        </is>
      </c>
      <c r="H2378" t="inlineStr">
        <is>
          <t>No</t>
        </is>
      </c>
      <c r="I2378" t="inlineStr">
        <is>
          <t>No</t>
        </is>
      </c>
      <c r="J2378" t="inlineStr">
        <is>
          <t>0</t>
        </is>
      </c>
      <c r="K2378" t="inlineStr">
        <is>
          <t>Fiske, John, 1842-1901.</t>
        </is>
      </c>
      <c r="L2378" t="inlineStr">
        <is>
          <t>Boston ; New York : Houghton, Mifflin and Company, 1897.</t>
        </is>
      </c>
      <c r="M2378" t="inlineStr">
        <is>
          <t>1897</t>
        </is>
      </c>
      <c r="N2378" t="inlineStr">
        <is>
          <t>[7th thousand]</t>
        </is>
      </c>
      <c r="O2378" t="inlineStr">
        <is>
          <t>eng</t>
        </is>
      </c>
      <c r="P2378" t="inlineStr">
        <is>
          <t>mau</t>
        </is>
      </c>
      <c r="R2378" t="inlineStr">
        <is>
          <t xml:space="preserve">F  </t>
        </is>
      </c>
      <c r="S2378" t="n">
        <v>0</v>
      </c>
      <c r="T2378" t="n">
        <v>1</v>
      </c>
      <c r="V2378" t="inlineStr">
        <is>
          <t>2006-02-05</t>
        </is>
      </c>
      <c r="W2378" t="inlineStr">
        <is>
          <t>1994-05-10</t>
        </is>
      </c>
      <c r="X2378" t="inlineStr">
        <is>
          <t>1994-05-10</t>
        </is>
      </c>
      <c r="Y2378" t="n">
        <v>589</v>
      </c>
      <c r="Z2378" t="n">
        <v>577</v>
      </c>
      <c r="AA2378" t="n">
        <v>1212</v>
      </c>
      <c r="AB2378" t="n">
        <v>7</v>
      </c>
      <c r="AC2378" t="n">
        <v>10</v>
      </c>
      <c r="AD2378" t="n">
        <v>19</v>
      </c>
      <c r="AE2378" t="n">
        <v>47</v>
      </c>
      <c r="AF2378" t="n">
        <v>7</v>
      </c>
      <c r="AG2378" t="n">
        <v>21</v>
      </c>
      <c r="AH2378" t="n">
        <v>3</v>
      </c>
      <c r="AI2378" t="n">
        <v>10</v>
      </c>
      <c r="AJ2378" t="n">
        <v>9</v>
      </c>
      <c r="AK2378" t="n">
        <v>21</v>
      </c>
      <c r="AL2378" t="n">
        <v>5</v>
      </c>
      <c r="AM2378" t="n">
        <v>8</v>
      </c>
      <c r="AN2378" t="n">
        <v>0</v>
      </c>
      <c r="AO2378" t="n">
        <v>0</v>
      </c>
      <c r="AP2378" t="inlineStr">
        <is>
          <t>Yes</t>
        </is>
      </c>
      <c r="AQ2378" t="inlineStr">
        <is>
          <t>No</t>
        </is>
      </c>
      <c r="AR2378">
        <f>HYPERLINK("http://catalog.hathitrust.org/Record/007687373","HathiTrust Record")</f>
        <v/>
      </c>
      <c r="AS2378">
        <f>HYPERLINK("https://creighton-primo.hosted.exlibrisgroup.com/primo-explore/search?tab=default_tab&amp;search_scope=EVERYTHING&amp;vid=01CRU&amp;lang=en_US&amp;offset=0&amp;query=any,contains,991003550259702656","Catalog Record")</f>
        <v/>
      </c>
      <c r="AT2378">
        <f>HYPERLINK("http://www.worldcat.org/oclc/1118933","WorldCat Record")</f>
        <v/>
      </c>
      <c r="AU2378" t="inlineStr">
        <is>
          <t>2016376:eng</t>
        </is>
      </c>
      <c r="AV2378" t="inlineStr">
        <is>
          <t>1118933</t>
        </is>
      </c>
      <c r="AW2378" t="inlineStr">
        <is>
          <t>991003550259702656</t>
        </is>
      </c>
      <c r="AX2378" t="inlineStr">
        <is>
          <t>991003550259702656</t>
        </is>
      </c>
      <c r="AY2378" t="inlineStr">
        <is>
          <t>2255547050002656</t>
        </is>
      </c>
      <c r="AZ2378" t="inlineStr">
        <is>
          <t>BOOK</t>
        </is>
      </c>
      <c r="BC2378" t="inlineStr">
        <is>
          <t>32285001908911</t>
        </is>
      </c>
      <c r="BD2378" t="inlineStr">
        <is>
          <t>893699109</t>
        </is>
      </c>
    </row>
    <row r="2379">
      <c r="A2379" t="inlineStr">
        <is>
          <t>No</t>
        </is>
      </c>
      <c r="B2379" t="inlineStr">
        <is>
          <t>F25 .R5</t>
        </is>
      </c>
      <c r="C2379" t="inlineStr">
        <is>
          <t>0                      F  0025000R  5</t>
        </is>
      </c>
      <c r="D2379" t="inlineStr">
        <is>
          <t>We took to the woods / [by] Louise Dickinson Rich ; twenty-one photographs.</t>
        </is>
      </c>
      <c r="F2379" t="inlineStr">
        <is>
          <t>No</t>
        </is>
      </c>
      <c r="G2379" t="inlineStr">
        <is>
          <t>1</t>
        </is>
      </c>
      <c r="H2379" t="inlineStr">
        <is>
          <t>No</t>
        </is>
      </c>
      <c r="I2379" t="inlineStr">
        <is>
          <t>No</t>
        </is>
      </c>
      <c r="J2379" t="inlineStr">
        <is>
          <t>0</t>
        </is>
      </c>
      <c r="K2379" t="inlineStr">
        <is>
          <t>Rich, Louise Dickinson, 1903-1991.</t>
        </is>
      </c>
      <c r="L2379" t="inlineStr">
        <is>
          <t>Philadelphia ; New York : J. B. Lippincott company, [1942]</t>
        </is>
      </c>
      <c r="M2379" t="inlineStr">
        <is>
          <t>1942</t>
        </is>
      </c>
      <c r="O2379" t="inlineStr">
        <is>
          <t>eng</t>
        </is>
      </c>
      <c r="P2379" t="inlineStr">
        <is>
          <t>pau</t>
        </is>
      </c>
      <c r="R2379" t="inlineStr">
        <is>
          <t xml:space="preserve">F  </t>
        </is>
      </c>
      <c r="S2379" t="n">
        <v>0</v>
      </c>
      <c r="T2379" t="n">
        <v>0</v>
      </c>
      <c r="U2379" t="inlineStr">
        <is>
          <t>2010-07-23</t>
        </is>
      </c>
      <c r="V2379" t="inlineStr">
        <is>
          <t>2010-07-23</t>
        </is>
      </c>
      <c r="W2379" t="inlineStr">
        <is>
          <t>1994-04-12</t>
        </is>
      </c>
      <c r="X2379" t="inlineStr">
        <is>
          <t>1994-04-12</t>
        </is>
      </c>
      <c r="Y2379" t="n">
        <v>1083</v>
      </c>
      <c r="Z2379" t="n">
        <v>1043</v>
      </c>
      <c r="AA2379" t="n">
        <v>1199</v>
      </c>
      <c r="AB2379" t="n">
        <v>13</v>
      </c>
      <c r="AC2379" t="n">
        <v>14</v>
      </c>
      <c r="AD2379" t="n">
        <v>31</v>
      </c>
      <c r="AE2379" t="n">
        <v>32</v>
      </c>
      <c r="AF2379" t="n">
        <v>11</v>
      </c>
      <c r="AG2379" t="n">
        <v>11</v>
      </c>
      <c r="AH2379" t="n">
        <v>9</v>
      </c>
      <c r="AI2379" t="n">
        <v>9</v>
      </c>
      <c r="AJ2379" t="n">
        <v>12</v>
      </c>
      <c r="AK2379" t="n">
        <v>12</v>
      </c>
      <c r="AL2379" t="n">
        <v>7</v>
      </c>
      <c r="AM2379" t="n">
        <v>8</v>
      </c>
      <c r="AN2379" t="n">
        <v>0</v>
      </c>
      <c r="AO2379" t="n">
        <v>0</v>
      </c>
      <c r="AP2379" t="inlineStr">
        <is>
          <t>No</t>
        </is>
      </c>
      <c r="AQ2379" t="inlineStr">
        <is>
          <t>No</t>
        </is>
      </c>
      <c r="AR2379">
        <f>HYPERLINK("http://catalog.hathitrust.org/Record/001261772","HathiTrust Record")</f>
        <v/>
      </c>
      <c r="AS2379">
        <f>HYPERLINK("https://creighton-primo.hosted.exlibrisgroup.com/primo-explore/search?tab=default_tab&amp;search_scope=EVERYTHING&amp;vid=01CRU&amp;lang=en_US&amp;offset=0&amp;query=any,contains,991002700139702656","Catalog Record")</f>
        <v/>
      </c>
      <c r="AT2379">
        <f>HYPERLINK("http://www.worldcat.org/oclc/405243","WorldCat Record")</f>
        <v/>
      </c>
      <c r="AU2379" t="inlineStr">
        <is>
          <t>104417862:eng</t>
        </is>
      </c>
      <c r="AV2379" t="inlineStr">
        <is>
          <t>405243</t>
        </is>
      </c>
      <c r="AW2379" t="inlineStr">
        <is>
          <t>991002700139702656</t>
        </is>
      </c>
      <c r="AX2379" t="inlineStr">
        <is>
          <t>991002700139702656</t>
        </is>
      </c>
      <c r="AY2379" t="inlineStr">
        <is>
          <t>2260570070002656</t>
        </is>
      </c>
      <c r="AZ2379" t="inlineStr">
        <is>
          <t>BOOK</t>
        </is>
      </c>
      <c r="BC2379" t="inlineStr">
        <is>
          <t>32285001886810</t>
        </is>
      </c>
      <c r="BD2379" t="inlineStr">
        <is>
          <t>893498442</t>
        </is>
      </c>
    </row>
    <row r="2380">
      <c r="A2380" t="inlineStr">
        <is>
          <t>No</t>
        </is>
      </c>
      <c r="B2380" t="inlineStr">
        <is>
          <t>F3169 .E3713</t>
        </is>
      </c>
      <c r="C2380" t="inlineStr">
        <is>
          <t>0                      F  3169000E  3713</t>
        </is>
      </c>
      <c r="D2380" t="inlineStr">
        <is>
          <t>Island at the center of the world; new light on Easter Island. Translated and edited by William Mulloy. Photos. by George Holton.</t>
        </is>
      </c>
      <c r="F2380" t="inlineStr">
        <is>
          <t>No</t>
        </is>
      </c>
      <c r="G2380" t="inlineStr">
        <is>
          <t>1</t>
        </is>
      </c>
      <c r="H2380" t="inlineStr">
        <is>
          <t>No</t>
        </is>
      </c>
      <c r="I2380" t="inlineStr">
        <is>
          <t>No</t>
        </is>
      </c>
      <c r="J2380" t="inlineStr">
        <is>
          <t>0</t>
        </is>
      </c>
      <c r="K2380" t="inlineStr">
        <is>
          <t>Englert, Sebastián.</t>
        </is>
      </c>
      <c r="L2380" t="inlineStr">
        <is>
          <t>New York, Scribner [1970]</t>
        </is>
      </c>
      <c r="M2380" t="inlineStr">
        <is>
          <t>1970</t>
        </is>
      </c>
      <c r="O2380" t="inlineStr">
        <is>
          <t>eng</t>
        </is>
      </c>
      <c r="P2380" t="inlineStr">
        <is>
          <t>nyu</t>
        </is>
      </c>
      <c r="R2380" t="inlineStr">
        <is>
          <t xml:space="preserve">F  </t>
        </is>
      </c>
      <c r="S2380" t="n">
        <v>0</v>
      </c>
      <c r="T2380" t="n">
        <v>0</v>
      </c>
      <c r="U2380" t="inlineStr">
        <is>
          <t>2004-05-06</t>
        </is>
      </c>
      <c r="V2380" t="inlineStr">
        <is>
          <t>2004-05-06</t>
        </is>
      </c>
      <c r="W2380" t="inlineStr">
        <is>
          <t>1997-05-20</t>
        </is>
      </c>
      <c r="X2380" t="inlineStr">
        <is>
          <t>1997-05-20</t>
        </is>
      </c>
      <c r="Y2380" t="n">
        <v>1153</v>
      </c>
      <c r="Z2380" t="n">
        <v>1078</v>
      </c>
      <c r="AA2380" t="n">
        <v>1087</v>
      </c>
      <c r="AB2380" t="n">
        <v>8</v>
      </c>
      <c r="AC2380" t="n">
        <v>8</v>
      </c>
      <c r="AD2380" t="n">
        <v>32</v>
      </c>
      <c r="AE2380" t="n">
        <v>32</v>
      </c>
      <c r="AF2380" t="n">
        <v>15</v>
      </c>
      <c r="AG2380" t="n">
        <v>15</v>
      </c>
      <c r="AH2380" t="n">
        <v>5</v>
      </c>
      <c r="AI2380" t="n">
        <v>5</v>
      </c>
      <c r="AJ2380" t="n">
        <v>12</v>
      </c>
      <c r="AK2380" t="n">
        <v>12</v>
      </c>
      <c r="AL2380" t="n">
        <v>6</v>
      </c>
      <c r="AM2380" t="n">
        <v>6</v>
      </c>
      <c r="AN2380" t="n">
        <v>0</v>
      </c>
      <c r="AO2380" t="n">
        <v>0</v>
      </c>
      <c r="AP2380" t="inlineStr">
        <is>
          <t>No</t>
        </is>
      </c>
      <c r="AQ2380" t="inlineStr">
        <is>
          <t>Yes</t>
        </is>
      </c>
      <c r="AR2380">
        <f>HYPERLINK("http://catalog.hathitrust.org/Record/001269673","HathiTrust Record")</f>
        <v/>
      </c>
      <c r="AS2380">
        <f>HYPERLINK("https://creighton-primo.hosted.exlibrisgroup.com/primo-explore/search?tab=default_tab&amp;search_scope=EVERYTHING&amp;vid=01CRU&amp;lang=en_US&amp;offset=0&amp;query=any,contains,991000521129702656","Catalog Record")</f>
        <v/>
      </c>
      <c r="AT2380">
        <f>HYPERLINK("http://www.worldcat.org/oclc/87935","WorldCat Record")</f>
        <v/>
      </c>
      <c r="AU2380" t="inlineStr">
        <is>
          <t>3856463852:eng</t>
        </is>
      </c>
      <c r="AV2380" t="inlineStr">
        <is>
          <t>87935</t>
        </is>
      </c>
      <c r="AW2380" t="inlineStr">
        <is>
          <t>991000521129702656</t>
        </is>
      </c>
      <c r="AX2380" t="inlineStr">
        <is>
          <t>991000521129702656</t>
        </is>
      </c>
      <c r="AY2380" t="inlineStr">
        <is>
          <t>2270867580002656</t>
        </is>
      </c>
      <c r="AZ2380" t="inlineStr">
        <is>
          <t>BOOK</t>
        </is>
      </c>
      <c r="BC2380" t="inlineStr">
        <is>
          <t>32285002687332</t>
        </is>
      </c>
      <c r="BD2380" t="inlineStr">
        <is>
          <t>893315011</t>
        </is>
      </c>
    </row>
    <row r="2381">
      <c r="A2381" t="inlineStr">
        <is>
          <t>No</t>
        </is>
      </c>
      <c r="B2381" t="inlineStr">
        <is>
          <t>F34 .M67</t>
        </is>
      </c>
      <c r="C2381" t="inlineStr">
        <is>
          <t>0                      F  0034000M  67</t>
        </is>
      </c>
      <c r="D2381" t="inlineStr">
        <is>
          <t>New Hampshire : a Bicentennial history / Elizabeth Forbes Morison, Elting E. Morison.</t>
        </is>
      </c>
      <c r="F2381" t="inlineStr">
        <is>
          <t>No</t>
        </is>
      </c>
      <c r="G2381" t="inlineStr">
        <is>
          <t>1</t>
        </is>
      </c>
      <c r="H2381" t="inlineStr">
        <is>
          <t>No</t>
        </is>
      </c>
      <c r="I2381" t="inlineStr">
        <is>
          <t>No</t>
        </is>
      </c>
      <c r="J2381" t="inlineStr">
        <is>
          <t>0</t>
        </is>
      </c>
      <c r="K2381" t="inlineStr">
        <is>
          <t>Morison, Elizabeth Forbes.</t>
        </is>
      </c>
      <c r="L2381" t="inlineStr">
        <is>
          <t>New York : Norton, c1976.</t>
        </is>
      </c>
      <c r="M2381" t="inlineStr">
        <is>
          <t>1976</t>
        </is>
      </c>
      <c r="O2381" t="inlineStr">
        <is>
          <t>eng</t>
        </is>
      </c>
      <c r="P2381" t="inlineStr">
        <is>
          <t>nyu</t>
        </is>
      </c>
      <c r="Q2381" t="inlineStr">
        <is>
          <t>The States and the Nation series</t>
        </is>
      </c>
      <c r="R2381" t="inlineStr">
        <is>
          <t xml:space="preserve">F  </t>
        </is>
      </c>
      <c r="S2381" t="n">
        <v>1</v>
      </c>
      <c r="T2381" t="n">
        <v>1</v>
      </c>
      <c r="U2381" t="inlineStr">
        <is>
          <t>2001-05-31</t>
        </is>
      </c>
      <c r="V2381" t="inlineStr">
        <is>
          <t>2001-05-31</t>
        </is>
      </c>
      <c r="W2381" t="inlineStr">
        <is>
          <t>1994-04-12</t>
        </is>
      </c>
      <c r="X2381" t="inlineStr">
        <is>
          <t>1994-04-12</t>
        </is>
      </c>
      <c r="Y2381" t="n">
        <v>985</v>
      </c>
      <c r="Z2381" t="n">
        <v>933</v>
      </c>
      <c r="AA2381" t="n">
        <v>943</v>
      </c>
      <c r="AB2381" t="n">
        <v>6</v>
      </c>
      <c r="AC2381" t="n">
        <v>6</v>
      </c>
      <c r="AD2381" t="n">
        <v>19</v>
      </c>
      <c r="AE2381" t="n">
        <v>19</v>
      </c>
      <c r="AF2381" t="n">
        <v>11</v>
      </c>
      <c r="AG2381" t="n">
        <v>11</v>
      </c>
      <c r="AH2381" t="n">
        <v>3</v>
      </c>
      <c r="AI2381" t="n">
        <v>3</v>
      </c>
      <c r="AJ2381" t="n">
        <v>9</v>
      </c>
      <c r="AK2381" t="n">
        <v>9</v>
      </c>
      <c r="AL2381" t="n">
        <v>2</v>
      </c>
      <c r="AM2381" t="n">
        <v>2</v>
      </c>
      <c r="AN2381" t="n">
        <v>0</v>
      </c>
      <c r="AO2381" t="n">
        <v>0</v>
      </c>
      <c r="AP2381" t="inlineStr">
        <is>
          <t>No</t>
        </is>
      </c>
      <c r="AQ2381" t="inlineStr">
        <is>
          <t>No</t>
        </is>
      </c>
      <c r="AS2381">
        <f>HYPERLINK("https://creighton-primo.hosted.exlibrisgroup.com/primo-explore/search?tab=default_tab&amp;search_scope=EVERYTHING&amp;vid=01CRU&amp;lang=en_US&amp;offset=0&amp;query=any,contains,991004000639702656","Catalog Record")</f>
        <v/>
      </c>
      <c r="AT2381">
        <f>HYPERLINK("http://www.worldcat.org/oclc/2072890","WorldCat Record")</f>
        <v/>
      </c>
      <c r="AU2381" t="inlineStr">
        <is>
          <t>907267605:eng</t>
        </is>
      </c>
      <c r="AV2381" t="inlineStr">
        <is>
          <t>2072890</t>
        </is>
      </c>
      <c r="AW2381" t="inlineStr">
        <is>
          <t>991004000639702656</t>
        </is>
      </c>
      <c r="AX2381" t="inlineStr">
        <is>
          <t>991004000639702656</t>
        </is>
      </c>
      <c r="AY2381" t="inlineStr">
        <is>
          <t>2254735650002656</t>
        </is>
      </c>
      <c r="AZ2381" t="inlineStr">
        <is>
          <t>BOOK</t>
        </is>
      </c>
      <c r="BB2381" t="inlineStr">
        <is>
          <t>9780393055832</t>
        </is>
      </c>
      <c r="BC2381" t="inlineStr">
        <is>
          <t>32285001886851</t>
        </is>
      </c>
      <c r="BD2381" t="inlineStr">
        <is>
          <t>893324813</t>
        </is>
      </c>
    </row>
    <row r="2382">
      <c r="A2382" t="inlineStr">
        <is>
          <t>No</t>
        </is>
      </c>
      <c r="B2382" t="inlineStr">
        <is>
          <t>F44.C7 C35 1991</t>
        </is>
      </c>
      <c r="C2382" t="inlineStr">
        <is>
          <t>0                      F  0044000C  7                  C  35          1991</t>
        </is>
      </c>
      <c r="D2382" t="inlineStr">
        <is>
          <t>Black ice / Lorene Cary.</t>
        </is>
      </c>
      <c r="F2382" t="inlineStr">
        <is>
          <t>No</t>
        </is>
      </c>
      <c r="G2382" t="inlineStr">
        <is>
          <t>1</t>
        </is>
      </c>
      <c r="H2382" t="inlineStr">
        <is>
          <t>No</t>
        </is>
      </c>
      <c r="I2382" t="inlineStr">
        <is>
          <t>No</t>
        </is>
      </c>
      <c r="J2382" t="inlineStr">
        <is>
          <t>0</t>
        </is>
      </c>
      <c r="K2382" t="inlineStr">
        <is>
          <t>Cary, Lorene.</t>
        </is>
      </c>
      <c r="L2382" t="inlineStr">
        <is>
          <t>New York : Knopf : Distributed by Random House, 1991.</t>
        </is>
      </c>
      <c r="M2382" t="inlineStr">
        <is>
          <t>1991</t>
        </is>
      </c>
      <c r="N2382" t="inlineStr">
        <is>
          <t>1st ed.</t>
        </is>
      </c>
      <c r="O2382" t="inlineStr">
        <is>
          <t>eng</t>
        </is>
      </c>
      <c r="P2382" t="inlineStr">
        <is>
          <t>nyu</t>
        </is>
      </c>
      <c r="R2382" t="inlineStr">
        <is>
          <t xml:space="preserve">F  </t>
        </is>
      </c>
      <c r="S2382" t="n">
        <v>1</v>
      </c>
      <c r="T2382" t="n">
        <v>1</v>
      </c>
      <c r="U2382" t="inlineStr">
        <is>
          <t>1993-05-27</t>
        </is>
      </c>
      <c r="V2382" t="inlineStr">
        <is>
          <t>1993-05-27</t>
        </is>
      </c>
      <c r="W2382" t="inlineStr">
        <is>
          <t>1992-05-15</t>
        </is>
      </c>
      <c r="X2382" t="inlineStr">
        <is>
          <t>1992-05-15</t>
        </is>
      </c>
      <c r="Y2382" t="n">
        <v>1124</v>
      </c>
      <c r="Z2382" t="n">
        <v>1089</v>
      </c>
      <c r="AA2382" t="n">
        <v>1526</v>
      </c>
      <c r="AB2382" t="n">
        <v>9</v>
      </c>
      <c r="AC2382" t="n">
        <v>11</v>
      </c>
      <c r="AD2382" t="n">
        <v>30</v>
      </c>
      <c r="AE2382" t="n">
        <v>40</v>
      </c>
      <c r="AF2382" t="n">
        <v>9</v>
      </c>
      <c r="AG2382" t="n">
        <v>14</v>
      </c>
      <c r="AH2382" t="n">
        <v>7</v>
      </c>
      <c r="AI2382" t="n">
        <v>9</v>
      </c>
      <c r="AJ2382" t="n">
        <v>17</v>
      </c>
      <c r="AK2382" t="n">
        <v>21</v>
      </c>
      <c r="AL2382" t="n">
        <v>5</v>
      </c>
      <c r="AM2382" t="n">
        <v>6</v>
      </c>
      <c r="AN2382" t="n">
        <v>0</v>
      </c>
      <c r="AO2382" t="n">
        <v>0</v>
      </c>
      <c r="AP2382" t="inlineStr">
        <is>
          <t>No</t>
        </is>
      </c>
      <c r="AQ2382" t="inlineStr">
        <is>
          <t>Yes</t>
        </is>
      </c>
      <c r="AR2382">
        <f>HYPERLINK("http://catalog.hathitrust.org/Record/002443196","HathiTrust Record")</f>
        <v/>
      </c>
      <c r="AS2382">
        <f>HYPERLINK("https://creighton-primo.hosted.exlibrisgroup.com/primo-explore/search?tab=default_tab&amp;search_scope=EVERYTHING&amp;vid=01CRU&amp;lang=en_US&amp;offset=0&amp;query=any,contains,991001716679702656","Catalog Record")</f>
        <v/>
      </c>
      <c r="AT2382">
        <f>HYPERLINK("http://www.worldcat.org/oclc/21678672","WorldCat Record")</f>
        <v/>
      </c>
      <c r="AU2382" t="inlineStr">
        <is>
          <t>23328324:eng</t>
        </is>
      </c>
      <c r="AV2382" t="inlineStr">
        <is>
          <t>21678672</t>
        </is>
      </c>
      <c r="AW2382" t="inlineStr">
        <is>
          <t>991001716679702656</t>
        </is>
      </c>
      <c r="AX2382" t="inlineStr">
        <is>
          <t>991001716679702656</t>
        </is>
      </c>
      <c r="AY2382" t="inlineStr">
        <is>
          <t>2261114740002656</t>
        </is>
      </c>
      <c r="AZ2382" t="inlineStr">
        <is>
          <t>BOOK</t>
        </is>
      </c>
      <c r="BB2382" t="inlineStr">
        <is>
          <t>9780394574653</t>
        </is>
      </c>
      <c r="BC2382" t="inlineStr">
        <is>
          <t>32285001115772</t>
        </is>
      </c>
      <c r="BD2382" t="inlineStr">
        <is>
          <t>893340638</t>
        </is>
      </c>
    </row>
    <row r="2383">
      <c r="A2383" t="inlineStr">
        <is>
          <t>No</t>
        </is>
      </c>
      <c r="B2383" t="inlineStr">
        <is>
          <t>F49 .M67 1981</t>
        </is>
      </c>
      <c r="C2383" t="inlineStr">
        <is>
          <t>0                      F  0049000M  67          1981</t>
        </is>
      </c>
      <c r="D2383" t="inlineStr">
        <is>
          <t>Vermont, a Bicentennial history / Charles T. Morrissey.</t>
        </is>
      </c>
      <c r="F2383" t="inlineStr">
        <is>
          <t>No</t>
        </is>
      </c>
      <c r="G2383" t="inlineStr">
        <is>
          <t>1</t>
        </is>
      </c>
      <c r="H2383" t="inlineStr">
        <is>
          <t>No</t>
        </is>
      </c>
      <c r="I2383" t="inlineStr">
        <is>
          <t>No</t>
        </is>
      </c>
      <c r="J2383" t="inlineStr">
        <is>
          <t>0</t>
        </is>
      </c>
      <c r="K2383" t="inlineStr">
        <is>
          <t>Morrissey, Charles T.</t>
        </is>
      </c>
      <c r="L2383" t="inlineStr">
        <is>
          <t>New York : Norton ; Nashville : American Association for State and Local History, c1981.</t>
        </is>
      </c>
      <c r="M2383" t="inlineStr">
        <is>
          <t>1981</t>
        </is>
      </c>
      <c r="N2383" t="inlineStr">
        <is>
          <t>1st ed.</t>
        </is>
      </c>
      <c r="O2383" t="inlineStr">
        <is>
          <t>eng</t>
        </is>
      </c>
      <c r="P2383" t="inlineStr">
        <is>
          <t>nyu</t>
        </is>
      </c>
      <c r="Q2383" t="inlineStr">
        <is>
          <t>The States and the Nation series</t>
        </is>
      </c>
      <c r="R2383" t="inlineStr">
        <is>
          <t xml:space="preserve">F  </t>
        </is>
      </c>
      <c r="S2383" t="n">
        <v>1</v>
      </c>
      <c r="T2383" t="n">
        <v>1</v>
      </c>
      <c r="U2383" t="inlineStr">
        <is>
          <t>1993-03-29</t>
        </is>
      </c>
      <c r="V2383" t="inlineStr">
        <is>
          <t>1993-03-29</t>
        </is>
      </c>
      <c r="W2383" t="inlineStr">
        <is>
          <t>1991-07-15</t>
        </is>
      </c>
      <c r="X2383" t="inlineStr">
        <is>
          <t>1991-07-15</t>
        </is>
      </c>
      <c r="Y2383" t="n">
        <v>917</v>
      </c>
      <c r="Z2383" t="n">
        <v>871</v>
      </c>
      <c r="AA2383" t="n">
        <v>888</v>
      </c>
      <c r="AB2383" t="n">
        <v>10</v>
      </c>
      <c r="AC2383" t="n">
        <v>10</v>
      </c>
      <c r="AD2383" t="n">
        <v>20</v>
      </c>
      <c r="AE2383" t="n">
        <v>22</v>
      </c>
      <c r="AF2383" t="n">
        <v>9</v>
      </c>
      <c r="AG2383" t="n">
        <v>10</v>
      </c>
      <c r="AH2383" t="n">
        <v>3</v>
      </c>
      <c r="AI2383" t="n">
        <v>4</v>
      </c>
      <c r="AJ2383" t="n">
        <v>7</v>
      </c>
      <c r="AK2383" t="n">
        <v>7</v>
      </c>
      <c r="AL2383" t="n">
        <v>5</v>
      </c>
      <c r="AM2383" t="n">
        <v>5</v>
      </c>
      <c r="AN2383" t="n">
        <v>0</v>
      </c>
      <c r="AO2383" t="n">
        <v>0</v>
      </c>
      <c r="AP2383" t="inlineStr">
        <is>
          <t>No</t>
        </is>
      </c>
      <c r="AQ2383" t="inlineStr">
        <is>
          <t>Yes</t>
        </is>
      </c>
      <c r="AR2383">
        <f>HYPERLINK("http://catalog.hathitrust.org/Record/000099918","HathiTrust Record")</f>
        <v/>
      </c>
      <c r="AS2383">
        <f>HYPERLINK("https://creighton-primo.hosted.exlibrisgroup.com/primo-explore/search?tab=default_tab&amp;search_scope=EVERYTHING&amp;vid=01CRU&amp;lang=en_US&amp;offset=0&amp;query=any,contains,991005027119702656","Catalog Record")</f>
        <v/>
      </c>
      <c r="AT2383">
        <f>HYPERLINK("http://www.worldcat.org/oclc/6707096","WorldCat Record")</f>
        <v/>
      </c>
      <c r="AU2383" t="inlineStr">
        <is>
          <t>23654723:eng</t>
        </is>
      </c>
      <c r="AV2383" t="inlineStr">
        <is>
          <t>6707096</t>
        </is>
      </c>
      <c r="AW2383" t="inlineStr">
        <is>
          <t>991005027119702656</t>
        </is>
      </c>
      <c r="AX2383" t="inlineStr">
        <is>
          <t>991005027119702656</t>
        </is>
      </c>
      <c r="AY2383" t="inlineStr">
        <is>
          <t>2258105680002656</t>
        </is>
      </c>
      <c r="AZ2383" t="inlineStr">
        <is>
          <t>BOOK</t>
        </is>
      </c>
      <c r="BC2383" t="inlineStr">
        <is>
          <t>32285000673516</t>
        </is>
      </c>
      <c r="BD2383" t="inlineStr">
        <is>
          <t>893513924</t>
        </is>
      </c>
    </row>
    <row r="2384">
      <c r="A2384" t="inlineStr">
        <is>
          <t>No</t>
        </is>
      </c>
      <c r="B2384" t="inlineStr">
        <is>
          <t>F5 .C37 2002</t>
        </is>
      </c>
      <c r="C2384" t="inlineStr">
        <is>
          <t>0                      F  0005000C  37          2002</t>
        </is>
      </c>
      <c r="D2384" t="inlineStr">
        <is>
          <t>New England days / photographs by Paul Caponigro ; introduction by Paul Caponigro ; foreword by Aprile Gallant.</t>
        </is>
      </c>
      <c r="F2384" t="inlineStr">
        <is>
          <t>No</t>
        </is>
      </c>
      <c r="G2384" t="inlineStr">
        <is>
          <t>1</t>
        </is>
      </c>
      <c r="H2384" t="inlineStr">
        <is>
          <t>No</t>
        </is>
      </c>
      <c r="I2384" t="inlineStr">
        <is>
          <t>No</t>
        </is>
      </c>
      <c r="J2384" t="inlineStr">
        <is>
          <t>0</t>
        </is>
      </c>
      <c r="K2384" t="inlineStr">
        <is>
          <t>Caponigro, Paul, 1932-</t>
        </is>
      </c>
      <c r="L2384" t="inlineStr">
        <is>
          <t>Boston : David R. Godine Publisher, in association with the Portland Museum of Art, 2002.</t>
        </is>
      </c>
      <c r="M2384" t="inlineStr">
        <is>
          <t>2002</t>
        </is>
      </c>
      <c r="N2384" t="inlineStr">
        <is>
          <t>1st ed.</t>
        </is>
      </c>
      <c r="O2384" t="inlineStr">
        <is>
          <t>eng</t>
        </is>
      </c>
      <c r="P2384" t="inlineStr">
        <is>
          <t>mau</t>
        </is>
      </c>
      <c r="Q2384" t="inlineStr">
        <is>
          <t>An imago mundi book</t>
        </is>
      </c>
      <c r="R2384" t="inlineStr">
        <is>
          <t xml:space="preserve">F  </t>
        </is>
      </c>
      <c r="S2384" t="n">
        <v>1</v>
      </c>
      <c r="T2384" t="n">
        <v>1</v>
      </c>
      <c r="U2384" t="inlineStr">
        <is>
          <t>2003-01-08</t>
        </is>
      </c>
      <c r="V2384" t="inlineStr">
        <is>
          <t>2003-01-08</t>
        </is>
      </c>
      <c r="W2384" t="inlineStr">
        <is>
          <t>2003-01-08</t>
        </is>
      </c>
      <c r="X2384" t="inlineStr">
        <is>
          <t>2003-01-08</t>
        </is>
      </c>
      <c r="Y2384" t="n">
        <v>171</v>
      </c>
      <c r="Z2384" t="n">
        <v>164</v>
      </c>
      <c r="AA2384" t="n">
        <v>164</v>
      </c>
      <c r="AB2384" t="n">
        <v>1</v>
      </c>
      <c r="AC2384" t="n">
        <v>1</v>
      </c>
      <c r="AD2384" t="n">
        <v>2</v>
      </c>
      <c r="AE2384" t="n">
        <v>2</v>
      </c>
      <c r="AF2384" t="n">
        <v>1</v>
      </c>
      <c r="AG2384" t="n">
        <v>1</v>
      </c>
      <c r="AH2384" t="n">
        <v>0</v>
      </c>
      <c r="AI2384" t="n">
        <v>0</v>
      </c>
      <c r="AJ2384" t="n">
        <v>1</v>
      </c>
      <c r="AK2384" t="n">
        <v>1</v>
      </c>
      <c r="AL2384" t="n">
        <v>0</v>
      </c>
      <c r="AM2384" t="n">
        <v>0</v>
      </c>
      <c r="AN2384" t="n">
        <v>0</v>
      </c>
      <c r="AO2384" t="n">
        <v>0</v>
      </c>
      <c r="AP2384" t="inlineStr">
        <is>
          <t>No</t>
        </is>
      </c>
      <c r="AQ2384" t="inlineStr">
        <is>
          <t>No</t>
        </is>
      </c>
      <c r="AS2384">
        <f>HYPERLINK("https://creighton-primo.hosted.exlibrisgroup.com/primo-explore/search?tab=default_tab&amp;search_scope=EVERYTHING&amp;vid=01CRU&amp;lang=en_US&amp;offset=0&amp;query=any,contains,991003957919702656","Catalog Record")</f>
        <v/>
      </c>
      <c r="AT2384">
        <f>HYPERLINK("http://www.worldcat.org/oclc/49719169","WorldCat Record")</f>
        <v/>
      </c>
      <c r="AU2384" t="inlineStr">
        <is>
          <t>39252811:eng</t>
        </is>
      </c>
      <c r="AV2384" t="inlineStr">
        <is>
          <t>49719169</t>
        </is>
      </c>
      <c r="AW2384" t="inlineStr">
        <is>
          <t>991003957919702656</t>
        </is>
      </c>
      <c r="AX2384" t="inlineStr">
        <is>
          <t>991003957919702656</t>
        </is>
      </c>
      <c r="AY2384" t="inlineStr">
        <is>
          <t>2271726300002656</t>
        </is>
      </c>
      <c r="AZ2384" t="inlineStr">
        <is>
          <t>BOOK</t>
        </is>
      </c>
      <c r="BB2384" t="inlineStr">
        <is>
          <t>9780916857288</t>
        </is>
      </c>
      <c r="BC2384" t="inlineStr">
        <is>
          <t>32285004691738</t>
        </is>
      </c>
      <c r="BD2384" t="inlineStr">
        <is>
          <t>893806473</t>
        </is>
      </c>
    </row>
    <row r="2385">
      <c r="A2385" t="inlineStr">
        <is>
          <t>No</t>
        </is>
      </c>
      <c r="B2385" t="inlineStr">
        <is>
          <t>F64 .B86</t>
        </is>
      </c>
      <c r="C2385" t="inlineStr">
        <is>
          <t>0                      F  0064000B  86</t>
        </is>
      </c>
      <c r="D2385" t="inlineStr">
        <is>
          <t>Massachusetts : a Bicentennial history / Richard D. Brown. --</t>
        </is>
      </c>
      <c r="F2385" t="inlineStr">
        <is>
          <t>No</t>
        </is>
      </c>
      <c r="G2385" t="inlineStr">
        <is>
          <t>1</t>
        </is>
      </c>
      <c r="H2385" t="inlineStr">
        <is>
          <t>No</t>
        </is>
      </c>
      <c r="I2385" t="inlineStr">
        <is>
          <t>No</t>
        </is>
      </c>
      <c r="J2385" t="inlineStr">
        <is>
          <t>0</t>
        </is>
      </c>
      <c r="K2385" t="inlineStr">
        <is>
          <t>Brown, Richard D.</t>
        </is>
      </c>
      <c r="L2385" t="inlineStr">
        <is>
          <t>New York : Norton, c1978.</t>
        </is>
      </c>
      <c r="M2385" t="inlineStr">
        <is>
          <t>1978</t>
        </is>
      </c>
      <c r="O2385" t="inlineStr">
        <is>
          <t>eng</t>
        </is>
      </c>
      <c r="P2385" t="inlineStr">
        <is>
          <t>nyu</t>
        </is>
      </c>
      <c r="Q2385" t="inlineStr">
        <is>
          <t>The States and the Nation series</t>
        </is>
      </c>
      <c r="R2385" t="inlineStr">
        <is>
          <t xml:space="preserve">F  </t>
        </is>
      </c>
      <c r="S2385" t="n">
        <v>7</v>
      </c>
      <c r="T2385" t="n">
        <v>7</v>
      </c>
      <c r="U2385" t="inlineStr">
        <is>
          <t>2008-02-07</t>
        </is>
      </c>
      <c r="V2385" t="inlineStr">
        <is>
          <t>2008-02-07</t>
        </is>
      </c>
      <c r="W2385" t="inlineStr">
        <is>
          <t>1991-07-15</t>
        </is>
      </c>
      <c r="X2385" t="inlineStr">
        <is>
          <t>1991-07-15</t>
        </is>
      </c>
      <c r="Y2385" t="n">
        <v>1031</v>
      </c>
      <c r="Z2385" t="n">
        <v>958</v>
      </c>
      <c r="AA2385" t="n">
        <v>963</v>
      </c>
      <c r="AB2385" t="n">
        <v>6</v>
      </c>
      <c r="AC2385" t="n">
        <v>6</v>
      </c>
      <c r="AD2385" t="n">
        <v>25</v>
      </c>
      <c r="AE2385" t="n">
        <v>25</v>
      </c>
      <c r="AF2385" t="n">
        <v>13</v>
      </c>
      <c r="AG2385" t="n">
        <v>13</v>
      </c>
      <c r="AH2385" t="n">
        <v>6</v>
      </c>
      <c r="AI2385" t="n">
        <v>6</v>
      </c>
      <c r="AJ2385" t="n">
        <v>10</v>
      </c>
      <c r="AK2385" t="n">
        <v>10</v>
      </c>
      <c r="AL2385" t="n">
        <v>3</v>
      </c>
      <c r="AM2385" t="n">
        <v>3</v>
      </c>
      <c r="AN2385" t="n">
        <v>0</v>
      </c>
      <c r="AO2385" t="n">
        <v>0</v>
      </c>
      <c r="AP2385" t="inlineStr">
        <is>
          <t>No</t>
        </is>
      </c>
      <c r="AQ2385" t="inlineStr">
        <is>
          <t>No</t>
        </is>
      </c>
      <c r="AS2385">
        <f>HYPERLINK("https://creighton-primo.hosted.exlibrisgroup.com/primo-explore/search?tab=default_tab&amp;search_scope=EVERYTHING&amp;vid=01CRU&amp;lang=en_US&amp;offset=0&amp;query=any,contains,991004555779702656","Catalog Record")</f>
        <v/>
      </c>
      <c r="AT2385">
        <f>HYPERLINK("http://www.worldcat.org/oclc/3966162","WorldCat Record")</f>
        <v/>
      </c>
      <c r="AU2385" t="inlineStr">
        <is>
          <t>796107933:eng</t>
        </is>
      </c>
      <c r="AV2385" t="inlineStr">
        <is>
          <t>3966162</t>
        </is>
      </c>
      <c r="AW2385" t="inlineStr">
        <is>
          <t>991004555779702656</t>
        </is>
      </c>
      <c r="AX2385" t="inlineStr">
        <is>
          <t>991004555779702656</t>
        </is>
      </c>
      <c r="AY2385" t="inlineStr">
        <is>
          <t>2263868500002656</t>
        </is>
      </c>
      <c r="AZ2385" t="inlineStr">
        <is>
          <t>BOOK</t>
        </is>
      </c>
      <c r="BB2385" t="inlineStr">
        <is>
          <t>9780393056662</t>
        </is>
      </c>
      <c r="BC2385" t="inlineStr">
        <is>
          <t>32285000673540</t>
        </is>
      </c>
      <c r="BD2385" t="inlineStr">
        <is>
          <t>893350153</t>
        </is>
      </c>
    </row>
    <row r="2386">
      <c r="A2386" t="inlineStr">
        <is>
          <t>No</t>
        </is>
      </c>
      <c r="B2386" t="inlineStr">
        <is>
          <t>F67 .B83</t>
        </is>
      </c>
      <c r="C2386" t="inlineStr">
        <is>
          <t>0                      F  0067000B  83</t>
        </is>
      </c>
      <c r="D2386" t="inlineStr">
        <is>
          <t>Puritans and adventurers : change and persistence in early America / T. H. Breen.</t>
        </is>
      </c>
      <c r="F2386" t="inlineStr">
        <is>
          <t>No</t>
        </is>
      </c>
      <c r="G2386" t="inlineStr">
        <is>
          <t>1</t>
        </is>
      </c>
      <c r="H2386" t="inlineStr">
        <is>
          <t>No</t>
        </is>
      </c>
      <c r="I2386" t="inlineStr">
        <is>
          <t>No</t>
        </is>
      </c>
      <c r="J2386" t="inlineStr">
        <is>
          <t>0</t>
        </is>
      </c>
      <c r="K2386" t="inlineStr">
        <is>
          <t>Breen, T. H.</t>
        </is>
      </c>
      <c r="L2386" t="inlineStr">
        <is>
          <t>New York : Oxford University Press, 1980.</t>
        </is>
      </c>
      <c r="M2386" t="inlineStr">
        <is>
          <t>1980</t>
        </is>
      </c>
      <c r="O2386" t="inlineStr">
        <is>
          <t>eng</t>
        </is>
      </c>
      <c r="P2386" t="inlineStr">
        <is>
          <t>nyu</t>
        </is>
      </c>
      <c r="R2386" t="inlineStr">
        <is>
          <t xml:space="preserve">F  </t>
        </is>
      </c>
      <c r="S2386" t="n">
        <v>1</v>
      </c>
      <c r="T2386" t="n">
        <v>1</v>
      </c>
      <c r="U2386" t="inlineStr">
        <is>
          <t>2001-09-28</t>
        </is>
      </c>
      <c r="V2386" t="inlineStr">
        <is>
          <t>2001-09-28</t>
        </is>
      </c>
      <c r="W2386" t="inlineStr">
        <is>
          <t>1991-07-15</t>
        </is>
      </c>
      <c r="X2386" t="inlineStr">
        <is>
          <t>1991-07-15</t>
        </is>
      </c>
      <c r="Y2386" t="n">
        <v>1107</v>
      </c>
      <c r="Z2386" t="n">
        <v>955</v>
      </c>
      <c r="AA2386" t="n">
        <v>962</v>
      </c>
      <c r="AB2386" t="n">
        <v>4</v>
      </c>
      <c r="AC2386" t="n">
        <v>4</v>
      </c>
      <c r="AD2386" t="n">
        <v>32</v>
      </c>
      <c r="AE2386" t="n">
        <v>32</v>
      </c>
      <c r="AF2386" t="n">
        <v>12</v>
      </c>
      <c r="AG2386" t="n">
        <v>12</v>
      </c>
      <c r="AH2386" t="n">
        <v>8</v>
      </c>
      <c r="AI2386" t="n">
        <v>8</v>
      </c>
      <c r="AJ2386" t="n">
        <v>18</v>
      </c>
      <c r="AK2386" t="n">
        <v>18</v>
      </c>
      <c r="AL2386" t="n">
        <v>3</v>
      </c>
      <c r="AM2386" t="n">
        <v>3</v>
      </c>
      <c r="AN2386" t="n">
        <v>0</v>
      </c>
      <c r="AO2386" t="n">
        <v>0</v>
      </c>
      <c r="AP2386" t="inlineStr">
        <is>
          <t>No</t>
        </is>
      </c>
      <c r="AQ2386" t="inlineStr">
        <is>
          <t>No</t>
        </is>
      </c>
      <c r="AS2386">
        <f>HYPERLINK("https://creighton-primo.hosted.exlibrisgroup.com/primo-explore/search?tab=default_tab&amp;search_scope=EVERYTHING&amp;vid=01CRU&amp;lang=en_US&amp;offset=0&amp;query=any,contains,991004935759702656","Catalog Record")</f>
        <v/>
      </c>
      <c r="AT2386">
        <f>HYPERLINK("http://www.worldcat.org/oclc/6142870","WorldCat Record")</f>
        <v/>
      </c>
      <c r="AU2386" t="inlineStr">
        <is>
          <t>313542448:eng</t>
        </is>
      </c>
      <c r="AV2386" t="inlineStr">
        <is>
          <t>6142870</t>
        </is>
      </c>
      <c r="AW2386" t="inlineStr">
        <is>
          <t>991004935759702656</t>
        </is>
      </c>
      <c r="AX2386" t="inlineStr">
        <is>
          <t>991004935759702656</t>
        </is>
      </c>
      <c r="AY2386" t="inlineStr">
        <is>
          <t>2261568540002656</t>
        </is>
      </c>
      <c r="AZ2386" t="inlineStr">
        <is>
          <t>BOOK</t>
        </is>
      </c>
      <c r="BB2386" t="inlineStr">
        <is>
          <t>9780195027280</t>
        </is>
      </c>
      <c r="BC2386" t="inlineStr">
        <is>
          <t>32285000673557</t>
        </is>
      </c>
      <c r="BD2386" t="inlineStr">
        <is>
          <t>893876721</t>
        </is>
      </c>
    </row>
    <row r="2387">
      <c r="A2387" t="inlineStr">
        <is>
          <t>No</t>
        </is>
      </c>
      <c r="B2387" t="inlineStr">
        <is>
          <t>F67 .H932</t>
        </is>
      </c>
      <c r="C2387" t="inlineStr">
        <is>
          <t>0                      F  0067000H  932</t>
        </is>
      </c>
      <c r="D2387" t="inlineStr">
        <is>
          <t>Unafraid : a life of Anne Hutchinson / by Winnifred King Rugg.</t>
        </is>
      </c>
      <c r="F2387" t="inlineStr">
        <is>
          <t>No</t>
        </is>
      </c>
      <c r="G2387" t="inlineStr">
        <is>
          <t>1</t>
        </is>
      </c>
      <c r="H2387" t="inlineStr">
        <is>
          <t>No</t>
        </is>
      </c>
      <c r="I2387" t="inlineStr">
        <is>
          <t>No</t>
        </is>
      </c>
      <c r="J2387" t="inlineStr">
        <is>
          <t>0</t>
        </is>
      </c>
      <c r="K2387" t="inlineStr">
        <is>
          <t>Rugg, Winnifred King.</t>
        </is>
      </c>
      <c r="L2387" t="inlineStr">
        <is>
          <t>Boston ; New York : Houghton Mifflin company, c1930.</t>
        </is>
      </c>
      <c r="M2387" t="inlineStr">
        <is>
          <t>1930</t>
        </is>
      </c>
      <c r="O2387" t="inlineStr">
        <is>
          <t>eng</t>
        </is>
      </c>
      <c r="P2387" t="inlineStr">
        <is>
          <t>mau</t>
        </is>
      </c>
      <c r="R2387" t="inlineStr">
        <is>
          <t xml:space="preserve">F  </t>
        </is>
      </c>
      <c r="S2387" t="n">
        <v>6</v>
      </c>
      <c r="T2387" t="n">
        <v>6</v>
      </c>
      <c r="U2387" t="inlineStr">
        <is>
          <t>2002-10-23</t>
        </is>
      </c>
      <c r="V2387" t="inlineStr">
        <is>
          <t>2002-10-23</t>
        </is>
      </c>
      <c r="W2387" t="inlineStr">
        <is>
          <t>1994-04-12</t>
        </is>
      </c>
      <c r="X2387" t="inlineStr">
        <is>
          <t>1994-04-12</t>
        </is>
      </c>
      <c r="Y2387" t="n">
        <v>420</v>
      </c>
      <c r="Z2387" t="n">
        <v>399</v>
      </c>
      <c r="AA2387" t="n">
        <v>523</v>
      </c>
      <c r="AB2387" t="n">
        <v>3</v>
      </c>
      <c r="AC2387" t="n">
        <v>5</v>
      </c>
      <c r="AD2387" t="n">
        <v>16</v>
      </c>
      <c r="AE2387" t="n">
        <v>20</v>
      </c>
      <c r="AF2387" t="n">
        <v>8</v>
      </c>
      <c r="AG2387" t="n">
        <v>10</v>
      </c>
      <c r="AH2387" t="n">
        <v>3</v>
      </c>
      <c r="AI2387" t="n">
        <v>3</v>
      </c>
      <c r="AJ2387" t="n">
        <v>8</v>
      </c>
      <c r="AK2387" t="n">
        <v>8</v>
      </c>
      <c r="AL2387" t="n">
        <v>2</v>
      </c>
      <c r="AM2387" t="n">
        <v>4</v>
      </c>
      <c r="AN2387" t="n">
        <v>0</v>
      </c>
      <c r="AO2387" t="n">
        <v>0</v>
      </c>
      <c r="AP2387" t="inlineStr">
        <is>
          <t>Yes</t>
        </is>
      </c>
      <c r="AQ2387" t="inlineStr">
        <is>
          <t>No</t>
        </is>
      </c>
      <c r="AR2387">
        <f>HYPERLINK("http://catalog.hathitrust.org/Record/001261890","HathiTrust Record")</f>
        <v/>
      </c>
      <c r="AS2387">
        <f>HYPERLINK("https://creighton-primo.hosted.exlibrisgroup.com/primo-explore/search?tab=default_tab&amp;search_scope=EVERYTHING&amp;vid=01CRU&amp;lang=en_US&amp;offset=0&amp;query=any,contains,991003202959702656","Catalog Record")</f>
        <v/>
      </c>
      <c r="AT2387">
        <f>HYPERLINK("http://www.worldcat.org/oclc/728001","WorldCat Record")</f>
        <v/>
      </c>
      <c r="AU2387" t="inlineStr">
        <is>
          <t>1245420:eng</t>
        </is>
      </c>
      <c r="AV2387" t="inlineStr">
        <is>
          <t>728001</t>
        </is>
      </c>
      <c r="AW2387" t="inlineStr">
        <is>
          <t>991003202959702656</t>
        </is>
      </c>
      <c r="AX2387" t="inlineStr">
        <is>
          <t>991003202959702656</t>
        </is>
      </c>
      <c r="AY2387" t="inlineStr">
        <is>
          <t>2262296120002656</t>
        </is>
      </c>
      <c r="AZ2387" t="inlineStr">
        <is>
          <t>BOOK</t>
        </is>
      </c>
      <c r="BB2387" t="inlineStr">
        <is>
          <t>9780836952957</t>
        </is>
      </c>
      <c r="BC2387" t="inlineStr">
        <is>
          <t>32285001887024</t>
        </is>
      </c>
      <c r="BD2387" t="inlineStr">
        <is>
          <t>893780705</t>
        </is>
      </c>
    </row>
    <row r="2388">
      <c r="A2388" t="inlineStr">
        <is>
          <t>No</t>
        </is>
      </c>
      <c r="B2388" t="inlineStr">
        <is>
          <t>F67 .H985</t>
        </is>
      </c>
      <c r="C2388" t="inlineStr">
        <is>
          <t>0                      F  0067000H  985</t>
        </is>
      </c>
      <c r="D2388" t="inlineStr">
        <is>
          <t>The history of the colony and province of Massachusetts-bay / by Thomas Hutchinson. Edited from the author's own copies of volumes I and II and his manuscript of volume III, with a memoir and additional notes, by Lawrence Shaw Mayo.</t>
        </is>
      </c>
      <c r="E2388" t="inlineStr">
        <is>
          <t>V. 2</t>
        </is>
      </c>
      <c r="F2388" t="inlineStr">
        <is>
          <t>Yes</t>
        </is>
      </c>
      <c r="G2388" t="inlineStr">
        <is>
          <t>1</t>
        </is>
      </c>
      <c r="H2388" t="inlineStr">
        <is>
          <t>No</t>
        </is>
      </c>
      <c r="I2388" t="inlineStr">
        <is>
          <t>No</t>
        </is>
      </c>
      <c r="J2388" t="inlineStr">
        <is>
          <t>0</t>
        </is>
      </c>
      <c r="K2388" t="inlineStr">
        <is>
          <t>Hutchinson, Thomas, 1711-1780.</t>
        </is>
      </c>
      <c r="L2388" t="inlineStr">
        <is>
          <t>Cambridge, Mass. : Harvard University Press, 1936.</t>
        </is>
      </c>
      <c r="M2388" t="inlineStr">
        <is>
          <t>1936</t>
        </is>
      </c>
      <c r="O2388" t="inlineStr">
        <is>
          <t>eng</t>
        </is>
      </c>
      <c r="P2388" t="inlineStr">
        <is>
          <t>mau</t>
        </is>
      </c>
      <c r="R2388" t="inlineStr">
        <is>
          <t xml:space="preserve">F  </t>
        </is>
      </c>
      <c r="S2388" t="n">
        <v>0</v>
      </c>
      <c r="T2388" t="n">
        <v>1</v>
      </c>
      <c r="U2388" t="inlineStr">
        <is>
          <t>2009-10-27</t>
        </is>
      </c>
      <c r="V2388" t="inlineStr">
        <is>
          <t>2009-10-27</t>
        </is>
      </c>
      <c r="W2388" t="inlineStr">
        <is>
          <t>1994-04-12</t>
        </is>
      </c>
      <c r="X2388" t="inlineStr">
        <is>
          <t>1994-04-12</t>
        </is>
      </c>
      <c r="Y2388" t="n">
        <v>487</v>
      </c>
      <c r="Z2388" t="n">
        <v>452</v>
      </c>
      <c r="AA2388" t="n">
        <v>461</v>
      </c>
      <c r="AB2388" t="n">
        <v>4</v>
      </c>
      <c r="AC2388" t="n">
        <v>4</v>
      </c>
      <c r="AD2388" t="n">
        <v>24</v>
      </c>
      <c r="AE2388" t="n">
        <v>24</v>
      </c>
      <c r="AF2388" t="n">
        <v>11</v>
      </c>
      <c r="AG2388" t="n">
        <v>11</v>
      </c>
      <c r="AH2388" t="n">
        <v>5</v>
      </c>
      <c r="AI2388" t="n">
        <v>5</v>
      </c>
      <c r="AJ2388" t="n">
        <v>8</v>
      </c>
      <c r="AK2388" t="n">
        <v>8</v>
      </c>
      <c r="AL2388" t="n">
        <v>3</v>
      </c>
      <c r="AM2388" t="n">
        <v>3</v>
      </c>
      <c r="AN2388" t="n">
        <v>1</v>
      </c>
      <c r="AO2388" t="n">
        <v>1</v>
      </c>
      <c r="AP2388" t="inlineStr">
        <is>
          <t>No</t>
        </is>
      </c>
      <c r="AQ2388" t="inlineStr">
        <is>
          <t>Yes</t>
        </is>
      </c>
      <c r="AR2388">
        <f>HYPERLINK("http://catalog.hathitrust.org/Record/001261895","HathiTrust Record")</f>
        <v/>
      </c>
      <c r="AS2388">
        <f>HYPERLINK("https://creighton-primo.hosted.exlibrisgroup.com/primo-explore/search?tab=default_tab&amp;search_scope=EVERYTHING&amp;vid=01CRU&amp;lang=en_US&amp;offset=0&amp;query=any,contains,991002820929702656","Catalog Record")</f>
        <v/>
      </c>
      <c r="AT2388">
        <f>HYPERLINK("http://www.worldcat.org/oclc/466568","WorldCat Record")</f>
        <v/>
      </c>
      <c r="AU2388" t="inlineStr">
        <is>
          <t>9381400034:eng</t>
        </is>
      </c>
      <c r="AV2388" t="inlineStr">
        <is>
          <t>466568</t>
        </is>
      </c>
      <c r="AW2388" t="inlineStr">
        <is>
          <t>991002820929702656</t>
        </is>
      </c>
      <c r="AX2388" t="inlineStr">
        <is>
          <t>991002820929702656</t>
        </is>
      </c>
      <c r="AY2388" t="inlineStr">
        <is>
          <t>2259889030002656</t>
        </is>
      </c>
      <c r="AZ2388" t="inlineStr">
        <is>
          <t>BOOK</t>
        </is>
      </c>
      <c r="BC2388" t="inlineStr">
        <is>
          <t>32285001887073</t>
        </is>
      </c>
      <c r="BD2388" t="inlineStr">
        <is>
          <t>893498581</t>
        </is>
      </c>
    </row>
    <row r="2389">
      <c r="A2389" t="inlineStr">
        <is>
          <t>No</t>
        </is>
      </c>
      <c r="B2389" t="inlineStr">
        <is>
          <t>F67 .H985</t>
        </is>
      </c>
      <c r="C2389" t="inlineStr">
        <is>
          <t>0                      F  0067000H  985</t>
        </is>
      </c>
      <c r="D2389" t="inlineStr">
        <is>
          <t>The history of the colony and province of Massachusetts-bay / by Thomas Hutchinson. Edited from the author's own copies of volumes I and II and his manuscript of volume III, with a memoir and additional notes, by Lawrence Shaw Mayo.</t>
        </is>
      </c>
      <c r="E2389" t="inlineStr">
        <is>
          <t>V. 3</t>
        </is>
      </c>
      <c r="F2389" t="inlineStr">
        <is>
          <t>Yes</t>
        </is>
      </c>
      <c r="G2389" t="inlineStr">
        <is>
          <t>1</t>
        </is>
      </c>
      <c r="H2389" t="inlineStr">
        <is>
          <t>No</t>
        </is>
      </c>
      <c r="I2389" t="inlineStr">
        <is>
          <t>No</t>
        </is>
      </c>
      <c r="J2389" t="inlineStr">
        <is>
          <t>0</t>
        </is>
      </c>
      <c r="K2389" t="inlineStr">
        <is>
          <t>Hutchinson, Thomas, 1711-1780.</t>
        </is>
      </c>
      <c r="L2389" t="inlineStr">
        <is>
          <t>Cambridge, Mass. : Harvard University Press, 1936.</t>
        </is>
      </c>
      <c r="M2389" t="inlineStr">
        <is>
          <t>1936</t>
        </is>
      </c>
      <c r="O2389" t="inlineStr">
        <is>
          <t>eng</t>
        </is>
      </c>
      <c r="P2389" t="inlineStr">
        <is>
          <t>mau</t>
        </is>
      </c>
      <c r="R2389" t="inlineStr">
        <is>
          <t xml:space="preserve">F  </t>
        </is>
      </c>
      <c r="S2389" t="n">
        <v>0</v>
      </c>
      <c r="T2389" t="n">
        <v>1</v>
      </c>
      <c r="V2389" t="inlineStr">
        <is>
          <t>2009-10-27</t>
        </is>
      </c>
      <c r="W2389" t="inlineStr">
        <is>
          <t>1994-04-12</t>
        </is>
      </c>
      <c r="X2389" t="inlineStr">
        <is>
          <t>1994-04-12</t>
        </is>
      </c>
      <c r="Y2389" t="n">
        <v>487</v>
      </c>
      <c r="Z2389" t="n">
        <v>452</v>
      </c>
      <c r="AA2389" t="n">
        <v>461</v>
      </c>
      <c r="AB2389" t="n">
        <v>4</v>
      </c>
      <c r="AC2389" t="n">
        <v>4</v>
      </c>
      <c r="AD2389" t="n">
        <v>24</v>
      </c>
      <c r="AE2389" t="n">
        <v>24</v>
      </c>
      <c r="AF2389" t="n">
        <v>11</v>
      </c>
      <c r="AG2389" t="n">
        <v>11</v>
      </c>
      <c r="AH2389" t="n">
        <v>5</v>
      </c>
      <c r="AI2389" t="n">
        <v>5</v>
      </c>
      <c r="AJ2389" t="n">
        <v>8</v>
      </c>
      <c r="AK2389" t="n">
        <v>8</v>
      </c>
      <c r="AL2389" t="n">
        <v>3</v>
      </c>
      <c r="AM2389" t="n">
        <v>3</v>
      </c>
      <c r="AN2389" t="n">
        <v>1</v>
      </c>
      <c r="AO2389" t="n">
        <v>1</v>
      </c>
      <c r="AP2389" t="inlineStr">
        <is>
          <t>No</t>
        </is>
      </c>
      <c r="AQ2389" t="inlineStr">
        <is>
          <t>Yes</t>
        </is>
      </c>
      <c r="AR2389">
        <f>HYPERLINK("http://catalog.hathitrust.org/Record/001261895","HathiTrust Record")</f>
        <v/>
      </c>
      <c r="AS2389">
        <f>HYPERLINK("https://creighton-primo.hosted.exlibrisgroup.com/primo-explore/search?tab=default_tab&amp;search_scope=EVERYTHING&amp;vid=01CRU&amp;lang=en_US&amp;offset=0&amp;query=any,contains,991002820929702656","Catalog Record")</f>
        <v/>
      </c>
      <c r="AT2389">
        <f>HYPERLINK("http://www.worldcat.org/oclc/466568","WorldCat Record")</f>
        <v/>
      </c>
      <c r="AU2389" t="inlineStr">
        <is>
          <t>9381400034:eng</t>
        </is>
      </c>
      <c r="AV2389" t="inlineStr">
        <is>
          <t>466568</t>
        </is>
      </c>
      <c r="AW2389" t="inlineStr">
        <is>
          <t>991002820929702656</t>
        </is>
      </c>
      <c r="AX2389" t="inlineStr">
        <is>
          <t>991002820929702656</t>
        </is>
      </c>
      <c r="AY2389" t="inlineStr">
        <is>
          <t>2259889030002656</t>
        </is>
      </c>
      <c r="AZ2389" t="inlineStr">
        <is>
          <t>BOOK</t>
        </is>
      </c>
      <c r="BC2389" t="inlineStr">
        <is>
          <t>32285001887065</t>
        </is>
      </c>
      <c r="BD2389" t="inlineStr">
        <is>
          <t>893511235</t>
        </is>
      </c>
    </row>
    <row r="2390">
      <c r="A2390" t="inlineStr">
        <is>
          <t>No</t>
        </is>
      </c>
      <c r="B2390" t="inlineStr">
        <is>
          <t>F67 .L34</t>
        </is>
      </c>
      <c r="C2390" t="inlineStr">
        <is>
          <t>0                      F  0067000L  34</t>
        </is>
      </c>
      <c r="D2390" t="inlineStr">
        <is>
          <t>Colonial Massachusetts : a history / Benjamin W. Labaree.</t>
        </is>
      </c>
      <c r="F2390" t="inlineStr">
        <is>
          <t>No</t>
        </is>
      </c>
      <c r="G2390" t="inlineStr">
        <is>
          <t>1</t>
        </is>
      </c>
      <c r="H2390" t="inlineStr">
        <is>
          <t>No</t>
        </is>
      </c>
      <c r="I2390" t="inlineStr">
        <is>
          <t>No</t>
        </is>
      </c>
      <c r="J2390" t="inlineStr">
        <is>
          <t>0</t>
        </is>
      </c>
      <c r="K2390" t="inlineStr">
        <is>
          <t>Labaree, Benjamin Woods.</t>
        </is>
      </c>
      <c r="L2390" t="inlineStr">
        <is>
          <t>Millwood, N.Y. : KTO Press, c1979.</t>
        </is>
      </c>
      <c r="M2390" t="inlineStr">
        <is>
          <t>1979</t>
        </is>
      </c>
      <c r="O2390" t="inlineStr">
        <is>
          <t>eng</t>
        </is>
      </c>
      <c r="P2390" t="inlineStr">
        <is>
          <t>nyu</t>
        </is>
      </c>
      <c r="Q2390" t="inlineStr">
        <is>
          <t>A history of the American Colonies</t>
        </is>
      </c>
      <c r="R2390" t="inlineStr">
        <is>
          <t xml:space="preserve">F  </t>
        </is>
      </c>
      <c r="S2390" t="n">
        <v>1</v>
      </c>
      <c r="T2390" t="n">
        <v>1</v>
      </c>
      <c r="U2390" t="inlineStr">
        <is>
          <t>2008-02-07</t>
        </is>
      </c>
      <c r="V2390" t="inlineStr">
        <is>
          <t>2008-02-07</t>
        </is>
      </c>
      <c r="W2390" t="inlineStr">
        <is>
          <t>1991-07-15</t>
        </is>
      </c>
      <c r="X2390" t="inlineStr">
        <is>
          <t>1991-07-15</t>
        </is>
      </c>
      <c r="Y2390" t="n">
        <v>1038</v>
      </c>
      <c r="Z2390" t="n">
        <v>930</v>
      </c>
      <c r="AA2390" t="n">
        <v>937</v>
      </c>
      <c r="AB2390" t="n">
        <v>2</v>
      </c>
      <c r="AC2390" t="n">
        <v>2</v>
      </c>
      <c r="AD2390" t="n">
        <v>37</v>
      </c>
      <c r="AE2390" t="n">
        <v>37</v>
      </c>
      <c r="AF2390" t="n">
        <v>17</v>
      </c>
      <c r="AG2390" t="n">
        <v>17</v>
      </c>
      <c r="AH2390" t="n">
        <v>10</v>
      </c>
      <c r="AI2390" t="n">
        <v>10</v>
      </c>
      <c r="AJ2390" t="n">
        <v>20</v>
      </c>
      <c r="AK2390" t="n">
        <v>20</v>
      </c>
      <c r="AL2390" t="n">
        <v>1</v>
      </c>
      <c r="AM2390" t="n">
        <v>1</v>
      </c>
      <c r="AN2390" t="n">
        <v>1</v>
      </c>
      <c r="AO2390" t="n">
        <v>1</v>
      </c>
      <c r="AP2390" t="inlineStr">
        <is>
          <t>No</t>
        </is>
      </c>
      <c r="AQ2390" t="inlineStr">
        <is>
          <t>Yes</t>
        </is>
      </c>
      <c r="AR2390">
        <f>HYPERLINK("http://catalog.hathitrust.org/Record/000259033","HathiTrust Record")</f>
        <v/>
      </c>
      <c r="AS2390">
        <f>HYPERLINK("https://creighton-primo.hosted.exlibrisgroup.com/primo-explore/search?tab=default_tab&amp;search_scope=EVERYTHING&amp;vid=01CRU&amp;lang=en_US&amp;offset=0&amp;query=any,contains,991004685459702656","Catalog Record")</f>
        <v/>
      </c>
      <c r="AT2390">
        <f>HYPERLINK("http://www.worldcat.org/oclc/4591648","WorldCat Record")</f>
        <v/>
      </c>
      <c r="AU2390" t="inlineStr">
        <is>
          <t>889391346:eng</t>
        </is>
      </c>
      <c r="AV2390" t="inlineStr">
        <is>
          <t>4591648</t>
        </is>
      </c>
      <c r="AW2390" t="inlineStr">
        <is>
          <t>991004685459702656</t>
        </is>
      </c>
      <c r="AX2390" t="inlineStr">
        <is>
          <t>991004685459702656</t>
        </is>
      </c>
      <c r="AY2390" t="inlineStr">
        <is>
          <t>2265806360002656</t>
        </is>
      </c>
      <c r="AZ2390" t="inlineStr">
        <is>
          <t>BOOK</t>
        </is>
      </c>
      <c r="BB2390" t="inlineStr">
        <is>
          <t>9780527187149</t>
        </is>
      </c>
      <c r="BC2390" t="inlineStr">
        <is>
          <t>32285000673581</t>
        </is>
      </c>
      <c r="BD2390" t="inlineStr">
        <is>
          <t>893882800</t>
        </is>
      </c>
    </row>
    <row r="2391">
      <c r="A2391" t="inlineStr">
        <is>
          <t>No</t>
        </is>
      </c>
      <c r="B2391" t="inlineStr">
        <is>
          <t>F68 .D58 1975</t>
        </is>
      </c>
      <c r="C2391" t="inlineStr">
        <is>
          <t>0                      F  0068000D  58          1975</t>
        </is>
      </c>
      <c r="D2391" t="inlineStr">
        <is>
          <t>The Pilgrims / Francis Dillon.</t>
        </is>
      </c>
      <c r="F2391" t="inlineStr">
        <is>
          <t>No</t>
        </is>
      </c>
      <c r="G2391" t="inlineStr">
        <is>
          <t>1</t>
        </is>
      </c>
      <c r="H2391" t="inlineStr">
        <is>
          <t>No</t>
        </is>
      </c>
      <c r="I2391" t="inlineStr">
        <is>
          <t>No</t>
        </is>
      </c>
      <c r="J2391" t="inlineStr">
        <is>
          <t>0</t>
        </is>
      </c>
      <c r="K2391" t="inlineStr">
        <is>
          <t>Dillon, Francis.</t>
        </is>
      </c>
      <c r="L2391" t="inlineStr">
        <is>
          <t>Garden City, N.Y. : Doubleday, 1975.</t>
        </is>
      </c>
      <c r="M2391" t="inlineStr">
        <is>
          <t>1975</t>
        </is>
      </c>
      <c r="N2391" t="inlineStr">
        <is>
          <t>1st ed in the U.S.A.</t>
        </is>
      </c>
      <c r="O2391" t="inlineStr">
        <is>
          <t>eng</t>
        </is>
      </c>
      <c r="P2391" t="inlineStr">
        <is>
          <t>nyu</t>
        </is>
      </c>
      <c r="R2391" t="inlineStr">
        <is>
          <t xml:space="preserve">F  </t>
        </is>
      </c>
      <c r="S2391" t="n">
        <v>3</v>
      </c>
      <c r="T2391" t="n">
        <v>3</v>
      </c>
      <c r="U2391" t="inlineStr">
        <is>
          <t>2000-03-07</t>
        </is>
      </c>
      <c r="V2391" t="inlineStr">
        <is>
          <t>2000-03-07</t>
        </is>
      </c>
      <c r="W2391" t="inlineStr">
        <is>
          <t>1993-01-05</t>
        </is>
      </c>
      <c r="X2391" t="inlineStr">
        <is>
          <t>1993-01-05</t>
        </is>
      </c>
      <c r="Y2391" t="n">
        <v>1367</v>
      </c>
      <c r="Z2391" t="n">
        <v>1330</v>
      </c>
      <c r="AA2391" t="n">
        <v>1332</v>
      </c>
      <c r="AB2391" t="n">
        <v>14</v>
      </c>
      <c r="AC2391" t="n">
        <v>14</v>
      </c>
      <c r="AD2391" t="n">
        <v>33</v>
      </c>
      <c r="AE2391" t="n">
        <v>33</v>
      </c>
      <c r="AF2391" t="n">
        <v>12</v>
      </c>
      <c r="AG2391" t="n">
        <v>12</v>
      </c>
      <c r="AH2391" t="n">
        <v>7</v>
      </c>
      <c r="AI2391" t="n">
        <v>7</v>
      </c>
      <c r="AJ2391" t="n">
        <v>15</v>
      </c>
      <c r="AK2391" t="n">
        <v>15</v>
      </c>
      <c r="AL2391" t="n">
        <v>8</v>
      </c>
      <c r="AM2391" t="n">
        <v>8</v>
      </c>
      <c r="AN2391" t="n">
        <v>0</v>
      </c>
      <c r="AO2391" t="n">
        <v>0</v>
      </c>
      <c r="AP2391" t="inlineStr">
        <is>
          <t>No</t>
        </is>
      </c>
      <c r="AQ2391" t="inlineStr">
        <is>
          <t>Yes</t>
        </is>
      </c>
      <c r="AR2391">
        <f>HYPERLINK("http://catalog.hathitrust.org/Record/102063259","HathiTrust Record")</f>
        <v/>
      </c>
      <c r="AS2391">
        <f>HYPERLINK("https://creighton-primo.hosted.exlibrisgroup.com/primo-explore/search?tab=default_tab&amp;search_scope=EVERYTHING&amp;vid=01CRU&amp;lang=en_US&amp;offset=0&amp;query=any,contains,991003807249702656","Catalog Record")</f>
        <v/>
      </c>
      <c r="AT2391">
        <f>HYPERLINK("http://www.worldcat.org/oclc/1531553","WorldCat Record")</f>
        <v/>
      </c>
      <c r="AU2391" t="inlineStr">
        <is>
          <t>2404672:eng</t>
        </is>
      </c>
      <c r="AV2391" t="inlineStr">
        <is>
          <t>1531553</t>
        </is>
      </c>
      <c r="AW2391" t="inlineStr">
        <is>
          <t>991003807249702656</t>
        </is>
      </c>
      <c r="AX2391" t="inlineStr">
        <is>
          <t>991003807249702656</t>
        </is>
      </c>
      <c r="AY2391" t="inlineStr">
        <is>
          <t>2271874380002656</t>
        </is>
      </c>
      <c r="AZ2391" t="inlineStr">
        <is>
          <t>BOOK</t>
        </is>
      </c>
      <c r="BB2391" t="inlineStr">
        <is>
          <t>9780385095945</t>
        </is>
      </c>
      <c r="BC2391" t="inlineStr">
        <is>
          <t>32285001472231</t>
        </is>
      </c>
      <c r="BD2391" t="inlineStr">
        <is>
          <t>893868896</t>
        </is>
      </c>
    </row>
    <row r="2392">
      <c r="A2392" t="inlineStr">
        <is>
          <t>No</t>
        </is>
      </c>
      <c r="B2392" t="inlineStr">
        <is>
          <t>F68 .L25</t>
        </is>
      </c>
      <c r="C2392" t="inlineStr">
        <is>
          <t>0                      F  0068000L  25</t>
        </is>
      </c>
      <c r="D2392" t="inlineStr">
        <is>
          <t>Pilgrim colony : a history of New Plymouth, 1620-1691 / by George D. Langdon, Jr.</t>
        </is>
      </c>
      <c r="F2392" t="inlineStr">
        <is>
          <t>No</t>
        </is>
      </c>
      <c r="G2392" t="inlineStr">
        <is>
          <t>1</t>
        </is>
      </c>
      <c r="H2392" t="inlineStr">
        <is>
          <t>No</t>
        </is>
      </c>
      <c r="I2392" t="inlineStr">
        <is>
          <t>No</t>
        </is>
      </c>
      <c r="J2392" t="inlineStr">
        <is>
          <t>0</t>
        </is>
      </c>
      <c r="K2392" t="inlineStr">
        <is>
          <t>Langdon, George D.</t>
        </is>
      </c>
      <c r="L2392" t="inlineStr">
        <is>
          <t>New Haven : Yale University Press, 1966.</t>
        </is>
      </c>
      <c r="M2392" t="inlineStr">
        <is>
          <t>1966</t>
        </is>
      </c>
      <c r="O2392" t="inlineStr">
        <is>
          <t>eng</t>
        </is>
      </c>
      <c r="P2392" t="inlineStr">
        <is>
          <t>ctu</t>
        </is>
      </c>
      <c r="Q2392" t="inlineStr">
        <is>
          <t>Yale publications in American studies ; 12</t>
        </is>
      </c>
      <c r="R2392" t="inlineStr">
        <is>
          <t xml:space="preserve">F  </t>
        </is>
      </c>
      <c r="S2392" t="n">
        <v>2</v>
      </c>
      <c r="T2392" t="n">
        <v>2</v>
      </c>
      <c r="U2392" t="inlineStr">
        <is>
          <t>2000-03-07</t>
        </is>
      </c>
      <c r="V2392" t="inlineStr">
        <is>
          <t>2000-03-07</t>
        </is>
      </c>
      <c r="W2392" t="inlineStr">
        <is>
          <t>1993-01-05</t>
        </is>
      </c>
      <c r="X2392" t="inlineStr">
        <is>
          <t>1993-01-05</t>
        </is>
      </c>
      <c r="Y2392" t="n">
        <v>1485</v>
      </c>
      <c r="Z2392" t="n">
        <v>1382</v>
      </c>
      <c r="AA2392" t="n">
        <v>1401</v>
      </c>
      <c r="AB2392" t="n">
        <v>13</v>
      </c>
      <c r="AC2392" t="n">
        <v>13</v>
      </c>
      <c r="AD2392" t="n">
        <v>56</v>
      </c>
      <c r="AE2392" t="n">
        <v>56</v>
      </c>
      <c r="AF2392" t="n">
        <v>25</v>
      </c>
      <c r="AG2392" t="n">
        <v>25</v>
      </c>
      <c r="AH2392" t="n">
        <v>9</v>
      </c>
      <c r="AI2392" t="n">
        <v>9</v>
      </c>
      <c r="AJ2392" t="n">
        <v>23</v>
      </c>
      <c r="AK2392" t="n">
        <v>23</v>
      </c>
      <c r="AL2392" t="n">
        <v>11</v>
      </c>
      <c r="AM2392" t="n">
        <v>11</v>
      </c>
      <c r="AN2392" t="n">
        <v>2</v>
      </c>
      <c r="AO2392" t="n">
        <v>2</v>
      </c>
      <c r="AP2392" t="inlineStr">
        <is>
          <t>No</t>
        </is>
      </c>
      <c r="AQ2392" t="inlineStr">
        <is>
          <t>No</t>
        </is>
      </c>
      <c r="AS2392">
        <f>HYPERLINK("https://creighton-primo.hosted.exlibrisgroup.com/primo-explore/search?tab=default_tab&amp;search_scope=EVERYTHING&amp;vid=01CRU&amp;lang=en_US&amp;offset=0&amp;query=any,contains,991002826939702656","Catalog Record")</f>
        <v/>
      </c>
      <c r="AT2392">
        <f>HYPERLINK("http://www.worldcat.org/oclc/475810","WorldCat Record")</f>
        <v/>
      </c>
      <c r="AU2392" t="inlineStr">
        <is>
          <t>1547877:eng</t>
        </is>
      </c>
      <c r="AV2392" t="inlineStr">
        <is>
          <t>475810</t>
        </is>
      </c>
      <c r="AW2392" t="inlineStr">
        <is>
          <t>991002826939702656</t>
        </is>
      </c>
      <c r="AX2392" t="inlineStr">
        <is>
          <t>991002826939702656</t>
        </is>
      </c>
      <c r="AY2392" t="inlineStr">
        <is>
          <t>2255227970002656</t>
        </is>
      </c>
      <c r="AZ2392" t="inlineStr">
        <is>
          <t>BOOK</t>
        </is>
      </c>
      <c r="BC2392" t="inlineStr">
        <is>
          <t>32285001472223</t>
        </is>
      </c>
      <c r="BD2392" t="inlineStr">
        <is>
          <t>893692045</t>
        </is>
      </c>
    </row>
    <row r="2393">
      <c r="A2393" t="inlineStr">
        <is>
          <t>No</t>
        </is>
      </c>
      <c r="B2393" t="inlineStr">
        <is>
          <t>F68 B14</t>
        </is>
      </c>
      <c r="C2393" t="inlineStr">
        <is>
          <t>0                      F  0068000B  14</t>
        </is>
      </c>
      <c r="D2393" t="inlineStr">
        <is>
          <t>The Pilgrim spirit; a pageant in celebration of the tercentenary of the landing of the Pilgrims at Plymouth, Massachusetts, December 21, 1620, written and produced by George P. Baker for the Pilgrim Tercentenary Commission of Massachusetts.</t>
        </is>
      </c>
      <c r="F2393" t="inlineStr">
        <is>
          <t>No</t>
        </is>
      </c>
      <c r="G2393" t="inlineStr">
        <is>
          <t>1</t>
        </is>
      </c>
      <c r="H2393" t="inlineStr">
        <is>
          <t>No</t>
        </is>
      </c>
      <c r="I2393" t="inlineStr">
        <is>
          <t>No</t>
        </is>
      </c>
      <c r="J2393" t="inlineStr">
        <is>
          <t>0</t>
        </is>
      </c>
      <c r="K2393" t="inlineStr">
        <is>
          <t>Baker, George Pierce, 1866-1935.</t>
        </is>
      </c>
      <c r="L2393" t="inlineStr">
        <is>
          <t>Boston, Marshall Jones Company [c1921]</t>
        </is>
      </c>
      <c r="M2393" t="inlineStr">
        <is>
          <t>1921</t>
        </is>
      </c>
      <c r="O2393" t="inlineStr">
        <is>
          <t>eng</t>
        </is>
      </c>
      <c r="P2393" t="inlineStr">
        <is>
          <t>mau</t>
        </is>
      </c>
      <c r="R2393" t="inlineStr">
        <is>
          <t xml:space="preserve">F  </t>
        </is>
      </c>
      <c r="S2393" t="n">
        <v>3</v>
      </c>
      <c r="T2393" t="n">
        <v>3</v>
      </c>
      <c r="U2393" t="inlineStr">
        <is>
          <t>2000-03-07</t>
        </is>
      </c>
      <c r="V2393" t="inlineStr">
        <is>
          <t>2000-03-07</t>
        </is>
      </c>
      <c r="W2393" t="inlineStr">
        <is>
          <t>1994-04-12</t>
        </is>
      </c>
      <c r="X2393" t="inlineStr">
        <is>
          <t>1994-04-12</t>
        </is>
      </c>
      <c r="Y2393" t="n">
        <v>170</v>
      </c>
      <c r="Z2393" t="n">
        <v>160</v>
      </c>
      <c r="AA2393" t="n">
        <v>175</v>
      </c>
      <c r="AB2393" t="n">
        <v>2</v>
      </c>
      <c r="AC2393" t="n">
        <v>2</v>
      </c>
      <c r="AD2393" t="n">
        <v>5</v>
      </c>
      <c r="AE2393" t="n">
        <v>6</v>
      </c>
      <c r="AF2393" t="n">
        <v>3</v>
      </c>
      <c r="AG2393" t="n">
        <v>3</v>
      </c>
      <c r="AH2393" t="n">
        <v>0</v>
      </c>
      <c r="AI2393" t="n">
        <v>1</v>
      </c>
      <c r="AJ2393" t="n">
        <v>1</v>
      </c>
      <c r="AK2393" t="n">
        <v>1</v>
      </c>
      <c r="AL2393" t="n">
        <v>1</v>
      </c>
      <c r="AM2393" t="n">
        <v>1</v>
      </c>
      <c r="AN2393" t="n">
        <v>0</v>
      </c>
      <c r="AO2393" t="n">
        <v>0</v>
      </c>
      <c r="AP2393" t="inlineStr">
        <is>
          <t>Yes</t>
        </is>
      </c>
      <c r="AQ2393" t="inlineStr">
        <is>
          <t>No</t>
        </is>
      </c>
      <c r="AR2393">
        <f>HYPERLINK("http://catalog.hathitrust.org/Record/009323896","HathiTrust Record")</f>
        <v/>
      </c>
      <c r="AS2393">
        <f>HYPERLINK("https://creighton-primo.hosted.exlibrisgroup.com/primo-explore/search?tab=default_tab&amp;search_scope=EVERYTHING&amp;vid=01CRU&amp;lang=en_US&amp;offset=0&amp;query=any,contains,991003782779702656","Catalog Record")</f>
        <v/>
      </c>
      <c r="AT2393">
        <f>HYPERLINK("http://www.worldcat.org/oclc/1497291","WorldCat Record")</f>
        <v/>
      </c>
      <c r="AU2393" t="inlineStr">
        <is>
          <t>2427706:eng</t>
        </is>
      </c>
      <c r="AV2393" t="inlineStr">
        <is>
          <t>1497291</t>
        </is>
      </c>
      <c r="AW2393" t="inlineStr">
        <is>
          <t>991003782779702656</t>
        </is>
      </c>
      <c r="AX2393" t="inlineStr">
        <is>
          <t>991003782779702656</t>
        </is>
      </c>
      <c r="AY2393" t="inlineStr">
        <is>
          <t>2267097660002656</t>
        </is>
      </c>
      <c r="AZ2393" t="inlineStr">
        <is>
          <t>BOOK</t>
        </is>
      </c>
      <c r="BC2393" t="inlineStr">
        <is>
          <t>32285001887248</t>
        </is>
      </c>
      <c r="BD2393" t="inlineStr">
        <is>
          <t>893441735</t>
        </is>
      </c>
    </row>
    <row r="2394">
      <c r="A2394" t="inlineStr">
        <is>
          <t>No</t>
        </is>
      </c>
      <c r="B2394" t="inlineStr">
        <is>
          <t>F7 .A53 1991</t>
        </is>
      </c>
      <c r="C2394" t="inlineStr">
        <is>
          <t>0                      F  0007000A  53          1991</t>
        </is>
      </c>
      <c r="D2394" t="inlineStr">
        <is>
          <t>New England's generation : the great migration and the formation of society and culture in the seventeenth century / Virginia DeJohn Anderson.</t>
        </is>
      </c>
      <c r="F2394" t="inlineStr">
        <is>
          <t>No</t>
        </is>
      </c>
      <c r="G2394" t="inlineStr">
        <is>
          <t>1</t>
        </is>
      </c>
      <c r="H2394" t="inlineStr">
        <is>
          <t>No</t>
        </is>
      </c>
      <c r="I2394" t="inlineStr">
        <is>
          <t>No</t>
        </is>
      </c>
      <c r="J2394" t="inlineStr">
        <is>
          <t>0</t>
        </is>
      </c>
      <c r="K2394" t="inlineStr">
        <is>
          <t>Anderson, Virginia DeJohn.</t>
        </is>
      </c>
      <c r="L2394" t="inlineStr">
        <is>
          <t>Cambridge [England] ; New York : Cambridge University Press, 1991.</t>
        </is>
      </c>
      <c r="M2394" t="inlineStr">
        <is>
          <t>1991</t>
        </is>
      </c>
      <c r="O2394" t="inlineStr">
        <is>
          <t>eng</t>
        </is>
      </c>
      <c r="P2394" t="inlineStr">
        <is>
          <t>nyu</t>
        </is>
      </c>
      <c r="R2394" t="inlineStr">
        <is>
          <t xml:space="preserve">F  </t>
        </is>
      </c>
      <c r="S2394" t="n">
        <v>6</v>
      </c>
      <c r="T2394" t="n">
        <v>6</v>
      </c>
      <c r="U2394" t="inlineStr">
        <is>
          <t>2000-03-28</t>
        </is>
      </c>
      <c r="V2394" t="inlineStr">
        <is>
          <t>2000-03-28</t>
        </is>
      </c>
      <c r="W2394" t="inlineStr">
        <is>
          <t>1992-04-22</t>
        </is>
      </c>
      <c r="X2394" t="inlineStr">
        <is>
          <t>1992-04-22</t>
        </is>
      </c>
      <c r="Y2394" t="n">
        <v>557</v>
      </c>
      <c r="Z2394" t="n">
        <v>452</v>
      </c>
      <c r="AA2394" t="n">
        <v>677</v>
      </c>
      <c r="AB2394" t="n">
        <v>2</v>
      </c>
      <c r="AC2394" t="n">
        <v>4</v>
      </c>
      <c r="AD2394" t="n">
        <v>22</v>
      </c>
      <c r="AE2394" t="n">
        <v>35</v>
      </c>
      <c r="AF2394" t="n">
        <v>9</v>
      </c>
      <c r="AG2394" t="n">
        <v>14</v>
      </c>
      <c r="AH2394" t="n">
        <v>6</v>
      </c>
      <c r="AI2394" t="n">
        <v>11</v>
      </c>
      <c r="AJ2394" t="n">
        <v>14</v>
      </c>
      <c r="AK2394" t="n">
        <v>19</v>
      </c>
      <c r="AL2394" t="n">
        <v>1</v>
      </c>
      <c r="AM2394" t="n">
        <v>3</v>
      </c>
      <c r="AN2394" t="n">
        <v>0</v>
      </c>
      <c r="AO2394" t="n">
        <v>0</v>
      </c>
      <c r="AP2394" t="inlineStr">
        <is>
          <t>No</t>
        </is>
      </c>
      <c r="AQ2394" t="inlineStr">
        <is>
          <t>No</t>
        </is>
      </c>
      <c r="AS2394">
        <f>HYPERLINK("https://creighton-primo.hosted.exlibrisgroup.com/primo-explore/search?tab=default_tab&amp;search_scope=EVERYTHING&amp;vid=01CRU&amp;lang=en_US&amp;offset=0&amp;query=any,contains,991001827309702656","Catalog Record")</f>
        <v/>
      </c>
      <c r="AT2394">
        <f>HYPERLINK("http://www.worldcat.org/oclc/22954230","WorldCat Record")</f>
        <v/>
      </c>
      <c r="AU2394" t="inlineStr">
        <is>
          <t>836804386:eng</t>
        </is>
      </c>
      <c r="AV2394" t="inlineStr">
        <is>
          <t>22954230</t>
        </is>
      </c>
      <c r="AW2394" t="inlineStr">
        <is>
          <t>991001827309702656</t>
        </is>
      </c>
      <c r="AX2394" t="inlineStr">
        <is>
          <t>991001827309702656</t>
        </is>
      </c>
      <c r="AY2394" t="inlineStr">
        <is>
          <t>2263844110002656</t>
        </is>
      </c>
      <c r="AZ2394" t="inlineStr">
        <is>
          <t>BOOK</t>
        </is>
      </c>
      <c r="BB2394" t="inlineStr">
        <is>
          <t>9780521405065</t>
        </is>
      </c>
      <c r="BC2394" t="inlineStr">
        <is>
          <t>32285001036903</t>
        </is>
      </c>
      <c r="BD2394" t="inlineStr">
        <is>
          <t>893590678</t>
        </is>
      </c>
    </row>
    <row r="2395">
      <c r="A2395" t="inlineStr">
        <is>
          <t>No</t>
        </is>
      </c>
      <c r="B2395" t="inlineStr">
        <is>
          <t>F7 .C3</t>
        </is>
      </c>
      <c r="C2395" t="inlineStr">
        <is>
          <t>0                      F  0007000C  3</t>
        </is>
      </c>
      <c r="D2395" t="inlineStr">
        <is>
          <t>Puritanism and the wilderness : the intellectual significance of the New England frontier, 1629-1700 / by Peter N. Carroll.</t>
        </is>
      </c>
      <c r="F2395" t="inlineStr">
        <is>
          <t>No</t>
        </is>
      </c>
      <c r="G2395" t="inlineStr">
        <is>
          <t>1</t>
        </is>
      </c>
      <c r="H2395" t="inlineStr">
        <is>
          <t>No</t>
        </is>
      </c>
      <c r="I2395" t="inlineStr">
        <is>
          <t>No</t>
        </is>
      </c>
      <c r="J2395" t="inlineStr">
        <is>
          <t>0</t>
        </is>
      </c>
      <c r="K2395" t="inlineStr">
        <is>
          <t>Carroll, Peter N.</t>
        </is>
      </c>
      <c r="L2395" t="inlineStr">
        <is>
          <t>New York : Columbia University Press, 1969.</t>
        </is>
      </c>
      <c r="M2395" t="inlineStr">
        <is>
          <t>1969</t>
        </is>
      </c>
      <c r="O2395" t="inlineStr">
        <is>
          <t>eng</t>
        </is>
      </c>
      <c r="P2395" t="inlineStr">
        <is>
          <t>nyu</t>
        </is>
      </c>
      <c r="R2395" t="inlineStr">
        <is>
          <t xml:space="preserve">F  </t>
        </is>
      </c>
      <c r="S2395" t="n">
        <v>7</v>
      </c>
      <c r="T2395" t="n">
        <v>7</v>
      </c>
      <c r="U2395" t="inlineStr">
        <is>
          <t>2000-03-28</t>
        </is>
      </c>
      <c r="V2395" t="inlineStr">
        <is>
          <t>2000-03-28</t>
        </is>
      </c>
      <c r="W2395" t="inlineStr">
        <is>
          <t>1990-03-05</t>
        </is>
      </c>
      <c r="X2395" t="inlineStr">
        <is>
          <t>1990-03-05</t>
        </is>
      </c>
      <c r="Y2395" t="n">
        <v>1176</v>
      </c>
      <c r="Z2395" t="n">
        <v>1041</v>
      </c>
      <c r="AA2395" t="n">
        <v>1049</v>
      </c>
      <c r="AB2395" t="n">
        <v>7</v>
      </c>
      <c r="AC2395" t="n">
        <v>7</v>
      </c>
      <c r="AD2395" t="n">
        <v>39</v>
      </c>
      <c r="AE2395" t="n">
        <v>39</v>
      </c>
      <c r="AF2395" t="n">
        <v>14</v>
      </c>
      <c r="AG2395" t="n">
        <v>14</v>
      </c>
      <c r="AH2395" t="n">
        <v>9</v>
      </c>
      <c r="AI2395" t="n">
        <v>9</v>
      </c>
      <c r="AJ2395" t="n">
        <v>17</v>
      </c>
      <c r="AK2395" t="n">
        <v>17</v>
      </c>
      <c r="AL2395" t="n">
        <v>6</v>
      </c>
      <c r="AM2395" t="n">
        <v>6</v>
      </c>
      <c r="AN2395" t="n">
        <v>1</v>
      </c>
      <c r="AO2395" t="n">
        <v>1</v>
      </c>
      <c r="AP2395" t="inlineStr">
        <is>
          <t>No</t>
        </is>
      </c>
      <c r="AQ2395" t="inlineStr">
        <is>
          <t>No</t>
        </is>
      </c>
      <c r="AS2395">
        <f>HYPERLINK("https://creighton-primo.hosted.exlibrisgroup.com/primo-explore/search?tab=default_tab&amp;search_scope=EVERYTHING&amp;vid=01CRU&amp;lang=en_US&amp;offset=0&amp;query=any,contains,991000030759702656","Catalog Record")</f>
        <v/>
      </c>
      <c r="AT2395">
        <f>HYPERLINK("http://www.worldcat.org/oclc/19377","WorldCat Record")</f>
        <v/>
      </c>
      <c r="AU2395" t="inlineStr">
        <is>
          <t>292301057:eng</t>
        </is>
      </c>
      <c r="AV2395" t="inlineStr">
        <is>
          <t>19377</t>
        </is>
      </c>
      <c r="AW2395" t="inlineStr">
        <is>
          <t>991000030759702656</t>
        </is>
      </c>
      <c r="AX2395" t="inlineStr">
        <is>
          <t>991000030759702656</t>
        </is>
      </c>
      <c r="AY2395" t="inlineStr">
        <is>
          <t>2271947850002656</t>
        </is>
      </c>
      <c r="AZ2395" t="inlineStr">
        <is>
          <t>BOOK</t>
        </is>
      </c>
      <c r="BC2395" t="inlineStr">
        <is>
          <t>32285000063569</t>
        </is>
      </c>
      <c r="BD2395" t="inlineStr">
        <is>
          <t>893339203</t>
        </is>
      </c>
    </row>
    <row r="2396">
      <c r="A2396" t="inlineStr">
        <is>
          <t>No</t>
        </is>
      </c>
      <c r="B2396" t="inlineStr">
        <is>
          <t>F7 .E12 1969</t>
        </is>
      </c>
      <c r="C2396" t="inlineStr">
        <is>
          <t>0                      F  0007000E  12          1969</t>
        </is>
      </c>
      <c r="D2396" t="inlineStr">
        <is>
          <t>Customs and fashions in Old New England / by Alice Morse Earle.</t>
        </is>
      </c>
      <c r="F2396" t="inlineStr">
        <is>
          <t>No</t>
        </is>
      </c>
      <c r="G2396" t="inlineStr">
        <is>
          <t>1</t>
        </is>
      </c>
      <c r="H2396" t="inlineStr">
        <is>
          <t>No</t>
        </is>
      </c>
      <c r="I2396" t="inlineStr">
        <is>
          <t>No</t>
        </is>
      </c>
      <c r="J2396" t="inlineStr">
        <is>
          <t>0</t>
        </is>
      </c>
      <c r="K2396" t="inlineStr">
        <is>
          <t>Earle, Alice Morse, 1851-1911.</t>
        </is>
      </c>
      <c r="L2396" t="inlineStr">
        <is>
          <t>Williamstown, Mass. : Corner House Publishers, c1969, 1983 printing.</t>
        </is>
      </c>
      <c r="M2396" t="inlineStr">
        <is>
          <t>1969</t>
        </is>
      </c>
      <c r="O2396" t="inlineStr">
        <is>
          <t>eng</t>
        </is>
      </c>
      <c r="P2396" t="inlineStr">
        <is>
          <t>mau</t>
        </is>
      </c>
      <c r="R2396" t="inlineStr">
        <is>
          <t xml:space="preserve">F  </t>
        </is>
      </c>
      <c r="S2396" t="n">
        <v>4</v>
      </c>
      <c r="T2396" t="n">
        <v>4</v>
      </c>
      <c r="U2396" t="inlineStr">
        <is>
          <t>1996-02-28</t>
        </is>
      </c>
      <c r="V2396" t="inlineStr">
        <is>
          <t>1996-02-28</t>
        </is>
      </c>
      <c r="W2396" t="inlineStr">
        <is>
          <t>1991-07-15</t>
        </is>
      </c>
      <c r="X2396" t="inlineStr">
        <is>
          <t>1991-07-15</t>
        </is>
      </c>
      <c r="Y2396" t="n">
        <v>323</v>
      </c>
      <c r="Z2396" t="n">
        <v>321</v>
      </c>
      <c r="AA2396" t="n">
        <v>1413</v>
      </c>
      <c r="AB2396" t="n">
        <v>3</v>
      </c>
      <c r="AC2396" t="n">
        <v>10</v>
      </c>
      <c r="AD2396" t="n">
        <v>9</v>
      </c>
      <c r="AE2396" t="n">
        <v>38</v>
      </c>
      <c r="AF2396" t="n">
        <v>4</v>
      </c>
      <c r="AG2396" t="n">
        <v>15</v>
      </c>
      <c r="AH2396" t="n">
        <v>1</v>
      </c>
      <c r="AI2396" t="n">
        <v>5</v>
      </c>
      <c r="AJ2396" t="n">
        <v>4</v>
      </c>
      <c r="AK2396" t="n">
        <v>16</v>
      </c>
      <c r="AL2396" t="n">
        <v>2</v>
      </c>
      <c r="AM2396" t="n">
        <v>7</v>
      </c>
      <c r="AN2396" t="n">
        <v>0</v>
      </c>
      <c r="AO2396" t="n">
        <v>1</v>
      </c>
      <c r="AP2396" t="inlineStr">
        <is>
          <t>No</t>
        </is>
      </c>
      <c r="AQ2396" t="inlineStr">
        <is>
          <t>No</t>
        </is>
      </c>
      <c r="AS2396">
        <f>HYPERLINK("https://creighton-primo.hosted.exlibrisgroup.com/primo-explore/search?tab=default_tab&amp;search_scope=EVERYTHING&amp;vid=01CRU&amp;lang=en_US&amp;offset=0&amp;query=any,contains,991000545859702656","Catalog Record")</f>
        <v/>
      </c>
      <c r="AT2396">
        <f>HYPERLINK("http://www.worldcat.org/oclc/91377","WorldCat Record")</f>
        <v/>
      </c>
      <c r="AU2396" t="inlineStr">
        <is>
          <t>386455:eng</t>
        </is>
      </c>
      <c r="AV2396" t="inlineStr">
        <is>
          <t>91377</t>
        </is>
      </c>
      <c r="AW2396" t="inlineStr">
        <is>
          <t>991000545859702656</t>
        </is>
      </c>
      <c r="AX2396" t="inlineStr">
        <is>
          <t>991000545859702656</t>
        </is>
      </c>
      <c r="AY2396" t="inlineStr">
        <is>
          <t>2264540000002656</t>
        </is>
      </c>
      <c r="AZ2396" t="inlineStr">
        <is>
          <t>BOOK</t>
        </is>
      </c>
      <c r="BC2396" t="inlineStr">
        <is>
          <t>32285000673383</t>
        </is>
      </c>
      <c r="BD2396" t="inlineStr">
        <is>
          <t>893865470</t>
        </is>
      </c>
    </row>
    <row r="2397">
      <c r="A2397" t="inlineStr">
        <is>
          <t>No</t>
        </is>
      </c>
      <c r="B2397" t="inlineStr">
        <is>
          <t>F7 .G87 1984</t>
        </is>
      </c>
      <c r="C2397" t="inlineStr">
        <is>
          <t>0                      F  0007000G  87          1984</t>
        </is>
      </c>
      <c r="D2397" t="inlineStr">
        <is>
          <t>A glimpse of Sion's glory : Puritan radicalism in New England, 1620-1660 / Philip F. Gura.</t>
        </is>
      </c>
      <c r="F2397" t="inlineStr">
        <is>
          <t>No</t>
        </is>
      </c>
      <c r="G2397" t="inlineStr">
        <is>
          <t>1</t>
        </is>
      </c>
      <c r="H2397" t="inlineStr">
        <is>
          <t>No</t>
        </is>
      </c>
      <c r="I2397" t="inlineStr">
        <is>
          <t>No</t>
        </is>
      </c>
      <c r="J2397" t="inlineStr">
        <is>
          <t>0</t>
        </is>
      </c>
      <c r="K2397" t="inlineStr">
        <is>
          <t>Gura, Philip F., 1950-</t>
        </is>
      </c>
      <c r="L2397" t="inlineStr">
        <is>
          <t>Middletown, Conn. : Wesleyan University Press, 1984.</t>
        </is>
      </c>
      <c r="M2397" t="inlineStr">
        <is>
          <t>1984</t>
        </is>
      </c>
      <c r="O2397" t="inlineStr">
        <is>
          <t>eng</t>
        </is>
      </c>
      <c r="P2397" t="inlineStr">
        <is>
          <t>ctu</t>
        </is>
      </c>
      <c r="R2397" t="inlineStr">
        <is>
          <t xml:space="preserve">F  </t>
        </is>
      </c>
      <c r="S2397" t="n">
        <v>2</v>
      </c>
      <c r="T2397" t="n">
        <v>2</v>
      </c>
      <c r="U2397" t="inlineStr">
        <is>
          <t>1992-07-20</t>
        </is>
      </c>
      <c r="V2397" t="inlineStr">
        <is>
          <t>1992-07-20</t>
        </is>
      </c>
      <c r="W2397" t="inlineStr">
        <is>
          <t>1990-04-26</t>
        </is>
      </c>
      <c r="X2397" t="inlineStr">
        <is>
          <t>1990-04-26</t>
        </is>
      </c>
      <c r="Y2397" t="n">
        <v>784</v>
      </c>
      <c r="Z2397" t="n">
        <v>697</v>
      </c>
      <c r="AA2397" t="n">
        <v>730</v>
      </c>
      <c r="AB2397" t="n">
        <v>4</v>
      </c>
      <c r="AC2397" t="n">
        <v>4</v>
      </c>
      <c r="AD2397" t="n">
        <v>33</v>
      </c>
      <c r="AE2397" t="n">
        <v>34</v>
      </c>
      <c r="AF2397" t="n">
        <v>14</v>
      </c>
      <c r="AG2397" t="n">
        <v>15</v>
      </c>
      <c r="AH2397" t="n">
        <v>9</v>
      </c>
      <c r="AI2397" t="n">
        <v>10</v>
      </c>
      <c r="AJ2397" t="n">
        <v>15</v>
      </c>
      <c r="AK2397" t="n">
        <v>15</v>
      </c>
      <c r="AL2397" t="n">
        <v>3</v>
      </c>
      <c r="AM2397" t="n">
        <v>3</v>
      </c>
      <c r="AN2397" t="n">
        <v>1</v>
      </c>
      <c r="AO2397" t="n">
        <v>1</v>
      </c>
      <c r="AP2397" t="inlineStr">
        <is>
          <t>No</t>
        </is>
      </c>
      <c r="AQ2397" t="inlineStr">
        <is>
          <t>No</t>
        </is>
      </c>
      <c r="AS2397">
        <f>HYPERLINK("https://creighton-primo.hosted.exlibrisgroup.com/primo-explore/search?tab=default_tab&amp;search_scope=EVERYTHING&amp;vid=01CRU&amp;lang=en_US&amp;offset=0&amp;query=any,contains,991000307719702656","Catalog Record")</f>
        <v/>
      </c>
      <c r="AT2397">
        <f>HYPERLINK("http://www.worldcat.org/oclc/10072527","WorldCat Record")</f>
        <v/>
      </c>
      <c r="AU2397" t="inlineStr">
        <is>
          <t>2796321:eng</t>
        </is>
      </c>
      <c r="AV2397" t="inlineStr">
        <is>
          <t>10072527</t>
        </is>
      </c>
      <c r="AW2397" t="inlineStr">
        <is>
          <t>991000307719702656</t>
        </is>
      </c>
      <c r="AX2397" t="inlineStr">
        <is>
          <t>991000307719702656</t>
        </is>
      </c>
      <c r="AY2397" t="inlineStr">
        <is>
          <t>2263598930002656</t>
        </is>
      </c>
      <c r="AZ2397" t="inlineStr">
        <is>
          <t>BOOK</t>
        </is>
      </c>
      <c r="BB2397" t="inlineStr">
        <is>
          <t>9780819550958</t>
        </is>
      </c>
      <c r="BC2397" t="inlineStr">
        <is>
          <t>32285000134113</t>
        </is>
      </c>
      <c r="BD2397" t="inlineStr">
        <is>
          <t>893702006</t>
        </is>
      </c>
    </row>
    <row r="2398">
      <c r="A2398" t="inlineStr">
        <is>
          <t>No</t>
        </is>
      </c>
      <c r="B2398" t="inlineStr">
        <is>
          <t>F7 .R8</t>
        </is>
      </c>
      <c r="C2398" t="inlineStr">
        <is>
          <t>0                      F  0007000R  8</t>
        </is>
      </c>
      <c r="D2398" t="inlineStr">
        <is>
          <t>American Puritanism : faith and practice / by Darrett B. Rutman.</t>
        </is>
      </c>
      <c r="F2398" t="inlineStr">
        <is>
          <t>No</t>
        </is>
      </c>
      <c r="G2398" t="inlineStr">
        <is>
          <t>1</t>
        </is>
      </c>
      <c r="H2398" t="inlineStr">
        <is>
          <t>No</t>
        </is>
      </c>
      <c r="I2398" t="inlineStr">
        <is>
          <t>No</t>
        </is>
      </c>
      <c r="J2398" t="inlineStr">
        <is>
          <t>0</t>
        </is>
      </c>
      <c r="K2398" t="inlineStr">
        <is>
          <t>Rutman, Darrett Bruce.</t>
        </is>
      </c>
      <c r="L2398" t="inlineStr">
        <is>
          <t>Philadelphia : Lippincott, [1970]</t>
        </is>
      </c>
      <c r="M2398" t="inlineStr">
        <is>
          <t>1970</t>
        </is>
      </c>
      <c r="O2398" t="inlineStr">
        <is>
          <t>eng</t>
        </is>
      </c>
      <c r="P2398" t="inlineStr">
        <is>
          <t>pau</t>
        </is>
      </c>
      <c r="Q2398" t="inlineStr">
        <is>
          <t>Pilot books</t>
        </is>
      </c>
      <c r="R2398" t="inlineStr">
        <is>
          <t xml:space="preserve">F  </t>
        </is>
      </c>
      <c r="S2398" t="n">
        <v>8</v>
      </c>
      <c r="T2398" t="n">
        <v>8</v>
      </c>
      <c r="U2398" t="inlineStr">
        <is>
          <t>1997-12-07</t>
        </is>
      </c>
      <c r="V2398" t="inlineStr">
        <is>
          <t>1997-12-07</t>
        </is>
      </c>
      <c r="W2398" t="inlineStr">
        <is>
          <t>1990-03-05</t>
        </is>
      </c>
      <c r="X2398" t="inlineStr">
        <is>
          <t>1990-03-05</t>
        </is>
      </c>
      <c r="Y2398" t="n">
        <v>813</v>
      </c>
      <c r="Z2398" t="n">
        <v>723</v>
      </c>
      <c r="AA2398" t="n">
        <v>725</v>
      </c>
      <c r="AB2398" t="n">
        <v>5</v>
      </c>
      <c r="AC2398" t="n">
        <v>5</v>
      </c>
      <c r="AD2398" t="n">
        <v>35</v>
      </c>
      <c r="AE2398" t="n">
        <v>35</v>
      </c>
      <c r="AF2398" t="n">
        <v>15</v>
      </c>
      <c r="AG2398" t="n">
        <v>15</v>
      </c>
      <c r="AH2398" t="n">
        <v>6</v>
      </c>
      <c r="AI2398" t="n">
        <v>6</v>
      </c>
      <c r="AJ2398" t="n">
        <v>19</v>
      </c>
      <c r="AK2398" t="n">
        <v>19</v>
      </c>
      <c r="AL2398" t="n">
        <v>4</v>
      </c>
      <c r="AM2398" t="n">
        <v>4</v>
      </c>
      <c r="AN2398" t="n">
        <v>1</v>
      </c>
      <c r="AO2398" t="n">
        <v>1</v>
      </c>
      <c r="AP2398" t="inlineStr">
        <is>
          <t>No</t>
        </is>
      </c>
      <c r="AQ2398" t="inlineStr">
        <is>
          <t>Yes</t>
        </is>
      </c>
      <c r="AR2398">
        <f>HYPERLINK("http://catalog.hathitrust.org/Record/006167237","HathiTrust Record")</f>
        <v/>
      </c>
      <c r="AS2398">
        <f>HYPERLINK("https://creighton-primo.hosted.exlibrisgroup.com/primo-explore/search?tab=default_tab&amp;search_scope=EVERYTHING&amp;vid=01CRU&amp;lang=en_US&amp;offset=0&amp;query=any,contains,991000207939702656","Catalog Record")</f>
        <v/>
      </c>
      <c r="AT2398">
        <f>HYPERLINK("http://www.worldcat.org/oclc/65739","WorldCat Record")</f>
        <v/>
      </c>
      <c r="AU2398" t="inlineStr">
        <is>
          <t>1230923:eng</t>
        </is>
      </c>
      <c r="AV2398" t="inlineStr">
        <is>
          <t>65739</t>
        </is>
      </c>
      <c r="AW2398" t="inlineStr">
        <is>
          <t>991000207939702656</t>
        </is>
      </c>
      <c r="AX2398" t="inlineStr">
        <is>
          <t>991000207939702656</t>
        </is>
      </c>
      <c r="AY2398" t="inlineStr">
        <is>
          <t>2259299030002656</t>
        </is>
      </c>
      <c r="AZ2398" t="inlineStr">
        <is>
          <t>BOOK</t>
        </is>
      </c>
      <c r="BC2398" t="inlineStr">
        <is>
          <t>32285000063528</t>
        </is>
      </c>
      <c r="BD2398" t="inlineStr">
        <is>
          <t>893255267</t>
        </is>
      </c>
    </row>
    <row r="2399">
      <c r="A2399" t="inlineStr">
        <is>
          <t>No</t>
        </is>
      </c>
      <c r="B2399" t="inlineStr">
        <is>
          <t>F7 .Z53 1973</t>
        </is>
      </c>
      <c r="C2399" t="inlineStr">
        <is>
          <t>0                      F  0007000Z  53          1973</t>
        </is>
      </c>
      <c r="D2399" t="inlineStr">
        <is>
          <t>Puritanism in America: new culture in a new world.</t>
        </is>
      </c>
      <c r="F2399" t="inlineStr">
        <is>
          <t>No</t>
        </is>
      </c>
      <c r="G2399" t="inlineStr">
        <is>
          <t>1</t>
        </is>
      </c>
      <c r="H2399" t="inlineStr">
        <is>
          <t>No</t>
        </is>
      </c>
      <c r="I2399" t="inlineStr">
        <is>
          <t>No</t>
        </is>
      </c>
      <c r="J2399" t="inlineStr">
        <is>
          <t>0</t>
        </is>
      </c>
      <c r="K2399" t="inlineStr">
        <is>
          <t>Ziff, Larzer, 1927-</t>
        </is>
      </c>
      <c r="L2399" t="inlineStr">
        <is>
          <t>New York, Viking Press [1973]</t>
        </is>
      </c>
      <c r="M2399" t="inlineStr">
        <is>
          <t>1973</t>
        </is>
      </c>
      <c r="O2399" t="inlineStr">
        <is>
          <t>eng</t>
        </is>
      </c>
      <c r="P2399" t="inlineStr">
        <is>
          <t>nyu</t>
        </is>
      </c>
      <c r="R2399" t="inlineStr">
        <is>
          <t xml:space="preserve">F  </t>
        </is>
      </c>
      <c r="S2399" t="n">
        <v>5</v>
      </c>
      <c r="T2399" t="n">
        <v>5</v>
      </c>
      <c r="U2399" t="inlineStr">
        <is>
          <t>1993-11-29</t>
        </is>
      </c>
      <c r="V2399" t="inlineStr">
        <is>
          <t>1993-11-29</t>
        </is>
      </c>
      <c r="W2399" t="inlineStr">
        <is>
          <t>1990-04-06</t>
        </is>
      </c>
      <c r="X2399" t="inlineStr">
        <is>
          <t>1990-04-06</t>
        </is>
      </c>
      <c r="Y2399" t="n">
        <v>1317</v>
      </c>
      <c r="Z2399" t="n">
        <v>1130</v>
      </c>
      <c r="AA2399" t="n">
        <v>1182</v>
      </c>
      <c r="AB2399" t="n">
        <v>5</v>
      </c>
      <c r="AC2399" t="n">
        <v>6</v>
      </c>
      <c r="AD2399" t="n">
        <v>36</v>
      </c>
      <c r="AE2399" t="n">
        <v>39</v>
      </c>
      <c r="AF2399" t="n">
        <v>14</v>
      </c>
      <c r="AG2399" t="n">
        <v>15</v>
      </c>
      <c r="AH2399" t="n">
        <v>8</v>
      </c>
      <c r="AI2399" t="n">
        <v>9</v>
      </c>
      <c r="AJ2399" t="n">
        <v>20</v>
      </c>
      <c r="AK2399" t="n">
        <v>20</v>
      </c>
      <c r="AL2399" t="n">
        <v>4</v>
      </c>
      <c r="AM2399" t="n">
        <v>5</v>
      </c>
      <c r="AN2399" t="n">
        <v>0</v>
      </c>
      <c r="AO2399" t="n">
        <v>0</v>
      </c>
      <c r="AP2399" t="inlineStr">
        <is>
          <t>No</t>
        </is>
      </c>
      <c r="AQ2399" t="inlineStr">
        <is>
          <t>Yes</t>
        </is>
      </c>
      <c r="AR2399">
        <f>HYPERLINK("http://catalog.hathitrust.org/Record/001261723","HathiTrust Record")</f>
        <v/>
      </c>
      <c r="AS2399">
        <f>HYPERLINK("https://creighton-primo.hosted.exlibrisgroup.com/primo-explore/search?tab=default_tab&amp;search_scope=EVERYTHING&amp;vid=01CRU&amp;lang=en_US&amp;offset=0&amp;query=any,contains,991003210919702656","Catalog Record")</f>
        <v/>
      </c>
      <c r="AT2399">
        <f>HYPERLINK("http://www.worldcat.org/oclc/737005","WorldCat Record")</f>
        <v/>
      </c>
      <c r="AU2399" t="inlineStr">
        <is>
          <t>1783584:eng</t>
        </is>
      </c>
      <c r="AV2399" t="inlineStr">
        <is>
          <t>737005</t>
        </is>
      </c>
      <c r="AW2399" t="inlineStr">
        <is>
          <t>991003210919702656</t>
        </is>
      </c>
      <c r="AX2399" t="inlineStr">
        <is>
          <t>991003210919702656</t>
        </is>
      </c>
      <c r="AY2399" t="inlineStr">
        <is>
          <t>2256672650002656</t>
        </is>
      </c>
      <c r="AZ2399" t="inlineStr">
        <is>
          <t>BOOK</t>
        </is>
      </c>
      <c r="BB2399" t="inlineStr">
        <is>
          <t>9780670583102</t>
        </is>
      </c>
      <c r="BC2399" t="inlineStr">
        <is>
          <t>32285000111707</t>
        </is>
      </c>
      <c r="BD2399" t="inlineStr">
        <is>
          <t>893598374</t>
        </is>
      </c>
    </row>
    <row r="2400">
      <c r="A2400" t="inlineStr">
        <is>
          <t>No</t>
        </is>
      </c>
      <c r="B2400" t="inlineStr">
        <is>
          <t>F7 W79</t>
        </is>
      </c>
      <c r="C2400" t="inlineStr">
        <is>
          <t>0                      F  0007000W  79</t>
        </is>
      </c>
      <c r="D2400" t="inlineStr">
        <is>
          <t>Winthrop papers, 1498-1649.</t>
        </is>
      </c>
      <c r="E2400" t="inlineStr">
        <is>
          <t>V. 1</t>
        </is>
      </c>
      <c r="F2400" t="inlineStr">
        <is>
          <t>Yes</t>
        </is>
      </c>
      <c r="G2400" t="inlineStr">
        <is>
          <t>1</t>
        </is>
      </c>
      <c r="H2400" t="inlineStr">
        <is>
          <t>No</t>
        </is>
      </c>
      <c r="I2400" t="inlineStr">
        <is>
          <t>No</t>
        </is>
      </c>
      <c r="J2400" t="inlineStr">
        <is>
          <t>0</t>
        </is>
      </c>
      <c r="L2400" t="inlineStr">
        <is>
          <t>[Boston] : Massachusetts Historical Society, 1929-</t>
        </is>
      </c>
      <c r="M2400" t="inlineStr">
        <is>
          <t>1929</t>
        </is>
      </c>
      <c r="O2400" t="inlineStr">
        <is>
          <t>eng</t>
        </is>
      </c>
      <c r="P2400" t="inlineStr">
        <is>
          <t>mau</t>
        </is>
      </c>
      <c r="R2400" t="inlineStr">
        <is>
          <t xml:space="preserve">F  </t>
        </is>
      </c>
      <c r="S2400" t="n">
        <v>0</v>
      </c>
      <c r="T2400" t="n">
        <v>2</v>
      </c>
      <c r="U2400" t="inlineStr">
        <is>
          <t>2006-05-26</t>
        </is>
      </c>
      <c r="V2400" t="inlineStr">
        <is>
          <t>2006-05-26</t>
        </is>
      </c>
      <c r="W2400" t="inlineStr">
        <is>
          <t>1994-04-12</t>
        </is>
      </c>
      <c r="X2400" t="inlineStr">
        <is>
          <t>1994-04-12</t>
        </is>
      </c>
      <c r="Y2400" t="n">
        <v>180</v>
      </c>
      <c r="Z2400" t="n">
        <v>173</v>
      </c>
      <c r="AA2400" t="n">
        <v>180</v>
      </c>
      <c r="AB2400" t="n">
        <v>1</v>
      </c>
      <c r="AC2400" t="n">
        <v>1</v>
      </c>
      <c r="AD2400" t="n">
        <v>9</v>
      </c>
      <c r="AE2400" t="n">
        <v>9</v>
      </c>
      <c r="AF2400" t="n">
        <v>3</v>
      </c>
      <c r="AG2400" t="n">
        <v>3</v>
      </c>
      <c r="AH2400" t="n">
        <v>4</v>
      </c>
      <c r="AI2400" t="n">
        <v>4</v>
      </c>
      <c r="AJ2400" t="n">
        <v>5</v>
      </c>
      <c r="AK2400" t="n">
        <v>5</v>
      </c>
      <c r="AL2400" t="n">
        <v>0</v>
      </c>
      <c r="AM2400" t="n">
        <v>0</v>
      </c>
      <c r="AN2400" t="n">
        <v>0</v>
      </c>
      <c r="AO2400" t="n">
        <v>0</v>
      </c>
      <c r="AP2400" t="inlineStr">
        <is>
          <t>Yes</t>
        </is>
      </c>
      <c r="AQ2400" t="inlineStr">
        <is>
          <t>Yes</t>
        </is>
      </c>
      <c r="AR2400">
        <f>HYPERLINK("http://catalog.hathitrust.org/Record/001873611","HathiTrust Record")</f>
        <v/>
      </c>
      <c r="AS2400">
        <f>HYPERLINK("https://creighton-primo.hosted.exlibrisgroup.com/primo-explore/search?tab=default_tab&amp;search_scope=EVERYTHING&amp;vid=01CRU&amp;lang=en_US&amp;offset=0&amp;query=any,contains,991004542529702656","Catalog Record")</f>
        <v/>
      </c>
      <c r="AT2400">
        <f>HYPERLINK("http://www.worldcat.org/oclc/35852422","WorldCat Record")</f>
        <v/>
      </c>
      <c r="AU2400" t="inlineStr">
        <is>
          <t>40081722:eng</t>
        </is>
      </c>
      <c r="AV2400" t="inlineStr">
        <is>
          <t>35852422</t>
        </is>
      </c>
      <c r="AW2400" t="inlineStr">
        <is>
          <t>991004542529702656</t>
        </is>
      </c>
      <c r="AX2400" t="inlineStr">
        <is>
          <t>991004542529702656</t>
        </is>
      </c>
      <c r="AY2400" t="inlineStr">
        <is>
          <t>2263260250002656</t>
        </is>
      </c>
      <c r="AZ2400" t="inlineStr">
        <is>
          <t>BOOK</t>
        </is>
      </c>
      <c r="BC2400" t="inlineStr">
        <is>
          <t>32285001886703</t>
        </is>
      </c>
      <c r="BD2400" t="inlineStr">
        <is>
          <t>893694062</t>
        </is>
      </c>
    </row>
    <row r="2401">
      <c r="A2401" t="inlineStr">
        <is>
          <t>No</t>
        </is>
      </c>
      <c r="B2401" t="inlineStr">
        <is>
          <t>F7 W79</t>
        </is>
      </c>
      <c r="C2401" t="inlineStr">
        <is>
          <t>0                      F  0007000W  79</t>
        </is>
      </c>
      <c r="D2401" t="inlineStr">
        <is>
          <t>Winthrop papers, 1498-1649.</t>
        </is>
      </c>
      <c r="E2401" t="inlineStr">
        <is>
          <t>V. 2</t>
        </is>
      </c>
      <c r="F2401" t="inlineStr">
        <is>
          <t>Yes</t>
        </is>
      </c>
      <c r="G2401" t="inlineStr">
        <is>
          <t>1</t>
        </is>
      </c>
      <c r="H2401" t="inlineStr">
        <is>
          <t>No</t>
        </is>
      </c>
      <c r="I2401" t="inlineStr">
        <is>
          <t>No</t>
        </is>
      </c>
      <c r="J2401" t="inlineStr">
        <is>
          <t>0</t>
        </is>
      </c>
      <c r="L2401" t="inlineStr">
        <is>
          <t>[Boston] : Massachusetts Historical Society, 1929-</t>
        </is>
      </c>
      <c r="M2401" t="inlineStr">
        <is>
          <t>1929</t>
        </is>
      </c>
      <c r="O2401" t="inlineStr">
        <is>
          <t>eng</t>
        </is>
      </c>
      <c r="P2401" t="inlineStr">
        <is>
          <t>mau</t>
        </is>
      </c>
      <c r="R2401" t="inlineStr">
        <is>
          <t xml:space="preserve">F  </t>
        </is>
      </c>
      <c r="S2401" t="n">
        <v>2</v>
      </c>
      <c r="T2401" t="n">
        <v>2</v>
      </c>
      <c r="U2401" t="inlineStr">
        <is>
          <t>2006-05-26</t>
        </is>
      </c>
      <c r="V2401" t="inlineStr">
        <is>
          <t>2006-05-26</t>
        </is>
      </c>
      <c r="W2401" t="inlineStr">
        <is>
          <t>1994-04-12</t>
        </is>
      </c>
      <c r="X2401" t="inlineStr">
        <is>
          <t>1994-04-12</t>
        </is>
      </c>
      <c r="Y2401" t="n">
        <v>180</v>
      </c>
      <c r="Z2401" t="n">
        <v>173</v>
      </c>
      <c r="AA2401" t="n">
        <v>180</v>
      </c>
      <c r="AB2401" t="n">
        <v>1</v>
      </c>
      <c r="AC2401" t="n">
        <v>1</v>
      </c>
      <c r="AD2401" t="n">
        <v>9</v>
      </c>
      <c r="AE2401" t="n">
        <v>9</v>
      </c>
      <c r="AF2401" t="n">
        <v>3</v>
      </c>
      <c r="AG2401" t="n">
        <v>3</v>
      </c>
      <c r="AH2401" t="n">
        <v>4</v>
      </c>
      <c r="AI2401" t="n">
        <v>4</v>
      </c>
      <c r="AJ2401" t="n">
        <v>5</v>
      </c>
      <c r="AK2401" t="n">
        <v>5</v>
      </c>
      <c r="AL2401" t="n">
        <v>0</v>
      </c>
      <c r="AM2401" t="n">
        <v>0</v>
      </c>
      <c r="AN2401" t="n">
        <v>0</v>
      </c>
      <c r="AO2401" t="n">
        <v>0</v>
      </c>
      <c r="AP2401" t="inlineStr">
        <is>
          <t>Yes</t>
        </is>
      </c>
      <c r="AQ2401" t="inlineStr">
        <is>
          <t>Yes</t>
        </is>
      </c>
      <c r="AR2401">
        <f>HYPERLINK("http://catalog.hathitrust.org/Record/001873611","HathiTrust Record")</f>
        <v/>
      </c>
      <c r="AS2401">
        <f>HYPERLINK("https://creighton-primo.hosted.exlibrisgroup.com/primo-explore/search?tab=default_tab&amp;search_scope=EVERYTHING&amp;vid=01CRU&amp;lang=en_US&amp;offset=0&amp;query=any,contains,991004542529702656","Catalog Record")</f>
        <v/>
      </c>
      <c r="AT2401">
        <f>HYPERLINK("http://www.worldcat.org/oclc/35852422","WorldCat Record")</f>
        <v/>
      </c>
      <c r="AU2401" t="inlineStr">
        <is>
          <t>40081722:eng</t>
        </is>
      </c>
      <c r="AV2401" t="inlineStr">
        <is>
          <t>35852422</t>
        </is>
      </c>
      <c r="AW2401" t="inlineStr">
        <is>
          <t>991004542529702656</t>
        </is>
      </c>
      <c r="AX2401" t="inlineStr">
        <is>
          <t>991004542529702656</t>
        </is>
      </c>
      <c r="AY2401" t="inlineStr">
        <is>
          <t>2263260250002656</t>
        </is>
      </c>
      <c r="AZ2401" t="inlineStr">
        <is>
          <t>BOOK</t>
        </is>
      </c>
      <c r="BC2401" t="inlineStr">
        <is>
          <t>32285001886711</t>
        </is>
      </c>
      <c r="BD2401" t="inlineStr">
        <is>
          <t>893694061</t>
        </is>
      </c>
    </row>
    <row r="2402">
      <c r="A2402" t="inlineStr">
        <is>
          <t>No</t>
        </is>
      </c>
      <c r="B2402" t="inlineStr">
        <is>
          <t>F72.C3 S73</t>
        </is>
      </c>
      <c r="C2402" t="inlineStr">
        <is>
          <t>0                      F  0072000C  3                  S  73</t>
        </is>
      </c>
      <c r="D2402" t="inlineStr">
        <is>
          <t>Down the Cape : the complete guide to Cape Cod, by Katherine Smith and Edith Shay.</t>
        </is>
      </c>
      <c r="F2402" t="inlineStr">
        <is>
          <t>No</t>
        </is>
      </c>
      <c r="G2402" t="inlineStr">
        <is>
          <t>1</t>
        </is>
      </c>
      <c r="H2402" t="inlineStr">
        <is>
          <t>No</t>
        </is>
      </c>
      <c r="I2402" t="inlineStr">
        <is>
          <t>No</t>
        </is>
      </c>
      <c r="J2402" t="inlineStr">
        <is>
          <t>0</t>
        </is>
      </c>
      <c r="K2402" t="inlineStr">
        <is>
          <t>Dos Passos, Katharine, -1947.</t>
        </is>
      </c>
      <c r="L2402" t="inlineStr">
        <is>
          <t>New York : Dodge Publishing Company, [c1936]</t>
        </is>
      </c>
      <c r="M2402" t="inlineStr">
        <is>
          <t>1936</t>
        </is>
      </c>
      <c r="O2402" t="inlineStr">
        <is>
          <t>eng</t>
        </is>
      </c>
      <c r="P2402" t="inlineStr">
        <is>
          <t>nyu</t>
        </is>
      </c>
      <c r="R2402" t="inlineStr">
        <is>
          <t xml:space="preserve">F  </t>
        </is>
      </c>
      <c r="S2402" t="n">
        <v>2</v>
      </c>
      <c r="T2402" t="n">
        <v>2</v>
      </c>
      <c r="U2402" t="inlineStr">
        <is>
          <t>1994-11-12</t>
        </is>
      </c>
      <c r="V2402" t="inlineStr">
        <is>
          <t>1994-11-12</t>
        </is>
      </c>
      <c r="W2402" t="inlineStr">
        <is>
          <t>1994-04-14</t>
        </is>
      </c>
      <c r="X2402" t="inlineStr">
        <is>
          <t>1994-04-14</t>
        </is>
      </c>
      <c r="Y2402" t="n">
        <v>42</v>
      </c>
      <c r="Z2402" t="n">
        <v>42</v>
      </c>
      <c r="AA2402" t="n">
        <v>42</v>
      </c>
      <c r="AB2402" t="n">
        <v>1</v>
      </c>
      <c r="AC2402" t="n">
        <v>1</v>
      </c>
      <c r="AD2402" t="n">
        <v>0</v>
      </c>
      <c r="AE2402" t="n">
        <v>0</v>
      </c>
      <c r="AF2402" t="n">
        <v>0</v>
      </c>
      <c r="AG2402" t="n">
        <v>0</v>
      </c>
      <c r="AH2402" t="n">
        <v>0</v>
      </c>
      <c r="AI2402" t="n">
        <v>0</v>
      </c>
      <c r="AJ2402" t="n">
        <v>0</v>
      </c>
      <c r="AK2402" t="n">
        <v>0</v>
      </c>
      <c r="AL2402" t="n">
        <v>0</v>
      </c>
      <c r="AM2402" t="n">
        <v>0</v>
      </c>
      <c r="AN2402" t="n">
        <v>0</v>
      </c>
      <c r="AO2402" t="n">
        <v>0</v>
      </c>
      <c r="AP2402" t="inlineStr">
        <is>
          <t>No</t>
        </is>
      </c>
      <c r="AQ2402" t="inlineStr">
        <is>
          <t>No</t>
        </is>
      </c>
      <c r="AS2402">
        <f>HYPERLINK("https://creighton-primo.hosted.exlibrisgroup.com/primo-explore/search?tab=default_tab&amp;search_scope=EVERYTHING&amp;vid=01CRU&amp;lang=en_US&amp;offset=0&amp;query=any,contains,991003507689702656","Catalog Record")</f>
        <v/>
      </c>
      <c r="AT2402">
        <f>HYPERLINK("http://www.worldcat.org/oclc/1060234","WorldCat Record")</f>
        <v/>
      </c>
      <c r="AU2402" t="inlineStr">
        <is>
          <t>1997173:eng</t>
        </is>
      </c>
      <c r="AV2402" t="inlineStr">
        <is>
          <t>1060234</t>
        </is>
      </c>
      <c r="AW2402" t="inlineStr">
        <is>
          <t>991003507689702656</t>
        </is>
      </c>
      <c r="AX2402" t="inlineStr">
        <is>
          <t>991003507689702656</t>
        </is>
      </c>
      <c r="AY2402" t="inlineStr">
        <is>
          <t>2258856640002656</t>
        </is>
      </c>
      <c r="AZ2402" t="inlineStr">
        <is>
          <t>BOOK</t>
        </is>
      </c>
      <c r="BC2402" t="inlineStr">
        <is>
          <t>32285001887800</t>
        </is>
      </c>
      <c r="BD2402" t="inlineStr">
        <is>
          <t>893805846</t>
        </is>
      </c>
    </row>
    <row r="2403">
      <c r="A2403" t="inlineStr">
        <is>
          <t>No</t>
        </is>
      </c>
      <c r="B2403" t="inlineStr">
        <is>
          <t>F72.C3 T25 1934</t>
        </is>
      </c>
      <c r="C2403" t="inlineStr">
        <is>
          <t>0                      F  0072000C  3                  T  25          1934</t>
        </is>
      </c>
      <c r="D2403" t="inlineStr">
        <is>
          <t>Cape Cod ahoy! : a travel book for the summer visitor / by Arthur Wilson Tarbell.</t>
        </is>
      </c>
      <c r="F2403" t="inlineStr">
        <is>
          <t>No</t>
        </is>
      </c>
      <c r="G2403" t="inlineStr">
        <is>
          <t>1</t>
        </is>
      </c>
      <c r="H2403" t="inlineStr">
        <is>
          <t>No</t>
        </is>
      </c>
      <c r="I2403" t="inlineStr">
        <is>
          <t>No</t>
        </is>
      </c>
      <c r="J2403" t="inlineStr">
        <is>
          <t>0</t>
        </is>
      </c>
      <c r="K2403" t="inlineStr">
        <is>
          <t>Tarbell, Arthur W. (Arthur Wilson), 1872-</t>
        </is>
      </c>
      <c r="L2403" t="inlineStr">
        <is>
          <t>Boston : Little, Brown, and company, 1934.</t>
        </is>
      </c>
      <c r="M2403" t="inlineStr">
        <is>
          <t>1934</t>
        </is>
      </c>
      <c r="N2403" t="inlineStr">
        <is>
          <t>New and rev. ed.</t>
        </is>
      </c>
      <c r="O2403" t="inlineStr">
        <is>
          <t>eng</t>
        </is>
      </c>
      <c r="P2403" t="inlineStr">
        <is>
          <t>mau</t>
        </is>
      </c>
      <c r="R2403" t="inlineStr">
        <is>
          <t xml:space="preserve">F  </t>
        </is>
      </c>
      <c r="S2403" t="n">
        <v>1</v>
      </c>
      <c r="T2403" t="n">
        <v>1</v>
      </c>
      <c r="U2403" t="inlineStr">
        <is>
          <t>2002-05-20</t>
        </is>
      </c>
      <c r="V2403" t="inlineStr">
        <is>
          <t>2002-05-20</t>
        </is>
      </c>
      <c r="W2403" t="inlineStr">
        <is>
          <t>1994-04-18</t>
        </is>
      </c>
      <c r="X2403" t="inlineStr">
        <is>
          <t>1994-04-18</t>
        </is>
      </c>
      <c r="Y2403" t="n">
        <v>45</v>
      </c>
      <c r="Z2403" t="n">
        <v>44</v>
      </c>
      <c r="AA2403" t="n">
        <v>103</v>
      </c>
      <c r="AB2403" t="n">
        <v>1</v>
      </c>
      <c r="AC2403" t="n">
        <v>2</v>
      </c>
      <c r="AD2403" t="n">
        <v>1</v>
      </c>
      <c r="AE2403" t="n">
        <v>5</v>
      </c>
      <c r="AF2403" t="n">
        <v>0</v>
      </c>
      <c r="AG2403" t="n">
        <v>0</v>
      </c>
      <c r="AH2403" t="n">
        <v>0</v>
      </c>
      <c r="AI2403" t="n">
        <v>1</v>
      </c>
      <c r="AJ2403" t="n">
        <v>1</v>
      </c>
      <c r="AK2403" t="n">
        <v>4</v>
      </c>
      <c r="AL2403" t="n">
        <v>0</v>
      </c>
      <c r="AM2403" t="n">
        <v>1</v>
      </c>
      <c r="AN2403" t="n">
        <v>0</v>
      </c>
      <c r="AO2403" t="n">
        <v>0</v>
      </c>
      <c r="AP2403" t="inlineStr">
        <is>
          <t>No</t>
        </is>
      </c>
      <c r="AQ2403" t="inlineStr">
        <is>
          <t>No</t>
        </is>
      </c>
      <c r="AS2403">
        <f>HYPERLINK("https://creighton-primo.hosted.exlibrisgroup.com/primo-explore/search?tab=default_tab&amp;search_scope=EVERYTHING&amp;vid=01CRU&amp;lang=en_US&amp;offset=0&amp;query=any,contains,991004923249702656","Catalog Record")</f>
        <v/>
      </c>
      <c r="AT2403">
        <f>HYPERLINK("http://www.worldcat.org/oclc/6062957","WorldCat Record")</f>
        <v/>
      </c>
      <c r="AU2403" t="inlineStr">
        <is>
          <t>2576143:eng</t>
        </is>
      </c>
      <c r="AV2403" t="inlineStr">
        <is>
          <t>6062957</t>
        </is>
      </c>
      <c r="AW2403" t="inlineStr">
        <is>
          <t>991004923249702656</t>
        </is>
      </c>
      <c r="AX2403" t="inlineStr">
        <is>
          <t>991004923249702656</t>
        </is>
      </c>
      <c r="AY2403" t="inlineStr">
        <is>
          <t>2269929750002656</t>
        </is>
      </c>
      <c r="AZ2403" t="inlineStr">
        <is>
          <t>BOOK</t>
        </is>
      </c>
      <c r="BC2403" t="inlineStr">
        <is>
          <t>32285001889228</t>
        </is>
      </c>
      <c r="BD2403" t="inlineStr">
        <is>
          <t>893338283</t>
        </is>
      </c>
    </row>
    <row r="2404">
      <c r="A2404" t="inlineStr">
        <is>
          <t>No</t>
        </is>
      </c>
      <c r="B2404" t="inlineStr">
        <is>
          <t>F73.1 .S25</t>
        </is>
      </c>
      <c r="C2404" t="inlineStr">
        <is>
          <t>0                      F  0073100S  25</t>
        </is>
      </c>
      <c r="D2404" t="inlineStr">
        <is>
          <t>The early years of the Saturday club, 1855-1870 / by Edward Waldo Emerson.</t>
        </is>
      </c>
      <c r="F2404" t="inlineStr">
        <is>
          <t>No</t>
        </is>
      </c>
      <c r="G2404" t="inlineStr">
        <is>
          <t>1</t>
        </is>
      </c>
      <c r="H2404" t="inlineStr">
        <is>
          <t>No</t>
        </is>
      </c>
      <c r="I2404" t="inlineStr">
        <is>
          <t>No</t>
        </is>
      </c>
      <c r="J2404" t="inlineStr">
        <is>
          <t>0</t>
        </is>
      </c>
      <c r="K2404" t="inlineStr">
        <is>
          <t>Emerson, Edward Waldo, 1844-1930.</t>
        </is>
      </c>
      <c r="L2404" t="inlineStr">
        <is>
          <t>Boston ; New York : Houghton Mifflin Company, 1918.</t>
        </is>
      </c>
      <c r="M2404" t="inlineStr">
        <is>
          <t>1918</t>
        </is>
      </c>
      <c r="O2404" t="inlineStr">
        <is>
          <t>eng</t>
        </is>
      </c>
      <c r="P2404" t="inlineStr">
        <is>
          <t>mau</t>
        </is>
      </c>
      <c r="R2404" t="inlineStr">
        <is>
          <t xml:space="preserve">F  </t>
        </is>
      </c>
      <c r="S2404" t="n">
        <v>1</v>
      </c>
      <c r="T2404" t="n">
        <v>1</v>
      </c>
      <c r="U2404" t="inlineStr">
        <is>
          <t>2002-10-16</t>
        </is>
      </c>
      <c r="V2404" t="inlineStr">
        <is>
          <t>2002-10-16</t>
        </is>
      </c>
      <c r="W2404" t="inlineStr">
        <is>
          <t>1994-04-14</t>
        </is>
      </c>
      <c r="X2404" t="inlineStr">
        <is>
          <t>1994-04-14</t>
        </is>
      </c>
      <c r="Y2404" t="n">
        <v>335</v>
      </c>
      <c r="Z2404" t="n">
        <v>317</v>
      </c>
      <c r="AA2404" t="n">
        <v>611</v>
      </c>
      <c r="AB2404" t="n">
        <v>4</v>
      </c>
      <c r="AC2404" t="n">
        <v>4</v>
      </c>
      <c r="AD2404" t="n">
        <v>16</v>
      </c>
      <c r="AE2404" t="n">
        <v>30</v>
      </c>
      <c r="AF2404" t="n">
        <v>4</v>
      </c>
      <c r="AG2404" t="n">
        <v>13</v>
      </c>
      <c r="AH2404" t="n">
        <v>3</v>
      </c>
      <c r="AI2404" t="n">
        <v>6</v>
      </c>
      <c r="AJ2404" t="n">
        <v>11</v>
      </c>
      <c r="AK2404" t="n">
        <v>17</v>
      </c>
      <c r="AL2404" t="n">
        <v>3</v>
      </c>
      <c r="AM2404" t="n">
        <v>3</v>
      </c>
      <c r="AN2404" t="n">
        <v>0</v>
      </c>
      <c r="AO2404" t="n">
        <v>0</v>
      </c>
      <c r="AP2404" t="inlineStr">
        <is>
          <t>Yes</t>
        </is>
      </c>
      <c r="AQ2404" t="inlineStr">
        <is>
          <t>No</t>
        </is>
      </c>
      <c r="AR2404">
        <f>HYPERLINK("http://catalog.hathitrust.org/Record/001262028","HathiTrust Record")</f>
        <v/>
      </c>
      <c r="AS2404">
        <f>HYPERLINK("https://creighton-primo.hosted.exlibrisgroup.com/primo-explore/search?tab=default_tab&amp;search_scope=EVERYTHING&amp;vid=01CRU&amp;lang=en_US&amp;offset=0&amp;query=any,contains,991002857679702656","Catalog Record")</f>
        <v/>
      </c>
      <c r="AT2404">
        <f>HYPERLINK("http://www.worldcat.org/oclc/491202","WorldCat Record")</f>
        <v/>
      </c>
      <c r="AU2404" t="inlineStr">
        <is>
          <t>1582449:eng</t>
        </is>
      </c>
      <c r="AV2404" t="inlineStr">
        <is>
          <t>491202</t>
        </is>
      </c>
      <c r="AW2404" t="inlineStr">
        <is>
          <t>991002857679702656</t>
        </is>
      </c>
      <c r="AX2404" t="inlineStr">
        <is>
          <t>991002857679702656</t>
        </is>
      </c>
      <c r="AY2404" t="inlineStr">
        <is>
          <t>2259403850002656</t>
        </is>
      </c>
      <c r="AZ2404" t="inlineStr">
        <is>
          <t>BOOK</t>
        </is>
      </c>
      <c r="BC2404" t="inlineStr">
        <is>
          <t>32285001887842</t>
        </is>
      </c>
      <c r="BD2404" t="inlineStr">
        <is>
          <t>893774115</t>
        </is>
      </c>
    </row>
    <row r="2405">
      <c r="A2405" t="inlineStr">
        <is>
          <t>No</t>
        </is>
      </c>
      <c r="B2405" t="inlineStr">
        <is>
          <t>F73.37 .A5</t>
        </is>
      </c>
      <c r="C2405" t="inlineStr">
        <is>
          <t>0                      F  0073370A  5</t>
        </is>
      </c>
      <c r="D2405" t="inlineStr">
        <is>
          <t>The Proper Bostonians.</t>
        </is>
      </c>
      <c r="F2405" t="inlineStr">
        <is>
          <t>No</t>
        </is>
      </c>
      <c r="G2405" t="inlineStr">
        <is>
          <t>1</t>
        </is>
      </c>
      <c r="H2405" t="inlineStr">
        <is>
          <t>No</t>
        </is>
      </c>
      <c r="I2405" t="inlineStr">
        <is>
          <t>No</t>
        </is>
      </c>
      <c r="J2405" t="inlineStr">
        <is>
          <t>0</t>
        </is>
      </c>
      <c r="K2405" t="inlineStr">
        <is>
          <t>Amory, Cleveland.</t>
        </is>
      </c>
      <c r="L2405" t="inlineStr">
        <is>
          <t>New York : E. P. Dutton, 1947.</t>
        </is>
      </c>
      <c r="M2405" t="inlineStr">
        <is>
          <t>1947</t>
        </is>
      </c>
      <c r="N2405" t="inlineStr">
        <is>
          <t>[1st ed.]</t>
        </is>
      </c>
      <c r="O2405" t="inlineStr">
        <is>
          <t>eng</t>
        </is>
      </c>
      <c r="P2405" t="inlineStr">
        <is>
          <t>nyu</t>
        </is>
      </c>
      <c r="Q2405" t="inlineStr">
        <is>
          <t>American society series ; v. 1</t>
        </is>
      </c>
      <c r="R2405" t="inlineStr">
        <is>
          <t xml:space="preserve">F  </t>
        </is>
      </c>
      <c r="S2405" t="n">
        <v>1</v>
      </c>
      <c r="T2405" t="n">
        <v>1</v>
      </c>
      <c r="U2405" t="inlineStr">
        <is>
          <t>1997-12-15</t>
        </is>
      </c>
      <c r="V2405" t="inlineStr">
        <is>
          <t>1997-12-15</t>
        </is>
      </c>
      <c r="W2405" t="inlineStr">
        <is>
          <t>1994-04-14</t>
        </is>
      </c>
      <c r="X2405" t="inlineStr">
        <is>
          <t>1994-04-14</t>
        </is>
      </c>
      <c r="Y2405" t="n">
        <v>1164</v>
      </c>
      <c r="Z2405" t="n">
        <v>1099</v>
      </c>
      <c r="AA2405" t="n">
        <v>1198</v>
      </c>
      <c r="AB2405" t="n">
        <v>6</v>
      </c>
      <c r="AC2405" t="n">
        <v>7</v>
      </c>
      <c r="AD2405" t="n">
        <v>42</v>
      </c>
      <c r="AE2405" t="n">
        <v>44</v>
      </c>
      <c r="AF2405" t="n">
        <v>18</v>
      </c>
      <c r="AG2405" t="n">
        <v>18</v>
      </c>
      <c r="AH2405" t="n">
        <v>6</v>
      </c>
      <c r="AI2405" t="n">
        <v>6</v>
      </c>
      <c r="AJ2405" t="n">
        <v>20</v>
      </c>
      <c r="AK2405" t="n">
        <v>21</v>
      </c>
      <c r="AL2405" t="n">
        <v>5</v>
      </c>
      <c r="AM2405" t="n">
        <v>6</v>
      </c>
      <c r="AN2405" t="n">
        <v>1</v>
      </c>
      <c r="AO2405" t="n">
        <v>1</v>
      </c>
      <c r="AP2405" t="inlineStr">
        <is>
          <t>No</t>
        </is>
      </c>
      <c r="AQ2405" t="inlineStr">
        <is>
          <t>Yes</t>
        </is>
      </c>
      <c r="AR2405">
        <f>HYPERLINK("http://catalog.hathitrust.org/Record/001262044","HathiTrust Record")</f>
        <v/>
      </c>
      <c r="AS2405">
        <f>HYPERLINK("https://creighton-primo.hosted.exlibrisgroup.com/primo-explore/search?tab=default_tab&amp;search_scope=EVERYTHING&amp;vid=01CRU&amp;lang=en_US&amp;offset=0&amp;query=any,contains,991002824949702656","Catalog Record")</f>
        <v/>
      </c>
      <c r="AT2405">
        <f>HYPERLINK("http://www.worldcat.org/oclc/475098","WorldCat Record")</f>
        <v/>
      </c>
      <c r="AU2405" t="inlineStr">
        <is>
          <t>1545958:eng</t>
        </is>
      </c>
      <c r="AV2405" t="inlineStr">
        <is>
          <t>475098</t>
        </is>
      </c>
      <c r="AW2405" t="inlineStr">
        <is>
          <t>991002824949702656</t>
        </is>
      </c>
      <c r="AX2405" t="inlineStr">
        <is>
          <t>991002824949702656</t>
        </is>
      </c>
      <c r="AY2405" t="inlineStr">
        <is>
          <t>2254771600002656</t>
        </is>
      </c>
      <c r="AZ2405" t="inlineStr">
        <is>
          <t>BOOK</t>
        </is>
      </c>
      <c r="BC2405" t="inlineStr">
        <is>
          <t>32285001887859</t>
        </is>
      </c>
      <c r="BD2405" t="inlineStr">
        <is>
          <t>893245689</t>
        </is>
      </c>
    </row>
    <row r="2406">
      <c r="A2406" t="inlineStr">
        <is>
          <t>No</t>
        </is>
      </c>
      <c r="B2406" t="inlineStr">
        <is>
          <t>F8 .D9952</t>
        </is>
      </c>
      <c r="C2406" t="inlineStr">
        <is>
          <t>0                      F  0008000D  9952</t>
        </is>
      </c>
      <c r="D2406" t="inlineStr">
        <is>
          <t>Travels in New England and New York / edited by Barbara Miller Solomon, with the assistance of Patricia M. King.</t>
        </is>
      </c>
      <c r="F2406" t="inlineStr">
        <is>
          <t>Yes</t>
        </is>
      </c>
      <c r="G2406" t="inlineStr">
        <is>
          <t>1</t>
        </is>
      </c>
      <c r="H2406" t="inlineStr">
        <is>
          <t>Yes</t>
        </is>
      </c>
      <c r="I2406" t="inlineStr">
        <is>
          <t>No</t>
        </is>
      </c>
      <c r="J2406" t="inlineStr">
        <is>
          <t>0</t>
        </is>
      </c>
      <c r="K2406" t="inlineStr">
        <is>
          <t>Dwight, Timothy, 1752-1817.</t>
        </is>
      </c>
      <c r="L2406" t="inlineStr">
        <is>
          <t>Cambridge, Mass. : Belknap Press of Harvard University Press, 1969.</t>
        </is>
      </c>
      <c r="M2406" t="inlineStr">
        <is>
          <t>1969</t>
        </is>
      </c>
      <c r="O2406" t="inlineStr">
        <is>
          <t>eng</t>
        </is>
      </c>
      <c r="P2406" t="inlineStr">
        <is>
          <t>mau</t>
        </is>
      </c>
      <c r="Q2406" t="inlineStr">
        <is>
          <t>The John Harvard library</t>
        </is>
      </c>
      <c r="R2406" t="inlineStr">
        <is>
          <t xml:space="preserve">F  </t>
        </is>
      </c>
      <c r="S2406" t="n">
        <v>2</v>
      </c>
      <c r="T2406" t="n">
        <v>8</v>
      </c>
      <c r="U2406" t="inlineStr">
        <is>
          <t>2005-03-18</t>
        </is>
      </c>
      <c r="V2406" t="inlineStr">
        <is>
          <t>2005-03-18</t>
        </is>
      </c>
      <c r="W2406" t="inlineStr">
        <is>
          <t>1994-04-12</t>
        </is>
      </c>
      <c r="X2406" t="inlineStr">
        <is>
          <t>1994-04-12</t>
        </is>
      </c>
      <c r="Y2406" t="n">
        <v>725</v>
      </c>
      <c r="Z2406" t="n">
        <v>666</v>
      </c>
      <c r="AA2406" t="n">
        <v>677</v>
      </c>
      <c r="AB2406" t="n">
        <v>4</v>
      </c>
      <c r="AC2406" t="n">
        <v>4</v>
      </c>
      <c r="AD2406" t="n">
        <v>29</v>
      </c>
      <c r="AE2406" t="n">
        <v>29</v>
      </c>
      <c r="AF2406" t="n">
        <v>12</v>
      </c>
      <c r="AG2406" t="n">
        <v>12</v>
      </c>
      <c r="AH2406" t="n">
        <v>5</v>
      </c>
      <c r="AI2406" t="n">
        <v>5</v>
      </c>
      <c r="AJ2406" t="n">
        <v>16</v>
      </c>
      <c r="AK2406" t="n">
        <v>16</v>
      </c>
      <c r="AL2406" t="n">
        <v>3</v>
      </c>
      <c r="AM2406" t="n">
        <v>3</v>
      </c>
      <c r="AN2406" t="n">
        <v>0</v>
      </c>
      <c r="AO2406" t="n">
        <v>0</v>
      </c>
      <c r="AP2406" t="inlineStr">
        <is>
          <t>No</t>
        </is>
      </c>
      <c r="AQ2406" t="inlineStr">
        <is>
          <t>Yes</t>
        </is>
      </c>
      <c r="AR2406">
        <f>HYPERLINK("http://catalog.hathitrust.org/Record/001261727","HathiTrust Record")</f>
        <v/>
      </c>
      <c r="AS2406">
        <f>HYPERLINK("https://creighton-primo.hosted.exlibrisgroup.com/primo-explore/search?tab=default_tab&amp;search_scope=EVERYTHING&amp;vid=01CRU&amp;lang=en_US&amp;offset=0&amp;query=any,contains,991000123179702656","Catalog Record")</f>
        <v/>
      </c>
      <c r="AT2406">
        <f>HYPERLINK("http://www.worldcat.org/oclc/50982","WorldCat Record")</f>
        <v/>
      </c>
      <c r="AU2406" t="inlineStr">
        <is>
          <t>232851896:eng</t>
        </is>
      </c>
      <c r="AV2406" t="inlineStr">
        <is>
          <t>50982</t>
        </is>
      </c>
      <c r="AW2406" t="inlineStr">
        <is>
          <t>991000123179702656</t>
        </is>
      </c>
      <c r="AX2406" t="inlineStr">
        <is>
          <t>991000123179702656</t>
        </is>
      </c>
      <c r="AY2406" t="inlineStr">
        <is>
          <t>2255599230002656</t>
        </is>
      </c>
      <c r="AZ2406" t="inlineStr">
        <is>
          <t>BOOK</t>
        </is>
      </c>
      <c r="BC2406" t="inlineStr">
        <is>
          <t>32285001886745</t>
        </is>
      </c>
      <c r="BD2406" t="inlineStr">
        <is>
          <t>893521420</t>
        </is>
      </c>
    </row>
    <row r="2407">
      <c r="A2407" t="inlineStr">
        <is>
          <t>No</t>
        </is>
      </c>
      <c r="B2407" t="inlineStr">
        <is>
          <t>F8 .D9952 V. 2</t>
        </is>
      </c>
      <c r="C2407" t="inlineStr">
        <is>
          <t>0                      F  0008000D  9952                                                    V. 2</t>
        </is>
      </c>
      <c r="D2407" t="inlineStr">
        <is>
          <t>Travels in New England and New York / edited by Barbara Miller Solomon, with the assistance of Patricia M. King.</t>
        </is>
      </c>
      <c r="E2407" t="inlineStr">
        <is>
          <t>V. 2*</t>
        </is>
      </c>
      <c r="F2407" t="inlineStr">
        <is>
          <t>Yes</t>
        </is>
      </c>
      <c r="G2407" t="inlineStr">
        <is>
          <t>1</t>
        </is>
      </c>
      <c r="H2407" t="inlineStr">
        <is>
          <t>No</t>
        </is>
      </c>
      <c r="I2407" t="inlineStr">
        <is>
          <t>No</t>
        </is>
      </c>
      <c r="J2407" t="inlineStr">
        <is>
          <t>0</t>
        </is>
      </c>
      <c r="K2407" t="inlineStr">
        <is>
          <t>Dwight, Timothy, 1752-1817.</t>
        </is>
      </c>
      <c r="L2407" t="inlineStr">
        <is>
          <t>Cambridge, Mass. : Belknap Press of Harvard University Press, 1969.</t>
        </is>
      </c>
      <c r="M2407" t="inlineStr">
        <is>
          <t>1969</t>
        </is>
      </c>
      <c r="O2407" t="inlineStr">
        <is>
          <t>eng</t>
        </is>
      </c>
      <c r="P2407" t="inlineStr">
        <is>
          <t>mau</t>
        </is>
      </c>
      <c r="Q2407" t="inlineStr">
        <is>
          <t>The John Harvard library</t>
        </is>
      </c>
      <c r="R2407" t="inlineStr">
        <is>
          <t xml:space="preserve">F  </t>
        </is>
      </c>
      <c r="S2407" t="n">
        <v>2</v>
      </c>
      <c r="T2407" t="n">
        <v>8</v>
      </c>
      <c r="U2407" t="inlineStr">
        <is>
          <t>2005-03-18</t>
        </is>
      </c>
      <c r="V2407" t="inlineStr">
        <is>
          <t>2005-03-18</t>
        </is>
      </c>
      <c r="W2407" t="inlineStr">
        <is>
          <t>1994-04-12</t>
        </is>
      </c>
      <c r="X2407" t="inlineStr">
        <is>
          <t>1994-04-12</t>
        </is>
      </c>
      <c r="Y2407" t="n">
        <v>725</v>
      </c>
      <c r="Z2407" t="n">
        <v>666</v>
      </c>
      <c r="AA2407" t="n">
        <v>677</v>
      </c>
      <c r="AB2407" t="n">
        <v>4</v>
      </c>
      <c r="AC2407" t="n">
        <v>4</v>
      </c>
      <c r="AD2407" t="n">
        <v>29</v>
      </c>
      <c r="AE2407" t="n">
        <v>29</v>
      </c>
      <c r="AF2407" t="n">
        <v>12</v>
      </c>
      <c r="AG2407" t="n">
        <v>12</v>
      </c>
      <c r="AH2407" t="n">
        <v>5</v>
      </c>
      <c r="AI2407" t="n">
        <v>5</v>
      </c>
      <c r="AJ2407" t="n">
        <v>16</v>
      </c>
      <c r="AK2407" t="n">
        <v>16</v>
      </c>
      <c r="AL2407" t="n">
        <v>3</v>
      </c>
      <c r="AM2407" t="n">
        <v>3</v>
      </c>
      <c r="AN2407" t="n">
        <v>0</v>
      </c>
      <c r="AO2407" t="n">
        <v>0</v>
      </c>
      <c r="AP2407" t="inlineStr">
        <is>
          <t>No</t>
        </is>
      </c>
      <c r="AQ2407" t="inlineStr">
        <is>
          <t>Yes</t>
        </is>
      </c>
      <c r="AR2407">
        <f>HYPERLINK("http://catalog.hathitrust.org/Record/001261727","HathiTrust Record")</f>
        <v/>
      </c>
      <c r="AS2407">
        <f>HYPERLINK("https://creighton-primo.hosted.exlibrisgroup.com/primo-explore/search?tab=default_tab&amp;search_scope=EVERYTHING&amp;vid=01CRU&amp;lang=en_US&amp;offset=0&amp;query=any,contains,991000123179702656","Catalog Record")</f>
        <v/>
      </c>
      <c r="AT2407">
        <f>HYPERLINK("http://www.worldcat.org/oclc/50982","WorldCat Record")</f>
        <v/>
      </c>
      <c r="AU2407" t="inlineStr">
        <is>
          <t>232851896:eng</t>
        </is>
      </c>
      <c r="AV2407" t="inlineStr">
        <is>
          <t>50982</t>
        </is>
      </c>
      <c r="AW2407" t="inlineStr">
        <is>
          <t>991000123179702656</t>
        </is>
      </c>
      <c r="AX2407" t="inlineStr">
        <is>
          <t>991000123179702656</t>
        </is>
      </c>
      <c r="AY2407" t="inlineStr">
        <is>
          <t>2255599230002656</t>
        </is>
      </c>
      <c r="AZ2407" t="inlineStr">
        <is>
          <t>BOOK</t>
        </is>
      </c>
      <c r="BC2407" t="inlineStr">
        <is>
          <t>32285001886752</t>
        </is>
      </c>
      <c r="BD2407" t="inlineStr">
        <is>
          <t>893508530</t>
        </is>
      </c>
    </row>
    <row r="2408">
      <c r="A2408" t="inlineStr">
        <is>
          <t>No</t>
        </is>
      </c>
      <c r="B2408" t="inlineStr">
        <is>
          <t>F8 .D9952 V. 3</t>
        </is>
      </c>
      <c r="C2408" t="inlineStr">
        <is>
          <t>0                      F  0008000D  9952                                                    V. 3</t>
        </is>
      </c>
      <c r="D2408" t="inlineStr">
        <is>
          <t>Travels in New England and New York / edited by Barbara Miller Solomon, with the assistance of Patricia M. King.</t>
        </is>
      </c>
      <c r="E2408" t="inlineStr">
        <is>
          <t>V. 3*</t>
        </is>
      </c>
      <c r="F2408" t="inlineStr">
        <is>
          <t>Yes</t>
        </is>
      </c>
      <c r="G2408" t="inlineStr">
        <is>
          <t>1</t>
        </is>
      </c>
      <c r="H2408" t="inlineStr">
        <is>
          <t>No</t>
        </is>
      </c>
      <c r="I2408" t="inlineStr">
        <is>
          <t>No</t>
        </is>
      </c>
      <c r="J2408" t="inlineStr">
        <is>
          <t>0</t>
        </is>
      </c>
      <c r="K2408" t="inlineStr">
        <is>
          <t>Dwight, Timothy, 1752-1817.</t>
        </is>
      </c>
      <c r="L2408" t="inlineStr">
        <is>
          <t>Cambridge, Mass. : Belknap Press of Harvard University Press, 1969.</t>
        </is>
      </c>
      <c r="M2408" t="inlineStr">
        <is>
          <t>1969</t>
        </is>
      </c>
      <c r="O2408" t="inlineStr">
        <is>
          <t>eng</t>
        </is>
      </c>
      <c r="P2408" t="inlineStr">
        <is>
          <t>mau</t>
        </is>
      </c>
      <c r="Q2408" t="inlineStr">
        <is>
          <t>The John Harvard library</t>
        </is>
      </c>
      <c r="R2408" t="inlineStr">
        <is>
          <t xml:space="preserve">F  </t>
        </is>
      </c>
      <c r="S2408" t="n">
        <v>2</v>
      </c>
      <c r="T2408" t="n">
        <v>8</v>
      </c>
      <c r="U2408" t="inlineStr">
        <is>
          <t>2005-03-18</t>
        </is>
      </c>
      <c r="V2408" t="inlineStr">
        <is>
          <t>2005-03-18</t>
        </is>
      </c>
      <c r="W2408" t="inlineStr">
        <is>
          <t>1994-04-12</t>
        </is>
      </c>
      <c r="X2408" t="inlineStr">
        <is>
          <t>1994-04-12</t>
        </is>
      </c>
      <c r="Y2408" t="n">
        <v>725</v>
      </c>
      <c r="Z2408" t="n">
        <v>666</v>
      </c>
      <c r="AA2408" t="n">
        <v>677</v>
      </c>
      <c r="AB2408" t="n">
        <v>4</v>
      </c>
      <c r="AC2408" t="n">
        <v>4</v>
      </c>
      <c r="AD2408" t="n">
        <v>29</v>
      </c>
      <c r="AE2408" t="n">
        <v>29</v>
      </c>
      <c r="AF2408" t="n">
        <v>12</v>
      </c>
      <c r="AG2408" t="n">
        <v>12</v>
      </c>
      <c r="AH2408" t="n">
        <v>5</v>
      </c>
      <c r="AI2408" t="n">
        <v>5</v>
      </c>
      <c r="AJ2408" t="n">
        <v>16</v>
      </c>
      <c r="AK2408" t="n">
        <v>16</v>
      </c>
      <c r="AL2408" t="n">
        <v>3</v>
      </c>
      <c r="AM2408" t="n">
        <v>3</v>
      </c>
      <c r="AN2408" t="n">
        <v>0</v>
      </c>
      <c r="AO2408" t="n">
        <v>0</v>
      </c>
      <c r="AP2408" t="inlineStr">
        <is>
          <t>No</t>
        </is>
      </c>
      <c r="AQ2408" t="inlineStr">
        <is>
          <t>Yes</t>
        </is>
      </c>
      <c r="AR2408">
        <f>HYPERLINK("http://catalog.hathitrust.org/Record/001261727","HathiTrust Record")</f>
        <v/>
      </c>
      <c r="AS2408">
        <f>HYPERLINK("https://creighton-primo.hosted.exlibrisgroup.com/primo-explore/search?tab=default_tab&amp;search_scope=EVERYTHING&amp;vid=01CRU&amp;lang=en_US&amp;offset=0&amp;query=any,contains,991000123179702656","Catalog Record")</f>
        <v/>
      </c>
      <c r="AT2408">
        <f>HYPERLINK("http://www.worldcat.org/oclc/50982","WorldCat Record")</f>
        <v/>
      </c>
      <c r="AU2408" t="inlineStr">
        <is>
          <t>232851896:eng</t>
        </is>
      </c>
      <c r="AV2408" t="inlineStr">
        <is>
          <t>50982</t>
        </is>
      </c>
      <c r="AW2408" t="inlineStr">
        <is>
          <t>991000123179702656</t>
        </is>
      </c>
      <c r="AX2408" t="inlineStr">
        <is>
          <t>991000123179702656</t>
        </is>
      </c>
      <c r="AY2408" t="inlineStr">
        <is>
          <t>2255599230002656</t>
        </is>
      </c>
      <c r="AZ2408" t="inlineStr">
        <is>
          <t>BOOK</t>
        </is>
      </c>
      <c r="BC2408" t="inlineStr">
        <is>
          <t>32285001886760</t>
        </is>
      </c>
      <c r="BD2408" t="inlineStr">
        <is>
          <t>893495940</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